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Default Extension="xml" ContentType="application/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78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10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worksheets/sheet76.xml" ContentType="application/vnd.openxmlformats-officedocument.spreadsheetml.worksheet+xml"/>
  <Override PartName="/xl/worksheets/sheet8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65.xml" ContentType="application/vnd.openxmlformats-officedocument.spreadsheetml.worksheet+xml"/>
  <Override PartName="/xl/worksheets/sheet74.xml" ContentType="application/vnd.openxmlformats-officedocument.spreadsheetml.worksheet+xml"/>
  <Override PartName="/xl/worksheets/sheet83.xml" ContentType="application/vnd.openxmlformats-officedocument.spreadsheetml.worksheet+xml"/>
  <Override PartName="/xl/worksheets/sheet92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1.xml" ContentType="application/vnd.openxmlformats-officedocument.spreadsheetml.worksheet+xml"/>
  <Override PartName="/xl/worksheets/sheet90.xml" ContentType="application/vnd.openxmlformats-officedocument.spreadsheetml.worksheet+xml"/>
  <Override PartName="/xl/worksheets/sheet10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9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10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8" windowWidth="14808" windowHeight="8016" tabRatio="795" firstSheet="100" activeTab="100"/>
  </bookViews>
  <sheets>
    <sheet name="LOI-1030(STERLITE) BB   (2)" sheetId="101" r:id="rId1"/>
    <sheet name="LOI-2019(Georgia) BB " sheetId="1" r:id="rId2"/>
    <sheet name="TRADING LOI-2020(MEXICO) BB" sheetId="4" r:id="rId3"/>
    <sheet name="LOI-2021(OMAN) BB  (2)" sheetId="15" r:id="rId4"/>
    <sheet name="TRAD.73~30625(OMAN) BB " sheetId="5" r:id="rId5"/>
    <sheet name="LOI-2022(SAUDI) BB " sheetId="6" r:id="rId6"/>
    <sheet name="TRAD.73~30628(SAUDI) BB" sheetId="16" r:id="rId7"/>
    <sheet name="TRAD.LOI-2028(GCCIA Saudi) BB" sheetId="7" r:id="rId8"/>
    <sheet name="LOI-7 BB (STOCK)" sheetId="17" r:id="rId9"/>
    <sheet name="TRAD 73~30632 BB (STOCK)" sheetId="14" r:id="rId10"/>
    <sheet name="LOI-12(OMAN) BB  " sheetId="9" r:id="rId11"/>
    <sheet name="LOI-13(SAUDI) BB" sheetId="11" r:id="rId12"/>
    <sheet name="LOI-41(OMAN) BB (2)" sheetId="12" r:id="rId13"/>
    <sheet name="LOI-42(SAUDI) BB" sheetId="13" r:id="rId14"/>
    <sheet name="LOI-122(BANGLADESH) BB" sheetId="18" r:id="rId15"/>
    <sheet name="LOI-138(MOLDOVA) BB" sheetId="19" r:id="rId16"/>
    <sheet name="LOI-180(ESSEL) BB" sheetId="20" r:id="rId17"/>
    <sheet name="LOI-214(SAUDI) BB " sheetId="21" r:id="rId18"/>
    <sheet name="LOI-215(STERLITE) BB " sheetId="22" r:id="rId19"/>
    <sheet name="LOI-216(BANGLADESH) BB" sheetId="23" r:id="rId20"/>
    <sheet name="LOI-217(MEXICO) BB" sheetId="24" r:id="rId21"/>
    <sheet name="LOI-218(STERLITE) BB  " sheetId="25" r:id="rId22"/>
    <sheet name="LOI-267(MOLDOVA) BB" sheetId="26" r:id="rId23"/>
    <sheet name="LOI-336(ESSEL) BB" sheetId="29" r:id="rId24"/>
    <sheet name="LOI-337 (MOLDOVA) BB " sheetId="28" r:id="rId25"/>
    <sheet name="LOI-338 (MOLDOVA) " sheetId="30" r:id="rId26"/>
    <sheet name="LOI-405 (FAB REJ EMIR )" sheetId="60" r:id="rId27"/>
    <sheet name="LOI-416(MEXICO) BB" sheetId="32" r:id="rId28"/>
    <sheet name="LOI-419(ESSEL) BB " sheetId="33" r:id="rId29"/>
    <sheet name="LOI-420(PG) BB " sheetId="34" r:id="rId30"/>
    <sheet name="LOI-421(PG) BB" sheetId="35" r:id="rId31"/>
    <sheet name="LOI-428(PG) BB " sheetId="36" r:id="rId32"/>
    <sheet name="LOI-429(PG) BB " sheetId="37" r:id="rId33"/>
    <sheet name="LOI-430(BANGLADESH) BB" sheetId="52" r:id="rId34"/>
    <sheet name="LOI-431(ESSEL) BB" sheetId="38" r:id="rId35"/>
    <sheet name="LOI-432(MOROCCO) BB" sheetId="48" r:id="rId36"/>
    <sheet name="LOI-433(SAUDI) BB" sheetId="49" r:id="rId37"/>
    <sheet name="LOI-436(BANGLADESH) BB " sheetId="39" r:id="rId38"/>
    <sheet name="LOI-437(ESSEL) BB " sheetId="40" r:id="rId39"/>
    <sheet name="LOI-438(SAUDI) BB (2)" sheetId="53" r:id="rId40"/>
    <sheet name="LOI-442(ESSEL) BB" sheetId="41" r:id="rId41"/>
    <sheet name="LOI-443(MOROCCO) BB " sheetId="42" r:id="rId42"/>
    <sheet name="LOI-444(GEORGIA) BB" sheetId="43" r:id="rId43"/>
    <sheet name="LOI-445(PG) BB" sheetId="44" r:id="rId44"/>
    <sheet name="LOI-493(BANGLADESH) BB" sheetId="45" r:id="rId45"/>
    <sheet name="LOI-494(BANGLADESH) BB" sheetId="54" r:id="rId46"/>
    <sheet name="LOI-495(BANGLADESH) BB" sheetId="55" r:id="rId47"/>
    <sheet name="LOI-496(ESSEL) BB " sheetId="46" r:id="rId48"/>
    <sheet name="LOI-497(GEORGIA) BB " sheetId="47" r:id="rId49"/>
    <sheet name="LOI-498(GEORGIA) BB" sheetId="56" r:id="rId50"/>
    <sheet name="LOI-499(MOLDOVE) BB" sheetId="57" r:id="rId51"/>
    <sheet name="LOI-500(MOROCCO) BB" sheetId="58" r:id="rId52"/>
    <sheet name="LOI-501(SAUDI) BB" sheetId="59" r:id="rId53"/>
    <sheet name="LOI-563(PG) BB " sheetId="61" r:id="rId54"/>
    <sheet name="LOI-564(INDIGRID) BB " sheetId="62" r:id="rId55"/>
    <sheet name="LOI-565(MOLDOVE) BB" sheetId="63" r:id="rId56"/>
    <sheet name="LOI-566(MOROCCO) BB" sheetId="64" r:id="rId57"/>
    <sheet name="LOI-567(SAUDI) BB" sheetId="65" r:id="rId58"/>
    <sheet name="LOI-568(PG) BB" sheetId="66" r:id="rId59"/>
    <sheet name="LOI-612(GR INFRA) BB" sheetId="68" r:id="rId60"/>
    <sheet name="LOI-613(PG ) BB" sheetId="69" r:id="rId61"/>
    <sheet name="LOI-614(PG hold) BB  (2)" sheetId="85" r:id="rId62"/>
    <sheet name="LOI-614(PG shift to jabalp) BB " sheetId="70" r:id="rId63"/>
    <sheet name="LOI-619 (Zellinskis) BB" sheetId="71" r:id="rId64"/>
    <sheet name="LOI-642 (Zellinskis) BB (2)" sheetId="72" r:id="rId65"/>
    <sheet name="LOI-643 (Zellinskis) BB " sheetId="73" r:id="rId66"/>
    <sheet name="LOI-645 (Zellinskis) BB  (2)" sheetId="74" r:id="rId67"/>
    <sheet name="LOI-612 (GR INFRA) BB  " sheetId="76" r:id="rId68"/>
    <sheet name="LOI-709 (MEXICO) BB" sheetId="77" r:id="rId69"/>
    <sheet name="LOI-710 (MEXICO) BB" sheetId="78" r:id="rId70"/>
    <sheet name="LOI-711 (GEORGIA) BB" sheetId="79" r:id="rId71"/>
    <sheet name="LOI-712 (MEXICO) BB" sheetId="80" r:id="rId72"/>
    <sheet name="LOI-713 (SAUDI) BB (2)" sheetId="81" r:id="rId73"/>
    <sheet name="LOI-714 (MEXICO) BB (2)" sheetId="82" r:id="rId74"/>
    <sheet name="LOI-715 (OMAN) BB" sheetId="83" r:id="rId75"/>
    <sheet name="LOI-716 (SAUDI) BB (2)" sheetId="84" r:id="rId76"/>
    <sheet name="LOI-749 (BANGLADESH) BB " sheetId="88" r:id="rId77"/>
    <sheet name="LOI-764 (GEORGIA) BB" sheetId="86" r:id="rId78"/>
    <sheet name="LOI-765 (MEXICO) BB" sheetId="87" r:id="rId79"/>
    <sheet name="LOI-832(PG ) BB " sheetId="89" r:id="rId80"/>
    <sheet name="LOI-833 (MALAYSIA &amp;PUERTO) BB" sheetId="90" r:id="rId81"/>
    <sheet name="LOI-896 (MALAYSIA &amp;BANGLADESH)" sheetId="91" r:id="rId82"/>
    <sheet name="LOI-897 (ZILLINKIS)" sheetId="92" r:id="rId83"/>
    <sheet name="LOI-972 (MOLDOVA)" sheetId="93" r:id="rId84"/>
    <sheet name="LOI-975(PG ) BB  " sheetId="94" r:id="rId85"/>
    <sheet name="LOI-1006 (MOLDOVA)" sheetId="95" r:id="rId86"/>
    <sheet name="LOI-1022(PG ) BB " sheetId="96" r:id="rId87"/>
    <sheet name="LOI-1044 (Malaysia)BB " sheetId="98" r:id="rId88"/>
    <sheet name="LOI-1045 (ZILLINSKIS) BB" sheetId="99" r:id="rId89"/>
    <sheet name="LOI-1046 (SAUDI) BB" sheetId="100" r:id="rId90"/>
    <sheet name="LOI-1047(KUDUS) BB" sheetId="102" r:id="rId91"/>
    <sheet name="LOI-1048 (SAUDI) BB " sheetId="103" r:id="rId92"/>
    <sheet name="LOI-1049 (SAUDI) BB" sheetId="104" r:id="rId93"/>
    <sheet name="LOI-1131 (GEORGIA) BB" sheetId="105" r:id="rId94"/>
    <sheet name="LOI-1132 (Oman) BB " sheetId="106" r:id="rId95"/>
    <sheet name="LOI-1133 (ZILLINSKIS) BB " sheetId="107" r:id="rId96"/>
    <sheet name="LOI-1190 (Georgia) BB" sheetId="108" r:id="rId97"/>
    <sheet name="LOI-1191 (ZILLINSKIS) BB " sheetId="109" r:id="rId98"/>
    <sheet name="LOI-1331(KPTCL) BB " sheetId="110" r:id="rId99"/>
    <sheet name="LOI-1332(PG) BB" sheetId="111" r:id="rId100"/>
    <sheet name="LOI-1333 (SAUDI) BB" sheetId="112" r:id="rId101"/>
    <sheet name="LOI-1334 (ZILLINSKIS) BB" sheetId="113" r:id="rId102"/>
    <sheet name="LOI-1356 (GEORGIA) BB  " sheetId="114" r:id="rId103"/>
    <sheet name="LOI-1357 (MALAYSIA) BB" sheetId="115" r:id="rId104"/>
    <sheet name="LOI-1358 (SAUDI) BB" sheetId="116" r:id="rId105"/>
    <sheet name="LOI-1395 (INDIGRID ADANI KU) BB" sheetId="117" r:id="rId106"/>
    <sheet name="LOI-1396 (AUSNET) BB" sheetId="118" r:id="rId107"/>
    <sheet name="LOI-1397 (MAMAYSIA) BB" sheetId="119" r:id="rId108"/>
    <sheet name="LOI-1439 Inch SECT (SUNZIA) BB " sheetId="120" r:id="rId109"/>
    <sheet name="LOI-1439  (PERU)BB" sheetId="122" r:id="rId110"/>
    <sheet name="Sheet1" sheetId="123" r:id="rId111"/>
  </sheets>
  <definedNames>
    <definedName name="_xlnm._FilterDatabase" localSheetId="85" hidden="1">'LOI-1006 (MOLDOVA)'!$A$1:$V$8</definedName>
    <definedName name="_xlnm._FilterDatabase" localSheetId="86" hidden="1">'LOI-1022(PG ) BB '!$A$5:$AB$9</definedName>
    <definedName name="_xlnm._FilterDatabase" localSheetId="0" hidden="1">'LOI-1030(STERLITE) BB   (2)'!$A$5:$AB$9</definedName>
    <definedName name="_xlnm._FilterDatabase" localSheetId="87" hidden="1">'LOI-1044 (Malaysia)BB '!$A$1:$V$8</definedName>
    <definedName name="_xlnm._FilterDatabase" localSheetId="88" hidden="1">'LOI-1045 (ZILLINSKIS) BB'!$A$1:$V$8</definedName>
    <definedName name="_xlnm._FilterDatabase" localSheetId="89" hidden="1">'LOI-1046 (SAUDI) BB'!$A$1:$V$8</definedName>
    <definedName name="_xlnm._FilterDatabase" localSheetId="90" hidden="1">'LOI-1047(KUDUS) BB'!$A$5:$AB$15</definedName>
    <definedName name="_xlnm._FilterDatabase" localSheetId="91" hidden="1">'LOI-1048 (SAUDI) BB '!$A$1:$V$14</definedName>
    <definedName name="_xlnm._FilterDatabase" localSheetId="92" hidden="1">'LOI-1049 (SAUDI) BB'!$A$1:$V$16</definedName>
    <definedName name="_xlnm._FilterDatabase" localSheetId="93" hidden="1">'LOI-1131 (GEORGIA) BB'!$A$1:$V$16</definedName>
    <definedName name="_xlnm._FilterDatabase" localSheetId="94" hidden="1">'LOI-1132 (Oman) BB '!$A$1:$V$5</definedName>
    <definedName name="_xlnm._FilterDatabase" localSheetId="95" hidden="1">'LOI-1133 (ZILLINSKIS) BB '!$A$1:$V$7</definedName>
    <definedName name="_xlnm._FilterDatabase" localSheetId="96" hidden="1">'LOI-1190 (Georgia) BB'!$A$1:$V$7</definedName>
    <definedName name="_xlnm._FilterDatabase" localSheetId="97" hidden="1">'LOI-1191 (ZILLINSKIS) BB '!$A$1:$V$7</definedName>
    <definedName name="_xlnm._FilterDatabase" localSheetId="98" hidden="1">'LOI-1331(KPTCL) BB '!$A$5:$AB$9</definedName>
    <definedName name="_xlnm._FilterDatabase" localSheetId="99" hidden="1">'LOI-1332(PG) BB'!$A$5:$AB$9</definedName>
    <definedName name="_xlnm._FilterDatabase" localSheetId="100" hidden="1">'LOI-1333 (SAUDI) BB'!$A$1:$V$6</definedName>
    <definedName name="_xlnm._FilterDatabase" localSheetId="101" hidden="1">'LOI-1334 (ZILLINSKIS) BB'!$A$1:$V$8</definedName>
    <definedName name="_xlnm._FilterDatabase" localSheetId="102" hidden="1">'LOI-1356 (GEORGIA) BB  '!$A$1:$V$8</definedName>
    <definedName name="_xlnm._FilterDatabase" localSheetId="103" hidden="1">'LOI-1357 (MALAYSIA) BB'!$A$1:$V$7</definedName>
    <definedName name="_xlnm._FilterDatabase" localSheetId="104" hidden="1">'LOI-1358 (SAUDI) BB'!$A$1:$V$7</definedName>
    <definedName name="_xlnm._FilterDatabase" localSheetId="105" hidden="1">'LOI-1395 (INDIGRID ADANI KU) BB'!$A$1:$V$7</definedName>
    <definedName name="_xlnm._FilterDatabase" localSheetId="106" hidden="1">'LOI-1396 (AUSNET) BB'!$A$1:$V$7</definedName>
    <definedName name="_xlnm._FilterDatabase" localSheetId="107" hidden="1">'LOI-1397 (MAMAYSIA) BB'!$A$1:$V$7</definedName>
    <definedName name="_xlnm._FilterDatabase" localSheetId="109" hidden="1">'LOI-1439  (PERU)BB'!$A$1:$V$5</definedName>
    <definedName name="_xlnm._FilterDatabase" localSheetId="108" hidden="1">'LOI-1439 Inch SECT (SUNZIA) BB '!$A$1:$V$5</definedName>
    <definedName name="_xlnm._FilterDatabase" localSheetId="49" hidden="1">'LOI-498(GEORGIA) BB'!$A$1:$V$319</definedName>
    <definedName name="_xlnm._FilterDatabase" localSheetId="50" hidden="1">'LOI-499(MOLDOVE) BB'!$A$1:$V$9</definedName>
    <definedName name="_xlnm._FilterDatabase" localSheetId="55" hidden="1">'LOI-565(MOLDOVE) BB'!$A$1:$V$11</definedName>
    <definedName name="_xlnm._FilterDatabase" localSheetId="67" hidden="1">'LOI-612 (GR INFRA) BB  '!$A$1:$V$7</definedName>
    <definedName name="_xlnm._FilterDatabase" localSheetId="60" hidden="1">'LOI-613(PG ) BB'!$A$5:$AB$113</definedName>
    <definedName name="_xlnm._FilterDatabase" localSheetId="63" hidden="1">'LOI-619 (Zellinskis) BB'!$A$1:$V$9</definedName>
    <definedName name="_xlnm._FilterDatabase" localSheetId="64" hidden="1">'LOI-642 (Zellinskis) BB (2)'!$A$1:$V$9</definedName>
    <definedName name="_xlnm._FilterDatabase" localSheetId="65" hidden="1">'LOI-643 (Zellinskis) BB '!$A$1:$V$9</definedName>
    <definedName name="_xlnm._FilterDatabase" localSheetId="66" hidden="1">'LOI-645 (Zellinskis) BB  (2)'!$A$1:$V$9</definedName>
    <definedName name="_xlnm._FilterDatabase" localSheetId="68" hidden="1">'LOI-709 (MEXICO) BB'!$A$1:$V$7</definedName>
    <definedName name="_xlnm._FilterDatabase" localSheetId="69" hidden="1">'LOI-710 (MEXICO) BB'!$A$1:$V$7</definedName>
    <definedName name="_xlnm._FilterDatabase" localSheetId="70" hidden="1">'LOI-711 (GEORGIA) BB'!$A$1:$V$12</definedName>
    <definedName name="_xlnm._FilterDatabase" localSheetId="71" hidden="1">'LOI-712 (MEXICO) BB'!$A$1:$V$17</definedName>
    <definedName name="_xlnm._FilterDatabase" localSheetId="72" hidden="1">'LOI-713 (SAUDI) BB (2)'!$A$1:$V$14</definedName>
    <definedName name="_xlnm._FilterDatabase" localSheetId="73" hidden="1">'LOI-714 (MEXICO) BB (2)'!$A$1:$V$20</definedName>
    <definedName name="_xlnm._FilterDatabase" localSheetId="74" hidden="1">'LOI-715 (OMAN) BB'!$A$5:$X$191</definedName>
    <definedName name="_xlnm._FilterDatabase" localSheetId="75" hidden="1">'LOI-716 (SAUDI) BB (2)'!$A$1:$V$16</definedName>
    <definedName name="_xlnm._FilterDatabase" localSheetId="76" hidden="1">'LOI-749 (BANGLADESH) BB '!$A$1:$V$9</definedName>
    <definedName name="_xlnm._FilterDatabase" localSheetId="77" hidden="1">'LOI-764 (GEORGIA) BB'!$A$1:$V$20</definedName>
    <definedName name="_xlnm._FilterDatabase" localSheetId="78" hidden="1">'LOI-765 (MEXICO) BB'!$A$1:$V$17</definedName>
    <definedName name="_xlnm._FilterDatabase" localSheetId="79" hidden="1">'LOI-832(PG ) BB '!$A$5:$AB$16</definedName>
    <definedName name="_xlnm._FilterDatabase" localSheetId="80" hidden="1">'LOI-833 (MALAYSIA &amp;PUERTO) BB'!$A$1:$V$8</definedName>
    <definedName name="_xlnm._FilterDatabase" localSheetId="81" hidden="1">'LOI-896 (MALAYSIA &amp;BANGLADESH)'!$A$1:$V$11</definedName>
    <definedName name="_xlnm._FilterDatabase" localSheetId="82" hidden="1">'LOI-897 (ZILLINKIS)'!$A$1:$V$8</definedName>
    <definedName name="_xlnm._FilterDatabase" localSheetId="83" hidden="1">'LOI-972 (MOLDOVA)'!$A$1:$V$15</definedName>
    <definedName name="_xlnm._FilterDatabase" localSheetId="84" hidden="1">'LOI-975(PG ) BB  '!$A$5:$AB$9</definedName>
    <definedName name="_xlnm.Print_Area" localSheetId="85">'LOI-1006 (MOLDOVA)'!$A$1:$V$8</definedName>
    <definedName name="_xlnm.Print_Area" localSheetId="86">'LOI-1022(PG ) BB '!$A$190:$V$222</definedName>
    <definedName name="_xlnm.Print_Area" localSheetId="0">'LOI-1030(STERLITE) BB   (2)'!$A$1:$V$5</definedName>
    <definedName name="_xlnm.Print_Area" localSheetId="87">'LOI-1044 (Malaysia)BB '!$A$1:$V$8</definedName>
    <definedName name="_xlnm.Print_Area" localSheetId="88">'LOI-1045 (ZILLINSKIS) BB'!$A$1:$V$21</definedName>
    <definedName name="_xlnm.Print_Area" localSheetId="89">'LOI-1046 (SAUDI) BB'!$A$1:$V$8</definedName>
    <definedName name="_xlnm.Print_Area" localSheetId="90">'LOI-1047(KUDUS) BB'!$A$1:$V$40</definedName>
    <definedName name="_xlnm.Print_Area" localSheetId="91">'LOI-1048 (SAUDI) BB '!$A$1:$V$140</definedName>
    <definedName name="_xlnm.Print_Area" localSheetId="92">'LOI-1049 (SAUDI) BB'!$A$1:$V$120</definedName>
    <definedName name="_xlnm.Print_Area" localSheetId="93">'LOI-1131 (GEORGIA) BB'!$A$1:$V$188</definedName>
    <definedName name="_xlnm.Print_Area" localSheetId="94">'LOI-1132 (Oman) BB '!$A$1:$V$5</definedName>
    <definedName name="_xlnm.Print_Area" localSheetId="95">'LOI-1133 (ZILLINSKIS) BB '!$A$1:$V$7</definedName>
    <definedName name="_xlnm.Print_Area" localSheetId="96">'LOI-1190 (Georgia) BB'!$A$1:$V$7</definedName>
    <definedName name="_xlnm.Print_Area" localSheetId="97">'LOI-1191 (ZILLINSKIS) BB '!$A$1:$V$7</definedName>
    <definedName name="_xlnm.Print_Area" localSheetId="10">'LOI-12(OMAN) BB  '!$A$1:$S$242</definedName>
    <definedName name="_xlnm.Print_Area" localSheetId="14">'LOI-122(BANGLADESH) BB'!$A$1:$V$190</definedName>
    <definedName name="_xlnm.Print_Area" localSheetId="11">'LOI-13(SAUDI) BB'!$A$1:$S$131</definedName>
    <definedName name="_xlnm.Print_Area" localSheetId="98">'LOI-1331(KPTCL) BB '!$A$1:$V$5</definedName>
    <definedName name="_xlnm.Print_Area" localSheetId="99">'LOI-1332(PG) BB'!$A$1:$V$5</definedName>
    <definedName name="_xlnm.Print_Area" localSheetId="100">'LOI-1333 (SAUDI) BB'!$A$1:$V$29</definedName>
    <definedName name="_xlnm.Print_Area" localSheetId="101">'LOI-1334 (ZILLINSKIS) BB'!$A$1:$V$8</definedName>
    <definedName name="_xlnm.Print_Area" localSheetId="102">'LOI-1356 (GEORGIA) BB  '!$A$1:$W$35</definedName>
    <definedName name="_xlnm.Print_Area" localSheetId="103">'LOI-1357 (MALAYSIA) BB'!$A$1:$V$7</definedName>
    <definedName name="_xlnm.Print_Area" localSheetId="104">'LOI-1358 (SAUDI) BB'!$A$1:$V$7</definedName>
    <definedName name="_xlnm.Print_Area" localSheetId="15">'LOI-138(MOLDOVA) BB'!$A$1:$V$151</definedName>
    <definedName name="_xlnm.Print_Area" localSheetId="105">'LOI-1395 (INDIGRID ADANI KU) BB'!$A$1:$V$7</definedName>
    <definedName name="_xlnm.Print_Area" localSheetId="106">'LOI-1396 (AUSNET) BB'!$A$1:$V$7</definedName>
    <definedName name="_xlnm.Print_Area" localSheetId="107">'LOI-1397 (MAMAYSIA) BB'!$A$1:$V$7</definedName>
    <definedName name="_xlnm.Print_Area" localSheetId="109">'LOI-1439  (PERU)BB'!$A$1:$V$5</definedName>
    <definedName name="_xlnm.Print_Area" localSheetId="108">'LOI-1439 Inch SECT (SUNZIA) BB '!$A$1:$V$5</definedName>
    <definedName name="_xlnm.Print_Area" localSheetId="16">'LOI-180(ESSEL) BB'!$A$1:$V$27</definedName>
    <definedName name="_xlnm.Print_Area" localSheetId="3">'LOI-2021(OMAN) BB  (2)'!$A$1:$V$168</definedName>
    <definedName name="_xlnm.Print_Area" localSheetId="5">'LOI-2022(SAUDI) BB '!$A$1:$S$93</definedName>
    <definedName name="_xlnm.Print_Area" localSheetId="17">'LOI-214(SAUDI) BB '!$A$1:$V$17</definedName>
    <definedName name="_xlnm.Print_Area" localSheetId="18">'LOI-215(STERLITE) BB '!$A$1:$V$135</definedName>
    <definedName name="_xlnm.Print_Area" localSheetId="19">'LOI-216(BANGLADESH) BB'!$A$1:$V$13</definedName>
    <definedName name="_xlnm.Print_Area" localSheetId="20">'LOI-217(MEXICO) BB'!$A$1:$V$8</definedName>
    <definedName name="_xlnm.Print_Area" localSheetId="21">'LOI-218(STERLITE) BB  '!$A$1:$V$29</definedName>
    <definedName name="_xlnm.Print_Area" localSheetId="22">'LOI-267(MOLDOVA) BB'!$A$1:$V$52</definedName>
    <definedName name="_xlnm.Print_Area" localSheetId="23">'LOI-336(ESSEL) BB'!$A$1:$V$132</definedName>
    <definedName name="_xlnm.Print_Area" localSheetId="24">'LOI-337 (MOLDOVA) BB '!$A$1:$V$350</definedName>
    <definedName name="_xlnm.Print_Area" localSheetId="25">'LOI-338 (MOLDOVA) '!$A$1:$V$24</definedName>
    <definedName name="_xlnm.Print_Area" localSheetId="26">'LOI-405 (FAB REJ EMIR )'!$A$1:$V$10</definedName>
    <definedName name="_xlnm.Print_Area" localSheetId="27">'LOI-416(MEXICO) BB'!$A$1:$V$78</definedName>
    <definedName name="_xlnm.Print_Area" localSheetId="28">'LOI-419(ESSEL) BB '!$A$1:$V$10</definedName>
    <definedName name="_xlnm.Print_Area" localSheetId="29">'LOI-420(PG) BB '!$A$1:$V$13</definedName>
    <definedName name="_xlnm.Print_Area" localSheetId="30">'LOI-421(PG) BB'!$A$1:$V$47</definedName>
    <definedName name="_xlnm.Print_Area" localSheetId="31">'LOI-428(PG) BB '!$A$1:$V$44</definedName>
    <definedName name="_xlnm.Print_Area" localSheetId="32">'LOI-429(PG) BB '!$A$1:$V$13</definedName>
    <definedName name="_xlnm.Print_Area" localSheetId="33">'LOI-430(BANGLADESH) BB'!$A$1:$V$35</definedName>
    <definedName name="_xlnm.Print_Area" localSheetId="34">'LOI-431(ESSEL) BB'!$A$1:$V$25</definedName>
    <definedName name="_xlnm.Print_Area" localSheetId="35">'LOI-432(MOROCCO) BB'!$A$1:$V$17</definedName>
    <definedName name="_xlnm.Print_Area" localSheetId="36">'LOI-433(SAUDI) BB'!$A$1:$V$82</definedName>
    <definedName name="_xlnm.Print_Area" localSheetId="37">'LOI-436(BANGLADESH) BB '!$A$1:$V$36</definedName>
    <definedName name="_xlnm.Print_Area" localSheetId="38">'LOI-437(ESSEL) BB '!$A$1:$V$20</definedName>
    <definedName name="_xlnm.Print_Area" localSheetId="39">'LOI-438(SAUDI) BB (2)'!$A$1:$V$10</definedName>
    <definedName name="_xlnm.Print_Area" localSheetId="40">'LOI-442(ESSEL) BB'!$A$1:$V$16</definedName>
    <definedName name="_xlnm.Print_Area" localSheetId="41">'LOI-443(MOROCCO) BB '!$A$1:$V$14</definedName>
    <definedName name="_xlnm.Print_Area" localSheetId="42">'LOI-444(GEORGIA) BB'!$A$1:$V$75</definedName>
    <definedName name="_xlnm.Print_Area" localSheetId="43">'LOI-445(PG) BB'!$A$1:$V$23</definedName>
    <definedName name="_xlnm.Print_Area" localSheetId="44">'LOI-493(BANGLADESH) BB'!$A$1:$V$12</definedName>
    <definedName name="_xlnm.Print_Area" localSheetId="45">'LOI-494(BANGLADESH) BB'!$A$1:$V$91</definedName>
    <definedName name="_xlnm.Print_Area" localSheetId="46">'LOI-495(BANGLADESH) BB'!$A$1:$V$183</definedName>
    <definedName name="_xlnm.Print_Area" localSheetId="47">'LOI-496(ESSEL) BB '!$A$1:$V$33</definedName>
    <definedName name="_xlnm.Print_Area" localSheetId="48">'LOI-497(GEORGIA) BB '!$A$1:$V$197</definedName>
    <definedName name="_xlnm.Print_Area" localSheetId="49">'LOI-498(GEORGIA) BB'!$A$1:$V$182</definedName>
    <definedName name="_xlnm.Print_Area" localSheetId="50">'LOI-499(MOLDOVE) BB'!$A$1:$V$8</definedName>
    <definedName name="_xlnm.Print_Area" localSheetId="51">'LOI-500(MOROCCO) BB'!$A$1:$V$17</definedName>
    <definedName name="_xlnm.Print_Area" localSheetId="52">'LOI-501(SAUDI) BB'!$A$1:$V$140</definedName>
    <definedName name="_xlnm.Print_Area" localSheetId="53">'LOI-563(PG) BB '!$A$1:$V$27</definedName>
    <definedName name="_xlnm.Print_Area" localSheetId="54">'LOI-564(INDIGRID) BB '!$A$1:$V$8</definedName>
    <definedName name="_xlnm.Print_Area" localSheetId="55">'LOI-565(MOLDOVE) BB'!$A$1:$V$6</definedName>
    <definedName name="_xlnm.Print_Area" localSheetId="56">'LOI-566(MOROCCO) BB'!$A$1:$V$8</definedName>
    <definedName name="_xlnm.Print_Area" localSheetId="57">'LOI-567(SAUDI) BB'!$A$1:$V$19</definedName>
    <definedName name="_xlnm.Print_Area" localSheetId="58">'LOI-568(PG) BB'!$A$1:$V$9</definedName>
    <definedName name="_xlnm.Print_Area" localSheetId="67">'LOI-612 (GR INFRA) BB  '!$A$1:$V$6</definedName>
    <definedName name="_xlnm.Print_Area" localSheetId="59">'LOI-612(GR INFRA) BB'!$A$1:$V$8</definedName>
    <definedName name="_xlnm.Print_Area" localSheetId="60">'LOI-613(PG ) BB'!$A$1:$V$11</definedName>
    <definedName name="_xlnm.Print_Area" localSheetId="61">'LOI-614(PG hold) BB  (2)'!$A$1:$V$18</definedName>
    <definedName name="_xlnm.Print_Area" localSheetId="62">'LOI-614(PG shift to jabalp) BB '!$A$1:$V$18</definedName>
    <definedName name="_xlnm.Print_Area" localSheetId="63">'LOI-619 (Zellinskis) BB'!$A$1:$V$8</definedName>
    <definedName name="_xlnm.Print_Area" localSheetId="64">'LOI-642 (Zellinskis) BB (2)'!$A$1:$V$8</definedName>
    <definedName name="_xlnm.Print_Area" localSheetId="65">'LOI-643 (Zellinskis) BB '!$A$1:$V$75</definedName>
    <definedName name="_xlnm.Print_Area" localSheetId="66">'LOI-645 (Zellinskis) BB  (2)'!$A$1:$V$55</definedName>
    <definedName name="_xlnm.Print_Area" localSheetId="68">'LOI-709 (MEXICO) BB'!$A$1:$V$6</definedName>
    <definedName name="_xlnm.Print_Area" localSheetId="69">'LOI-710 (MEXICO) BB'!$A$1:$V$6</definedName>
    <definedName name="_xlnm.Print_Area" localSheetId="70">'LOI-711 (GEORGIA) BB'!$A$1:$V$11</definedName>
    <definedName name="_xlnm.Print_Area" localSheetId="71">'LOI-712 (MEXICO) BB'!$A$1:$V$16</definedName>
    <definedName name="_xlnm.Print_Area" localSheetId="72">'LOI-713 (SAUDI) BB (2)'!$A$1:$V$11</definedName>
    <definedName name="_xlnm.Print_Area" localSheetId="73">'LOI-714 (MEXICO) BB (2)'!$A$1:$V$19</definedName>
    <definedName name="_xlnm.Print_Area" localSheetId="74">'LOI-715 (OMAN) BB'!$A$1:$V$200</definedName>
    <definedName name="_xlnm.Print_Area" localSheetId="75">'LOI-716 (SAUDI) BB (2)'!$A$1:$V$14</definedName>
    <definedName name="_xlnm.Print_Area" localSheetId="76">'LOI-749 (BANGLADESH) BB '!$A$1:$V$9</definedName>
    <definedName name="_xlnm.Print_Area" localSheetId="77">'LOI-764 (GEORGIA) BB'!$A$1:$V$20</definedName>
    <definedName name="_xlnm.Print_Area" localSheetId="78">'LOI-765 (MEXICO) BB'!$A$1:$V$16</definedName>
    <definedName name="_xlnm.Print_Area" localSheetId="79">'LOI-832(PG ) BB '!$A$1:$V$5</definedName>
    <definedName name="_xlnm.Print_Area" localSheetId="80">'LOI-833 (MALAYSIA &amp;PUERTO) BB'!$A$1:$V$8</definedName>
    <definedName name="_xlnm.Print_Area" localSheetId="81">'LOI-896 (MALAYSIA &amp;BANGLADESH)'!$A$1:$V$11</definedName>
    <definedName name="_xlnm.Print_Area" localSheetId="82">'LOI-897 (ZILLINKIS)'!$A$1:$V$8</definedName>
    <definedName name="_xlnm.Print_Area" localSheetId="83">'LOI-972 (MOLDOVA)'!$A$1:$V$15</definedName>
    <definedName name="_xlnm.Print_Area" localSheetId="84">'LOI-975(PG ) BB  '!$A$1:$V$5</definedName>
    <definedName name="_xlnm.Print_Area" localSheetId="4">'TRAD.73~30625(OMAN) BB '!$A$1:$S$12</definedName>
    <definedName name="_xlnm.Print_Area" localSheetId="6">'TRAD.73~30628(SAUDI) BB'!$A$1:$S$22</definedName>
  </definedNames>
  <calcPr calcId="124519"/>
</workbook>
</file>

<file path=xl/calcChain.xml><?xml version="1.0" encoding="utf-8"?>
<calcChain xmlns="http://schemas.openxmlformats.org/spreadsheetml/2006/main">
  <c r="V15" i="122"/>
  <c r="U15"/>
  <c r="T15"/>
  <c r="S15"/>
  <c r="R15"/>
  <c r="Q15"/>
  <c r="O15"/>
  <c r="N15"/>
  <c r="L15"/>
  <c r="K15"/>
  <c r="I15"/>
  <c r="H15"/>
  <c r="F15"/>
  <c r="E15"/>
  <c r="Q11"/>
  <c r="N11"/>
  <c r="K11"/>
  <c r="H11"/>
  <c r="E11"/>
  <c r="S10"/>
  <c r="U10" s="1"/>
  <c r="R10"/>
  <c r="O10"/>
  <c r="L10"/>
  <c r="I10"/>
  <c r="F10"/>
  <c r="S9"/>
  <c r="S11" s="1"/>
  <c r="R9"/>
  <c r="R11" s="1"/>
  <c r="O9"/>
  <c r="O11" s="1"/>
  <c r="L9"/>
  <c r="L11" s="1"/>
  <c r="I9"/>
  <c r="I11" s="1"/>
  <c r="F9"/>
  <c r="F11" s="1"/>
  <c r="Q14"/>
  <c r="N14"/>
  <c r="K14"/>
  <c r="H14"/>
  <c r="E14"/>
  <c r="S13"/>
  <c r="U13" s="1"/>
  <c r="R13"/>
  <c r="O13"/>
  <c r="L13"/>
  <c r="I13"/>
  <c r="F13"/>
  <c r="S12"/>
  <c r="S14" s="1"/>
  <c r="R12"/>
  <c r="R14" s="1"/>
  <c r="O12"/>
  <c r="O14" s="1"/>
  <c r="L12"/>
  <c r="L14" s="1"/>
  <c r="I12"/>
  <c r="I14" s="1"/>
  <c r="F12"/>
  <c r="F14" s="1"/>
  <c r="Q8"/>
  <c r="N8"/>
  <c r="K8"/>
  <c r="H8"/>
  <c r="E8"/>
  <c r="S7"/>
  <c r="U7" s="1"/>
  <c r="R7"/>
  <c r="O7"/>
  <c r="L7"/>
  <c r="I7"/>
  <c r="F7"/>
  <c r="S6"/>
  <c r="R6"/>
  <c r="O6"/>
  <c r="L6"/>
  <c r="I6"/>
  <c r="F6"/>
  <c r="S3"/>
  <c r="U3" s="1"/>
  <c r="R3"/>
  <c r="O3"/>
  <c r="L3"/>
  <c r="I3"/>
  <c r="F3"/>
  <c r="P1"/>
  <c r="U2" s="1"/>
  <c r="C1"/>
  <c r="Q13" i="107"/>
  <c r="N13"/>
  <c r="K13"/>
  <c r="H13"/>
  <c r="E13"/>
  <c r="S12"/>
  <c r="S13" s="1"/>
  <c r="R12"/>
  <c r="R13" s="1"/>
  <c r="O12"/>
  <c r="O13" s="1"/>
  <c r="L12"/>
  <c r="L13" s="1"/>
  <c r="I12"/>
  <c r="I13" s="1"/>
  <c r="F12"/>
  <c r="F13" s="1"/>
  <c r="S41" i="73"/>
  <c r="U41" s="1"/>
  <c r="R41"/>
  <c r="O41"/>
  <c r="L41"/>
  <c r="I41"/>
  <c r="F41"/>
  <c r="R40"/>
  <c r="O40"/>
  <c r="S40"/>
  <c r="U40" s="1"/>
  <c r="I40"/>
  <c r="F40"/>
  <c r="S39"/>
  <c r="U39" s="1"/>
  <c r="R39"/>
  <c r="O39"/>
  <c r="L39"/>
  <c r="I39"/>
  <c r="T39" s="1"/>
  <c r="F39"/>
  <c r="R38"/>
  <c r="N38"/>
  <c r="O38" s="1"/>
  <c r="K38"/>
  <c r="S38" s="1"/>
  <c r="U38" s="1"/>
  <c r="I38"/>
  <c r="F38"/>
  <c r="T3" i="122" l="1"/>
  <c r="T13"/>
  <c r="V13" s="1"/>
  <c r="T10"/>
  <c r="V10" s="1"/>
  <c r="T7"/>
  <c r="T6"/>
  <c r="V6" s="1"/>
  <c r="T9"/>
  <c r="U9"/>
  <c r="U11" s="1"/>
  <c r="U12"/>
  <c r="U14" s="1"/>
  <c r="T12"/>
  <c r="V3"/>
  <c r="F8"/>
  <c r="I8"/>
  <c r="L8"/>
  <c r="O8"/>
  <c r="R8"/>
  <c r="U6"/>
  <c r="S8"/>
  <c r="U12" i="107"/>
  <c r="U13" s="1"/>
  <c r="T12"/>
  <c r="T13" s="1"/>
  <c r="T41" i="73"/>
  <c r="V41" s="1"/>
  <c r="V38"/>
  <c r="V39"/>
  <c r="L38"/>
  <c r="T38" s="1"/>
  <c r="L40"/>
  <c r="T40" s="1"/>
  <c r="V40" s="1"/>
  <c r="T14" i="122" l="1"/>
  <c r="T8"/>
  <c r="T11"/>
  <c r="V7"/>
  <c r="V9"/>
  <c r="V11" s="1"/>
  <c r="V8"/>
  <c r="V12"/>
  <c r="V14" s="1"/>
  <c r="U8"/>
  <c r="V12" i="107"/>
  <c r="V13" s="1"/>
  <c r="S52" i="74"/>
  <c r="U52" s="1"/>
  <c r="R52"/>
  <c r="O52"/>
  <c r="L52"/>
  <c r="I52"/>
  <c r="T52" s="1"/>
  <c r="F52"/>
  <c r="R26" i="73"/>
  <c r="Q26"/>
  <c r="Q18"/>
  <c r="R24"/>
  <c r="S24"/>
  <c r="U24" s="1"/>
  <c r="L24"/>
  <c r="I24"/>
  <c r="F24"/>
  <c r="R23"/>
  <c r="S23"/>
  <c r="U23" s="1"/>
  <c r="L23"/>
  <c r="I23"/>
  <c r="F23"/>
  <c r="R22"/>
  <c r="S22"/>
  <c r="U22" s="1"/>
  <c r="L22"/>
  <c r="I22"/>
  <c r="F22"/>
  <c r="R21"/>
  <c r="S21"/>
  <c r="U21" s="1"/>
  <c r="L21"/>
  <c r="I21"/>
  <c r="F21"/>
  <c r="R20"/>
  <c r="S20"/>
  <c r="U20" s="1"/>
  <c r="L20"/>
  <c r="I20"/>
  <c r="F20"/>
  <c r="R19"/>
  <c r="S19"/>
  <c r="U19" s="1"/>
  <c r="L19"/>
  <c r="I19"/>
  <c r="F19"/>
  <c r="R18"/>
  <c r="N18"/>
  <c r="S18" s="1"/>
  <c r="U18" s="1"/>
  <c r="L18"/>
  <c r="I18"/>
  <c r="F18"/>
  <c r="N15"/>
  <c r="V52" i="74" l="1"/>
  <c r="O18" i="73"/>
  <c r="T18" s="1"/>
  <c r="V18" s="1"/>
  <c r="O19"/>
  <c r="T19" s="1"/>
  <c r="V19" s="1"/>
  <c r="O20"/>
  <c r="T20" s="1"/>
  <c r="V20" s="1"/>
  <c r="O21"/>
  <c r="T21" s="1"/>
  <c r="V21" s="1"/>
  <c r="O22"/>
  <c r="T22" s="1"/>
  <c r="V22" s="1"/>
  <c r="O23"/>
  <c r="T23" s="1"/>
  <c r="V23" s="1"/>
  <c r="O24"/>
  <c r="T24" s="1"/>
  <c r="V24" s="1"/>
  <c r="S29" i="118" l="1"/>
  <c r="U29" s="1"/>
  <c r="R29"/>
  <c r="O29"/>
  <c r="L29"/>
  <c r="T29" s="1"/>
  <c r="I29"/>
  <c r="F29"/>
  <c r="V29" s="1"/>
  <c r="S54" i="73"/>
  <c r="U54" s="1"/>
  <c r="R54"/>
  <c r="O54"/>
  <c r="L54"/>
  <c r="I54"/>
  <c r="F54"/>
  <c r="S53"/>
  <c r="U53" s="1"/>
  <c r="R53"/>
  <c r="O53"/>
  <c r="L53"/>
  <c r="T53" s="1"/>
  <c r="I53"/>
  <c r="F53"/>
  <c r="V53" s="1"/>
  <c r="Q24" i="114"/>
  <c r="N24"/>
  <c r="K24"/>
  <c r="H24"/>
  <c r="E24"/>
  <c r="S23"/>
  <c r="U23" s="1"/>
  <c r="U24" s="1"/>
  <c r="R23"/>
  <c r="R24" s="1"/>
  <c r="O23"/>
  <c r="O24" s="1"/>
  <c r="L23"/>
  <c r="L24" s="1"/>
  <c r="I23"/>
  <c r="F23"/>
  <c r="Q21"/>
  <c r="N21"/>
  <c r="K21"/>
  <c r="H21"/>
  <c r="E21"/>
  <c r="S20"/>
  <c r="U20" s="1"/>
  <c r="U21" s="1"/>
  <c r="R20"/>
  <c r="R21" s="1"/>
  <c r="O20"/>
  <c r="O21" s="1"/>
  <c r="L20"/>
  <c r="L21" s="1"/>
  <c r="I20"/>
  <c r="F20"/>
  <c r="Q18"/>
  <c r="N18"/>
  <c r="K18"/>
  <c r="H18"/>
  <c r="E18"/>
  <c r="S17"/>
  <c r="U17" s="1"/>
  <c r="U18" s="1"/>
  <c r="R17"/>
  <c r="R18" s="1"/>
  <c r="O17"/>
  <c r="O18" s="1"/>
  <c r="L17"/>
  <c r="L18" s="1"/>
  <c r="I17"/>
  <c r="F17"/>
  <c r="Q8"/>
  <c r="N8"/>
  <c r="K8"/>
  <c r="H8"/>
  <c r="E8"/>
  <c r="S7"/>
  <c r="U7" s="1"/>
  <c r="U8" s="1"/>
  <c r="R7"/>
  <c r="R8" s="1"/>
  <c r="O7"/>
  <c r="O8" s="1"/>
  <c r="L7"/>
  <c r="I7"/>
  <c r="I8" s="1"/>
  <c r="F7"/>
  <c r="T54" i="73" l="1"/>
  <c r="V54" s="1"/>
  <c r="S24" i="114"/>
  <c r="T23"/>
  <c r="T24" s="1"/>
  <c r="F24"/>
  <c r="I24"/>
  <c r="S21"/>
  <c r="T20"/>
  <c r="T21" s="1"/>
  <c r="F21"/>
  <c r="I21"/>
  <c r="S18"/>
  <c r="T17"/>
  <c r="T18" s="1"/>
  <c r="F18"/>
  <c r="I18"/>
  <c r="S8"/>
  <c r="T7"/>
  <c r="T8" s="1"/>
  <c r="F8"/>
  <c r="L8"/>
  <c r="V23" l="1"/>
  <c r="V24" s="1"/>
  <c r="V20"/>
  <c r="V21" s="1"/>
  <c r="V17"/>
  <c r="V18" s="1"/>
  <c r="V7"/>
  <c r="V8" s="1"/>
  <c r="K39" i="74" l="1"/>
  <c r="S39" l="1"/>
  <c r="H131" i="105" l="1"/>
  <c r="K16" i="73"/>
  <c r="K14"/>
  <c r="Q173" i="105"/>
  <c r="N173"/>
  <c r="K173"/>
  <c r="H173"/>
  <c r="E173"/>
  <c r="S171"/>
  <c r="U171" s="1"/>
  <c r="R171"/>
  <c r="O171"/>
  <c r="L171"/>
  <c r="I171"/>
  <c r="T171" s="1"/>
  <c r="F171"/>
  <c r="V171" s="1"/>
  <c r="S69"/>
  <c r="U69" s="1"/>
  <c r="R69"/>
  <c r="O69"/>
  <c r="L69"/>
  <c r="I69"/>
  <c r="F69"/>
  <c r="S68"/>
  <c r="U68" s="1"/>
  <c r="R68"/>
  <c r="O68"/>
  <c r="L68"/>
  <c r="T68" s="1"/>
  <c r="I68"/>
  <c r="F68"/>
  <c r="V68" s="1"/>
  <c r="S67"/>
  <c r="U67" s="1"/>
  <c r="R67"/>
  <c r="O67"/>
  <c r="L67"/>
  <c r="I67"/>
  <c r="F67"/>
  <c r="S66"/>
  <c r="U66" s="1"/>
  <c r="R66"/>
  <c r="O66"/>
  <c r="L66"/>
  <c r="T66" s="1"/>
  <c r="I66"/>
  <c r="F66"/>
  <c r="V66" s="1"/>
  <c r="V54"/>
  <c r="U54"/>
  <c r="T54"/>
  <c r="S54"/>
  <c r="R54"/>
  <c r="Q54"/>
  <c r="O54"/>
  <c r="N54"/>
  <c r="L54"/>
  <c r="K54"/>
  <c r="I54"/>
  <c r="H54"/>
  <c r="E54"/>
  <c r="F54"/>
  <c r="S53"/>
  <c r="U53" s="1"/>
  <c r="R53"/>
  <c r="O53"/>
  <c r="L53"/>
  <c r="T53" s="1"/>
  <c r="I53"/>
  <c r="F53"/>
  <c r="V53" s="1"/>
  <c r="K29" i="74"/>
  <c r="K28"/>
  <c r="H22"/>
  <c r="N36" i="73"/>
  <c r="K36"/>
  <c r="K34"/>
  <c r="K33"/>
  <c r="K32"/>
  <c r="T69" i="105" l="1"/>
  <c r="V69" s="1"/>
  <c r="T67"/>
  <c r="V67"/>
  <c r="N29" i="73"/>
  <c r="V46" i="116"/>
  <c r="U46"/>
  <c r="T46"/>
  <c r="S46"/>
  <c r="R46"/>
  <c r="Q46"/>
  <c r="O46"/>
  <c r="N46"/>
  <c r="L46"/>
  <c r="K46"/>
  <c r="I46"/>
  <c r="H46"/>
  <c r="E46"/>
  <c r="F46"/>
  <c r="S45"/>
  <c r="U45" s="1"/>
  <c r="R45"/>
  <c r="O45"/>
  <c r="L45"/>
  <c r="I45"/>
  <c r="F45"/>
  <c r="S44"/>
  <c r="U44" s="1"/>
  <c r="R44"/>
  <c r="O44"/>
  <c r="L44"/>
  <c r="T44" s="1"/>
  <c r="I44"/>
  <c r="F44"/>
  <c r="V44" l="1"/>
  <c r="V45"/>
  <c r="T45"/>
  <c r="U21" i="102" l="1"/>
  <c r="S21"/>
  <c r="R21"/>
  <c r="Q21"/>
  <c r="O21"/>
  <c r="N21"/>
  <c r="L21"/>
  <c r="K21"/>
  <c r="H21"/>
  <c r="E21"/>
  <c r="F21"/>
  <c r="S20"/>
  <c r="U20" s="1"/>
  <c r="R20"/>
  <c r="O20"/>
  <c r="L20"/>
  <c r="I20"/>
  <c r="T20" s="1"/>
  <c r="T21" s="1"/>
  <c r="F20"/>
  <c r="Q18"/>
  <c r="N18"/>
  <c r="K18"/>
  <c r="H18"/>
  <c r="E18"/>
  <c r="S17"/>
  <c r="U17" s="1"/>
  <c r="R17"/>
  <c r="O17"/>
  <c r="L17"/>
  <c r="I17"/>
  <c r="F17"/>
  <c r="Q13" i="114"/>
  <c r="N13"/>
  <c r="K13"/>
  <c r="H13"/>
  <c r="E13"/>
  <c r="S12"/>
  <c r="U12" s="1"/>
  <c r="R12"/>
  <c r="O12"/>
  <c r="L12"/>
  <c r="I12"/>
  <c r="F12"/>
  <c r="Q152" i="105"/>
  <c r="N152"/>
  <c r="K152"/>
  <c r="H152"/>
  <c r="E152"/>
  <c r="S151"/>
  <c r="U151" s="1"/>
  <c r="R151"/>
  <c r="O151"/>
  <c r="L151"/>
  <c r="I151"/>
  <c r="F151"/>
  <c r="S150"/>
  <c r="U150" s="1"/>
  <c r="R150"/>
  <c r="O150"/>
  <c r="L150"/>
  <c r="I150"/>
  <c r="F150"/>
  <c r="S149"/>
  <c r="U149" s="1"/>
  <c r="R149"/>
  <c r="O149"/>
  <c r="L149"/>
  <c r="I149"/>
  <c r="F149"/>
  <c r="S95"/>
  <c r="U95" s="1"/>
  <c r="R95"/>
  <c r="O95"/>
  <c r="L95"/>
  <c r="I95"/>
  <c r="F95"/>
  <c r="S94"/>
  <c r="U94" s="1"/>
  <c r="R94"/>
  <c r="O94"/>
  <c r="L94"/>
  <c r="I94"/>
  <c r="T94" s="1"/>
  <c r="F94"/>
  <c r="S93"/>
  <c r="U93" s="1"/>
  <c r="R93"/>
  <c r="O93"/>
  <c r="L93"/>
  <c r="I93"/>
  <c r="T93" s="1"/>
  <c r="F93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T90" s="1"/>
  <c r="F90"/>
  <c r="S89"/>
  <c r="U89" s="1"/>
  <c r="R89"/>
  <c r="O89"/>
  <c r="L89"/>
  <c r="I89"/>
  <c r="T89" s="1"/>
  <c r="F89"/>
  <c r="S88"/>
  <c r="U88" s="1"/>
  <c r="R88"/>
  <c r="O88"/>
  <c r="L88"/>
  <c r="I88"/>
  <c r="T88" s="1"/>
  <c r="F88"/>
  <c r="S87"/>
  <c r="U87" s="1"/>
  <c r="R87"/>
  <c r="O87"/>
  <c r="L87"/>
  <c r="I87"/>
  <c r="F87"/>
  <c r="S86"/>
  <c r="U86" s="1"/>
  <c r="R86"/>
  <c r="O86"/>
  <c r="L86"/>
  <c r="I86"/>
  <c r="T86" s="1"/>
  <c r="F86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I21" i="102" l="1"/>
  <c r="V20"/>
  <c r="V21" s="1"/>
  <c r="T47" i="105"/>
  <c r="V47" s="1"/>
  <c r="T49"/>
  <c r="V49" s="1"/>
  <c r="T150"/>
  <c r="V150" s="1"/>
  <c r="T12" i="114"/>
  <c r="V12" s="1"/>
  <c r="T17" i="102"/>
  <c r="V17" s="1"/>
  <c r="T149" i="105"/>
  <c r="V149" s="1"/>
  <c r="T151"/>
  <c r="V151" s="1"/>
  <c r="T95"/>
  <c r="T92"/>
  <c r="T91"/>
  <c r="V91" s="1"/>
  <c r="T87"/>
  <c r="V86"/>
  <c r="V87"/>
  <c r="V88"/>
  <c r="V89"/>
  <c r="V90"/>
  <c r="V92"/>
  <c r="V93"/>
  <c r="V94"/>
  <c r="V95"/>
  <c r="T48"/>
  <c r="T46"/>
  <c r="V46" s="1"/>
  <c r="T45"/>
  <c r="V45" s="1"/>
  <c r="V48"/>
  <c r="Q98" i="83" l="1"/>
  <c r="N98"/>
  <c r="K98"/>
  <c r="H98"/>
  <c r="E98"/>
  <c r="S97"/>
  <c r="U97" s="1"/>
  <c r="R97"/>
  <c r="O97"/>
  <c r="L97"/>
  <c r="I97"/>
  <c r="F97"/>
  <c r="S148"/>
  <c r="U148" s="1"/>
  <c r="R148"/>
  <c r="O148"/>
  <c r="L148"/>
  <c r="I148"/>
  <c r="T148" s="1"/>
  <c r="F148"/>
  <c r="S73"/>
  <c r="U73" s="1"/>
  <c r="R73"/>
  <c r="O73"/>
  <c r="L73"/>
  <c r="K74"/>
  <c r="H74"/>
  <c r="E74"/>
  <c r="F73"/>
  <c r="E165" i="96"/>
  <c r="S163"/>
  <c r="U163" s="1"/>
  <c r="R163"/>
  <c r="O163"/>
  <c r="L163"/>
  <c r="I163"/>
  <c r="T163" s="1"/>
  <c r="F163"/>
  <c r="H166" i="105"/>
  <c r="T73" i="83" l="1"/>
  <c r="V73" s="1"/>
  <c r="V148"/>
  <c r="T97"/>
  <c r="V163" i="96"/>
  <c r="V97" i="83" l="1"/>
  <c r="Q11" i="120" l="1"/>
  <c r="Q12" s="1"/>
  <c r="N11"/>
  <c r="K11"/>
  <c r="K12" s="1"/>
  <c r="H11"/>
  <c r="H12" s="1"/>
  <c r="E11"/>
  <c r="E12" s="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S11" s="1"/>
  <c r="R6"/>
  <c r="R11" s="1"/>
  <c r="O6"/>
  <c r="O11" s="1"/>
  <c r="L6"/>
  <c r="L11" s="1"/>
  <c r="I6"/>
  <c r="I11" s="1"/>
  <c r="F6"/>
  <c r="F11" s="1"/>
  <c r="N12"/>
  <c r="S3"/>
  <c r="U3" s="1"/>
  <c r="R3"/>
  <c r="O3"/>
  <c r="L3"/>
  <c r="I3"/>
  <c r="F3"/>
  <c r="P1"/>
  <c r="U2" s="1"/>
  <c r="C1"/>
  <c r="Q85" i="119"/>
  <c r="N85"/>
  <c r="K85"/>
  <c r="H85"/>
  <c r="E85"/>
  <c r="S84"/>
  <c r="U84" s="1"/>
  <c r="R84"/>
  <c r="O84"/>
  <c r="L84"/>
  <c r="I84"/>
  <c r="T84" s="1"/>
  <c r="F84"/>
  <c r="S83"/>
  <c r="U83" s="1"/>
  <c r="R83"/>
  <c r="O83"/>
  <c r="L83"/>
  <c r="I83"/>
  <c r="F83"/>
  <c r="S82"/>
  <c r="U82" s="1"/>
  <c r="R82"/>
  <c r="O82"/>
  <c r="L82"/>
  <c r="I82"/>
  <c r="T82" s="1"/>
  <c r="F82"/>
  <c r="S81"/>
  <c r="U81" s="1"/>
  <c r="R81"/>
  <c r="O81"/>
  <c r="L81"/>
  <c r="I81"/>
  <c r="F81"/>
  <c r="S80"/>
  <c r="S85" s="1"/>
  <c r="R80"/>
  <c r="R85" s="1"/>
  <c r="O80"/>
  <c r="O85" s="1"/>
  <c r="L80"/>
  <c r="L85" s="1"/>
  <c r="I80"/>
  <c r="I85" s="1"/>
  <c r="F80"/>
  <c r="F85" s="1"/>
  <c r="Q79"/>
  <c r="N79"/>
  <c r="K79"/>
  <c r="H79"/>
  <c r="E79"/>
  <c r="S78"/>
  <c r="U78" s="1"/>
  <c r="R78"/>
  <c r="O78"/>
  <c r="L78"/>
  <c r="T78" s="1"/>
  <c r="I78"/>
  <c r="F78"/>
  <c r="V78" s="1"/>
  <c r="S77"/>
  <c r="U77" s="1"/>
  <c r="R77"/>
  <c r="O77"/>
  <c r="L77"/>
  <c r="I77"/>
  <c r="F77"/>
  <c r="S76"/>
  <c r="U76" s="1"/>
  <c r="R76"/>
  <c r="O76"/>
  <c r="L76"/>
  <c r="T76" s="1"/>
  <c r="I76"/>
  <c r="F76"/>
  <c r="V76" s="1"/>
  <c r="S75"/>
  <c r="U75" s="1"/>
  <c r="R75"/>
  <c r="O75"/>
  <c r="L75"/>
  <c r="I75"/>
  <c r="F75"/>
  <c r="S74"/>
  <c r="U74" s="1"/>
  <c r="R74"/>
  <c r="O74"/>
  <c r="L74"/>
  <c r="T74" s="1"/>
  <c r="I74"/>
  <c r="F74"/>
  <c r="V74" s="1"/>
  <c r="S73"/>
  <c r="U73" s="1"/>
  <c r="R73"/>
  <c r="O73"/>
  <c r="L73"/>
  <c r="I73"/>
  <c r="F73"/>
  <c r="S72"/>
  <c r="U72" s="1"/>
  <c r="R72"/>
  <c r="O72"/>
  <c r="L72"/>
  <c r="T72" s="1"/>
  <c r="I72"/>
  <c r="F72"/>
  <c r="V72" s="1"/>
  <c r="S71"/>
  <c r="U71" s="1"/>
  <c r="R71"/>
  <c r="O71"/>
  <c r="L71"/>
  <c r="I71"/>
  <c r="F71"/>
  <c r="S70"/>
  <c r="U70" s="1"/>
  <c r="R70"/>
  <c r="O70"/>
  <c r="L70"/>
  <c r="I70"/>
  <c r="F70"/>
  <c r="S69"/>
  <c r="U69" s="1"/>
  <c r="U79" s="1"/>
  <c r="R69"/>
  <c r="O69"/>
  <c r="O79" s="1"/>
  <c r="L69"/>
  <c r="I69"/>
  <c r="I79" s="1"/>
  <c r="F69"/>
  <c r="Q68"/>
  <c r="N68"/>
  <c r="K68"/>
  <c r="H68"/>
  <c r="E68"/>
  <c r="S67"/>
  <c r="U67" s="1"/>
  <c r="R67"/>
  <c r="O67"/>
  <c r="L67"/>
  <c r="I67"/>
  <c r="F67"/>
  <c r="S66"/>
  <c r="U66" s="1"/>
  <c r="R66"/>
  <c r="O66"/>
  <c r="L66"/>
  <c r="I66"/>
  <c r="T66" s="1"/>
  <c r="F66"/>
  <c r="S65"/>
  <c r="U65" s="1"/>
  <c r="R65"/>
  <c r="O65"/>
  <c r="L65"/>
  <c r="I65"/>
  <c r="F65"/>
  <c r="S64"/>
  <c r="U64" s="1"/>
  <c r="R64"/>
  <c r="O64"/>
  <c r="L64"/>
  <c r="I64"/>
  <c r="F64"/>
  <c r="S63"/>
  <c r="S68" s="1"/>
  <c r="R63"/>
  <c r="R68" s="1"/>
  <c r="O63"/>
  <c r="L63"/>
  <c r="L68" s="1"/>
  <c r="I63"/>
  <c r="F63"/>
  <c r="F68" s="1"/>
  <c r="Q62"/>
  <c r="N62"/>
  <c r="K62"/>
  <c r="H62"/>
  <c r="E62"/>
  <c r="S61"/>
  <c r="U61" s="1"/>
  <c r="R61"/>
  <c r="O61"/>
  <c r="L61"/>
  <c r="I61"/>
  <c r="F61"/>
  <c r="S60"/>
  <c r="U60" s="1"/>
  <c r="R60"/>
  <c r="O60"/>
  <c r="L60"/>
  <c r="T60" s="1"/>
  <c r="I60"/>
  <c r="F60"/>
  <c r="V60" s="1"/>
  <c r="S59"/>
  <c r="U59" s="1"/>
  <c r="R59"/>
  <c r="O59"/>
  <c r="L59"/>
  <c r="I59"/>
  <c r="F59"/>
  <c r="S58"/>
  <c r="U58" s="1"/>
  <c r="R58"/>
  <c r="O58"/>
  <c r="L58"/>
  <c r="T58" s="1"/>
  <c r="I58"/>
  <c r="F58"/>
  <c r="V58" s="1"/>
  <c r="S57"/>
  <c r="S62" s="1"/>
  <c r="R57"/>
  <c r="R62" s="1"/>
  <c r="O57"/>
  <c r="O62" s="1"/>
  <c r="L57"/>
  <c r="L62" s="1"/>
  <c r="I57"/>
  <c r="I62" s="1"/>
  <c r="F57"/>
  <c r="F62" s="1"/>
  <c r="Q56"/>
  <c r="N56"/>
  <c r="K56"/>
  <c r="H56"/>
  <c r="E56"/>
  <c r="S55"/>
  <c r="U55" s="1"/>
  <c r="R55"/>
  <c r="O55"/>
  <c r="L55"/>
  <c r="I55"/>
  <c r="F55"/>
  <c r="S54"/>
  <c r="U54" s="1"/>
  <c r="U56" s="1"/>
  <c r="R54"/>
  <c r="O54"/>
  <c r="O56" s="1"/>
  <c r="L54"/>
  <c r="I54"/>
  <c r="I56" s="1"/>
  <c r="F54"/>
  <c r="Q53"/>
  <c r="N53"/>
  <c r="K53"/>
  <c r="H53"/>
  <c r="E53"/>
  <c r="S52"/>
  <c r="U52" s="1"/>
  <c r="R52"/>
  <c r="O52"/>
  <c r="L52"/>
  <c r="I52"/>
  <c r="F52"/>
  <c r="S51"/>
  <c r="U51" s="1"/>
  <c r="U53" s="1"/>
  <c r="R51"/>
  <c r="O51"/>
  <c r="O53" s="1"/>
  <c r="L51"/>
  <c r="I51"/>
  <c r="I53" s="1"/>
  <c r="F51"/>
  <c r="Q50"/>
  <c r="N50"/>
  <c r="K50"/>
  <c r="H50"/>
  <c r="E50"/>
  <c r="S49"/>
  <c r="U49" s="1"/>
  <c r="R49"/>
  <c r="O49"/>
  <c r="L49"/>
  <c r="I49"/>
  <c r="F49"/>
  <c r="S48"/>
  <c r="U48" s="1"/>
  <c r="R48"/>
  <c r="O48"/>
  <c r="L48"/>
  <c r="I48"/>
  <c r="T48" s="1"/>
  <c r="F48"/>
  <c r="S47"/>
  <c r="U47" s="1"/>
  <c r="R47"/>
  <c r="O47"/>
  <c r="L47"/>
  <c r="I47"/>
  <c r="F47"/>
  <c r="S46"/>
  <c r="U46" s="1"/>
  <c r="U50" s="1"/>
  <c r="R46"/>
  <c r="O46"/>
  <c r="O50" s="1"/>
  <c r="L46"/>
  <c r="I46"/>
  <c r="I50" s="1"/>
  <c r="F46"/>
  <c r="Q45"/>
  <c r="N45"/>
  <c r="K45"/>
  <c r="I45"/>
  <c r="H45"/>
  <c r="E45"/>
  <c r="S44"/>
  <c r="S45" s="1"/>
  <c r="R44"/>
  <c r="R45" s="1"/>
  <c r="O44"/>
  <c r="O45" s="1"/>
  <c r="L44"/>
  <c r="L45" s="1"/>
  <c r="I44"/>
  <c r="F44"/>
  <c r="F45" s="1"/>
  <c r="Q43"/>
  <c r="N43"/>
  <c r="K43"/>
  <c r="H43"/>
  <c r="E43"/>
  <c r="S42"/>
  <c r="U42" s="1"/>
  <c r="R42"/>
  <c r="O42"/>
  <c r="L42"/>
  <c r="I42"/>
  <c r="T42" s="1"/>
  <c r="F42"/>
  <c r="S41"/>
  <c r="U41" s="1"/>
  <c r="R41"/>
  <c r="O41"/>
  <c r="L41"/>
  <c r="I41"/>
  <c r="F41"/>
  <c r="S40"/>
  <c r="S43" s="1"/>
  <c r="R40"/>
  <c r="R43" s="1"/>
  <c r="O40"/>
  <c r="O43" s="1"/>
  <c r="L40"/>
  <c r="L43" s="1"/>
  <c r="I40"/>
  <c r="I43" s="1"/>
  <c r="F40"/>
  <c r="F43" s="1"/>
  <c r="Q39"/>
  <c r="N39"/>
  <c r="K39"/>
  <c r="I39"/>
  <c r="H39"/>
  <c r="E39"/>
  <c r="S38"/>
  <c r="S39" s="1"/>
  <c r="R38"/>
  <c r="R39" s="1"/>
  <c r="O38"/>
  <c r="O39" s="1"/>
  <c r="L38"/>
  <c r="L39" s="1"/>
  <c r="I38"/>
  <c r="F38"/>
  <c r="F39" s="1"/>
  <c r="Q37"/>
  <c r="N37"/>
  <c r="K37"/>
  <c r="H37"/>
  <c r="E37"/>
  <c r="S36"/>
  <c r="S37" s="1"/>
  <c r="R36"/>
  <c r="R37" s="1"/>
  <c r="O36"/>
  <c r="O37" s="1"/>
  <c r="L36"/>
  <c r="L37" s="1"/>
  <c r="I36"/>
  <c r="I37" s="1"/>
  <c r="F36"/>
  <c r="F37" s="1"/>
  <c r="Q35"/>
  <c r="N35"/>
  <c r="K35"/>
  <c r="H35"/>
  <c r="E35"/>
  <c r="S34"/>
  <c r="U34" s="1"/>
  <c r="R34"/>
  <c r="O34"/>
  <c r="L34"/>
  <c r="T34" s="1"/>
  <c r="I34"/>
  <c r="F34"/>
  <c r="V34" s="1"/>
  <c r="S33"/>
  <c r="U33" s="1"/>
  <c r="R33"/>
  <c r="O33"/>
  <c r="L33"/>
  <c r="I33"/>
  <c r="F33"/>
  <c r="S32"/>
  <c r="U32" s="1"/>
  <c r="R32"/>
  <c r="O32"/>
  <c r="L32"/>
  <c r="T32" s="1"/>
  <c r="I32"/>
  <c r="F32"/>
  <c r="V32" s="1"/>
  <c r="S31"/>
  <c r="U31" s="1"/>
  <c r="U35" s="1"/>
  <c r="R31"/>
  <c r="O31"/>
  <c r="O35" s="1"/>
  <c r="L31"/>
  <c r="I31"/>
  <c r="I35" s="1"/>
  <c r="F31"/>
  <c r="Q30"/>
  <c r="N30"/>
  <c r="K30"/>
  <c r="H30"/>
  <c r="E30"/>
  <c r="S29"/>
  <c r="U29" s="1"/>
  <c r="R29"/>
  <c r="O29"/>
  <c r="L29"/>
  <c r="I29"/>
  <c r="F29"/>
  <c r="S28"/>
  <c r="U28" s="1"/>
  <c r="R28"/>
  <c r="O28"/>
  <c r="L28"/>
  <c r="I28"/>
  <c r="F28"/>
  <c r="S27"/>
  <c r="S30" s="1"/>
  <c r="R27"/>
  <c r="R30" s="1"/>
  <c r="O27"/>
  <c r="L27"/>
  <c r="I27"/>
  <c r="F27"/>
  <c r="Q26"/>
  <c r="N26"/>
  <c r="K26"/>
  <c r="H26"/>
  <c r="E26"/>
  <c r="S25"/>
  <c r="U25" s="1"/>
  <c r="R25"/>
  <c r="O25"/>
  <c r="L25"/>
  <c r="I25"/>
  <c r="F25"/>
  <c r="S24"/>
  <c r="U24" s="1"/>
  <c r="U26" s="1"/>
  <c r="R24"/>
  <c r="R26" s="1"/>
  <c r="O24"/>
  <c r="O26" s="1"/>
  <c r="L24"/>
  <c r="T24" s="1"/>
  <c r="I24"/>
  <c r="I26" s="1"/>
  <c r="F24"/>
  <c r="V24" s="1"/>
  <c r="Q23"/>
  <c r="N23"/>
  <c r="K23"/>
  <c r="H23"/>
  <c r="E23"/>
  <c r="S22"/>
  <c r="U22" s="1"/>
  <c r="R22"/>
  <c r="O22"/>
  <c r="L22"/>
  <c r="I22"/>
  <c r="T22" s="1"/>
  <c r="F22"/>
  <c r="S21"/>
  <c r="U21" s="1"/>
  <c r="U23" s="1"/>
  <c r="R21"/>
  <c r="R23" s="1"/>
  <c r="O21"/>
  <c r="O23" s="1"/>
  <c r="L21"/>
  <c r="I21"/>
  <c r="I23" s="1"/>
  <c r="F21"/>
  <c r="Q20"/>
  <c r="N20"/>
  <c r="K20"/>
  <c r="H20"/>
  <c r="E20"/>
  <c r="S19"/>
  <c r="R19"/>
  <c r="O19"/>
  <c r="L19"/>
  <c r="I19"/>
  <c r="F19"/>
  <c r="S18"/>
  <c r="U18" s="1"/>
  <c r="R18"/>
  <c r="R20" s="1"/>
  <c r="O18"/>
  <c r="O20" s="1"/>
  <c r="L18"/>
  <c r="L20" s="1"/>
  <c r="I18"/>
  <c r="I20" s="1"/>
  <c r="F18"/>
  <c r="F20" s="1"/>
  <c r="Q17"/>
  <c r="N17"/>
  <c r="K17"/>
  <c r="H17"/>
  <c r="E17"/>
  <c r="S16"/>
  <c r="U16" s="1"/>
  <c r="R16"/>
  <c r="O16"/>
  <c r="L16"/>
  <c r="I16"/>
  <c r="T16" s="1"/>
  <c r="F16"/>
  <c r="S15"/>
  <c r="U15" s="1"/>
  <c r="R15"/>
  <c r="O15"/>
  <c r="L15"/>
  <c r="I15"/>
  <c r="F15"/>
  <c r="S14"/>
  <c r="S17" s="1"/>
  <c r="R14"/>
  <c r="R17" s="1"/>
  <c r="O14"/>
  <c r="O17" s="1"/>
  <c r="L14"/>
  <c r="L17" s="1"/>
  <c r="I14"/>
  <c r="I17" s="1"/>
  <c r="F14"/>
  <c r="F17" s="1"/>
  <c r="Q13"/>
  <c r="N13"/>
  <c r="K13"/>
  <c r="H13"/>
  <c r="E13"/>
  <c r="S12"/>
  <c r="U12" s="1"/>
  <c r="R12"/>
  <c r="O12"/>
  <c r="L12"/>
  <c r="T12" s="1"/>
  <c r="I12"/>
  <c r="F12"/>
  <c r="V12" s="1"/>
  <c r="S11"/>
  <c r="U11" s="1"/>
  <c r="R11"/>
  <c r="O11"/>
  <c r="L11"/>
  <c r="I11"/>
  <c r="F11"/>
  <c r="S10"/>
  <c r="U10" s="1"/>
  <c r="R10"/>
  <c r="O10"/>
  <c r="L10"/>
  <c r="T10" s="1"/>
  <c r="I10"/>
  <c r="F10"/>
  <c r="V10" s="1"/>
  <c r="S9"/>
  <c r="U9" s="1"/>
  <c r="R9"/>
  <c r="O9"/>
  <c r="L9"/>
  <c r="I9"/>
  <c r="F9"/>
  <c r="S8"/>
  <c r="S13" s="1"/>
  <c r="R8"/>
  <c r="R13" s="1"/>
  <c r="O8"/>
  <c r="L8"/>
  <c r="L13" s="1"/>
  <c r="I8"/>
  <c r="F8"/>
  <c r="Q7"/>
  <c r="N7"/>
  <c r="N86" s="1"/>
  <c r="K7"/>
  <c r="H7"/>
  <c r="H86" s="1"/>
  <c r="E7"/>
  <c r="S6"/>
  <c r="R6"/>
  <c r="O6"/>
  <c r="L6"/>
  <c r="I6"/>
  <c r="F6"/>
  <c r="S3"/>
  <c r="U3" s="1"/>
  <c r="R3"/>
  <c r="O3"/>
  <c r="L3"/>
  <c r="I3"/>
  <c r="F3"/>
  <c r="P1"/>
  <c r="U2" s="1"/>
  <c r="C1"/>
  <c r="Q45" i="118"/>
  <c r="N45"/>
  <c r="K45"/>
  <c r="H45"/>
  <c r="E45"/>
  <c r="S44"/>
  <c r="S45" s="1"/>
  <c r="R44"/>
  <c r="R45" s="1"/>
  <c r="O44"/>
  <c r="O45" s="1"/>
  <c r="L44"/>
  <c r="L45" s="1"/>
  <c r="I44"/>
  <c r="I45" s="1"/>
  <c r="F44"/>
  <c r="F45" s="1"/>
  <c r="Q43"/>
  <c r="N43"/>
  <c r="K43"/>
  <c r="H43"/>
  <c r="E43"/>
  <c r="S42"/>
  <c r="S43" s="1"/>
  <c r="R42"/>
  <c r="R43" s="1"/>
  <c r="O42"/>
  <c r="O43" s="1"/>
  <c r="L42"/>
  <c r="L43" s="1"/>
  <c r="I42"/>
  <c r="I43" s="1"/>
  <c r="F42"/>
  <c r="F43" s="1"/>
  <c r="Q41"/>
  <c r="N41"/>
  <c r="K41"/>
  <c r="H41"/>
  <c r="E41"/>
  <c r="S40"/>
  <c r="S41" s="1"/>
  <c r="R40"/>
  <c r="R41" s="1"/>
  <c r="O40"/>
  <c r="O41" s="1"/>
  <c r="L40"/>
  <c r="L41" s="1"/>
  <c r="I40"/>
  <c r="I41" s="1"/>
  <c r="F40"/>
  <c r="F41" s="1"/>
  <c r="Q39"/>
  <c r="N39"/>
  <c r="K39"/>
  <c r="H39"/>
  <c r="E39"/>
  <c r="S38"/>
  <c r="S39" s="1"/>
  <c r="R38"/>
  <c r="R39" s="1"/>
  <c r="O38"/>
  <c r="O39" s="1"/>
  <c r="L38"/>
  <c r="L39" s="1"/>
  <c r="I38"/>
  <c r="I39" s="1"/>
  <c r="F38"/>
  <c r="F39" s="1"/>
  <c r="Q37"/>
  <c r="N37"/>
  <c r="K37"/>
  <c r="H37"/>
  <c r="E37"/>
  <c r="S36"/>
  <c r="S37" s="1"/>
  <c r="R36"/>
  <c r="R37" s="1"/>
  <c r="O36"/>
  <c r="O37" s="1"/>
  <c r="L36"/>
  <c r="L37" s="1"/>
  <c r="I36"/>
  <c r="I37" s="1"/>
  <c r="F36"/>
  <c r="F37" s="1"/>
  <c r="Q35"/>
  <c r="N35"/>
  <c r="K35"/>
  <c r="H35"/>
  <c r="E35"/>
  <c r="S34"/>
  <c r="S35" s="1"/>
  <c r="R34"/>
  <c r="R35" s="1"/>
  <c r="O34"/>
  <c r="O35" s="1"/>
  <c r="L34"/>
  <c r="L35" s="1"/>
  <c r="I34"/>
  <c r="I35" s="1"/>
  <c r="F34"/>
  <c r="F35" s="1"/>
  <c r="Q33"/>
  <c r="N33"/>
  <c r="K33"/>
  <c r="H33"/>
  <c r="E33"/>
  <c r="S32"/>
  <c r="S33" s="1"/>
  <c r="R32"/>
  <c r="R33" s="1"/>
  <c r="O32"/>
  <c r="O33" s="1"/>
  <c r="L32"/>
  <c r="L33" s="1"/>
  <c r="I32"/>
  <c r="I33" s="1"/>
  <c r="F32"/>
  <c r="F33" s="1"/>
  <c r="Q31"/>
  <c r="N31"/>
  <c r="K31"/>
  <c r="H31"/>
  <c r="E31"/>
  <c r="S30"/>
  <c r="U30" s="1"/>
  <c r="R30"/>
  <c r="O30"/>
  <c r="L30"/>
  <c r="I30"/>
  <c r="F30"/>
  <c r="S28"/>
  <c r="U28" s="1"/>
  <c r="U31" s="1"/>
  <c r="R28"/>
  <c r="O28"/>
  <c r="O31" s="1"/>
  <c r="L28"/>
  <c r="I28"/>
  <c r="I31" s="1"/>
  <c r="F28"/>
  <c r="Q27"/>
  <c r="N27"/>
  <c r="K27"/>
  <c r="H27"/>
  <c r="E27"/>
  <c r="S26"/>
  <c r="S27" s="1"/>
  <c r="R26"/>
  <c r="R27" s="1"/>
  <c r="O26"/>
  <c r="O27" s="1"/>
  <c r="L26"/>
  <c r="L27" s="1"/>
  <c r="I26"/>
  <c r="I27" s="1"/>
  <c r="F26"/>
  <c r="F27" s="1"/>
  <c r="Q25"/>
  <c r="N25"/>
  <c r="K25"/>
  <c r="H25"/>
  <c r="E25"/>
  <c r="S24"/>
  <c r="S25" s="1"/>
  <c r="R24"/>
  <c r="R25" s="1"/>
  <c r="O24"/>
  <c r="O25" s="1"/>
  <c r="L24"/>
  <c r="L25" s="1"/>
  <c r="I24"/>
  <c r="I25" s="1"/>
  <c r="F24"/>
  <c r="F25" s="1"/>
  <c r="Q23"/>
  <c r="N23"/>
  <c r="K23"/>
  <c r="I23"/>
  <c r="H23"/>
  <c r="E23"/>
  <c r="S22"/>
  <c r="S23" s="1"/>
  <c r="R22"/>
  <c r="R23" s="1"/>
  <c r="O22"/>
  <c r="O23" s="1"/>
  <c r="L22"/>
  <c r="L23" s="1"/>
  <c r="I22"/>
  <c r="F22"/>
  <c r="F23" s="1"/>
  <c r="Q21"/>
  <c r="N21"/>
  <c r="K21"/>
  <c r="H21"/>
  <c r="E21"/>
  <c r="S20"/>
  <c r="S21" s="1"/>
  <c r="R20"/>
  <c r="R21" s="1"/>
  <c r="O20"/>
  <c r="O21" s="1"/>
  <c r="L20"/>
  <c r="L21" s="1"/>
  <c r="I20"/>
  <c r="I21" s="1"/>
  <c r="F20"/>
  <c r="F21" s="1"/>
  <c r="Q19"/>
  <c r="N19"/>
  <c r="K19"/>
  <c r="I19"/>
  <c r="H19"/>
  <c r="E19"/>
  <c r="S18"/>
  <c r="S19" s="1"/>
  <c r="R18"/>
  <c r="R19" s="1"/>
  <c r="O18"/>
  <c r="O19" s="1"/>
  <c r="L18"/>
  <c r="L19" s="1"/>
  <c r="I18"/>
  <c r="F18"/>
  <c r="F19" s="1"/>
  <c r="Q17"/>
  <c r="N17"/>
  <c r="K17"/>
  <c r="H17"/>
  <c r="E17"/>
  <c r="S16"/>
  <c r="S17" s="1"/>
  <c r="R16"/>
  <c r="R17" s="1"/>
  <c r="O16"/>
  <c r="O17" s="1"/>
  <c r="L16"/>
  <c r="L17" s="1"/>
  <c r="I16"/>
  <c r="I17" s="1"/>
  <c r="F16"/>
  <c r="F17" s="1"/>
  <c r="Q15"/>
  <c r="N15"/>
  <c r="K15"/>
  <c r="I15"/>
  <c r="H15"/>
  <c r="E15"/>
  <c r="S14"/>
  <c r="S15" s="1"/>
  <c r="R14"/>
  <c r="R15" s="1"/>
  <c r="O14"/>
  <c r="O15" s="1"/>
  <c r="L14"/>
  <c r="L15" s="1"/>
  <c r="I14"/>
  <c r="F14"/>
  <c r="F15" s="1"/>
  <c r="Q13"/>
  <c r="N13"/>
  <c r="K13"/>
  <c r="H13"/>
  <c r="E13"/>
  <c r="S12"/>
  <c r="S13" s="1"/>
  <c r="R12"/>
  <c r="R13" s="1"/>
  <c r="O12"/>
  <c r="O13" s="1"/>
  <c r="L12"/>
  <c r="L13" s="1"/>
  <c r="I12"/>
  <c r="I13" s="1"/>
  <c r="F12"/>
  <c r="F13" s="1"/>
  <c r="Q11"/>
  <c r="N11"/>
  <c r="K11"/>
  <c r="I11"/>
  <c r="H11"/>
  <c r="E11"/>
  <c r="S10"/>
  <c r="S11" s="1"/>
  <c r="R10"/>
  <c r="R11" s="1"/>
  <c r="O10"/>
  <c r="O11" s="1"/>
  <c r="L10"/>
  <c r="L11" s="1"/>
  <c r="I10"/>
  <c r="F10"/>
  <c r="F11" s="1"/>
  <c r="Q9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Q46" s="1"/>
  <c r="N7"/>
  <c r="N46" s="1"/>
  <c r="K7"/>
  <c r="I7"/>
  <c r="H7"/>
  <c r="E7"/>
  <c r="E46" s="1"/>
  <c r="S6"/>
  <c r="R6"/>
  <c r="R7" s="1"/>
  <c r="O6"/>
  <c r="L6"/>
  <c r="L7" s="1"/>
  <c r="I6"/>
  <c r="F6"/>
  <c r="F7" s="1"/>
  <c r="S3"/>
  <c r="U3" s="1"/>
  <c r="R3"/>
  <c r="O3"/>
  <c r="L3"/>
  <c r="I3"/>
  <c r="F3"/>
  <c r="P1"/>
  <c r="U2" s="1"/>
  <c r="C1"/>
  <c r="Q25" i="117"/>
  <c r="N25"/>
  <c r="K25"/>
  <c r="H25"/>
  <c r="E25"/>
  <c r="S24"/>
  <c r="S25" s="1"/>
  <c r="R24"/>
  <c r="R25" s="1"/>
  <c r="O24"/>
  <c r="O25" s="1"/>
  <c r="L24"/>
  <c r="L25" s="1"/>
  <c r="I24"/>
  <c r="I25" s="1"/>
  <c r="F24"/>
  <c r="F25" s="1"/>
  <c r="Q23"/>
  <c r="N23"/>
  <c r="K23"/>
  <c r="I23"/>
  <c r="H23"/>
  <c r="E23"/>
  <c r="S22"/>
  <c r="S23" s="1"/>
  <c r="R22"/>
  <c r="R23" s="1"/>
  <c r="O22"/>
  <c r="O23" s="1"/>
  <c r="L22"/>
  <c r="L23" s="1"/>
  <c r="I22"/>
  <c r="F22"/>
  <c r="F23" s="1"/>
  <c r="Q21"/>
  <c r="N21"/>
  <c r="K21"/>
  <c r="H21"/>
  <c r="E21"/>
  <c r="S20"/>
  <c r="S21" s="1"/>
  <c r="R20"/>
  <c r="R21" s="1"/>
  <c r="O20"/>
  <c r="O21" s="1"/>
  <c r="L20"/>
  <c r="L21" s="1"/>
  <c r="I20"/>
  <c r="I21" s="1"/>
  <c r="F20"/>
  <c r="F21" s="1"/>
  <c r="Q19"/>
  <c r="N19"/>
  <c r="K19"/>
  <c r="H19"/>
  <c r="E19"/>
  <c r="S18"/>
  <c r="U18" s="1"/>
  <c r="R18"/>
  <c r="O18"/>
  <c r="L18"/>
  <c r="I18"/>
  <c r="F18"/>
  <c r="S17"/>
  <c r="U17" s="1"/>
  <c r="U19" s="1"/>
  <c r="R17"/>
  <c r="O17"/>
  <c r="O19" s="1"/>
  <c r="L17"/>
  <c r="I17"/>
  <c r="I19" s="1"/>
  <c r="F17"/>
  <c r="Q16"/>
  <c r="N16"/>
  <c r="K16"/>
  <c r="H16"/>
  <c r="E16"/>
  <c r="S15"/>
  <c r="S16" s="1"/>
  <c r="R15"/>
  <c r="R16" s="1"/>
  <c r="O15"/>
  <c r="O16" s="1"/>
  <c r="L15"/>
  <c r="L16" s="1"/>
  <c r="I15"/>
  <c r="I16" s="1"/>
  <c r="F15"/>
  <c r="F16" s="1"/>
  <c r="Q14"/>
  <c r="N14"/>
  <c r="K14"/>
  <c r="H14"/>
  <c r="E14"/>
  <c r="S13"/>
  <c r="S14" s="1"/>
  <c r="R13"/>
  <c r="R14" s="1"/>
  <c r="O13"/>
  <c r="O14" s="1"/>
  <c r="L13"/>
  <c r="L14" s="1"/>
  <c r="I13"/>
  <c r="I14" s="1"/>
  <c r="F13"/>
  <c r="F14" s="1"/>
  <c r="Q12"/>
  <c r="N12"/>
  <c r="K12"/>
  <c r="H12"/>
  <c r="E12"/>
  <c r="S11"/>
  <c r="S12" s="1"/>
  <c r="R11"/>
  <c r="R12" s="1"/>
  <c r="O11"/>
  <c r="O12" s="1"/>
  <c r="L11"/>
  <c r="L12" s="1"/>
  <c r="I11"/>
  <c r="I12" s="1"/>
  <c r="F11"/>
  <c r="F12" s="1"/>
  <c r="Q10"/>
  <c r="N10"/>
  <c r="K10"/>
  <c r="H10"/>
  <c r="E10"/>
  <c r="S9"/>
  <c r="S10" s="1"/>
  <c r="R9"/>
  <c r="R10" s="1"/>
  <c r="O9"/>
  <c r="O10" s="1"/>
  <c r="L9"/>
  <c r="L10" s="1"/>
  <c r="I9"/>
  <c r="I10" s="1"/>
  <c r="F9"/>
  <c r="F10" s="1"/>
  <c r="Q8"/>
  <c r="N8"/>
  <c r="N26" s="1"/>
  <c r="K8"/>
  <c r="H8"/>
  <c r="H26" s="1"/>
  <c r="E8"/>
  <c r="S7"/>
  <c r="U7" s="1"/>
  <c r="R7"/>
  <c r="O7"/>
  <c r="L7"/>
  <c r="I7"/>
  <c r="F7"/>
  <c r="S6"/>
  <c r="R6"/>
  <c r="O6"/>
  <c r="O8" s="1"/>
  <c r="L6"/>
  <c r="I6"/>
  <c r="I8" s="1"/>
  <c r="F6"/>
  <c r="S3"/>
  <c r="U3" s="1"/>
  <c r="R3"/>
  <c r="O3"/>
  <c r="L3"/>
  <c r="I3"/>
  <c r="F3"/>
  <c r="P1"/>
  <c r="U2" s="1"/>
  <c r="C1"/>
  <c r="E43" i="96"/>
  <c r="K43"/>
  <c r="S41"/>
  <c r="U41" s="1"/>
  <c r="R41"/>
  <c r="O41"/>
  <c r="L41"/>
  <c r="I41"/>
  <c r="F41"/>
  <c r="K153" i="105"/>
  <c r="Q147"/>
  <c r="N147"/>
  <c r="K147"/>
  <c r="H147"/>
  <c r="E147"/>
  <c r="S146"/>
  <c r="U146" s="1"/>
  <c r="R146"/>
  <c r="O146"/>
  <c r="L146"/>
  <c r="I146"/>
  <c r="S145"/>
  <c r="U145" s="1"/>
  <c r="R145"/>
  <c r="O145"/>
  <c r="L145"/>
  <c r="T145" s="1"/>
  <c r="I145"/>
  <c r="S144"/>
  <c r="U144" s="1"/>
  <c r="R144"/>
  <c r="O144"/>
  <c r="L144"/>
  <c r="I144"/>
  <c r="F144"/>
  <c r="F146"/>
  <c r="F145"/>
  <c r="H142"/>
  <c r="E142"/>
  <c r="S140"/>
  <c r="U140" s="1"/>
  <c r="R140"/>
  <c r="O140"/>
  <c r="L140"/>
  <c r="I140"/>
  <c r="F140"/>
  <c r="S139"/>
  <c r="U139" s="1"/>
  <c r="R139"/>
  <c r="O139"/>
  <c r="L139"/>
  <c r="I139"/>
  <c r="F139"/>
  <c r="S138"/>
  <c r="U138" s="1"/>
  <c r="R138"/>
  <c r="O138"/>
  <c r="L138"/>
  <c r="I138"/>
  <c r="T138" s="1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Q126"/>
  <c r="N126"/>
  <c r="K126"/>
  <c r="H126"/>
  <c r="E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15"/>
  <c r="U115" s="1"/>
  <c r="R115"/>
  <c r="O115"/>
  <c r="L115"/>
  <c r="I115"/>
  <c r="F115"/>
  <c r="S114"/>
  <c r="U114" s="1"/>
  <c r="R114"/>
  <c r="O114"/>
  <c r="L114"/>
  <c r="T114" s="1"/>
  <c r="I114"/>
  <c r="F114"/>
  <c r="S113"/>
  <c r="U113" s="1"/>
  <c r="R113"/>
  <c r="O113"/>
  <c r="L113"/>
  <c r="I113"/>
  <c r="F113"/>
  <c r="S112"/>
  <c r="U112" s="1"/>
  <c r="R112"/>
  <c r="O112"/>
  <c r="L112"/>
  <c r="T112" s="1"/>
  <c r="I112"/>
  <c r="F112"/>
  <c r="S111"/>
  <c r="U111" s="1"/>
  <c r="R111"/>
  <c r="O111"/>
  <c r="L111"/>
  <c r="I111"/>
  <c r="F111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R105"/>
  <c r="O105"/>
  <c r="L105"/>
  <c r="T105" s="1"/>
  <c r="I105"/>
  <c r="F105"/>
  <c r="V105" s="1"/>
  <c r="S104"/>
  <c r="U104" s="1"/>
  <c r="R104"/>
  <c r="O104"/>
  <c r="L104"/>
  <c r="I104"/>
  <c r="F104"/>
  <c r="S103"/>
  <c r="U103" s="1"/>
  <c r="R103"/>
  <c r="O103"/>
  <c r="L103"/>
  <c r="T103" s="1"/>
  <c r="I103"/>
  <c r="F103"/>
  <c r="S102"/>
  <c r="U102" s="1"/>
  <c r="R102"/>
  <c r="O102"/>
  <c r="L102"/>
  <c r="I102"/>
  <c r="F102"/>
  <c r="S101"/>
  <c r="U101" s="1"/>
  <c r="R101"/>
  <c r="O101"/>
  <c r="L101"/>
  <c r="T101" s="1"/>
  <c r="I101"/>
  <c r="F101"/>
  <c r="S100"/>
  <c r="U100" s="1"/>
  <c r="R100"/>
  <c r="O100"/>
  <c r="L100"/>
  <c r="I100"/>
  <c r="F100"/>
  <c r="K84"/>
  <c r="S82"/>
  <c r="U82" s="1"/>
  <c r="R82"/>
  <c r="O82"/>
  <c r="L82"/>
  <c r="I82"/>
  <c r="F82"/>
  <c r="S81"/>
  <c r="U81" s="1"/>
  <c r="R81"/>
  <c r="O81"/>
  <c r="L81"/>
  <c r="T81" s="1"/>
  <c r="I81"/>
  <c r="F81"/>
  <c r="S80"/>
  <c r="U80" s="1"/>
  <c r="R80"/>
  <c r="O80"/>
  <c r="L80"/>
  <c r="I80"/>
  <c r="F80"/>
  <c r="S79"/>
  <c r="U79" s="1"/>
  <c r="R79"/>
  <c r="O79"/>
  <c r="L79"/>
  <c r="T79" s="1"/>
  <c r="I79"/>
  <c r="F79"/>
  <c r="S78"/>
  <c r="U78" s="1"/>
  <c r="R78"/>
  <c r="O78"/>
  <c r="L78"/>
  <c r="I78"/>
  <c r="F78"/>
  <c r="S77"/>
  <c r="U77" s="1"/>
  <c r="R77"/>
  <c r="O77"/>
  <c r="L77"/>
  <c r="T77" s="1"/>
  <c r="I77"/>
  <c r="F77"/>
  <c r="S41"/>
  <c r="U41" s="1"/>
  <c r="R41"/>
  <c r="O41"/>
  <c r="L41"/>
  <c r="T41" s="1"/>
  <c r="I41"/>
  <c r="F41"/>
  <c r="V41" s="1"/>
  <c r="S40"/>
  <c r="U40" s="1"/>
  <c r="R40"/>
  <c r="O40"/>
  <c r="L40"/>
  <c r="I40"/>
  <c r="F40"/>
  <c r="S39"/>
  <c r="U39" s="1"/>
  <c r="R39"/>
  <c r="O39"/>
  <c r="L39"/>
  <c r="T39" s="1"/>
  <c r="I39"/>
  <c r="F39"/>
  <c r="S44"/>
  <c r="U44" s="1"/>
  <c r="R44"/>
  <c r="O44"/>
  <c r="L44"/>
  <c r="I44"/>
  <c r="F44"/>
  <c r="S43"/>
  <c r="U43" s="1"/>
  <c r="R43"/>
  <c r="O43"/>
  <c r="L43"/>
  <c r="T43" s="1"/>
  <c r="I43"/>
  <c r="F43"/>
  <c r="V43" s="1"/>
  <c r="S42"/>
  <c r="U42" s="1"/>
  <c r="R42"/>
  <c r="O42"/>
  <c r="L42"/>
  <c r="I42"/>
  <c r="F42"/>
  <c r="S38"/>
  <c r="U38" s="1"/>
  <c r="R38"/>
  <c r="O38"/>
  <c r="L38"/>
  <c r="T38" s="1"/>
  <c r="I38"/>
  <c r="F38"/>
  <c r="S37"/>
  <c r="U37" s="1"/>
  <c r="R37"/>
  <c r="O37"/>
  <c r="L37"/>
  <c r="I37"/>
  <c r="F37"/>
  <c r="Q30"/>
  <c r="N30"/>
  <c r="K30"/>
  <c r="H30"/>
  <c r="E30"/>
  <c r="S28"/>
  <c r="U28" s="1"/>
  <c r="R28"/>
  <c r="O28"/>
  <c r="L28"/>
  <c r="I28"/>
  <c r="F28"/>
  <c r="S29"/>
  <c r="U29" s="1"/>
  <c r="R29"/>
  <c r="O29"/>
  <c r="L29"/>
  <c r="I29"/>
  <c r="F29"/>
  <c r="S27"/>
  <c r="U27" s="1"/>
  <c r="R27"/>
  <c r="O27"/>
  <c r="L27"/>
  <c r="T27" s="1"/>
  <c r="I27"/>
  <c r="F27"/>
  <c r="S26"/>
  <c r="U26" s="1"/>
  <c r="R26"/>
  <c r="O26"/>
  <c r="L26"/>
  <c r="I26"/>
  <c r="F26"/>
  <c r="S25"/>
  <c r="U25" s="1"/>
  <c r="R25"/>
  <c r="O25"/>
  <c r="L25"/>
  <c r="T25" s="1"/>
  <c r="I25"/>
  <c r="F25"/>
  <c r="V25" s="1"/>
  <c r="Q15"/>
  <c r="N15"/>
  <c r="K15"/>
  <c r="H15"/>
  <c r="E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Q182"/>
  <c r="N182"/>
  <c r="K182"/>
  <c r="H182"/>
  <c r="E182"/>
  <c r="S181"/>
  <c r="U181" s="1"/>
  <c r="R181"/>
  <c r="O181"/>
  <c r="L181"/>
  <c r="I181"/>
  <c r="F181"/>
  <c r="H30" i="102"/>
  <c r="Q35"/>
  <c r="N35"/>
  <c r="K35"/>
  <c r="H35"/>
  <c r="E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H6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R7"/>
  <c r="O7"/>
  <c r="L7"/>
  <c r="I7"/>
  <c r="F7"/>
  <c r="Q12"/>
  <c r="N12"/>
  <c r="K12"/>
  <c r="H12"/>
  <c r="E12"/>
  <c r="S11"/>
  <c r="U11" s="1"/>
  <c r="R11"/>
  <c r="O11"/>
  <c r="L11"/>
  <c r="I11"/>
  <c r="F11"/>
  <c r="Q15"/>
  <c r="N15"/>
  <c r="K15"/>
  <c r="H15"/>
  <c r="E15"/>
  <c r="S14"/>
  <c r="U14" s="1"/>
  <c r="R14"/>
  <c r="O14"/>
  <c r="L14"/>
  <c r="I14"/>
  <c r="F14"/>
  <c r="Q115" i="104"/>
  <c r="Q113"/>
  <c r="Q112"/>
  <c r="N201"/>
  <c r="N200"/>
  <c r="S206"/>
  <c r="U206" s="1"/>
  <c r="R206"/>
  <c r="O206"/>
  <c r="L206"/>
  <c r="I206"/>
  <c r="F206"/>
  <c r="S205"/>
  <c r="U205" s="1"/>
  <c r="R205"/>
  <c r="O205"/>
  <c r="L205"/>
  <c r="I205"/>
  <c r="F205"/>
  <c r="S204"/>
  <c r="U204" s="1"/>
  <c r="R204"/>
  <c r="O204"/>
  <c r="L204"/>
  <c r="I204"/>
  <c r="F204"/>
  <c r="S203"/>
  <c r="U203" s="1"/>
  <c r="R203"/>
  <c r="O203"/>
  <c r="L203"/>
  <c r="I203"/>
  <c r="F203"/>
  <c r="S202"/>
  <c r="U202" s="1"/>
  <c r="R202"/>
  <c r="O202"/>
  <c r="L202"/>
  <c r="I202"/>
  <c r="F202"/>
  <c r="S201"/>
  <c r="U201" s="1"/>
  <c r="R201"/>
  <c r="O201"/>
  <c r="L201"/>
  <c r="I201"/>
  <c r="F201"/>
  <c r="N74"/>
  <c r="R110"/>
  <c r="O110"/>
  <c r="O109"/>
  <c r="O108"/>
  <c r="R109"/>
  <c r="R108"/>
  <c r="R107"/>
  <c r="R106"/>
  <c r="R105"/>
  <c r="S110" i="116"/>
  <c r="U110" s="1"/>
  <c r="R110"/>
  <c r="O110"/>
  <c r="L110"/>
  <c r="I110"/>
  <c r="F110"/>
  <c r="S109"/>
  <c r="U109" s="1"/>
  <c r="U111" s="1"/>
  <c r="R109"/>
  <c r="O109"/>
  <c r="L109"/>
  <c r="I109"/>
  <c r="F109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U108" s="1"/>
  <c r="R105"/>
  <c r="O105"/>
  <c r="L105"/>
  <c r="I105"/>
  <c r="F105"/>
  <c r="S103"/>
  <c r="U103" s="1"/>
  <c r="R103"/>
  <c r="O103"/>
  <c r="L103"/>
  <c r="I103"/>
  <c r="F103"/>
  <c r="S102"/>
  <c r="U102" s="1"/>
  <c r="U104" s="1"/>
  <c r="R102"/>
  <c r="R104" s="1"/>
  <c r="O102"/>
  <c r="L102"/>
  <c r="I102"/>
  <c r="F102"/>
  <c r="S100"/>
  <c r="U100" s="1"/>
  <c r="R100"/>
  <c r="O100"/>
  <c r="L100"/>
  <c r="I100"/>
  <c r="F100"/>
  <c r="S99"/>
  <c r="U99" s="1"/>
  <c r="R99"/>
  <c r="O99"/>
  <c r="L99"/>
  <c r="I99"/>
  <c r="F99"/>
  <c r="S98"/>
  <c r="U98" s="1"/>
  <c r="R98"/>
  <c r="O98"/>
  <c r="L98"/>
  <c r="I98"/>
  <c r="F98"/>
  <c r="S97"/>
  <c r="U97" s="1"/>
  <c r="U101" s="1"/>
  <c r="R97"/>
  <c r="R101" s="1"/>
  <c r="O97"/>
  <c r="L97"/>
  <c r="I97"/>
  <c r="F97"/>
  <c r="S95"/>
  <c r="U95" s="1"/>
  <c r="R95"/>
  <c r="O95"/>
  <c r="L95"/>
  <c r="I95"/>
  <c r="F95"/>
  <c r="S94"/>
  <c r="U94" s="1"/>
  <c r="U96" s="1"/>
  <c r="R94"/>
  <c r="R96" s="1"/>
  <c r="O94"/>
  <c r="L94"/>
  <c r="I94"/>
  <c r="F94"/>
  <c r="S92"/>
  <c r="U92" s="1"/>
  <c r="U93" s="1"/>
  <c r="R92"/>
  <c r="O92"/>
  <c r="L92"/>
  <c r="I92"/>
  <c r="F92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U91" s="1"/>
  <c r="R86"/>
  <c r="O86"/>
  <c r="L86"/>
  <c r="I86"/>
  <c r="F86"/>
  <c r="S84"/>
  <c r="U84" s="1"/>
  <c r="U85" s="1"/>
  <c r="R84"/>
  <c r="O84"/>
  <c r="L84"/>
  <c r="I84"/>
  <c r="F84"/>
  <c r="S82"/>
  <c r="U82" s="1"/>
  <c r="U83" s="1"/>
  <c r="R82"/>
  <c r="O82"/>
  <c r="L82"/>
  <c r="I82"/>
  <c r="F82"/>
  <c r="S80"/>
  <c r="U80" s="1"/>
  <c r="R80"/>
  <c r="O80"/>
  <c r="L80"/>
  <c r="I80"/>
  <c r="F80"/>
  <c r="S79"/>
  <c r="U79" s="1"/>
  <c r="R79"/>
  <c r="O79"/>
  <c r="L79"/>
  <c r="I79"/>
  <c r="F79"/>
  <c r="S78"/>
  <c r="U78" s="1"/>
  <c r="U81" s="1"/>
  <c r="R78"/>
  <c r="O78"/>
  <c r="L78"/>
  <c r="I78"/>
  <c r="F78"/>
  <c r="S76"/>
  <c r="U76" s="1"/>
  <c r="R76"/>
  <c r="O76"/>
  <c r="L76"/>
  <c r="I76"/>
  <c r="F76"/>
  <c r="S75"/>
  <c r="U75" s="1"/>
  <c r="R75"/>
  <c r="O75"/>
  <c r="L75"/>
  <c r="I75"/>
  <c r="F75"/>
  <c r="S74"/>
  <c r="U74" s="1"/>
  <c r="U77" s="1"/>
  <c r="R74"/>
  <c r="R77" s="1"/>
  <c r="O74"/>
  <c r="L74"/>
  <c r="I74"/>
  <c r="F74"/>
  <c r="S72"/>
  <c r="U72" s="1"/>
  <c r="R72"/>
  <c r="O72"/>
  <c r="L72"/>
  <c r="I72"/>
  <c r="F72"/>
  <c r="S71"/>
  <c r="U71" s="1"/>
  <c r="R71"/>
  <c r="O71"/>
  <c r="L71"/>
  <c r="I71"/>
  <c r="F71"/>
  <c r="S70"/>
  <c r="U70" s="1"/>
  <c r="U73" s="1"/>
  <c r="R70"/>
  <c r="R73" s="1"/>
  <c r="O70"/>
  <c r="L70"/>
  <c r="I70"/>
  <c r="F70"/>
  <c r="S68"/>
  <c r="U68" s="1"/>
  <c r="U69" s="1"/>
  <c r="R68"/>
  <c r="R69" s="1"/>
  <c r="O68"/>
  <c r="L68"/>
  <c r="I68"/>
  <c r="F68"/>
  <c r="S66"/>
  <c r="U66" s="1"/>
  <c r="R66"/>
  <c r="O66"/>
  <c r="L66"/>
  <c r="I66"/>
  <c r="F66"/>
  <c r="S65"/>
  <c r="U65" s="1"/>
  <c r="R65"/>
  <c r="R67" s="1"/>
  <c r="O65"/>
  <c r="L65"/>
  <c r="I65"/>
  <c r="F65"/>
  <c r="S63"/>
  <c r="U63" s="1"/>
  <c r="U64" s="1"/>
  <c r="R63"/>
  <c r="O63"/>
  <c r="L63"/>
  <c r="I63"/>
  <c r="F63"/>
  <c r="S61"/>
  <c r="U61" s="1"/>
  <c r="R61"/>
  <c r="O61"/>
  <c r="L61"/>
  <c r="I61"/>
  <c r="F61"/>
  <c r="S60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U62" s="1"/>
  <c r="R57"/>
  <c r="O57"/>
  <c r="L57"/>
  <c r="I57"/>
  <c r="I62" s="1"/>
  <c r="F57"/>
  <c r="S55"/>
  <c r="U55" s="1"/>
  <c r="R55"/>
  <c r="O55"/>
  <c r="L55"/>
  <c r="I55"/>
  <c r="F55"/>
  <c r="S54"/>
  <c r="U54" s="1"/>
  <c r="R54"/>
  <c r="O54"/>
  <c r="L54"/>
  <c r="I54"/>
  <c r="F54"/>
  <c r="S53"/>
  <c r="U53" s="1"/>
  <c r="U56" s="1"/>
  <c r="R53"/>
  <c r="O53"/>
  <c r="L53"/>
  <c r="L56" s="1"/>
  <c r="I53"/>
  <c r="F53"/>
  <c r="S51"/>
  <c r="U51" s="1"/>
  <c r="R51"/>
  <c r="O51"/>
  <c r="L51"/>
  <c r="I51"/>
  <c r="F51"/>
  <c r="S50"/>
  <c r="U50" s="1"/>
  <c r="U52" s="1"/>
  <c r="R50"/>
  <c r="O50"/>
  <c r="L50"/>
  <c r="I50"/>
  <c r="F50"/>
  <c r="S48"/>
  <c r="U48" s="1"/>
  <c r="R48"/>
  <c r="O48"/>
  <c r="L48"/>
  <c r="I48"/>
  <c r="F48"/>
  <c r="S47"/>
  <c r="U47" s="1"/>
  <c r="R47"/>
  <c r="O47"/>
  <c r="O49" s="1"/>
  <c r="L47"/>
  <c r="I47"/>
  <c r="F47"/>
  <c r="S43"/>
  <c r="U43" s="1"/>
  <c r="R43"/>
  <c r="O43"/>
  <c r="L43"/>
  <c r="I43"/>
  <c r="F43"/>
  <c r="S42"/>
  <c r="U42" s="1"/>
  <c r="R42"/>
  <c r="O42"/>
  <c r="L42"/>
  <c r="I42"/>
  <c r="F42"/>
  <c r="S40"/>
  <c r="U40" s="1"/>
  <c r="R40"/>
  <c r="O40"/>
  <c r="L40"/>
  <c r="I40"/>
  <c r="F40"/>
  <c r="S39"/>
  <c r="U39" s="1"/>
  <c r="R39"/>
  <c r="O39"/>
  <c r="L39"/>
  <c r="I39"/>
  <c r="F39"/>
  <c r="S38"/>
  <c r="U38" s="1"/>
  <c r="U41" s="1"/>
  <c r="R38"/>
  <c r="R41" s="1"/>
  <c r="O38"/>
  <c r="O41" s="1"/>
  <c r="L38"/>
  <c r="I38"/>
  <c r="F38"/>
  <c r="S36"/>
  <c r="U36" s="1"/>
  <c r="U37" s="1"/>
  <c r="R36"/>
  <c r="R37" s="1"/>
  <c r="O36"/>
  <c r="O37" s="1"/>
  <c r="L36"/>
  <c r="I36"/>
  <c r="F36"/>
  <c r="S34"/>
  <c r="U34" s="1"/>
  <c r="R34"/>
  <c r="O34"/>
  <c r="L34"/>
  <c r="I34"/>
  <c r="F34"/>
  <c r="S33"/>
  <c r="U33" s="1"/>
  <c r="U35" s="1"/>
  <c r="R33"/>
  <c r="R35" s="1"/>
  <c r="O33"/>
  <c r="L33"/>
  <c r="I33"/>
  <c r="F33"/>
  <c r="S31"/>
  <c r="U31" s="1"/>
  <c r="R31"/>
  <c r="O31"/>
  <c r="L31"/>
  <c r="I31"/>
  <c r="F31"/>
  <c r="S30"/>
  <c r="U30" s="1"/>
  <c r="U32" s="1"/>
  <c r="R30"/>
  <c r="R32" s="1"/>
  <c r="O30"/>
  <c r="L30"/>
  <c r="I30"/>
  <c r="F30"/>
  <c r="S28"/>
  <c r="U28" s="1"/>
  <c r="R28"/>
  <c r="O28"/>
  <c r="L28"/>
  <c r="I28"/>
  <c r="F28"/>
  <c r="S27"/>
  <c r="U27" s="1"/>
  <c r="U29" s="1"/>
  <c r="R27"/>
  <c r="O27"/>
  <c r="L27"/>
  <c r="I27"/>
  <c r="F27"/>
  <c r="S25"/>
  <c r="U25" s="1"/>
  <c r="U26" s="1"/>
  <c r="R25"/>
  <c r="O25"/>
  <c r="O26" s="1"/>
  <c r="L25"/>
  <c r="L26" s="1"/>
  <c r="I25"/>
  <c r="F25"/>
  <c r="F26" s="1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U24" s="1"/>
  <c r="R20"/>
  <c r="R24" s="1"/>
  <c r="O20"/>
  <c r="L20"/>
  <c r="L24" s="1"/>
  <c r="I20"/>
  <c r="F20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U19" s="1"/>
  <c r="R11"/>
  <c r="R19" s="1"/>
  <c r="O11"/>
  <c r="L11"/>
  <c r="L19" s="1"/>
  <c r="I11"/>
  <c r="F11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0" s="1"/>
  <c r="R6"/>
  <c r="R10" s="1"/>
  <c r="O6"/>
  <c r="L6"/>
  <c r="I6"/>
  <c r="F6"/>
  <c r="S111"/>
  <c r="S108"/>
  <c r="S104"/>
  <c r="S101"/>
  <c r="S96"/>
  <c r="S93"/>
  <c r="S91"/>
  <c r="S83"/>
  <c r="S77"/>
  <c r="S73"/>
  <c r="S67"/>
  <c r="S52"/>
  <c r="S35"/>
  <c r="S32"/>
  <c r="S29"/>
  <c r="S24"/>
  <c r="R111"/>
  <c r="Q111"/>
  <c r="R108"/>
  <c r="Q108"/>
  <c r="Q104"/>
  <c r="Q101"/>
  <c r="Q96"/>
  <c r="R93"/>
  <c r="Q93"/>
  <c r="R91"/>
  <c r="Q91"/>
  <c r="R85"/>
  <c r="Q85"/>
  <c r="R83"/>
  <c r="Q83"/>
  <c r="Q81"/>
  <c r="Q77"/>
  <c r="Q73"/>
  <c r="Q69"/>
  <c r="Q67"/>
  <c r="R64"/>
  <c r="Q64"/>
  <c r="R62"/>
  <c r="Q62"/>
  <c r="R56"/>
  <c r="Q56"/>
  <c r="R52"/>
  <c r="Q52"/>
  <c r="R49"/>
  <c r="Q49"/>
  <c r="Q41"/>
  <c r="Q37"/>
  <c r="Q35"/>
  <c r="Q32"/>
  <c r="R29"/>
  <c r="Q29"/>
  <c r="R26"/>
  <c r="Q26"/>
  <c r="Q24"/>
  <c r="Q19"/>
  <c r="Q10"/>
  <c r="O111"/>
  <c r="N111"/>
  <c r="O108"/>
  <c r="N108"/>
  <c r="O104"/>
  <c r="N104"/>
  <c r="O101"/>
  <c r="N101"/>
  <c r="N96"/>
  <c r="O93"/>
  <c r="N93"/>
  <c r="O91"/>
  <c r="N91"/>
  <c r="O85"/>
  <c r="N85"/>
  <c r="O83"/>
  <c r="N83"/>
  <c r="O81"/>
  <c r="N81"/>
  <c r="O77"/>
  <c r="N77"/>
  <c r="O73"/>
  <c r="N73"/>
  <c r="O69"/>
  <c r="N69"/>
  <c r="O67"/>
  <c r="N67"/>
  <c r="O64"/>
  <c r="N64"/>
  <c r="O62"/>
  <c r="N62"/>
  <c r="O56"/>
  <c r="N56"/>
  <c r="O52"/>
  <c r="N52"/>
  <c r="N49"/>
  <c r="N41"/>
  <c r="N37"/>
  <c r="O35"/>
  <c r="N35"/>
  <c r="N32"/>
  <c r="O29"/>
  <c r="N29"/>
  <c r="N26"/>
  <c r="O24"/>
  <c r="N24"/>
  <c r="N19"/>
  <c r="N10"/>
  <c r="L111"/>
  <c r="K111"/>
  <c r="L108"/>
  <c r="K108"/>
  <c r="L104"/>
  <c r="K104"/>
  <c r="L101"/>
  <c r="K101"/>
  <c r="L96"/>
  <c r="K96"/>
  <c r="L93"/>
  <c r="K93"/>
  <c r="L91"/>
  <c r="K91"/>
  <c r="L85"/>
  <c r="K85"/>
  <c r="L83"/>
  <c r="K83"/>
  <c r="L81"/>
  <c r="K81"/>
  <c r="L77"/>
  <c r="K77"/>
  <c r="L73"/>
  <c r="K73"/>
  <c r="L69"/>
  <c r="K69"/>
  <c r="L67"/>
  <c r="K67"/>
  <c r="L64"/>
  <c r="K64"/>
  <c r="K62"/>
  <c r="K56"/>
  <c r="K52"/>
  <c r="L49"/>
  <c r="K49"/>
  <c r="L41"/>
  <c r="K41"/>
  <c r="L37"/>
  <c r="K37"/>
  <c r="L35"/>
  <c r="K35"/>
  <c r="L32"/>
  <c r="K32"/>
  <c r="K29"/>
  <c r="K26"/>
  <c r="K24"/>
  <c r="K19"/>
  <c r="K10"/>
  <c r="I111"/>
  <c r="H111"/>
  <c r="I108"/>
  <c r="H108"/>
  <c r="I104"/>
  <c r="H104"/>
  <c r="I101"/>
  <c r="H101"/>
  <c r="I96"/>
  <c r="H96"/>
  <c r="I93"/>
  <c r="H93"/>
  <c r="I91"/>
  <c r="H91"/>
  <c r="I85"/>
  <c r="H85"/>
  <c r="I83"/>
  <c r="H83"/>
  <c r="I81"/>
  <c r="H81"/>
  <c r="I77"/>
  <c r="H77"/>
  <c r="I73"/>
  <c r="H73"/>
  <c r="I69"/>
  <c r="H69"/>
  <c r="I67"/>
  <c r="H67"/>
  <c r="I64"/>
  <c r="H64"/>
  <c r="H62"/>
  <c r="I56"/>
  <c r="H56"/>
  <c r="H52"/>
  <c r="H49"/>
  <c r="I41"/>
  <c r="H41"/>
  <c r="H37"/>
  <c r="I35"/>
  <c r="H35"/>
  <c r="I32"/>
  <c r="H32"/>
  <c r="I29"/>
  <c r="H29"/>
  <c r="I26"/>
  <c r="H26"/>
  <c r="H24"/>
  <c r="H19"/>
  <c r="H10"/>
  <c r="F111"/>
  <c r="E111"/>
  <c r="F108"/>
  <c r="E108"/>
  <c r="F104"/>
  <c r="E104"/>
  <c r="F101"/>
  <c r="E101"/>
  <c r="F96"/>
  <c r="E96"/>
  <c r="F93"/>
  <c r="E93"/>
  <c r="F91"/>
  <c r="E91"/>
  <c r="F85"/>
  <c r="E85"/>
  <c r="F83"/>
  <c r="E83"/>
  <c r="F81"/>
  <c r="E81"/>
  <c r="F77"/>
  <c r="E77"/>
  <c r="F73"/>
  <c r="E73"/>
  <c r="F69"/>
  <c r="E69"/>
  <c r="F67"/>
  <c r="E67"/>
  <c r="F64"/>
  <c r="E64"/>
  <c r="F62"/>
  <c r="E62"/>
  <c r="F56"/>
  <c r="E56"/>
  <c r="F52"/>
  <c r="E52"/>
  <c r="F49"/>
  <c r="E49"/>
  <c r="F41"/>
  <c r="E41"/>
  <c r="F37"/>
  <c r="E37"/>
  <c r="F35"/>
  <c r="E35"/>
  <c r="F32"/>
  <c r="E32"/>
  <c r="E29"/>
  <c r="E26"/>
  <c r="E24"/>
  <c r="F19"/>
  <c r="E19"/>
  <c r="E10"/>
  <c r="V27" i="105" l="1"/>
  <c r="V39"/>
  <c r="V81"/>
  <c r="V101"/>
  <c r="V103"/>
  <c r="V114"/>
  <c r="I30" i="119"/>
  <c r="O30"/>
  <c r="R35"/>
  <c r="F53"/>
  <c r="L53"/>
  <c r="R53"/>
  <c r="I68"/>
  <c r="O68"/>
  <c r="F79"/>
  <c r="L79"/>
  <c r="R79"/>
  <c r="T7" i="116"/>
  <c r="T9"/>
  <c r="T12"/>
  <c r="T14"/>
  <c r="T16"/>
  <c r="T18"/>
  <c r="T21"/>
  <c r="T23"/>
  <c r="T25"/>
  <c r="T26" s="1"/>
  <c r="T28"/>
  <c r="T31"/>
  <c r="T33"/>
  <c r="T35" s="1"/>
  <c r="T34"/>
  <c r="T36"/>
  <c r="T37" s="1"/>
  <c r="T38"/>
  <c r="T40"/>
  <c r="T43"/>
  <c r="T47"/>
  <c r="T48"/>
  <c r="T51"/>
  <c r="T53"/>
  <c r="T55"/>
  <c r="T57"/>
  <c r="T59"/>
  <c r="T61"/>
  <c r="V61" s="1"/>
  <c r="T63"/>
  <c r="T64" s="1"/>
  <c r="T66"/>
  <c r="T68"/>
  <c r="T69" s="1"/>
  <c r="T70"/>
  <c r="T72"/>
  <c r="T74"/>
  <c r="T76"/>
  <c r="T78"/>
  <c r="T80"/>
  <c r="T82"/>
  <c r="T83" s="1"/>
  <c r="T84"/>
  <c r="T85" s="1"/>
  <c r="T86"/>
  <c r="T88"/>
  <c r="T90"/>
  <c r="T92"/>
  <c r="T93" s="1"/>
  <c r="T95"/>
  <c r="T98"/>
  <c r="T100"/>
  <c r="T103"/>
  <c r="T105"/>
  <c r="T8" i="102"/>
  <c r="V8" s="1"/>
  <c r="T10"/>
  <c r="T181" i="105"/>
  <c r="V12"/>
  <c r="T12"/>
  <c r="V14"/>
  <c r="T14"/>
  <c r="T28"/>
  <c r="V28" s="1"/>
  <c r="T37"/>
  <c r="T100"/>
  <c r="V100" s="1"/>
  <c r="T111"/>
  <c r="T135"/>
  <c r="V135" s="1"/>
  <c r="T137"/>
  <c r="V137" s="1"/>
  <c r="T139"/>
  <c r="V139" s="1"/>
  <c r="V41" i="96"/>
  <c r="T41"/>
  <c r="T3" i="118"/>
  <c r="I46"/>
  <c r="O46"/>
  <c r="H46"/>
  <c r="K46"/>
  <c r="O7"/>
  <c r="F31"/>
  <c r="L31"/>
  <c r="R31"/>
  <c r="T3" i="119"/>
  <c r="V3" s="1"/>
  <c r="E86"/>
  <c r="K86"/>
  <c r="Q86"/>
  <c r="T9"/>
  <c r="V9" s="1"/>
  <c r="O13"/>
  <c r="T11"/>
  <c r="V11" s="1"/>
  <c r="T15"/>
  <c r="V15" s="1"/>
  <c r="T19"/>
  <c r="V19" s="1"/>
  <c r="S20"/>
  <c r="T21"/>
  <c r="V21" s="1"/>
  <c r="T25"/>
  <c r="V25" s="1"/>
  <c r="V26" s="1"/>
  <c r="V27"/>
  <c r="T27"/>
  <c r="V29"/>
  <c r="T29"/>
  <c r="T33"/>
  <c r="V33" s="1"/>
  <c r="T41"/>
  <c r="V41" s="1"/>
  <c r="F50"/>
  <c r="L50"/>
  <c r="R50"/>
  <c r="V49"/>
  <c r="T49"/>
  <c r="F56"/>
  <c r="L56"/>
  <c r="R56"/>
  <c r="T59"/>
  <c r="V59" s="1"/>
  <c r="T61"/>
  <c r="V61" s="1"/>
  <c r="T65"/>
  <c r="V65" s="1"/>
  <c r="T67"/>
  <c r="V67" s="1"/>
  <c r="T71"/>
  <c r="V71" s="1"/>
  <c r="T73"/>
  <c r="V73" s="1"/>
  <c r="T75"/>
  <c r="V75" s="1"/>
  <c r="T77"/>
  <c r="V77" s="1"/>
  <c r="T81"/>
  <c r="V81" s="1"/>
  <c r="T83"/>
  <c r="V83" s="1"/>
  <c r="V37" i="105"/>
  <c r="V38"/>
  <c r="V77"/>
  <c r="V79"/>
  <c r="V112"/>
  <c r="T7" i="120"/>
  <c r="V7" s="1"/>
  <c r="T9"/>
  <c r="V9" s="1"/>
  <c r="T3"/>
  <c r="T8"/>
  <c r="V8" s="1"/>
  <c r="T10"/>
  <c r="L12"/>
  <c r="V10"/>
  <c r="R12"/>
  <c r="V3"/>
  <c r="F12"/>
  <c r="U6"/>
  <c r="U11" s="1"/>
  <c r="S12"/>
  <c r="T6"/>
  <c r="V16" i="119"/>
  <c r="T23"/>
  <c r="V22"/>
  <c r="V42"/>
  <c r="V48"/>
  <c r="V66"/>
  <c r="V82"/>
  <c r="V84"/>
  <c r="U6"/>
  <c r="S7"/>
  <c r="F13"/>
  <c r="I13"/>
  <c r="T18"/>
  <c r="T20" s="1"/>
  <c r="V18"/>
  <c r="U19"/>
  <c r="U20" s="1"/>
  <c r="S23"/>
  <c r="S26"/>
  <c r="F30"/>
  <c r="L30"/>
  <c r="F35"/>
  <c r="L35"/>
  <c r="U36"/>
  <c r="U37" s="1"/>
  <c r="T6"/>
  <c r="V6" s="1"/>
  <c r="F7"/>
  <c r="I7"/>
  <c r="I86" s="1"/>
  <c r="L7"/>
  <c r="O7"/>
  <c r="O86" s="1"/>
  <c r="R7"/>
  <c r="R86" s="1"/>
  <c r="U8"/>
  <c r="U13" s="1"/>
  <c r="T14"/>
  <c r="T17" s="1"/>
  <c r="F23"/>
  <c r="L23"/>
  <c r="F26"/>
  <c r="L26"/>
  <c r="U27"/>
  <c r="U30" s="1"/>
  <c r="T28"/>
  <c r="V28" s="1"/>
  <c r="V30" s="1"/>
  <c r="T31"/>
  <c r="T35" s="1"/>
  <c r="S35"/>
  <c r="T36"/>
  <c r="T37" s="1"/>
  <c r="V36"/>
  <c r="V37" s="1"/>
  <c r="U38"/>
  <c r="U39" s="1"/>
  <c r="T40"/>
  <c r="T43" s="1"/>
  <c r="U44"/>
  <c r="U45" s="1"/>
  <c r="T46"/>
  <c r="S50"/>
  <c r="T51"/>
  <c r="S53"/>
  <c r="T54"/>
  <c r="S56"/>
  <c r="T57"/>
  <c r="T62" s="1"/>
  <c r="U63"/>
  <c r="U68" s="1"/>
  <c r="T64"/>
  <c r="V64" s="1"/>
  <c r="T69"/>
  <c r="V69" s="1"/>
  <c r="S79"/>
  <c r="T80"/>
  <c r="T85" s="1"/>
  <c r="T8"/>
  <c r="T13" s="1"/>
  <c r="U14"/>
  <c r="U17" s="1"/>
  <c r="T38"/>
  <c r="T39" s="1"/>
  <c r="U40"/>
  <c r="U43" s="1"/>
  <c r="T44"/>
  <c r="T45" s="1"/>
  <c r="T47"/>
  <c r="V47" s="1"/>
  <c r="T52"/>
  <c r="V52" s="1"/>
  <c r="T55"/>
  <c r="V55" s="1"/>
  <c r="U57"/>
  <c r="U62" s="1"/>
  <c r="T63"/>
  <c r="V63"/>
  <c r="T70"/>
  <c r="V70"/>
  <c r="U80"/>
  <c r="U85" s="1"/>
  <c r="V3" i="118"/>
  <c r="U6"/>
  <c r="S7"/>
  <c r="T8"/>
  <c r="T9" s="1"/>
  <c r="U10"/>
  <c r="U11" s="1"/>
  <c r="T12"/>
  <c r="T13" s="1"/>
  <c r="V12"/>
  <c r="V13" s="1"/>
  <c r="U14"/>
  <c r="U15" s="1"/>
  <c r="T16"/>
  <c r="T17" s="1"/>
  <c r="U18"/>
  <c r="U19" s="1"/>
  <c r="T20"/>
  <c r="T21" s="1"/>
  <c r="U22"/>
  <c r="U23" s="1"/>
  <c r="T24"/>
  <c r="T25" s="1"/>
  <c r="U26"/>
  <c r="U27" s="1"/>
  <c r="T28"/>
  <c r="S31"/>
  <c r="S46" s="1"/>
  <c r="T32"/>
  <c r="T33" s="1"/>
  <c r="V32"/>
  <c r="V33" s="1"/>
  <c r="U34"/>
  <c r="U35" s="1"/>
  <c r="T36"/>
  <c r="T37" s="1"/>
  <c r="U38"/>
  <c r="U39" s="1"/>
  <c r="T40"/>
  <c r="T41" s="1"/>
  <c r="U42"/>
  <c r="U43" s="1"/>
  <c r="T44"/>
  <c r="T45" s="1"/>
  <c r="F46"/>
  <c r="L46"/>
  <c r="R46"/>
  <c r="T6"/>
  <c r="V6"/>
  <c r="U8"/>
  <c r="U9" s="1"/>
  <c r="T10"/>
  <c r="T11" s="1"/>
  <c r="U12"/>
  <c r="U13" s="1"/>
  <c r="T14"/>
  <c r="T15" s="1"/>
  <c r="U16"/>
  <c r="U17" s="1"/>
  <c r="T18"/>
  <c r="T19" s="1"/>
  <c r="U20"/>
  <c r="U21" s="1"/>
  <c r="T22"/>
  <c r="T23" s="1"/>
  <c r="V22"/>
  <c r="V23" s="1"/>
  <c r="U24"/>
  <c r="U25" s="1"/>
  <c r="T26"/>
  <c r="T27" s="1"/>
  <c r="T30"/>
  <c r="V30" s="1"/>
  <c r="U32"/>
  <c r="U33" s="1"/>
  <c r="T34"/>
  <c r="T35" s="1"/>
  <c r="U36"/>
  <c r="U37" s="1"/>
  <c r="T38"/>
  <c r="T39" s="1"/>
  <c r="U40"/>
  <c r="U41" s="1"/>
  <c r="T42"/>
  <c r="T43" s="1"/>
  <c r="U44"/>
  <c r="U45" s="1"/>
  <c r="T3" i="117"/>
  <c r="V3" s="1"/>
  <c r="F8"/>
  <c r="F26" s="1"/>
  <c r="L8"/>
  <c r="R8"/>
  <c r="E26"/>
  <c r="K26"/>
  <c r="Q26"/>
  <c r="F19"/>
  <c r="L19"/>
  <c r="R19"/>
  <c r="R26"/>
  <c r="T6"/>
  <c r="S8"/>
  <c r="T9"/>
  <c r="T10" s="1"/>
  <c r="V9"/>
  <c r="V10" s="1"/>
  <c r="U11"/>
  <c r="U12" s="1"/>
  <c r="T13"/>
  <c r="T14" s="1"/>
  <c r="U15"/>
  <c r="U16" s="1"/>
  <c r="T17"/>
  <c r="S19"/>
  <c r="T20"/>
  <c r="T21" s="1"/>
  <c r="U22"/>
  <c r="U23" s="1"/>
  <c r="T24"/>
  <c r="T25" s="1"/>
  <c r="I26"/>
  <c r="O26"/>
  <c r="U6"/>
  <c r="T7"/>
  <c r="V7" s="1"/>
  <c r="U9"/>
  <c r="U10" s="1"/>
  <c r="T11"/>
  <c r="T12" s="1"/>
  <c r="U13"/>
  <c r="U14" s="1"/>
  <c r="T15"/>
  <c r="T16" s="1"/>
  <c r="T18"/>
  <c r="V18" s="1"/>
  <c r="U20"/>
  <c r="U21" s="1"/>
  <c r="T22"/>
  <c r="T23" s="1"/>
  <c r="U24"/>
  <c r="U25" s="1"/>
  <c r="T146" i="105"/>
  <c r="V146" s="1"/>
  <c r="V145"/>
  <c r="T144"/>
  <c r="V144"/>
  <c r="T140"/>
  <c r="V140"/>
  <c r="V138"/>
  <c r="T136"/>
  <c r="V136" s="1"/>
  <c r="T124"/>
  <c r="V124" s="1"/>
  <c r="T123"/>
  <c r="T125"/>
  <c r="V123"/>
  <c r="V125"/>
  <c r="V111"/>
  <c r="T113"/>
  <c r="T115"/>
  <c r="V113"/>
  <c r="V115"/>
  <c r="T107"/>
  <c r="V107" s="1"/>
  <c r="T104"/>
  <c r="T106"/>
  <c r="V104"/>
  <c r="V106"/>
  <c r="T102"/>
  <c r="V102" s="1"/>
  <c r="T78"/>
  <c r="V78" s="1"/>
  <c r="T80"/>
  <c r="V80" s="1"/>
  <c r="T82"/>
  <c r="V82"/>
  <c r="T40"/>
  <c r="V40"/>
  <c r="T42"/>
  <c r="T44"/>
  <c r="V42"/>
  <c r="V44"/>
  <c r="T26"/>
  <c r="T29"/>
  <c r="V26"/>
  <c r="V29"/>
  <c r="T10"/>
  <c r="V10" s="1"/>
  <c r="T8"/>
  <c r="T7"/>
  <c r="T9"/>
  <c r="T11"/>
  <c r="T13"/>
  <c r="V7"/>
  <c r="V9"/>
  <c r="V11"/>
  <c r="V13"/>
  <c r="V8"/>
  <c r="V181"/>
  <c r="T34" i="102"/>
  <c r="V34" s="1"/>
  <c r="T32"/>
  <c r="V32" s="1"/>
  <c r="T31"/>
  <c r="T33"/>
  <c r="V31"/>
  <c r="V33"/>
  <c r="T9"/>
  <c r="V9" s="1"/>
  <c r="T7"/>
  <c r="V7" s="1"/>
  <c r="V10"/>
  <c r="U7"/>
  <c r="T11"/>
  <c r="V11"/>
  <c r="T14"/>
  <c r="T201" i="104"/>
  <c r="V201" s="1"/>
  <c r="T203"/>
  <c r="V203" s="1"/>
  <c r="T205"/>
  <c r="V205" s="1"/>
  <c r="T202"/>
  <c r="T204"/>
  <c r="V204" s="1"/>
  <c r="T206"/>
  <c r="V202"/>
  <c r="V206"/>
  <c r="T107" i="116"/>
  <c r="T110"/>
  <c r="S10"/>
  <c r="O10"/>
  <c r="O19"/>
  <c r="O32"/>
  <c r="O96"/>
  <c r="E112"/>
  <c r="S19"/>
  <c r="T6"/>
  <c r="V7"/>
  <c r="T8"/>
  <c r="V8" s="1"/>
  <c r="V9"/>
  <c r="T11"/>
  <c r="V12"/>
  <c r="T13"/>
  <c r="V13" s="1"/>
  <c r="V14"/>
  <c r="T15"/>
  <c r="V15" s="1"/>
  <c r="V16"/>
  <c r="T17"/>
  <c r="V17" s="1"/>
  <c r="V18"/>
  <c r="T20"/>
  <c r="V21"/>
  <c r="T22"/>
  <c r="V22" s="1"/>
  <c r="V23"/>
  <c r="V25"/>
  <c r="V26" s="1"/>
  <c r="T27"/>
  <c r="T29" s="1"/>
  <c r="V28"/>
  <c r="T30"/>
  <c r="T32" s="1"/>
  <c r="V31"/>
  <c r="V33"/>
  <c r="V34"/>
  <c r="V36"/>
  <c r="V37" s="1"/>
  <c r="V38"/>
  <c r="T39"/>
  <c r="V39" s="1"/>
  <c r="V40"/>
  <c r="T42"/>
  <c r="V43"/>
  <c r="V47"/>
  <c r="V48"/>
  <c r="T50"/>
  <c r="T52" s="1"/>
  <c r="V51"/>
  <c r="V53"/>
  <c r="T54"/>
  <c r="V54" s="1"/>
  <c r="V55"/>
  <c r="V57"/>
  <c r="T58"/>
  <c r="V58" s="1"/>
  <c r="V59"/>
  <c r="T60"/>
  <c r="V60" s="1"/>
  <c r="V63"/>
  <c r="V64" s="1"/>
  <c r="T65"/>
  <c r="V65" s="1"/>
  <c r="V66"/>
  <c r="V68"/>
  <c r="V69" s="1"/>
  <c r="V70"/>
  <c r="T71"/>
  <c r="V71" s="1"/>
  <c r="V72"/>
  <c r="V74"/>
  <c r="T75"/>
  <c r="V75" s="1"/>
  <c r="V76"/>
  <c r="V78"/>
  <c r="T79"/>
  <c r="V79" s="1"/>
  <c r="R81"/>
  <c r="V80"/>
  <c r="V82"/>
  <c r="V83" s="1"/>
  <c r="V84"/>
  <c r="V85" s="1"/>
  <c r="V86"/>
  <c r="T87"/>
  <c r="V87" s="1"/>
  <c r="V88"/>
  <c r="T89"/>
  <c r="V89" s="1"/>
  <c r="V90"/>
  <c r="V92"/>
  <c r="V93" s="1"/>
  <c r="T94"/>
  <c r="T96" s="1"/>
  <c r="V95"/>
  <c r="T97"/>
  <c r="V98"/>
  <c r="T99"/>
  <c r="V99" s="1"/>
  <c r="V100"/>
  <c r="T102"/>
  <c r="T104" s="1"/>
  <c r="V103"/>
  <c r="V105"/>
  <c r="T106"/>
  <c r="V106" s="1"/>
  <c r="V107"/>
  <c r="T109"/>
  <c r="T111" s="1"/>
  <c r="V110"/>
  <c r="T108"/>
  <c r="S85"/>
  <c r="T81"/>
  <c r="S81"/>
  <c r="T77"/>
  <c r="T73"/>
  <c r="S69"/>
  <c r="T67"/>
  <c r="U67"/>
  <c r="S64"/>
  <c r="T62"/>
  <c r="L62"/>
  <c r="S62"/>
  <c r="T56"/>
  <c r="S56"/>
  <c r="I52"/>
  <c r="L52"/>
  <c r="V49"/>
  <c r="T49"/>
  <c r="U49"/>
  <c r="I49"/>
  <c r="S49"/>
  <c r="T41"/>
  <c r="S41"/>
  <c r="I37"/>
  <c r="S37"/>
  <c r="F29"/>
  <c r="L29"/>
  <c r="K112"/>
  <c r="S26"/>
  <c r="F24"/>
  <c r="I24"/>
  <c r="Q112"/>
  <c r="H112"/>
  <c r="I19"/>
  <c r="N112"/>
  <c r="U112"/>
  <c r="O112"/>
  <c r="R112"/>
  <c r="V6"/>
  <c r="F10"/>
  <c r="F112" s="1"/>
  <c r="I10"/>
  <c r="L10"/>
  <c r="V34" i="118" l="1"/>
  <c r="V35" s="1"/>
  <c r="L86" i="119"/>
  <c r="V14"/>
  <c r="V17" s="1"/>
  <c r="V44"/>
  <c r="V45" s="1"/>
  <c r="V31"/>
  <c r="V35" s="1"/>
  <c r="V23"/>
  <c r="T26"/>
  <c r="L26" i="117"/>
  <c r="V42" i="118"/>
  <c r="V43" s="1"/>
  <c r="V14"/>
  <c r="V15" s="1"/>
  <c r="V40"/>
  <c r="V41" s="1"/>
  <c r="V20"/>
  <c r="V21" s="1"/>
  <c r="V80" i="119"/>
  <c r="V85" s="1"/>
  <c r="V57"/>
  <c r="V62" s="1"/>
  <c r="F86"/>
  <c r="V20"/>
  <c r="S86"/>
  <c r="O12" i="120"/>
  <c r="T11"/>
  <c r="I12"/>
  <c r="T12"/>
  <c r="V6"/>
  <c r="V11" s="1"/>
  <c r="U12"/>
  <c r="V12"/>
  <c r="T7" i="119"/>
  <c r="U7"/>
  <c r="U86" s="1"/>
  <c r="V68"/>
  <c r="V79"/>
  <c r="T30"/>
  <c r="T68"/>
  <c r="T79"/>
  <c r="T56"/>
  <c r="T53"/>
  <c r="T50"/>
  <c r="V40"/>
  <c r="V43" s="1"/>
  <c r="V38"/>
  <c r="V39" s="1"/>
  <c r="V51"/>
  <c r="V53" s="1"/>
  <c r="V8"/>
  <c r="V13" s="1"/>
  <c r="V54"/>
  <c r="V56" s="1"/>
  <c r="V46"/>
  <c r="V50" s="1"/>
  <c r="V7"/>
  <c r="V86" s="1"/>
  <c r="U7" i="118"/>
  <c r="U46" s="1"/>
  <c r="T7"/>
  <c r="V38"/>
  <c r="V39" s="1"/>
  <c r="V26"/>
  <c r="V27" s="1"/>
  <c r="V18"/>
  <c r="V19" s="1"/>
  <c r="V10"/>
  <c r="V11" s="1"/>
  <c r="V44"/>
  <c r="V45" s="1"/>
  <c r="V36"/>
  <c r="V37" s="1"/>
  <c r="T31"/>
  <c r="V24"/>
  <c r="V25" s="1"/>
  <c r="V16"/>
  <c r="V17" s="1"/>
  <c r="V8"/>
  <c r="V9" s="1"/>
  <c r="V28"/>
  <c r="V31" s="1"/>
  <c r="V7"/>
  <c r="V15" i="117"/>
  <c r="V16" s="1"/>
  <c r="V20"/>
  <c r="V21" s="1"/>
  <c r="U8"/>
  <c r="U26" s="1"/>
  <c r="T8"/>
  <c r="S26"/>
  <c r="V22"/>
  <c r="V23" s="1"/>
  <c r="V11"/>
  <c r="V12" s="1"/>
  <c r="V24"/>
  <c r="V25" s="1"/>
  <c r="T19"/>
  <c r="V13"/>
  <c r="V14" s="1"/>
  <c r="V6"/>
  <c r="V17"/>
  <c r="V19" s="1"/>
  <c r="V14" i="102"/>
  <c r="T91" i="116"/>
  <c r="V94"/>
  <c r="V73"/>
  <c r="V56"/>
  <c r="V35"/>
  <c r="V10"/>
  <c r="T10"/>
  <c r="V109"/>
  <c r="T101"/>
  <c r="V67"/>
  <c r="V50"/>
  <c r="V27"/>
  <c r="V29" s="1"/>
  <c r="T24"/>
  <c r="V111"/>
  <c r="V108"/>
  <c r="V96"/>
  <c r="V91"/>
  <c r="V52"/>
  <c r="T19"/>
  <c r="T112" s="1"/>
  <c r="V102"/>
  <c r="V104" s="1"/>
  <c r="V97"/>
  <c r="V101" s="1"/>
  <c r="V81"/>
  <c r="V77"/>
  <c r="V62"/>
  <c r="V42"/>
  <c r="V41"/>
  <c r="V30"/>
  <c r="V32" s="1"/>
  <c r="V20"/>
  <c r="V24" s="1"/>
  <c r="V11"/>
  <c r="V19" s="1"/>
  <c r="S112"/>
  <c r="L112"/>
  <c r="I112"/>
  <c r="T46" i="118" l="1"/>
  <c r="V112" i="116"/>
  <c r="T26" i="117"/>
  <c r="V46" i="118"/>
  <c r="T86" i="119"/>
  <c r="V8" i="117"/>
  <c r="V26"/>
  <c r="S3" i="116"/>
  <c r="U3" s="1"/>
  <c r="R3"/>
  <c r="O3"/>
  <c r="L3"/>
  <c r="I3"/>
  <c r="F3"/>
  <c r="P1"/>
  <c r="U2" s="1"/>
  <c r="C1"/>
  <c r="S101" i="115"/>
  <c r="U101" s="1"/>
  <c r="U102" s="1"/>
  <c r="R101"/>
  <c r="O101"/>
  <c r="L101"/>
  <c r="I101"/>
  <c r="T101" s="1"/>
  <c r="T102" s="1"/>
  <c r="F101"/>
  <c r="S99"/>
  <c r="U99" s="1"/>
  <c r="U100" s="1"/>
  <c r="R99"/>
  <c r="O99"/>
  <c r="L99"/>
  <c r="I99"/>
  <c r="T99" s="1"/>
  <c r="T100" s="1"/>
  <c r="F99"/>
  <c r="S97"/>
  <c r="U97" s="1"/>
  <c r="U98" s="1"/>
  <c r="R97"/>
  <c r="O97"/>
  <c r="L97"/>
  <c r="I97"/>
  <c r="T97" s="1"/>
  <c r="T98" s="1"/>
  <c r="F97"/>
  <c r="S95"/>
  <c r="U95" s="1"/>
  <c r="R95"/>
  <c r="O95"/>
  <c r="L95"/>
  <c r="I95"/>
  <c r="T95" s="1"/>
  <c r="F95"/>
  <c r="S94"/>
  <c r="U94" s="1"/>
  <c r="R94"/>
  <c r="O94"/>
  <c r="L94"/>
  <c r="I94"/>
  <c r="F94"/>
  <c r="S93"/>
  <c r="U93" s="1"/>
  <c r="R93"/>
  <c r="O93"/>
  <c r="L93"/>
  <c r="I93"/>
  <c r="T93" s="1"/>
  <c r="F93"/>
  <c r="S92"/>
  <c r="U92" s="1"/>
  <c r="R92"/>
  <c r="O92"/>
  <c r="L92"/>
  <c r="I92"/>
  <c r="F92"/>
  <c r="S91"/>
  <c r="U91" s="1"/>
  <c r="R91"/>
  <c r="O91"/>
  <c r="L91"/>
  <c r="I91"/>
  <c r="T91" s="1"/>
  <c r="F91"/>
  <c r="S90"/>
  <c r="U90" s="1"/>
  <c r="R90"/>
  <c r="O90"/>
  <c r="L90"/>
  <c r="I90"/>
  <c r="F90"/>
  <c r="S89"/>
  <c r="U89" s="1"/>
  <c r="R89"/>
  <c r="O89"/>
  <c r="L89"/>
  <c r="I89"/>
  <c r="T89" s="1"/>
  <c r="F89"/>
  <c r="S88"/>
  <c r="U88" s="1"/>
  <c r="R88"/>
  <c r="O88"/>
  <c r="L88"/>
  <c r="I88"/>
  <c r="F88"/>
  <c r="S87"/>
  <c r="U87" s="1"/>
  <c r="U96" s="1"/>
  <c r="R87"/>
  <c r="O87"/>
  <c r="O96" s="1"/>
  <c r="L87"/>
  <c r="I87"/>
  <c r="T87" s="1"/>
  <c r="F87"/>
  <c r="S85"/>
  <c r="U85" s="1"/>
  <c r="R85"/>
  <c r="O85"/>
  <c r="L85"/>
  <c r="I85"/>
  <c r="T85" s="1"/>
  <c r="F85"/>
  <c r="S84"/>
  <c r="U84" s="1"/>
  <c r="R84"/>
  <c r="O84"/>
  <c r="L84"/>
  <c r="I84"/>
  <c r="F84"/>
  <c r="S83"/>
  <c r="U83" s="1"/>
  <c r="R83"/>
  <c r="O83"/>
  <c r="L83"/>
  <c r="I83"/>
  <c r="T83" s="1"/>
  <c r="F83"/>
  <c r="S82"/>
  <c r="U82" s="1"/>
  <c r="U86" s="1"/>
  <c r="R82"/>
  <c r="O82"/>
  <c r="L82"/>
  <c r="I82"/>
  <c r="F82"/>
  <c r="S81"/>
  <c r="R81"/>
  <c r="O81"/>
  <c r="L81"/>
  <c r="I81"/>
  <c r="T81" s="1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6"/>
  <c r="U76" s="1"/>
  <c r="R76"/>
  <c r="O76"/>
  <c r="L76"/>
  <c r="I76"/>
  <c r="F76"/>
  <c r="S75"/>
  <c r="U75" s="1"/>
  <c r="R75"/>
  <c r="O75"/>
  <c r="L75"/>
  <c r="I75"/>
  <c r="F75"/>
  <c r="S74"/>
  <c r="U74" s="1"/>
  <c r="U77" s="1"/>
  <c r="R74"/>
  <c r="O74"/>
  <c r="O77" s="1"/>
  <c r="L74"/>
  <c r="I74"/>
  <c r="F74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U73" s="1"/>
  <c r="R69"/>
  <c r="R73" s="1"/>
  <c r="O69"/>
  <c r="L69"/>
  <c r="I69"/>
  <c r="F69"/>
  <c r="S67"/>
  <c r="U67" s="1"/>
  <c r="R67"/>
  <c r="O67"/>
  <c r="L67"/>
  <c r="I67"/>
  <c r="F67"/>
  <c r="S66"/>
  <c r="U66" s="1"/>
  <c r="R66"/>
  <c r="O66"/>
  <c r="L66"/>
  <c r="I66"/>
  <c r="F66"/>
  <c r="S65"/>
  <c r="U65" s="1"/>
  <c r="U68" s="1"/>
  <c r="R65"/>
  <c r="O65"/>
  <c r="O68" s="1"/>
  <c r="L65"/>
  <c r="I65"/>
  <c r="F65"/>
  <c r="S63"/>
  <c r="U63" s="1"/>
  <c r="U64" s="1"/>
  <c r="R63"/>
  <c r="O63"/>
  <c r="O64" s="1"/>
  <c r="L63"/>
  <c r="I63"/>
  <c r="F63"/>
  <c r="S61"/>
  <c r="U61" s="1"/>
  <c r="R61"/>
  <c r="O61"/>
  <c r="L61"/>
  <c r="I61"/>
  <c r="F61"/>
  <c r="S60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U62" s="1"/>
  <c r="R57"/>
  <c r="O57"/>
  <c r="O62" s="1"/>
  <c r="L57"/>
  <c r="I57"/>
  <c r="F57"/>
  <c r="S55"/>
  <c r="U55" s="1"/>
  <c r="U56" s="1"/>
  <c r="R55"/>
  <c r="O55"/>
  <c r="O56" s="1"/>
  <c r="L55"/>
  <c r="I55"/>
  <c r="F55"/>
  <c r="S53"/>
  <c r="U53" s="1"/>
  <c r="R53"/>
  <c r="O53"/>
  <c r="L53"/>
  <c r="I53"/>
  <c r="F53"/>
  <c r="S52"/>
  <c r="U52" s="1"/>
  <c r="U54" s="1"/>
  <c r="R52"/>
  <c r="O52"/>
  <c r="L52"/>
  <c r="I52"/>
  <c r="F52"/>
  <c r="S50"/>
  <c r="U50" s="1"/>
  <c r="R50"/>
  <c r="O50"/>
  <c r="L50"/>
  <c r="I50"/>
  <c r="F50"/>
  <c r="S49"/>
  <c r="U49" s="1"/>
  <c r="R49"/>
  <c r="O49"/>
  <c r="L49"/>
  <c r="I49"/>
  <c r="F49"/>
  <c r="S48"/>
  <c r="U48" s="1"/>
  <c r="U51" s="1"/>
  <c r="R48"/>
  <c r="O48"/>
  <c r="O51" s="1"/>
  <c r="L48"/>
  <c r="I48"/>
  <c r="F48"/>
  <c r="S46"/>
  <c r="U46" s="1"/>
  <c r="R46"/>
  <c r="O46"/>
  <c r="L46"/>
  <c r="I46"/>
  <c r="F46"/>
  <c r="S45"/>
  <c r="U45" s="1"/>
  <c r="U47" s="1"/>
  <c r="R45"/>
  <c r="R47" s="1"/>
  <c r="O45"/>
  <c r="L45"/>
  <c r="I45"/>
  <c r="F45"/>
  <c r="S43"/>
  <c r="U43" s="1"/>
  <c r="U44" s="1"/>
  <c r="R43"/>
  <c r="O43"/>
  <c r="O44" s="1"/>
  <c r="L43"/>
  <c r="I43"/>
  <c r="F43"/>
  <c r="S41"/>
  <c r="U41" s="1"/>
  <c r="U42" s="1"/>
  <c r="R41"/>
  <c r="O41"/>
  <c r="O42" s="1"/>
  <c r="L41"/>
  <c r="I41"/>
  <c r="F41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U40" s="1"/>
  <c r="R34"/>
  <c r="O34"/>
  <c r="L34"/>
  <c r="I34"/>
  <c r="F34"/>
  <c r="S32"/>
  <c r="U32" s="1"/>
  <c r="R32"/>
  <c r="O32"/>
  <c r="L32"/>
  <c r="I32"/>
  <c r="F32"/>
  <c r="S31"/>
  <c r="U31" s="1"/>
  <c r="R31"/>
  <c r="O31"/>
  <c r="L31"/>
  <c r="I31"/>
  <c r="F31"/>
  <c r="S30"/>
  <c r="U30" s="1"/>
  <c r="U33" s="1"/>
  <c r="R30"/>
  <c r="O30"/>
  <c r="L30"/>
  <c r="I30"/>
  <c r="F30"/>
  <c r="S28"/>
  <c r="U28" s="1"/>
  <c r="R28"/>
  <c r="O28"/>
  <c r="L28"/>
  <c r="I28"/>
  <c r="F28"/>
  <c r="S27"/>
  <c r="U27" s="1"/>
  <c r="R27"/>
  <c r="O27"/>
  <c r="L27"/>
  <c r="I27"/>
  <c r="F27"/>
  <c r="S26"/>
  <c r="U26" s="1"/>
  <c r="U29" s="1"/>
  <c r="R26"/>
  <c r="O26"/>
  <c r="O29" s="1"/>
  <c r="L26"/>
  <c r="I26"/>
  <c r="F26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U25" s="1"/>
  <c r="R20"/>
  <c r="O20"/>
  <c r="O25" s="1"/>
  <c r="L20"/>
  <c r="I20"/>
  <c r="F20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U19" s="1"/>
  <c r="R13"/>
  <c r="O13"/>
  <c r="L13"/>
  <c r="I13"/>
  <c r="F13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2" s="1"/>
  <c r="R6"/>
  <c r="R12" s="1"/>
  <c r="O6"/>
  <c r="L6"/>
  <c r="I6"/>
  <c r="F6"/>
  <c r="S102"/>
  <c r="S98"/>
  <c r="S86"/>
  <c r="S73"/>
  <c r="S54"/>
  <c r="S47"/>
  <c r="S40"/>
  <c r="S33"/>
  <c r="S19"/>
  <c r="R102"/>
  <c r="Q102"/>
  <c r="R100"/>
  <c r="Q100"/>
  <c r="R98"/>
  <c r="Q98"/>
  <c r="R96"/>
  <c r="Q96"/>
  <c r="R86"/>
  <c r="Q86"/>
  <c r="Q77"/>
  <c r="Q73"/>
  <c r="R68"/>
  <c r="Q68"/>
  <c r="R64"/>
  <c r="Q64"/>
  <c r="R62"/>
  <c r="Q62"/>
  <c r="R56"/>
  <c r="Q56"/>
  <c r="R54"/>
  <c r="Q54"/>
  <c r="Q51"/>
  <c r="Q47"/>
  <c r="R44"/>
  <c r="Q44"/>
  <c r="R42"/>
  <c r="Q42"/>
  <c r="R40"/>
  <c r="Q40"/>
  <c r="R33"/>
  <c r="Q33"/>
  <c r="R29"/>
  <c r="Q29"/>
  <c r="R25"/>
  <c r="Q25"/>
  <c r="R19"/>
  <c r="Q19"/>
  <c r="Q12"/>
  <c r="O102"/>
  <c r="N102"/>
  <c r="O100"/>
  <c r="N100"/>
  <c r="O98"/>
  <c r="N98"/>
  <c r="N96"/>
  <c r="O86"/>
  <c r="N86"/>
  <c r="N77"/>
  <c r="O73"/>
  <c r="N73"/>
  <c r="N68"/>
  <c r="N64"/>
  <c r="N62"/>
  <c r="N56"/>
  <c r="N54"/>
  <c r="N51"/>
  <c r="O47"/>
  <c r="N47"/>
  <c r="N44"/>
  <c r="N42"/>
  <c r="N40"/>
  <c r="O33"/>
  <c r="N33"/>
  <c r="N29"/>
  <c r="N25"/>
  <c r="N19"/>
  <c r="N12"/>
  <c r="L102"/>
  <c r="K102"/>
  <c r="L100"/>
  <c r="K100"/>
  <c r="L98"/>
  <c r="K98"/>
  <c r="L96"/>
  <c r="K96"/>
  <c r="L86"/>
  <c r="K86"/>
  <c r="L77"/>
  <c r="K77"/>
  <c r="K73"/>
  <c r="K68"/>
  <c r="L64"/>
  <c r="K64"/>
  <c r="K62"/>
  <c r="L56"/>
  <c r="K56"/>
  <c r="K54"/>
  <c r="L51"/>
  <c r="K51"/>
  <c r="K47"/>
  <c r="L44"/>
  <c r="K44"/>
  <c r="L42"/>
  <c r="K42"/>
  <c r="K40"/>
  <c r="L33"/>
  <c r="K33"/>
  <c r="L29"/>
  <c r="K29"/>
  <c r="K25"/>
  <c r="L19"/>
  <c r="K19"/>
  <c r="K12"/>
  <c r="I102"/>
  <c r="H102"/>
  <c r="I100"/>
  <c r="H100"/>
  <c r="I98"/>
  <c r="H98"/>
  <c r="I96"/>
  <c r="H96"/>
  <c r="I86"/>
  <c r="H86"/>
  <c r="I77"/>
  <c r="H77"/>
  <c r="I73"/>
  <c r="H73"/>
  <c r="H68"/>
  <c r="I64"/>
  <c r="H64"/>
  <c r="I62"/>
  <c r="H62"/>
  <c r="H56"/>
  <c r="H54"/>
  <c r="I51"/>
  <c r="H51"/>
  <c r="I47"/>
  <c r="H47"/>
  <c r="I44"/>
  <c r="H44"/>
  <c r="H42"/>
  <c r="H40"/>
  <c r="I33"/>
  <c r="H33"/>
  <c r="I29"/>
  <c r="H29"/>
  <c r="I25"/>
  <c r="H25"/>
  <c r="H19"/>
  <c r="H12"/>
  <c r="F102"/>
  <c r="E102"/>
  <c r="F100"/>
  <c r="E100"/>
  <c r="F98"/>
  <c r="E98"/>
  <c r="F96"/>
  <c r="E96"/>
  <c r="F86"/>
  <c r="E86"/>
  <c r="E81"/>
  <c r="F81" s="1"/>
  <c r="V81" s="1"/>
  <c r="F77"/>
  <c r="E77"/>
  <c r="E73"/>
  <c r="F68"/>
  <c r="E68"/>
  <c r="F64"/>
  <c r="E64"/>
  <c r="F62"/>
  <c r="E62"/>
  <c r="F56"/>
  <c r="E56"/>
  <c r="E54"/>
  <c r="F51"/>
  <c r="E51"/>
  <c r="F47"/>
  <c r="E47"/>
  <c r="F44"/>
  <c r="E44"/>
  <c r="F42"/>
  <c r="E42"/>
  <c r="E40"/>
  <c r="F33"/>
  <c r="E33"/>
  <c r="F29"/>
  <c r="E29"/>
  <c r="F25"/>
  <c r="E25"/>
  <c r="F19"/>
  <c r="E19"/>
  <c r="E12"/>
  <c r="S3"/>
  <c r="U3" s="1"/>
  <c r="R3"/>
  <c r="O3"/>
  <c r="L3"/>
  <c r="I3"/>
  <c r="F3"/>
  <c r="P1"/>
  <c r="U2" s="1"/>
  <c r="C1"/>
  <c r="S22" i="114"/>
  <c r="R22"/>
  <c r="O22"/>
  <c r="L22"/>
  <c r="I22"/>
  <c r="F22"/>
  <c r="S19"/>
  <c r="U19" s="1"/>
  <c r="R19"/>
  <c r="O19"/>
  <c r="L19"/>
  <c r="I19"/>
  <c r="F19"/>
  <c r="S16"/>
  <c r="U16" s="1"/>
  <c r="R16"/>
  <c r="O16"/>
  <c r="L16"/>
  <c r="I16"/>
  <c r="F16"/>
  <c r="S14"/>
  <c r="U14" s="1"/>
  <c r="U15" s="1"/>
  <c r="R14"/>
  <c r="O14"/>
  <c r="O15" s="1"/>
  <c r="L14"/>
  <c r="I14"/>
  <c r="F14"/>
  <c r="S11"/>
  <c r="R11"/>
  <c r="R13" s="1"/>
  <c r="O11"/>
  <c r="O13" s="1"/>
  <c r="L11"/>
  <c r="L13" s="1"/>
  <c r="I11"/>
  <c r="I13" s="1"/>
  <c r="F11"/>
  <c r="F13" s="1"/>
  <c r="S9"/>
  <c r="U9" s="1"/>
  <c r="U10" s="1"/>
  <c r="R9"/>
  <c r="O9"/>
  <c r="O10" s="1"/>
  <c r="L9"/>
  <c r="L10" s="1"/>
  <c r="I9"/>
  <c r="F9"/>
  <c r="S6"/>
  <c r="U6" s="1"/>
  <c r="R6"/>
  <c r="O6"/>
  <c r="L6"/>
  <c r="I6"/>
  <c r="F6"/>
  <c r="R15"/>
  <c r="Q15"/>
  <c r="R10"/>
  <c r="Q10"/>
  <c r="R25"/>
  <c r="Q25"/>
  <c r="N15"/>
  <c r="N10"/>
  <c r="L15"/>
  <c r="K15"/>
  <c r="K10"/>
  <c r="H15"/>
  <c r="H10"/>
  <c r="F15"/>
  <c r="E15"/>
  <c r="F10"/>
  <c r="E10"/>
  <c r="F25"/>
  <c r="E25"/>
  <c r="S3"/>
  <c r="U3" s="1"/>
  <c r="R3"/>
  <c r="O3"/>
  <c r="L3"/>
  <c r="I3"/>
  <c r="F3"/>
  <c r="P1"/>
  <c r="U2" s="1"/>
  <c r="C1"/>
  <c r="S212" i="104"/>
  <c r="U212" s="1"/>
  <c r="R212"/>
  <c r="O212"/>
  <c r="L212"/>
  <c r="I212"/>
  <c r="F212"/>
  <c r="S211"/>
  <c r="U211" s="1"/>
  <c r="R211"/>
  <c r="O211"/>
  <c r="L211"/>
  <c r="I211"/>
  <c r="F211"/>
  <c r="S213"/>
  <c r="U213" s="1"/>
  <c r="R213"/>
  <c r="O213"/>
  <c r="L213"/>
  <c r="I213"/>
  <c r="F213"/>
  <c r="R210"/>
  <c r="O210"/>
  <c r="L210"/>
  <c r="H210"/>
  <c r="S210" s="1"/>
  <c r="U210" s="1"/>
  <c r="F210"/>
  <c r="K209"/>
  <c r="H209"/>
  <c r="S179"/>
  <c r="U179" s="1"/>
  <c r="R179"/>
  <c r="O179"/>
  <c r="L179"/>
  <c r="I179"/>
  <c r="F179"/>
  <c r="S178"/>
  <c r="U178" s="1"/>
  <c r="R178"/>
  <c r="O178"/>
  <c r="L178"/>
  <c r="I178"/>
  <c r="F178"/>
  <c r="S16"/>
  <c r="U16" s="1"/>
  <c r="R16"/>
  <c r="O16"/>
  <c r="I16"/>
  <c r="F16"/>
  <c r="R15"/>
  <c r="O15"/>
  <c r="S15"/>
  <c r="U15" s="1"/>
  <c r="I15"/>
  <c r="F15"/>
  <c r="S14"/>
  <c r="U14" s="1"/>
  <c r="R14"/>
  <c r="O14"/>
  <c r="I14"/>
  <c r="F14"/>
  <c r="R13"/>
  <c r="O13"/>
  <c r="S13"/>
  <c r="U13" s="1"/>
  <c r="I13"/>
  <c r="F13"/>
  <c r="S12"/>
  <c r="U12" s="1"/>
  <c r="R12"/>
  <c r="O12"/>
  <c r="I12"/>
  <c r="F12"/>
  <c r="R11"/>
  <c r="O11"/>
  <c r="S11"/>
  <c r="U11" s="1"/>
  <c r="I11"/>
  <c r="F11"/>
  <c r="S10"/>
  <c r="U10" s="1"/>
  <c r="R10"/>
  <c r="O10"/>
  <c r="I10"/>
  <c r="F10"/>
  <c r="R9"/>
  <c r="O9"/>
  <c r="S9"/>
  <c r="U9" s="1"/>
  <c r="I9"/>
  <c r="F9"/>
  <c r="R8"/>
  <c r="N8"/>
  <c r="O8" s="1"/>
  <c r="K8"/>
  <c r="I8"/>
  <c r="F8"/>
  <c r="N149"/>
  <c r="S159"/>
  <c r="U159" s="1"/>
  <c r="R159"/>
  <c r="O159"/>
  <c r="L159"/>
  <c r="I159"/>
  <c r="F159"/>
  <c r="S158"/>
  <c r="U158" s="1"/>
  <c r="R158"/>
  <c r="O158"/>
  <c r="L158"/>
  <c r="I158"/>
  <c r="F158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R155"/>
  <c r="O155"/>
  <c r="L155"/>
  <c r="I155"/>
  <c r="F155"/>
  <c r="S154"/>
  <c r="U154" s="1"/>
  <c r="R154"/>
  <c r="O154"/>
  <c r="L154"/>
  <c r="I154"/>
  <c r="F154"/>
  <c r="S153"/>
  <c r="U153" s="1"/>
  <c r="R153"/>
  <c r="O153"/>
  <c r="L153"/>
  <c r="I153"/>
  <c r="F153"/>
  <c r="S152"/>
  <c r="U152" s="1"/>
  <c r="R152"/>
  <c r="O152"/>
  <c r="L152"/>
  <c r="I152"/>
  <c r="F152"/>
  <c r="S151"/>
  <c r="U151" s="1"/>
  <c r="R151"/>
  <c r="O151"/>
  <c r="L151"/>
  <c r="I151"/>
  <c r="F151"/>
  <c r="S150"/>
  <c r="U150" s="1"/>
  <c r="R150"/>
  <c r="O150"/>
  <c r="L150"/>
  <c r="I150"/>
  <c r="F150"/>
  <c r="S149"/>
  <c r="U149" s="1"/>
  <c r="R149"/>
  <c r="O149"/>
  <c r="L149"/>
  <c r="I149"/>
  <c r="F149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69"/>
  <c r="U69" s="1"/>
  <c r="R69"/>
  <c r="O69"/>
  <c r="L69"/>
  <c r="I69"/>
  <c r="F69"/>
  <c r="S68"/>
  <c r="U68" s="1"/>
  <c r="R68"/>
  <c r="O68"/>
  <c r="L68"/>
  <c r="I68"/>
  <c r="F68"/>
  <c r="S67"/>
  <c r="U67" s="1"/>
  <c r="R67"/>
  <c r="O67"/>
  <c r="L67"/>
  <c r="I67"/>
  <c r="F67"/>
  <c r="Q64"/>
  <c r="K64"/>
  <c r="H64"/>
  <c r="E64"/>
  <c r="R63"/>
  <c r="S63"/>
  <c r="U63" s="1"/>
  <c r="L63"/>
  <c r="I63"/>
  <c r="F63"/>
  <c r="U11" i="114" l="1"/>
  <c r="U13" s="1"/>
  <c r="S13"/>
  <c r="T3" i="116"/>
  <c r="I210" i="104"/>
  <c r="K25" i="114"/>
  <c r="T7" i="115"/>
  <c r="T9"/>
  <c r="T11"/>
  <c r="T14"/>
  <c r="T16"/>
  <c r="T18"/>
  <c r="T20"/>
  <c r="T22"/>
  <c r="T24"/>
  <c r="T26"/>
  <c r="T28"/>
  <c r="T30"/>
  <c r="T32"/>
  <c r="T35"/>
  <c r="T37"/>
  <c r="T39"/>
  <c r="T41"/>
  <c r="T42" s="1"/>
  <c r="T43"/>
  <c r="T44" s="1"/>
  <c r="T46"/>
  <c r="T48"/>
  <c r="T50"/>
  <c r="T53"/>
  <c r="T55"/>
  <c r="T56" s="1"/>
  <c r="T57"/>
  <c r="T59"/>
  <c r="T61"/>
  <c r="T63"/>
  <c r="T64" s="1"/>
  <c r="T65"/>
  <c r="T178" i="104"/>
  <c r="V178" s="1"/>
  <c r="L25" i="114"/>
  <c r="T3" i="115"/>
  <c r="T67"/>
  <c r="T70"/>
  <c r="T72"/>
  <c r="T74"/>
  <c r="T76"/>
  <c r="T79"/>
  <c r="O12"/>
  <c r="O19"/>
  <c r="O40"/>
  <c r="O54"/>
  <c r="U81"/>
  <c r="T3" i="114"/>
  <c r="V3" s="1"/>
  <c r="T6"/>
  <c r="T9"/>
  <c r="T10" s="1"/>
  <c r="T11"/>
  <c r="T13" s="1"/>
  <c r="T14"/>
  <c r="T15" s="1"/>
  <c r="T16"/>
  <c r="T19"/>
  <c r="T22"/>
  <c r="S12" i="115"/>
  <c r="T6"/>
  <c r="V6" s="1"/>
  <c r="V7"/>
  <c r="T8"/>
  <c r="V8" s="1"/>
  <c r="V9"/>
  <c r="T10"/>
  <c r="V10" s="1"/>
  <c r="V11"/>
  <c r="T13"/>
  <c r="V13" s="1"/>
  <c r="V14"/>
  <c r="T15"/>
  <c r="V15" s="1"/>
  <c r="V16"/>
  <c r="T17"/>
  <c r="V17" s="1"/>
  <c r="V18"/>
  <c r="V20"/>
  <c r="T21"/>
  <c r="V21" s="1"/>
  <c r="V22"/>
  <c r="T23"/>
  <c r="V23" s="1"/>
  <c r="V24"/>
  <c r="V26"/>
  <c r="T27"/>
  <c r="V27" s="1"/>
  <c r="V28"/>
  <c r="V30"/>
  <c r="T31"/>
  <c r="V31" s="1"/>
  <c r="V32"/>
  <c r="T34"/>
  <c r="V34" s="1"/>
  <c r="V35"/>
  <c r="T36"/>
  <c r="V36" s="1"/>
  <c r="V37"/>
  <c r="T38"/>
  <c r="V38" s="1"/>
  <c r="V39"/>
  <c r="V41"/>
  <c r="V42" s="1"/>
  <c r="V43"/>
  <c r="V44" s="1"/>
  <c r="T45"/>
  <c r="V45" s="1"/>
  <c r="V48"/>
  <c r="T49"/>
  <c r="V49" s="1"/>
  <c r="R51"/>
  <c r="V50"/>
  <c r="T52"/>
  <c r="T54" s="1"/>
  <c r="V53"/>
  <c r="V55"/>
  <c r="V56" s="1"/>
  <c r="V57"/>
  <c r="T58"/>
  <c r="V58" s="1"/>
  <c r="V59"/>
  <c r="T60"/>
  <c r="V60" s="1"/>
  <c r="V61"/>
  <c r="V63"/>
  <c r="V64" s="1"/>
  <c r="V65"/>
  <c r="T66"/>
  <c r="V66" s="1"/>
  <c r="V67"/>
  <c r="T69"/>
  <c r="V70"/>
  <c r="T71"/>
  <c r="V71" s="1"/>
  <c r="V72"/>
  <c r="V74"/>
  <c r="T75"/>
  <c r="V75" s="1"/>
  <c r="R77"/>
  <c r="V76"/>
  <c r="T78"/>
  <c r="V78" s="1"/>
  <c r="V79"/>
  <c r="T80"/>
  <c r="V80" s="1"/>
  <c r="T82"/>
  <c r="V83"/>
  <c r="T84"/>
  <c r="V84" s="1"/>
  <c r="V85"/>
  <c r="T88"/>
  <c r="T90"/>
  <c r="V90" s="1"/>
  <c r="T92"/>
  <c r="V92" s="1"/>
  <c r="T94"/>
  <c r="V94" s="1"/>
  <c r="V97"/>
  <c r="V98" s="1"/>
  <c r="V99"/>
  <c r="V100" s="1"/>
  <c r="V101"/>
  <c r="V102" s="1"/>
  <c r="V3" i="116"/>
  <c r="S100" i="115"/>
  <c r="V87"/>
  <c r="V89"/>
  <c r="V91"/>
  <c r="V93"/>
  <c r="V95"/>
  <c r="S96"/>
  <c r="T77"/>
  <c r="S77"/>
  <c r="F73"/>
  <c r="L73"/>
  <c r="T68"/>
  <c r="I68"/>
  <c r="L68"/>
  <c r="S68"/>
  <c r="S64"/>
  <c r="T62"/>
  <c r="L62"/>
  <c r="S62"/>
  <c r="I56"/>
  <c r="S56"/>
  <c r="F54"/>
  <c r="I54"/>
  <c r="L54"/>
  <c r="T51"/>
  <c r="S51"/>
  <c r="T47"/>
  <c r="V46"/>
  <c r="L47"/>
  <c r="S44"/>
  <c r="I42"/>
  <c r="S42"/>
  <c r="F40"/>
  <c r="I40"/>
  <c r="L40"/>
  <c r="T33"/>
  <c r="T29"/>
  <c r="S29"/>
  <c r="T25"/>
  <c r="L25"/>
  <c r="S25"/>
  <c r="I19"/>
  <c r="F12"/>
  <c r="I12"/>
  <c r="L12"/>
  <c r="V3"/>
  <c r="U22" i="114"/>
  <c r="H25"/>
  <c r="I15"/>
  <c r="S15"/>
  <c r="N25"/>
  <c r="I10"/>
  <c r="I25" s="1"/>
  <c r="O25"/>
  <c r="S10"/>
  <c r="T25"/>
  <c r="U25"/>
  <c r="T210" i="104"/>
  <c r="V210" s="1"/>
  <c r="T211"/>
  <c r="T212"/>
  <c r="V211"/>
  <c r="V212"/>
  <c r="T213"/>
  <c r="V213" s="1"/>
  <c r="T10"/>
  <c r="V10" s="1"/>
  <c r="T179"/>
  <c r="V179" s="1"/>
  <c r="S8"/>
  <c r="U8" s="1"/>
  <c r="T14"/>
  <c r="V14" s="1"/>
  <c r="L8"/>
  <c r="T8" s="1"/>
  <c r="V8" s="1"/>
  <c r="T12"/>
  <c r="V12" s="1"/>
  <c r="T16"/>
  <c r="V16" s="1"/>
  <c r="T67"/>
  <c r="T132"/>
  <c r="V132" s="1"/>
  <c r="T153"/>
  <c r="V153" s="1"/>
  <c r="T155"/>
  <c r="V155" s="1"/>
  <c r="T157"/>
  <c r="V157" s="1"/>
  <c r="T159"/>
  <c r="V159" s="1"/>
  <c r="T9"/>
  <c r="V9" s="1"/>
  <c r="T11"/>
  <c r="V11" s="1"/>
  <c r="T13"/>
  <c r="V13" s="1"/>
  <c r="T15"/>
  <c r="V15" s="1"/>
  <c r="T149"/>
  <c r="V149" s="1"/>
  <c r="T151"/>
  <c r="V151" s="1"/>
  <c r="T150"/>
  <c r="V150" s="1"/>
  <c r="T152"/>
  <c r="T154"/>
  <c r="T156"/>
  <c r="T158"/>
  <c r="V158" s="1"/>
  <c r="V152"/>
  <c r="V154"/>
  <c r="V156"/>
  <c r="T134"/>
  <c r="V134" s="1"/>
  <c r="T136"/>
  <c r="V136" s="1"/>
  <c r="T133"/>
  <c r="V133" s="1"/>
  <c r="T135"/>
  <c r="V135" s="1"/>
  <c r="Q120"/>
  <c r="V67"/>
  <c r="T68"/>
  <c r="V68" s="1"/>
  <c r="T69"/>
  <c r="V69" s="1"/>
  <c r="O63"/>
  <c r="T96" i="115" l="1"/>
  <c r="V40"/>
  <c r="V47"/>
  <c r="T86"/>
  <c r="T73"/>
  <c r="V19"/>
  <c r="S25" i="114"/>
  <c r="V88" i="115"/>
  <c r="V82"/>
  <c r="V86" s="1"/>
  <c r="V77"/>
  <c r="V69"/>
  <c r="V73" s="1"/>
  <c r="V68"/>
  <c r="V62"/>
  <c r="V52"/>
  <c r="V54" s="1"/>
  <c r="V33"/>
  <c r="V29"/>
  <c r="T12"/>
  <c r="V22" i="114"/>
  <c r="V16"/>
  <c r="V11"/>
  <c r="V13" s="1"/>
  <c r="V6"/>
  <c r="V51" i="115"/>
  <c r="T40"/>
  <c r="V25"/>
  <c r="T19"/>
  <c r="V12"/>
  <c r="V19" i="114"/>
  <c r="V14"/>
  <c r="V15" s="1"/>
  <c r="V9"/>
  <c r="V10" s="1"/>
  <c r="V96" i="115"/>
  <c r="T63" i="104"/>
  <c r="V25" i="114" l="1"/>
  <c r="V63" i="104"/>
  <c r="R75" l="1"/>
  <c r="R83"/>
  <c r="O83"/>
  <c r="S83"/>
  <c r="U83" s="1"/>
  <c r="I83"/>
  <c r="F83"/>
  <c r="R82"/>
  <c r="O82"/>
  <c r="S82"/>
  <c r="U82" s="1"/>
  <c r="I82"/>
  <c r="F82"/>
  <c r="R81"/>
  <c r="O81"/>
  <c r="L81"/>
  <c r="I81"/>
  <c r="F81"/>
  <c r="R80"/>
  <c r="O80"/>
  <c r="S80"/>
  <c r="U80" s="1"/>
  <c r="I80"/>
  <c r="F80"/>
  <c r="R79"/>
  <c r="O79"/>
  <c r="L79"/>
  <c r="I79"/>
  <c r="F79"/>
  <c r="R78"/>
  <c r="O78"/>
  <c r="S78"/>
  <c r="U78" s="1"/>
  <c r="I78"/>
  <c r="F78"/>
  <c r="R77"/>
  <c r="O77"/>
  <c r="S77"/>
  <c r="U77" s="1"/>
  <c r="I77"/>
  <c r="F77"/>
  <c r="R76"/>
  <c r="O76"/>
  <c r="S76"/>
  <c r="U76" s="1"/>
  <c r="I76"/>
  <c r="F76"/>
  <c r="O75"/>
  <c r="L75"/>
  <c r="I75"/>
  <c r="F75"/>
  <c r="R74"/>
  <c r="O74"/>
  <c r="K74"/>
  <c r="L74" s="1"/>
  <c r="I74"/>
  <c r="F74"/>
  <c r="Q130"/>
  <c r="N130"/>
  <c r="K130"/>
  <c r="H130"/>
  <c r="E130"/>
  <c r="N98"/>
  <c r="O98" s="1"/>
  <c r="T74" l="1"/>
  <c r="V74" s="1"/>
  <c r="T75"/>
  <c r="V75" s="1"/>
  <c r="T79"/>
  <c r="V79" s="1"/>
  <c r="T81"/>
  <c r="V81" s="1"/>
  <c r="S74"/>
  <c r="U74" s="1"/>
  <c r="S75"/>
  <c r="U75" s="1"/>
  <c r="S79"/>
  <c r="U79" s="1"/>
  <c r="S81"/>
  <c r="U81" s="1"/>
  <c r="L76"/>
  <c r="T76" s="1"/>
  <c r="V76" s="1"/>
  <c r="L77"/>
  <c r="T77" s="1"/>
  <c r="V77" s="1"/>
  <c r="L78"/>
  <c r="T78" s="1"/>
  <c r="V78" s="1"/>
  <c r="L80"/>
  <c r="T80" s="1"/>
  <c r="V80" s="1"/>
  <c r="L82"/>
  <c r="T82" s="1"/>
  <c r="V82" s="1"/>
  <c r="L83"/>
  <c r="T83" s="1"/>
  <c r="V83" s="1"/>
  <c r="Q193"/>
  <c r="N193"/>
  <c r="K193"/>
  <c r="H193"/>
  <c r="E193"/>
  <c r="S191"/>
  <c r="U191" s="1"/>
  <c r="R191"/>
  <c r="O191"/>
  <c r="L191"/>
  <c r="I191"/>
  <c r="F191"/>
  <c r="S190"/>
  <c r="U190" s="1"/>
  <c r="R190"/>
  <c r="O190"/>
  <c r="L190"/>
  <c r="I190"/>
  <c r="F190"/>
  <c r="S189"/>
  <c r="U189" s="1"/>
  <c r="R189"/>
  <c r="O189"/>
  <c r="L189"/>
  <c r="I189"/>
  <c r="F189"/>
  <c r="S188"/>
  <c r="U188" s="1"/>
  <c r="R188"/>
  <c r="O188"/>
  <c r="L188"/>
  <c r="I188"/>
  <c r="F188"/>
  <c r="S187"/>
  <c r="U187" s="1"/>
  <c r="R187"/>
  <c r="O187"/>
  <c r="L187"/>
  <c r="I187"/>
  <c r="F187"/>
  <c r="S186"/>
  <c r="U186" s="1"/>
  <c r="R186"/>
  <c r="O186"/>
  <c r="L186"/>
  <c r="I186"/>
  <c r="F186"/>
  <c r="S185"/>
  <c r="U185" s="1"/>
  <c r="R185"/>
  <c r="O185"/>
  <c r="L185"/>
  <c r="I185"/>
  <c r="F185"/>
  <c r="S184"/>
  <c r="U184" s="1"/>
  <c r="R184"/>
  <c r="O184"/>
  <c r="L184"/>
  <c r="I184"/>
  <c r="F184"/>
  <c r="S183"/>
  <c r="U183" s="1"/>
  <c r="R183"/>
  <c r="O183"/>
  <c r="L183"/>
  <c r="I183"/>
  <c r="F183"/>
  <c r="S182"/>
  <c r="U182" s="1"/>
  <c r="R182"/>
  <c r="O182"/>
  <c r="L182"/>
  <c r="I182"/>
  <c r="F182"/>
  <c r="T182" l="1"/>
  <c r="V182" s="1"/>
  <c r="T183"/>
  <c r="V183" s="1"/>
  <c r="T189"/>
  <c r="V189" s="1"/>
  <c r="T187"/>
  <c r="V187" s="1"/>
  <c r="T185"/>
  <c r="V185" s="1"/>
  <c r="T191"/>
  <c r="V191" s="1"/>
  <c r="T184"/>
  <c r="T186"/>
  <c r="T188"/>
  <c r="V188" s="1"/>
  <c r="T190"/>
  <c r="V190" s="1"/>
  <c r="V184"/>
  <c r="V186"/>
  <c r="E17" i="113" l="1"/>
  <c r="Q17"/>
  <c r="N17"/>
  <c r="K17"/>
  <c r="H17"/>
  <c r="S16"/>
  <c r="U16" s="1"/>
  <c r="R16"/>
  <c r="O16"/>
  <c r="L16"/>
  <c r="I16"/>
  <c r="F16"/>
  <c r="Q8"/>
  <c r="N8"/>
  <c r="K8"/>
  <c r="H8"/>
  <c r="E8"/>
  <c r="S7"/>
  <c r="U7" s="1"/>
  <c r="R7"/>
  <c r="O7"/>
  <c r="L7"/>
  <c r="I7"/>
  <c r="F7"/>
  <c r="Q25"/>
  <c r="N25"/>
  <c r="K25"/>
  <c r="H25"/>
  <c r="E25"/>
  <c r="S24"/>
  <c r="S25" s="1"/>
  <c r="R24"/>
  <c r="O24"/>
  <c r="O25" s="1"/>
  <c r="L24"/>
  <c r="I24"/>
  <c r="F24"/>
  <c r="Q23"/>
  <c r="N23"/>
  <c r="K23"/>
  <c r="H23"/>
  <c r="E23"/>
  <c r="S22"/>
  <c r="S23" s="1"/>
  <c r="R22"/>
  <c r="R23" s="1"/>
  <c r="O22"/>
  <c r="O23" s="1"/>
  <c r="L22"/>
  <c r="L23" s="1"/>
  <c r="I22"/>
  <c r="I23" s="1"/>
  <c r="F22"/>
  <c r="F23" s="1"/>
  <c r="Q21"/>
  <c r="N21"/>
  <c r="K21"/>
  <c r="H21"/>
  <c r="E21"/>
  <c r="S20"/>
  <c r="U20" s="1"/>
  <c r="R20"/>
  <c r="R21" s="1"/>
  <c r="O20"/>
  <c r="O21" s="1"/>
  <c r="L20"/>
  <c r="L21" s="1"/>
  <c r="I20"/>
  <c r="I21" s="1"/>
  <c r="F20"/>
  <c r="F21" s="1"/>
  <c r="Q19"/>
  <c r="N19"/>
  <c r="K19"/>
  <c r="H19"/>
  <c r="E19"/>
  <c r="S18"/>
  <c r="S19" s="1"/>
  <c r="R18"/>
  <c r="R19" s="1"/>
  <c r="O18"/>
  <c r="O19" s="1"/>
  <c r="L18"/>
  <c r="L19" s="1"/>
  <c r="I18"/>
  <c r="I19" s="1"/>
  <c r="F18"/>
  <c r="F19" s="1"/>
  <c r="S15"/>
  <c r="S17" s="1"/>
  <c r="R15"/>
  <c r="O15"/>
  <c r="L15"/>
  <c r="I15"/>
  <c r="F15"/>
  <c r="F17" s="1"/>
  <c r="Q14"/>
  <c r="N14"/>
  <c r="K14"/>
  <c r="H14"/>
  <c r="E14"/>
  <c r="S13"/>
  <c r="S14" s="1"/>
  <c r="R13"/>
  <c r="R14" s="1"/>
  <c r="O13"/>
  <c r="O14" s="1"/>
  <c r="L13"/>
  <c r="L14" s="1"/>
  <c r="I13"/>
  <c r="I14" s="1"/>
  <c r="F13"/>
  <c r="F14" s="1"/>
  <c r="Q12"/>
  <c r="N12"/>
  <c r="K12"/>
  <c r="H12"/>
  <c r="E12"/>
  <c r="S11"/>
  <c r="S12" s="1"/>
  <c r="R11"/>
  <c r="R12" s="1"/>
  <c r="O11"/>
  <c r="O12" s="1"/>
  <c r="L11"/>
  <c r="L12" s="1"/>
  <c r="I11"/>
  <c r="I12" s="1"/>
  <c r="F11"/>
  <c r="F12" s="1"/>
  <c r="Q10"/>
  <c r="N10"/>
  <c r="K10"/>
  <c r="H10"/>
  <c r="E10"/>
  <c r="S9"/>
  <c r="S10" s="1"/>
  <c r="R9"/>
  <c r="R10" s="1"/>
  <c r="O9"/>
  <c r="O10" s="1"/>
  <c r="L9"/>
  <c r="L10" s="1"/>
  <c r="I9"/>
  <c r="I10" s="1"/>
  <c r="F9"/>
  <c r="F10" s="1"/>
  <c r="S6"/>
  <c r="S8" s="1"/>
  <c r="R6"/>
  <c r="O6"/>
  <c r="O8" s="1"/>
  <c r="L6"/>
  <c r="I6"/>
  <c r="I8" s="1"/>
  <c r="F6"/>
  <c r="S3"/>
  <c r="U3" s="1"/>
  <c r="R3"/>
  <c r="O3"/>
  <c r="L3"/>
  <c r="I3"/>
  <c r="F3"/>
  <c r="P1"/>
  <c r="U2" s="1"/>
  <c r="C1"/>
  <c r="S27" i="112"/>
  <c r="U27" s="1"/>
  <c r="R27"/>
  <c r="O27"/>
  <c r="L27"/>
  <c r="I27"/>
  <c r="F27"/>
  <c r="S26"/>
  <c r="U26" s="1"/>
  <c r="R26"/>
  <c r="R28" s="1"/>
  <c r="O26"/>
  <c r="O28" s="1"/>
  <c r="L26"/>
  <c r="I26"/>
  <c r="F26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O25" s="1"/>
  <c r="L21"/>
  <c r="I21"/>
  <c r="F21"/>
  <c r="S19"/>
  <c r="U19" s="1"/>
  <c r="R19"/>
  <c r="O19"/>
  <c r="L19"/>
  <c r="I19"/>
  <c r="I20" s="1"/>
  <c r="F19"/>
  <c r="S14"/>
  <c r="U14" s="1"/>
  <c r="R14"/>
  <c r="O14"/>
  <c r="L14"/>
  <c r="I14"/>
  <c r="F14"/>
  <c r="S12"/>
  <c r="U12" s="1"/>
  <c r="R12"/>
  <c r="O12"/>
  <c r="O13" s="1"/>
  <c r="L12"/>
  <c r="L13" s="1"/>
  <c r="I12"/>
  <c r="I13" s="1"/>
  <c r="F12"/>
  <c r="F13" s="1"/>
  <c r="S10"/>
  <c r="U10" s="1"/>
  <c r="R10"/>
  <c r="O10"/>
  <c r="L10"/>
  <c r="L11" s="1"/>
  <c r="I10"/>
  <c r="F10"/>
  <c r="S8"/>
  <c r="U8" s="1"/>
  <c r="R8"/>
  <c r="R9" s="1"/>
  <c r="O8"/>
  <c r="O9" s="1"/>
  <c r="L8"/>
  <c r="L9" s="1"/>
  <c r="I8"/>
  <c r="I9" s="1"/>
  <c r="F8"/>
  <c r="F9" s="1"/>
  <c r="Q28"/>
  <c r="N28"/>
  <c r="E28"/>
  <c r="K28"/>
  <c r="H28"/>
  <c r="F28"/>
  <c r="Q25"/>
  <c r="N25"/>
  <c r="E25"/>
  <c r="R25"/>
  <c r="K25"/>
  <c r="F25"/>
  <c r="Q20"/>
  <c r="K20"/>
  <c r="E20"/>
  <c r="R20"/>
  <c r="N20"/>
  <c r="L20"/>
  <c r="H20"/>
  <c r="F20"/>
  <c r="Q18"/>
  <c r="K18"/>
  <c r="H18"/>
  <c r="E18"/>
  <c r="S17"/>
  <c r="U17" s="1"/>
  <c r="R17"/>
  <c r="O17"/>
  <c r="L17"/>
  <c r="I17"/>
  <c r="F17"/>
  <c r="R16"/>
  <c r="N18"/>
  <c r="L16"/>
  <c r="I16"/>
  <c r="F16"/>
  <c r="Q15"/>
  <c r="N15"/>
  <c r="H15"/>
  <c r="E15"/>
  <c r="R15"/>
  <c r="O15"/>
  <c r="L15"/>
  <c r="I15"/>
  <c r="F15"/>
  <c r="Q13"/>
  <c r="N13"/>
  <c r="K13"/>
  <c r="H13"/>
  <c r="E13"/>
  <c r="R13"/>
  <c r="Q11"/>
  <c r="K11"/>
  <c r="H11"/>
  <c r="E11"/>
  <c r="N11"/>
  <c r="R11"/>
  <c r="Q9"/>
  <c r="K9"/>
  <c r="H9"/>
  <c r="E9"/>
  <c r="N9"/>
  <c r="Q7"/>
  <c r="N7"/>
  <c r="H7"/>
  <c r="E7"/>
  <c r="S6"/>
  <c r="R6"/>
  <c r="O6"/>
  <c r="L6"/>
  <c r="I6"/>
  <c r="F6"/>
  <c r="S3"/>
  <c r="U3" s="1"/>
  <c r="R3"/>
  <c r="O3"/>
  <c r="L3"/>
  <c r="I3"/>
  <c r="F3"/>
  <c r="P1"/>
  <c r="U2" s="1"/>
  <c r="C1"/>
  <c r="Q9" i="111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Q10" s="1"/>
  <c r="N7"/>
  <c r="K7"/>
  <c r="K10" s="1"/>
  <c r="H7"/>
  <c r="E7"/>
  <c r="S6"/>
  <c r="R6"/>
  <c r="R7" s="1"/>
  <c r="O6"/>
  <c r="L6"/>
  <c r="I6"/>
  <c r="I7" s="1"/>
  <c r="F6"/>
  <c r="S3"/>
  <c r="U3" s="1"/>
  <c r="R3"/>
  <c r="O3"/>
  <c r="L3"/>
  <c r="I3"/>
  <c r="F3"/>
  <c r="P1"/>
  <c r="U2" s="1"/>
  <c r="C1"/>
  <c r="Q12" i="110"/>
  <c r="N12"/>
  <c r="K12"/>
  <c r="H12"/>
  <c r="E12"/>
  <c r="S11"/>
  <c r="U11" s="1"/>
  <c r="R11"/>
  <c r="O11"/>
  <c r="L11"/>
  <c r="I11"/>
  <c r="F11"/>
  <c r="H26" i="113" l="1"/>
  <c r="N26"/>
  <c r="E26"/>
  <c r="K26"/>
  <c r="Q26"/>
  <c r="S21"/>
  <c r="S26" s="1"/>
  <c r="T24"/>
  <c r="T25" s="1"/>
  <c r="T3"/>
  <c r="V3" s="1"/>
  <c r="F25"/>
  <c r="L25"/>
  <c r="R25"/>
  <c r="L17"/>
  <c r="R17"/>
  <c r="O17"/>
  <c r="O26" s="1"/>
  <c r="T16"/>
  <c r="I17"/>
  <c r="V16"/>
  <c r="F8"/>
  <c r="F26" s="1"/>
  <c r="L8"/>
  <c r="L26" s="1"/>
  <c r="R8"/>
  <c r="R26" s="1"/>
  <c r="T7"/>
  <c r="V7" s="1"/>
  <c r="U9"/>
  <c r="U10" s="1"/>
  <c r="T11"/>
  <c r="T12" s="1"/>
  <c r="U13"/>
  <c r="U14" s="1"/>
  <c r="T15"/>
  <c r="U18"/>
  <c r="U19" s="1"/>
  <c r="T20"/>
  <c r="T21" s="1"/>
  <c r="U21"/>
  <c r="T22"/>
  <c r="T23" s="1"/>
  <c r="U24"/>
  <c r="U25" s="1"/>
  <c r="I25"/>
  <c r="T9"/>
  <c r="T10" s="1"/>
  <c r="U11"/>
  <c r="U12" s="1"/>
  <c r="T13"/>
  <c r="T14" s="1"/>
  <c r="U15"/>
  <c r="U17" s="1"/>
  <c r="T18"/>
  <c r="T19" s="1"/>
  <c r="U22"/>
  <c r="U23" s="1"/>
  <c r="T6"/>
  <c r="U6"/>
  <c r="E29" i="112"/>
  <c r="S13"/>
  <c r="T14"/>
  <c r="V14" s="1"/>
  <c r="V15" s="1"/>
  <c r="T22"/>
  <c r="V22" s="1"/>
  <c r="T24"/>
  <c r="V24" s="1"/>
  <c r="T26"/>
  <c r="V26" s="1"/>
  <c r="T3"/>
  <c r="V3" s="1"/>
  <c r="L18"/>
  <c r="R18"/>
  <c r="T17"/>
  <c r="V17" s="1"/>
  <c r="T8"/>
  <c r="V8" s="1"/>
  <c r="V9" s="1"/>
  <c r="T10"/>
  <c r="V10" s="1"/>
  <c r="T12"/>
  <c r="V12" s="1"/>
  <c r="V13" s="1"/>
  <c r="T19"/>
  <c r="V19" s="1"/>
  <c r="T21"/>
  <c r="V21" s="1"/>
  <c r="T23"/>
  <c r="V23" s="1"/>
  <c r="T27"/>
  <c r="V27" s="1"/>
  <c r="U25"/>
  <c r="S25"/>
  <c r="T6"/>
  <c r="V6" s="1"/>
  <c r="N29"/>
  <c r="U6"/>
  <c r="L7"/>
  <c r="F7"/>
  <c r="I7"/>
  <c r="O7"/>
  <c r="R7"/>
  <c r="S9"/>
  <c r="U9"/>
  <c r="K7"/>
  <c r="Q29"/>
  <c r="O11"/>
  <c r="F11"/>
  <c r="I11"/>
  <c r="U13"/>
  <c r="K15"/>
  <c r="O16"/>
  <c r="O18" s="1"/>
  <c r="S16"/>
  <c r="F18"/>
  <c r="I18"/>
  <c r="O20"/>
  <c r="H25"/>
  <c r="L28"/>
  <c r="T15"/>
  <c r="T3" i="111"/>
  <c r="V3" s="1"/>
  <c r="H10"/>
  <c r="N10"/>
  <c r="E10"/>
  <c r="O7"/>
  <c r="O10" s="1"/>
  <c r="T6"/>
  <c r="V6" s="1"/>
  <c r="V7" s="1"/>
  <c r="I10"/>
  <c r="F7"/>
  <c r="F10" s="1"/>
  <c r="L7"/>
  <c r="U6"/>
  <c r="S7"/>
  <c r="S10" s="1"/>
  <c r="T8"/>
  <c r="T9" s="1"/>
  <c r="L10"/>
  <c r="R10"/>
  <c r="U8"/>
  <c r="U9" s="1"/>
  <c r="T11" i="110"/>
  <c r="V11" s="1"/>
  <c r="I26" i="113" l="1"/>
  <c r="U8"/>
  <c r="U26" s="1"/>
  <c r="V13"/>
  <c r="V14" s="1"/>
  <c r="V24"/>
  <c r="V25" s="1"/>
  <c r="T17"/>
  <c r="V20"/>
  <c r="V21" s="1"/>
  <c r="V11"/>
  <c r="V12" s="1"/>
  <c r="T8"/>
  <c r="V6"/>
  <c r="V18"/>
  <c r="V19" s="1"/>
  <c r="V9"/>
  <c r="V10" s="1"/>
  <c r="V22"/>
  <c r="V23" s="1"/>
  <c r="V15"/>
  <c r="V17" s="1"/>
  <c r="T20" i="112"/>
  <c r="T13"/>
  <c r="H29"/>
  <c r="T9"/>
  <c r="V20"/>
  <c r="T16"/>
  <c r="T18" s="1"/>
  <c r="R29"/>
  <c r="O29"/>
  <c r="K29"/>
  <c r="F29"/>
  <c r="I28"/>
  <c r="S18"/>
  <c r="U16"/>
  <c r="U18" s="1"/>
  <c r="S15"/>
  <c r="U15"/>
  <c r="S28"/>
  <c r="U28"/>
  <c r="I25"/>
  <c r="U7"/>
  <c r="L25"/>
  <c r="U11"/>
  <c r="S11"/>
  <c r="S7"/>
  <c r="S20"/>
  <c r="U20"/>
  <c r="T7"/>
  <c r="V8" i="111"/>
  <c r="V9" s="1"/>
  <c r="T7"/>
  <c r="U7"/>
  <c r="U10" s="1"/>
  <c r="T10"/>
  <c r="T26" i="113" l="1"/>
  <c r="V8"/>
  <c r="V26" s="1"/>
  <c r="V16" i="112"/>
  <c r="V18" s="1"/>
  <c r="L29"/>
  <c r="I29"/>
  <c r="U29"/>
  <c r="T11"/>
  <c r="V11"/>
  <c r="T25"/>
  <c r="V25"/>
  <c r="T28"/>
  <c r="V28"/>
  <c r="V7"/>
  <c r="S29"/>
  <c r="V10" i="111"/>
  <c r="V29" i="112" l="1"/>
  <c r="T29"/>
  <c r="Q20" i="110" l="1"/>
  <c r="N20"/>
  <c r="K20"/>
  <c r="H20"/>
  <c r="E20"/>
  <c r="S19"/>
  <c r="S20" s="1"/>
  <c r="R19"/>
  <c r="R20" s="1"/>
  <c r="O19"/>
  <c r="O20" s="1"/>
  <c r="L19"/>
  <c r="L20" s="1"/>
  <c r="I19"/>
  <c r="I20" s="1"/>
  <c r="F19"/>
  <c r="F20" s="1"/>
  <c r="Q18"/>
  <c r="N18"/>
  <c r="K18"/>
  <c r="H18"/>
  <c r="E18"/>
  <c r="S17"/>
  <c r="S18" s="1"/>
  <c r="R17"/>
  <c r="R18" s="1"/>
  <c r="O17"/>
  <c r="O18" s="1"/>
  <c r="L17"/>
  <c r="L18" s="1"/>
  <c r="I17"/>
  <c r="I18" s="1"/>
  <c r="F17"/>
  <c r="F18" s="1"/>
  <c r="Q16"/>
  <c r="N16"/>
  <c r="K16"/>
  <c r="H16"/>
  <c r="E16"/>
  <c r="S15"/>
  <c r="S16" s="1"/>
  <c r="R15"/>
  <c r="R16" s="1"/>
  <c r="O15"/>
  <c r="O16" s="1"/>
  <c r="L15"/>
  <c r="L16" s="1"/>
  <c r="I15"/>
  <c r="I16" s="1"/>
  <c r="F15"/>
  <c r="F16" s="1"/>
  <c r="Q14"/>
  <c r="N14"/>
  <c r="K14"/>
  <c r="H14"/>
  <c r="E14"/>
  <c r="S13"/>
  <c r="S14" s="1"/>
  <c r="R13"/>
  <c r="R14" s="1"/>
  <c r="O13"/>
  <c r="O14" s="1"/>
  <c r="L13"/>
  <c r="L14" s="1"/>
  <c r="I13"/>
  <c r="I14" s="1"/>
  <c r="F13"/>
  <c r="F14" s="1"/>
  <c r="S10"/>
  <c r="S12" s="1"/>
  <c r="R10"/>
  <c r="R12" s="1"/>
  <c r="O10"/>
  <c r="O12" s="1"/>
  <c r="L10"/>
  <c r="L12" s="1"/>
  <c r="I10"/>
  <c r="I12" s="1"/>
  <c r="F10"/>
  <c r="F12" s="1"/>
  <c r="Q9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Q21" s="1"/>
  <c r="N7"/>
  <c r="N21" s="1"/>
  <c r="K7"/>
  <c r="K21" s="1"/>
  <c r="H7"/>
  <c r="H21" s="1"/>
  <c r="E7"/>
  <c r="S6"/>
  <c r="R6"/>
  <c r="O6"/>
  <c r="O7" s="1"/>
  <c r="L6"/>
  <c r="I6"/>
  <c r="I7" s="1"/>
  <c r="F6"/>
  <c r="S3"/>
  <c r="U3" s="1"/>
  <c r="R3"/>
  <c r="O3"/>
  <c r="L3"/>
  <c r="I3"/>
  <c r="T3" s="1"/>
  <c r="F3"/>
  <c r="P1"/>
  <c r="U2" s="1"/>
  <c r="C1"/>
  <c r="Q199" i="104"/>
  <c r="N199"/>
  <c r="K199"/>
  <c r="H199"/>
  <c r="E199"/>
  <c r="S198"/>
  <c r="U198" s="1"/>
  <c r="R198"/>
  <c r="O198"/>
  <c r="L198"/>
  <c r="I198"/>
  <c r="F198"/>
  <c r="S197"/>
  <c r="U197" s="1"/>
  <c r="R197"/>
  <c r="O197"/>
  <c r="L197"/>
  <c r="I197"/>
  <c r="F197"/>
  <c r="S196"/>
  <c r="U196" s="1"/>
  <c r="R196"/>
  <c r="O196"/>
  <c r="L196"/>
  <c r="I196"/>
  <c r="F196"/>
  <c r="S195"/>
  <c r="U195" s="1"/>
  <c r="R195"/>
  <c r="O195"/>
  <c r="L195"/>
  <c r="I195"/>
  <c r="F195"/>
  <c r="S46"/>
  <c r="U46" s="1"/>
  <c r="R46"/>
  <c r="O46"/>
  <c r="L46"/>
  <c r="I46"/>
  <c r="Q45"/>
  <c r="R45" s="1"/>
  <c r="N66"/>
  <c r="R145"/>
  <c r="O145"/>
  <c r="L145"/>
  <c r="I145"/>
  <c r="F145"/>
  <c r="R144"/>
  <c r="O144"/>
  <c r="L144"/>
  <c r="I144"/>
  <c r="S144"/>
  <c r="U144" s="1"/>
  <c r="F144"/>
  <c r="R143"/>
  <c r="O143"/>
  <c r="L143"/>
  <c r="I143"/>
  <c r="F143"/>
  <c r="R142"/>
  <c r="O142"/>
  <c r="K142"/>
  <c r="L142" s="1"/>
  <c r="H142"/>
  <c r="F142"/>
  <c r="O107"/>
  <c r="O106"/>
  <c r="O105"/>
  <c r="K104"/>
  <c r="K103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N18"/>
  <c r="K73"/>
  <c r="K93" s="1"/>
  <c r="N62"/>
  <c r="N64" s="1"/>
  <c r="O45"/>
  <c r="L45"/>
  <c r="I45"/>
  <c r="N39"/>
  <c r="N38"/>
  <c r="N37"/>
  <c r="Q93"/>
  <c r="N93"/>
  <c r="H93"/>
  <c r="E93"/>
  <c r="Q222" i="96"/>
  <c r="S220"/>
  <c r="U220" s="1"/>
  <c r="R220"/>
  <c r="O220"/>
  <c r="L220"/>
  <c r="I220"/>
  <c r="F220"/>
  <c r="S219"/>
  <c r="U219" s="1"/>
  <c r="R219"/>
  <c r="O219"/>
  <c r="L219"/>
  <c r="I219"/>
  <c r="F219"/>
  <c r="S218"/>
  <c r="U218" s="1"/>
  <c r="R218"/>
  <c r="O218"/>
  <c r="L218"/>
  <c r="I218"/>
  <c r="F218"/>
  <c r="S217"/>
  <c r="U217" s="1"/>
  <c r="R217"/>
  <c r="O217"/>
  <c r="L217"/>
  <c r="I217"/>
  <c r="F217"/>
  <c r="N211"/>
  <c r="N210"/>
  <c r="N209"/>
  <c r="N208"/>
  <c r="N207"/>
  <c r="R202"/>
  <c r="O202"/>
  <c r="S202"/>
  <c r="U202" s="1"/>
  <c r="I202"/>
  <c r="F202"/>
  <c r="R201"/>
  <c r="O201"/>
  <c r="K201"/>
  <c r="S201" s="1"/>
  <c r="U201" s="1"/>
  <c r="I201"/>
  <c r="F201"/>
  <c r="Q171"/>
  <c r="S177"/>
  <c r="U177" s="1"/>
  <c r="R177"/>
  <c r="O177"/>
  <c r="L177"/>
  <c r="I177"/>
  <c r="F177"/>
  <c r="S176"/>
  <c r="U176" s="1"/>
  <c r="R176"/>
  <c r="O176"/>
  <c r="L176"/>
  <c r="I176"/>
  <c r="F176"/>
  <c r="S171" i="104"/>
  <c r="U171" s="1"/>
  <c r="R171"/>
  <c r="O171"/>
  <c r="L171"/>
  <c r="I171"/>
  <c r="F171"/>
  <c r="S170"/>
  <c r="U170" s="1"/>
  <c r="R170"/>
  <c r="O170"/>
  <c r="L170"/>
  <c r="I170"/>
  <c r="F170"/>
  <c r="S169"/>
  <c r="U169" s="1"/>
  <c r="R169"/>
  <c r="O169"/>
  <c r="L169"/>
  <c r="I169"/>
  <c r="F169"/>
  <c r="Q162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R41"/>
  <c r="Q140"/>
  <c r="N140"/>
  <c r="K140"/>
  <c r="H140"/>
  <c r="E140"/>
  <c r="S139"/>
  <c r="U139" s="1"/>
  <c r="R139"/>
  <c r="O139"/>
  <c r="L139"/>
  <c r="I139"/>
  <c r="F139"/>
  <c r="S167"/>
  <c r="U167" s="1"/>
  <c r="R167"/>
  <c r="O167"/>
  <c r="L167"/>
  <c r="I167"/>
  <c r="F167"/>
  <c r="S166"/>
  <c r="U166" s="1"/>
  <c r="R166"/>
  <c r="O166"/>
  <c r="L166"/>
  <c r="I166"/>
  <c r="F166"/>
  <c r="S165"/>
  <c r="U165" s="1"/>
  <c r="R165"/>
  <c r="O165"/>
  <c r="L165"/>
  <c r="I165"/>
  <c r="F165"/>
  <c r="Q176"/>
  <c r="N176"/>
  <c r="H176"/>
  <c r="E176"/>
  <c r="R175"/>
  <c r="O175"/>
  <c r="L175"/>
  <c r="S175"/>
  <c r="U175" s="1"/>
  <c r="I175"/>
  <c r="F175"/>
  <c r="H49"/>
  <c r="Q61"/>
  <c r="N61"/>
  <c r="K61"/>
  <c r="H61"/>
  <c r="E61"/>
  <c r="R60"/>
  <c r="S60"/>
  <c r="U60" s="1"/>
  <c r="L60"/>
  <c r="I60"/>
  <c r="F60"/>
  <c r="R56"/>
  <c r="S56"/>
  <c r="U56" s="1"/>
  <c r="L56"/>
  <c r="I56"/>
  <c r="F56"/>
  <c r="R55"/>
  <c r="S55"/>
  <c r="U55" s="1"/>
  <c r="L55"/>
  <c r="I55"/>
  <c r="F55"/>
  <c r="R54"/>
  <c r="S54"/>
  <c r="U54" s="1"/>
  <c r="L54"/>
  <c r="I54"/>
  <c r="F54"/>
  <c r="R53"/>
  <c r="S53"/>
  <c r="U53" s="1"/>
  <c r="L53"/>
  <c r="I53"/>
  <c r="F53"/>
  <c r="R52"/>
  <c r="S52"/>
  <c r="U52" s="1"/>
  <c r="L52"/>
  <c r="I52"/>
  <c r="F52"/>
  <c r="R51"/>
  <c r="S51"/>
  <c r="U51" s="1"/>
  <c r="L51"/>
  <c r="I51"/>
  <c r="F51"/>
  <c r="R50"/>
  <c r="S50"/>
  <c r="U50" s="1"/>
  <c r="L50"/>
  <c r="I50"/>
  <c r="F5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R24"/>
  <c r="O24"/>
  <c r="L24"/>
  <c r="S24"/>
  <c r="U24" s="1"/>
  <c r="F24"/>
  <c r="R23"/>
  <c r="O23"/>
  <c r="L23"/>
  <c r="I23"/>
  <c r="S23"/>
  <c r="U23" s="1"/>
  <c r="F23"/>
  <c r="R22"/>
  <c r="O22"/>
  <c r="L22"/>
  <c r="S22"/>
  <c r="U22" s="1"/>
  <c r="F22"/>
  <c r="R21"/>
  <c r="O21"/>
  <c r="L21"/>
  <c r="I21"/>
  <c r="S21"/>
  <c r="U21" s="1"/>
  <c r="F21"/>
  <c r="R20"/>
  <c r="O20"/>
  <c r="K20"/>
  <c r="L20" s="1"/>
  <c r="H20"/>
  <c r="F20"/>
  <c r="S45" l="1"/>
  <c r="U45" s="1"/>
  <c r="T169"/>
  <c r="V169" s="1"/>
  <c r="T125"/>
  <c r="V125" s="1"/>
  <c r="T127"/>
  <c r="V127" s="1"/>
  <c r="T166"/>
  <c r="V166" s="1"/>
  <c r="T57"/>
  <c r="V57" s="1"/>
  <c r="T46"/>
  <c r="V46" s="1"/>
  <c r="I21" i="110"/>
  <c r="O21"/>
  <c r="E21"/>
  <c r="V3"/>
  <c r="T6"/>
  <c r="F7"/>
  <c r="F21" s="1"/>
  <c r="L7"/>
  <c r="L21" s="1"/>
  <c r="R7"/>
  <c r="R21" s="1"/>
  <c r="U8"/>
  <c r="U9" s="1"/>
  <c r="T10"/>
  <c r="T12" s="1"/>
  <c r="U13"/>
  <c r="U14" s="1"/>
  <c r="T15"/>
  <c r="T16" s="1"/>
  <c r="U17"/>
  <c r="U18" s="1"/>
  <c r="T19"/>
  <c r="T20" s="1"/>
  <c r="U6"/>
  <c r="S7"/>
  <c r="S21" s="1"/>
  <c r="T8"/>
  <c r="T9" s="1"/>
  <c r="U10"/>
  <c r="U12" s="1"/>
  <c r="T13"/>
  <c r="T14" s="1"/>
  <c r="U15"/>
  <c r="U16" s="1"/>
  <c r="T17"/>
  <c r="T18" s="1"/>
  <c r="U19"/>
  <c r="U20" s="1"/>
  <c r="T195" i="104"/>
  <c r="V195" s="1"/>
  <c r="T196"/>
  <c r="V196" s="1"/>
  <c r="T198"/>
  <c r="V198" s="1"/>
  <c r="T197"/>
  <c r="V197" s="1"/>
  <c r="S142"/>
  <c r="U142" s="1"/>
  <c r="I142"/>
  <c r="T142" s="1"/>
  <c r="V142" s="1"/>
  <c r="T145"/>
  <c r="V145" s="1"/>
  <c r="T143"/>
  <c r="V143" s="1"/>
  <c r="T144"/>
  <c r="V144" s="1"/>
  <c r="S143"/>
  <c r="U143" s="1"/>
  <c r="S145"/>
  <c r="U145" s="1"/>
  <c r="T33"/>
  <c r="V33" s="1"/>
  <c r="T129"/>
  <c r="V129" s="1"/>
  <c r="T175"/>
  <c r="V175" s="1"/>
  <c r="T167"/>
  <c r="V167" s="1"/>
  <c r="T139"/>
  <c r="V139" s="1"/>
  <c r="T58"/>
  <c r="V58" s="1"/>
  <c r="T45"/>
  <c r="V45" s="1"/>
  <c r="T26"/>
  <c r="V26" s="1"/>
  <c r="T28"/>
  <c r="V28" s="1"/>
  <c r="T170"/>
  <c r="V170" s="1"/>
  <c r="T217" i="96"/>
  <c r="V217" s="1"/>
  <c r="T219"/>
  <c r="V219" s="1"/>
  <c r="T34" i="104"/>
  <c r="V34" s="1"/>
  <c r="T32"/>
  <c r="V32" s="1"/>
  <c r="T31"/>
  <c r="V31" s="1"/>
  <c r="T30"/>
  <c r="V30" s="1"/>
  <c r="T29"/>
  <c r="V29" s="1"/>
  <c r="T27"/>
  <c r="V27" s="1"/>
  <c r="T25"/>
  <c r="V25" s="1"/>
  <c r="T21"/>
  <c r="V21" s="1"/>
  <c r="T220" i="96"/>
  <c r="V220" s="1"/>
  <c r="T218"/>
  <c r="V218" s="1"/>
  <c r="L201"/>
  <c r="T201" s="1"/>
  <c r="V201" s="1"/>
  <c r="L202"/>
  <c r="T202" s="1"/>
  <c r="V202" s="1"/>
  <c r="T176"/>
  <c r="V176" s="1"/>
  <c r="T177"/>
  <c r="V177" s="1"/>
  <c r="T171" i="104"/>
  <c r="V171" s="1"/>
  <c r="T59"/>
  <c r="V59" s="1"/>
  <c r="T165"/>
  <c r="V165" s="1"/>
  <c r="S20"/>
  <c r="U20" s="1"/>
  <c r="O50"/>
  <c r="T50" s="1"/>
  <c r="V50" s="1"/>
  <c r="O51"/>
  <c r="T51" s="1"/>
  <c r="V51" s="1"/>
  <c r="O52"/>
  <c r="T52" s="1"/>
  <c r="V52" s="1"/>
  <c r="O53"/>
  <c r="T53" s="1"/>
  <c r="V53" s="1"/>
  <c r="O54"/>
  <c r="T54" s="1"/>
  <c r="V54" s="1"/>
  <c r="O55"/>
  <c r="T55" s="1"/>
  <c r="V55" s="1"/>
  <c r="O56"/>
  <c r="T56" s="1"/>
  <c r="V56" s="1"/>
  <c r="O60"/>
  <c r="T60" s="1"/>
  <c r="V60" s="1"/>
  <c r="T123"/>
  <c r="V123" s="1"/>
  <c r="T122"/>
  <c r="V122" s="1"/>
  <c r="T124"/>
  <c r="V124" s="1"/>
  <c r="T126"/>
  <c r="V126" s="1"/>
  <c r="T128"/>
  <c r="V128" s="1"/>
  <c r="T23"/>
  <c r="V23" s="1"/>
  <c r="I20"/>
  <c r="T20" s="1"/>
  <c r="V20" s="1"/>
  <c r="I22"/>
  <c r="T22" s="1"/>
  <c r="V22" s="1"/>
  <c r="I24"/>
  <c r="T24" s="1"/>
  <c r="V24" s="1"/>
  <c r="V15" i="110" l="1"/>
  <c r="V16" s="1"/>
  <c r="V13"/>
  <c r="V14" s="1"/>
  <c r="U7"/>
  <c r="U21" s="1"/>
  <c r="T7"/>
  <c r="T21" s="1"/>
  <c r="V17"/>
  <c r="V18" s="1"/>
  <c r="V8"/>
  <c r="V9" s="1"/>
  <c r="V19"/>
  <c r="V20" s="1"/>
  <c r="V10"/>
  <c r="V12" s="1"/>
  <c r="V6"/>
  <c r="S283" i="96"/>
  <c r="U283" s="1"/>
  <c r="R283"/>
  <c r="O283"/>
  <c r="L283"/>
  <c r="I283"/>
  <c r="F283"/>
  <c r="S221"/>
  <c r="U221" s="1"/>
  <c r="R221"/>
  <c r="O221"/>
  <c r="L221"/>
  <c r="I221"/>
  <c r="F221"/>
  <c r="S216"/>
  <c r="U216" s="1"/>
  <c r="R216"/>
  <c r="O216"/>
  <c r="L216"/>
  <c r="I216"/>
  <c r="F216"/>
  <c r="S215"/>
  <c r="U215" s="1"/>
  <c r="R215"/>
  <c r="O215"/>
  <c r="L215"/>
  <c r="I215"/>
  <c r="F215"/>
  <c r="S214"/>
  <c r="U214" s="1"/>
  <c r="R214"/>
  <c r="O214"/>
  <c r="L214"/>
  <c r="I214"/>
  <c r="F214"/>
  <c r="R175"/>
  <c r="O175"/>
  <c r="L175"/>
  <c r="S175"/>
  <c r="U175" s="1"/>
  <c r="I175"/>
  <c r="F175"/>
  <c r="R174"/>
  <c r="O174"/>
  <c r="L174"/>
  <c r="S174"/>
  <c r="U174" s="1"/>
  <c r="I174"/>
  <c r="F174"/>
  <c r="R173"/>
  <c r="O173"/>
  <c r="L173"/>
  <c r="S173"/>
  <c r="U173" s="1"/>
  <c r="I173"/>
  <c r="F173"/>
  <c r="R172"/>
  <c r="O172"/>
  <c r="L172"/>
  <c r="S172"/>
  <c r="U172" s="1"/>
  <c r="I172"/>
  <c r="F172"/>
  <c r="R171"/>
  <c r="O171"/>
  <c r="K171"/>
  <c r="S171" s="1"/>
  <c r="U171" s="1"/>
  <c r="I171"/>
  <c r="F171"/>
  <c r="N170"/>
  <c r="R111"/>
  <c r="O111"/>
  <c r="L111"/>
  <c r="S111"/>
  <c r="U111" s="1"/>
  <c r="F111"/>
  <c r="R110"/>
  <c r="O110"/>
  <c r="L110"/>
  <c r="S110"/>
  <c r="U110" s="1"/>
  <c r="F110"/>
  <c r="R109"/>
  <c r="O109"/>
  <c r="L109"/>
  <c r="S109"/>
  <c r="U109" s="1"/>
  <c r="F109"/>
  <c r="R108"/>
  <c r="O108"/>
  <c r="L108"/>
  <c r="S108"/>
  <c r="U108" s="1"/>
  <c r="F108"/>
  <c r="R107"/>
  <c r="O107"/>
  <c r="L107"/>
  <c r="S107"/>
  <c r="U107" s="1"/>
  <c r="F107"/>
  <c r="R106"/>
  <c r="O106"/>
  <c r="L106"/>
  <c r="S106"/>
  <c r="U106" s="1"/>
  <c r="F106"/>
  <c r="R105"/>
  <c r="O105"/>
  <c r="L105"/>
  <c r="H105"/>
  <c r="S105" s="1"/>
  <c r="U105" s="1"/>
  <c r="F105"/>
  <c r="V7" i="110" l="1"/>
  <c r="V21" s="1"/>
  <c r="T283" i="96"/>
  <c r="V283" s="1"/>
  <c r="T216"/>
  <c r="V216" s="1"/>
  <c r="T214"/>
  <c r="V214" s="1"/>
  <c r="T215"/>
  <c r="V215" s="1"/>
  <c r="T221"/>
  <c r="V221" s="1"/>
  <c r="L171"/>
  <c r="T171" s="1"/>
  <c r="V171" s="1"/>
  <c r="T172"/>
  <c r="V172" s="1"/>
  <c r="T173"/>
  <c r="V173" s="1"/>
  <c r="T174"/>
  <c r="V174" s="1"/>
  <c r="T175"/>
  <c r="V175" s="1"/>
  <c r="I105"/>
  <c r="T105" s="1"/>
  <c r="V105" s="1"/>
  <c r="I106"/>
  <c r="T106" s="1"/>
  <c r="V106" s="1"/>
  <c r="I107"/>
  <c r="T107" s="1"/>
  <c r="V107" s="1"/>
  <c r="I108"/>
  <c r="T108" s="1"/>
  <c r="V108" s="1"/>
  <c r="I109"/>
  <c r="T109" s="1"/>
  <c r="V109" s="1"/>
  <c r="I110"/>
  <c r="T110" s="1"/>
  <c r="V110" s="1"/>
  <c r="I111"/>
  <c r="T111" s="1"/>
  <c r="V111" s="1"/>
  <c r="K177" i="104"/>
  <c r="H19"/>
  <c r="N97"/>
  <c r="N94"/>
  <c r="H103" i="96"/>
  <c r="H98"/>
  <c r="K112" i="104" l="1"/>
  <c r="S213" i="96" l="1"/>
  <c r="U213" s="1"/>
  <c r="R213"/>
  <c r="O213"/>
  <c r="L213"/>
  <c r="I213"/>
  <c r="F213"/>
  <c r="S212"/>
  <c r="U212" s="1"/>
  <c r="R212"/>
  <c r="O212"/>
  <c r="L212"/>
  <c r="I212"/>
  <c r="F212"/>
  <c r="R211"/>
  <c r="O211"/>
  <c r="L211"/>
  <c r="H211"/>
  <c r="S211" s="1"/>
  <c r="U211" s="1"/>
  <c r="F211"/>
  <c r="H208"/>
  <c r="H209"/>
  <c r="K168"/>
  <c r="K167"/>
  <c r="H170"/>
  <c r="H217" i="104"/>
  <c r="H216"/>
  <c r="K200"/>
  <c r="H215"/>
  <c r="R168"/>
  <c r="O168"/>
  <c r="L168"/>
  <c r="I168"/>
  <c r="F168"/>
  <c r="R164"/>
  <c r="O164"/>
  <c r="L164"/>
  <c r="I164"/>
  <c r="F164"/>
  <c r="Q163"/>
  <c r="R163" s="1"/>
  <c r="O163"/>
  <c r="K163"/>
  <c r="L163" s="1"/>
  <c r="H163"/>
  <c r="I163" s="1"/>
  <c r="F163"/>
  <c r="K39"/>
  <c r="K38"/>
  <c r="N148"/>
  <c r="K162"/>
  <c r="K161"/>
  <c r="K174"/>
  <c r="K176" s="1"/>
  <c r="K148"/>
  <c r="T163" l="1"/>
  <c r="V163" s="1"/>
  <c r="I211" i="96"/>
  <c r="T213"/>
  <c r="T211"/>
  <c r="V213"/>
  <c r="V211"/>
  <c r="T212"/>
  <c r="V212" s="1"/>
  <c r="T164" i="104"/>
  <c r="V164" s="1"/>
  <c r="T168"/>
  <c r="V168" s="1"/>
  <c r="S163"/>
  <c r="U163" s="1"/>
  <c r="S164"/>
  <c r="U164" s="1"/>
  <c r="S168"/>
  <c r="U168" s="1"/>
  <c r="H141"/>
  <c r="T110"/>
  <c r="V110" s="1"/>
  <c r="S110"/>
  <c r="U110" s="1"/>
  <c r="T109"/>
  <c r="V109" s="1"/>
  <c r="S109"/>
  <c r="U109" s="1"/>
  <c r="T108"/>
  <c r="V108" s="1"/>
  <c r="S108"/>
  <c r="U108" s="1"/>
  <c r="T107"/>
  <c r="V107" s="1"/>
  <c r="S107"/>
  <c r="U107" s="1"/>
  <c r="T106"/>
  <c r="V106" s="1"/>
  <c r="S106"/>
  <c r="U106" s="1"/>
  <c r="T105"/>
  <c r="V105" s="1"/>
  <c r="S105"/>
  <c r="U105" s="1"/>
  <c r="R49" i="103"/>
  <c r="O49"/>
  <c r="S49"/>
  <c r="U49" s="1"/>
  <c r="I49"/>
  <c r="F49"/>
  <c r="R48"/>
  <c r="O48"/>
  <c r="S48"/>
  <c r="U48" s="1"/>
  <c r="I48"/>
  <c r="F48"/>
  <c r="R47"/>
  <c r="O47"/>
  <c r="L47"/>
  <c r="I47"/>
  <c r="F47"/>
  <c r="R46"/>
  <c r="O46"/>
  <c r="K46"/>
  <c r="L46" s="1"/>
  <c r="I46"/>
  <c r="F46"/>
  <c r="S268" i="96"/>
  <c r="U268" s="1"/>
  <c r="R268"/>
  <c r="O268"/>
  <c r="L268"/>
  <c r="I268"/>
  <c r="F268"/>
  <c r="S267"/>
  <c r="U267" s="1"/>
  <c r="R267"/>
  <c r="O267"/>
  <c r="L267"/>
  <c r="I267"/>
  <c r="F267"/>
  <c r="S266"/>
  <c r="U266" s="1"/>
  <c r="R266"/>
  <c r="O266"/>
  <c r="L266"/>
  <c r="I266"/>
  <c r="F266"/>
  <c r="Q251"/>
  <c r="S265"/>
  <c r="U265" s="1"/>
  <c r="R265"/>
  <c r="O265"/>
  <c r="L265"/>
  <c r="I265"/>
  <c r="F265"/>
  <c r="S264"/>
  <c r="U264" s="1"/>
  <c r="R264"/>
  <c r="O264"/>
  <c r="L264"/>
  <c r="I264"/>
  <c r="F264"/>
  <c r="S263"/>
  <c r="U263" s="1"/>
  <c r="R263"/>
  <c r="O263"/>
  <c r="L263"/>
  <c r="I263"/>
  <c r="F263"/>
  <c r="S262"/>
  <c r="U262" s="1"/>
  <c r="R262"/>
  <c r="O262"/>
  <c r="L262"/>
  <c r="I262"/>
  <c r="F262"/>
  <c r="S261"/>
  <c r="U261" s="1"/>
  <c r="R261"/>
  <c r="O261"/>
  <c r="L261"/>
  <c r="I261"/>
  <c r="F261"/>
  <c r="Q246"/>
  <c r="Q249"/>
  <c r="Q258"/>
  <c r="Q243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Q34"/>
  <c r="Q43" s="1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H103" i="104"/>
  <c r="Q111"/>
  <c r="N111"/>
  <c r="K111"/>
  <c r="H111"/>
  <c r="E111"/>
  <c r="H113"/>
  <c r="H112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00"/>
  <c r="U100" s="1"/>
  <c r="R100"/>
  <c r="O100"/>
  <c r="L100"/>
  <c r="I100"/>
  <c r="F100"/>
  <c r="S99"/>
  <c r="U99" s="1"/>
  <c r="R99"/>
  <c r="O99"/>
  <c r="L99"/>
  <c r="I99"/>
  <c r="F99"/>
  <c r="S98"/>
  <c r="U98" s="1"/>
  <c r="R98"/>
  <c r="L98"/>
  <c r="I98"/>
  <c r="F98"/>
  <c r="T116" l="1"/>
  <c r="V116" s="1"/>
  <c r="T118"/>
  <c r="V118" s="1"/>
  <c r="T35" i="96"/>
  <c r="V35" s="1"/>
  <c r="T36"/>
  <c r="T38"/>
  <c r="V38" s="1"/>
  <c r="T40"/>
  <c r="V40" s="1"/>
  <c r="T262"/>
  <c r="V262" s="1"/>
  <c r="T264"/>
  <c r="V264" s="1"/>
  <c r="T266"/>
  <c r="V266" s="1"/>
  <c r="T268"/>
  <c r="V268" s="1"/>
  <c r="T114" i="104"/>
  <c r="V114" s="1"/>
  <c r="T47" i="103"/>
  <c r="T46"/>
  <c r="V46" s="1"/>
  <c r="V47"/>
  <c r="S46"/>
  <c r="U46" s="1"/>
  <c r="S47"/>
  <c r="U47" s="1"/>
  <c r="L48"/>
  <c r="T48" s="1"/>
  <c r="V48" s="1"/>
  <c r="L49"/>
  <c r="T49" s="1"/>
  <c r="V49" s="1"/>
  <c r="T267" i="96"/>
  <c r="V267" s="1"/>
  <c r="T265"/>
  <c r="V265" s="1"/>
  <c r="T263"/>
  <c r="V263" s="1"/>
  <c r="T261"/>
  <c r="V261" s="1"/>
  <c r="V36"/>
  <c r="T37"/>
  <c r="V37" s="1"/>
  <c r="T39"/>
  <c r="V39" s="1"/>
  <c r="T21"/>
  <c r="V21" s="1"/>
  <c r="T23"/>
  <c r="V23" s="1"/>
  <c r="T22"/>
  <c r="V22" s="1"/>
  <c r="T20"/>
  <c r="V20" s="1"/>
  <c r="T115" i="104"/>
  <c r="V115" s="1"/>
  <c r="T117"/>
  <c r="V117" s="1"/>
  <c r="T98"/>
  <c r="V98" s="1"/>
  <c r="T99"/>
  <c r="V99" s="1"/>
  <c r="T100"/>
  <c r="V100" s="1"/>
  <c r="K37" l="1"/>
  <c r="K48" s="1"/>
  <c r="Q297" i="96"/>
  <c r="N297"/>
  <c r="K297"/>
  <c r="H297"/>
  <c r="E297"/>
  <c r="S295"/>
  <c r="U295" s="1"/>
  <c r="R295"/>
  <c r="O295"/>
  <c r="L295"/>
  <c r="I295"/>
  <c r="F295"/>
  <c r="S294"/>
  <c r="U294" s="1"/>
  <c r="R294"/>
  <c r="O294"/>
  <c r="L294"/>
  <c r="I294"/>
  <c r="F294"/>
  <c r="S293"/>
  <c r="U293" s="1"/>
  <c r="R293"/>
  <c r="O293"/>
  <c r="L293"/>
  <c r="I293"/>
  <c r="F293"/>
  <c r="S292"/>
  <c r="U292" s="1"/>
  <c r="R292"/>
  <c r="O292"/>
  <c r="L292"/>
  <c r="I292"/>
  <c r="F292"/>
  <c r="Q161"/>
  <c r="Q165" s="1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Q48" i="104"/>
  <c r="N48"/>
  <c r="E48"/>
  <c r="S47"/>
  <c r="U47" s="1"/>
  <c r="R47"/>
  <c r="S44"/>
  <c r="U44" s="1"/>
  <c r="R44"/>
  <c r="S43"/>
  <c r="U43" s="1"/>
  <c r="R43"/>
  <c r="S42"/>
  <c r="U42" s="1"/>
  <c r="R42"/>
  <c r="S41"/>
  <c r="U41" s="1"/>
  <c r="S40"/>
  <c r="U40" s="1"/>
  <c r="R40"/>
  <c r="O47"/>
  <c r="O44"/>
  <c r="O43"/>
  <c r="O42"/>
  <c r="O41"/>
  <c r="O40"/>
  <c r="L47"/>
  <c r="L44"/>
  <c r="L43"/>
  <c r="L42"/>
  <c r="L41"/>
  <c r="L40"/>
  <c r="I47"/>
  <c r="I44"/>
  <c r="I43"/>
  <c r="I42"/>
  <c r="I41"/>
  <c r="I40"/>
  <c r="H39"/>
  <c r="H38"/>
  <c r="H37"/>
  <c r="H48" l="1"/>
  <c r="T42"/>
  <c r="V42" s="1"/>
  <c r="T43"/>
  <c r="V43" s="1"/>
  <c r="T44"/>
  <c r="V44" s="1"/>
  <c r="T47"/>
  <c r="V47" s="1"/>
  <c r="T41"/>
  <c r="V41" s="1"/>
  <c r="T40"/>
  <c r="V40" s="1"/>
  <c r="T292" i="96"/>
  <c r="V292" s="1"/>
  <c r="T294"/>
  <c r="V294" s="1"/>
  <c r="T15"/>
  <c r="V15" s="1"/>
  <c r="T123"/>
  <c r="V123" s="1"/>
  <c r="T125"/>
  <c r="V125" s="1"/>
  <c r="T293"/>
  <c r="V293" s="1"/>
  <c r="T295"/>
  <c r="V295" s="1"/>
  <c r="T124"/>
  <c r="V124" s="1"/>
  <c r="T126"/>
  <c r="V126" s="1"/>
  <c r="T16"/>
  <c r="V16" s="1"/>
  <c r="T17"/>
  <c r="V17" s="1"/>
  <c r="T19"/>
  <c r="V19" s="1"/>
  <c r="T18"/>
  <c r="V18" s="1"/>
  <c r="N19" i="104" l="1"/>
  <c r="K19"/>
  <c r="N157" i="96"/>
  <c r="N155"/>
  <c r="N161"/>
  <c r="N165" s="1"/>
  <c r="K162"/>
  <c r="K165" s="1"/>
  <c r="S143"/>
  <c r="U143" s="1"/>
  <c r="R143"/>
  <c r="O143"/>
  <c r="L143"/>
  <c r="I143"/>
  <c r="F143"/>
  <c r="S240"/>
  <c r="U240" s="1"/>
  <c r="R240"/>
  <c r="O240"/>
  <c r="L240"/>
  <c r="I240"/>
  <c r="F240"/>
  <c r="S239"/>
  <c r="U239" s="1"/>
  <c r="R239"/>
  <c r="O239"/>
  <c r="L239"/>
  <c r="I239"/>
  <c r="F239"/>
  <c r="S238"/>
  <c r="U238" s="1"/>
  <c r="R238"/>
  <c r="O238"/>
  <c r="L238"/>
  <c r="I238"/>
  <c r="F238"/>
  <c r="S237"/>
  <c r="U237" s="1"/>
  <c r="R237"/>
  <c r="O237"/>
  <c r="L237"/>
  <c r="I237"/>
  <c r="F237"/>
  <c r="S236"/>
  <c r="U236" s="1"/>
  <c r="R236"/>
  <c r="O236"/>
  <c r="L236"/>
  <c r="I236"/>
  <c r="F236"/>
  <c r="R235"/>
  <c r="O235"/>
  <c r="L235"/>
  <c r="S235"/>
  <c r="U235" s="1"/>
  <c r="F235"/>
  <c r="R234"/>
  <c r="O234"/>
  <c r="L234"/>
  <c r="H234"/>
  <c r="S234" s="1"/>
  <c r="U234" s="1"/>
  <c r="F234"/>
  <c r="E20" i="107"/>
  <c r="Q7" i="109"/>
  <c r="Q8" s="1"/>
  <c r="N7"/>
  <c r="N8" s="1"/>
  <c r="K7"/>
  <c r="K8" s="1"/>
  <c r="H7"/>
  <c r="H8" s="1"/>
  <c r="E7"/>
  <c r="E8" s="1"/>
  <c r="S6"/>
  <c r="R6"/>
  <c r="O6"/>
  <c r="L6"/>
  <c r="I6"/>
  <c r="F6"/>
  <c r="S3"/>
  <c r="U3" s="1"/>
  <c r="R3"/>
  <c r="O3"/>
  <c r="L3"/>
  <c r="I3"/>
  <c r="F3"/>
  <c r="P1"/>
  <c r="U2" s="1"/>
  <c r="C1"/>
  <c r="Q11" i="108"/>
  <c r="N11"/>
  <c r="K11"/>
  <c r="H11"/>
  <c r="E11"/>
  <c r="S10"/>
  <c r="S11" s="1"/>
  <c r="R10"/>
  <c r="R11" s="1"/>
  <c r="O10"/>
  <c r="O11" s="1"/>
  <c r="L10"/>
  <c r="L11" s="1"/>
  <c r="I10"/>
  <c r="I11" s="1"/>
  <c r="F10"/>
  <c r="F11" s="1"/>
  <c r="Q9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Q12" s="1"/>
  <c r="N7"/>
  <c r="K7"/>
  <c r="K12" s="1"/>
  <c r="H7"/>
  <c r="E7"/>
  <c r="S6"/>
  <c r="R6"/>
  <c r="O6"/>
  <c r="L6"/>
  <c r="I6"/>
  <c r="F6"/>
  <c r="S3"/>
  <c r="U3" s="1"/>
  <c r="R3"/>
  <c r="O3"/>
  <c r="L3"/>
  <c r="I3"/>
  <c r="F3"/>
  <c r="P1"/>
  <c r="U2" s="1"/>
  <c r="C1"/>
  <c r="H97" i="104"/>
  <c r="R260" i="96"/>
  <c r="O260"/>
  <c r="L260"/>
  <c r="I260"/>
  <c r="F260"/>
  <c r="R259"/>
  <c r="O259"/>
  <c r="L259"/>
  <c r="I259"/>
  <c r="S259"/>
  <c r="U259" s="1"/>
  <c r="F259"/>
  <c r="R258"/>
  <c r="N258"/>
  <c r="O258" s="1"/>
  <c r="L258"/>
  <c r="H258"/>
  <c r="I258" s="1"/>
  <c r="F258"/>
  <c r="N257"/>
  <c r="N253"/>
  <c r="N247"/>
  <c r="N246"/>
  <c r="Q109" i="103"/>
  <c r="N109"/>
  <c r="K109"/>
  <c r="H109"/>
  <c r="E109"/>
  <c r="S108"/>
  <c r="U108" s="1"/>
  <c r="R108"/>
  <c r="O108"/>
  <c r="L108"/>
  <c r="I108"/>
  <c r="F108"/>
  <c r="H65"/>
  <c r="K233" i="96"/>
  <c r="Q68" i="103"/>
  <c r="K76"/>
  <c r="T3" i="108" l="1"/>
  <c r="T3" i="109"/>
  <c r="T239" i="96"/>
  <c r="V239" s="1"/>
  <c r="T258"/>
  <c r="V258" s="1"/>
  <c r="T238"/>
  <c r="T240"/>
  <c r="V238"/>
  <c r="V240"/>
  <c r="T143"/>
  <c r="V143" s="1"/>
  <c r="T237"/>
  <c r="V237" s="1"/>
  <c r="T236"/>
  <c r="V236" s="1"/>
  <c r="I234"/>
  <c r="T234" s="1"/>
  <c r="V234" s="1"/>
  <c r="I235"/>
  <c r="T235" s="1"/>
  <c r="V235" s="1"/>
  <c r="V3" i="109"/>
  <c r="S7"/>
  <c r="S8" s="1"/>
  <c r="T6"/>
  <c r="V6" s="1"/>
  <c r="F7"/>
  <c r="F8" s="1"/>
  <c r="I7"/>
  <c r="I8" s="1"/>
  <c r="L7"/>
  <c r="L8" s="1"/>
  <c r="O7"/>
  <c r="O8" s="1"/>
  <c r="R7"/>
  <c r="R8" s="1"/>
  <c r="U6"/>
  <c r="V3" i="108"/>
  <c r="H12"/>
  <c r="N12"/>
  <c r="E12"/>
  <c r="U6"/>
  <c r="S7"/>
  <c r="S12" s="1"/>
  <c r="T8"/>
  <c r="T9" s="1"/>
  <c r="U10"/>
  <c r="U11" s="1"/>
  <c r="T6"/>
  <c r="V6" s="1"/>
  <c r="F7"/>
  <c r="F12" s="1"/>
  <c r="I7"/>
  <c r="I12" s="1"/>
  <c r="L7"/>
  <c r="L12" s="1"/>
  <c r="O7"/>
  <c r="O12" s="1"/>
  <c r="R7"/>
  <c r="R12" s="1"/>
  <c r="U8"/>
  <c r="U9" s="1"/>
  <c r="T10"/>
  <c r="T11" s="1"/>
  <c r="T259" i="96"/>
  <c r="V259" s="1"/>
  <c r="T260"/>
  <c r="V260" s="1"/>
  <c r="S260"/>
  <c r="U260" s="1"/>
  <c r="S258"/>
  <c r="U258" s="1"/>
  <c r="T108" i="103"/>
  <c r="V108" s="1"/>
  <c r="K57"/>
  <c r="N57"/>
  <c r="H69"/>
  <c r="H68"/>
  <c r="N255" i="96"/>
  <c r="V7" i="109" l="1"/>
  <c r="V8" s="1"/>
  <c r="U7"/>
  <c r="U8" s="1"/>
  <c r="T7"/>
  <c r="T8" s="1"/>
  <c r="V10" i="108"/>
  <c r="V11" s="1"/>
  <c r="V7"/>
  <c r="U7"/>
  <c r="U12" s="1"/>
  <c r="T7"/>
  <c r="T12" s="1"/>
  <c r="V8"/>
  <c r="V9" s="1"/>
  <c r="V12" l="1"/>
  <c r="Q15" i="107"/>
  <c r="N15"/>
  <c r="K15"/>
  <c r="H15"/>
  <c r="E15"/>
  <c r="S14"/>
  <c r="S15" s="1"/>
  <c r="R14"/>
  <c r="R15" s="1"/>
  <c r="O14"/>
  <c r="O15" s="1"/>
  <c r="L14"/>
  <c r="L15" s="1"/>
  <c r="I14"/>
  <c r="F14"/>
  <c r="Q20"/>
  <c r="N20"/>
  <c r="K20"/>
  <c r="H20"/>
  <c r="S19"/>
  <c r="U19" s="1"/>
  <c r="R19"/>
  <c r="O19"/>
  <c r="L19"/>
  <c r="I19"/>
  <c r="F19"/>
  <c r="S18"/>
  <c r="S20" s="1"/>
  <c r="R18"/>
  <c r="R20" s="1"/>
  <c r="O18"/>
  <c r="O20" s="1"/>
  <c r="L18"/>
  <c r="L20" s="1"/>
  <c r="I18"/>
  <c r="F18"/>
  <c r="Q17"/>
  <c r="N17"/>
  <c r="K17"/>
  <c r="H17"/>
  <c r="E17"/>
  <c r="S16"/>
  <c r="S17" s="1"/>
  <c r="R16"/>
  <c r="R17" s="1"/>
  <c r="O16"/>
  <c r="O17" s="1"/>
  <c r="L16"/>
  <c r="L17" s="1"/>
  <c r="I16"/>
  <c r="F16"/>
  <c r="Q11"/>
  <c r="N11"/>
  <c r="K11"/>
  <c r="H11"/>
  <c r="E11"/>
  <c r="S10"/>
  <c r="S11" s="1"/>
  <c r="R10"/>
  <c r="R11" s="1"/>
  <c r="O10"/>
  <c r="O11" s="1"/>
  <c r="L10"/>
  <c r="L11" s="1"/>
  <c r="I10"/>
  <c r="F10"/>
  <c r="Q9"/>
  <c r="N9"/>
  <c r="K9"/>
  <c r="H9"/>
  <c r="E9"/>
  <c r="S8"/>
  <c r="S9" s="1"/>
  <c r="R8"/>
  <c r="R9" s="1"/>
  <c r="O8"/>
  <c r="O9" s="1"/>
  <c r="L8"/>
  <c r="L9" s="1"/>
  <c r="I8"/>
  <c r="F8"/>
  <c r="Q7"/>
  <c r="N7"/>
  <c r="K7"/>
  <c r="H7"/>
  <c r="E7"/>
  <c r="S6"/>
  <c r="R6"/>
  <c r="O6"/>
  <c r="L6"/>
  <c r="I6"/>
  <c r="F6"/>
  <c r="S3"/>
  <c r="U3" s="1"/>
  <c r="R3"/>
  <c r="O3"/>
  <c r="L3"/>
  <c r="I3"/>
  <c r="F3"/>
  <c r="P1"/>
  <c r="U2" s="1"/>
  <c r="C1"/>
  <c r="Q10" i="106"/>
  <c r="N10"/>
  <c r="K10"/>
  <c r="H10"/>
  <c r="E10"/>
  <c r="S9"/>
  <c r="U9" s="1"/>
  <c r="R9"/>
  <c r="O9"/>
  <c r="L9"/>
  <c r="I9"/>
  <c r="F9"/>
  <c r="S8"/>
  <c r="U8" s="1"/>
  <c r="U10" s="1"/>
  <c r="R8"/>
  <c r="O8"/>
  <c r="O10" s="1"/>
  <c r="L8"/>
  <c r="I8"/>
  <c r="I10" s="1"/>
  <c r="F8"/>
  <c r="Q7"/>
  <c r="N7"/>
  <c r="K7"/>
  <c r="H7"/>
  <c r="E7"/>
  <c r="S6"/>
  <c r="S7" s="1"/>
  <c r="R6"/>
  <c r="R7" s="1"/>
  <c r="O6"/>
  <c r="O7" s="1"/>
  <c r="L6"/>
  <c r="L7" s="1"/>
  <c r="I6"/>
  <c r="I7" s="1"/>
  <c r="F6"/>
  <c r="F7" s="1"/>
  <c r="S3"/>
  <c r="U3" s="1"/>
  <c r="R3"/>
  <c r="O3"/>
  <c r="L3"/>
  <c r="I3"/>
  <c r="F3"/>
  <c r="P1"/>
  <c r="U2" s="1"/>
  <c r="C1"/>
  <c r="K21" i="107" l="1"/>
  <c r="Q21"/>
  <c r="E11" i="106"/>
  <c r="K11"/>
  <c r="Q11"/>
  <c r="I11"/>
  <c r="O11"/>
  <c r="H11"/>
  <c r="N11"/>
  <c r="T14" i="107"/>
  <c r="T15" s="1"/>
  <c r="H21"/>
  <c r="N21"/>
  <c r="T19"/>
  <c r="V19" s="1"/>
  <c r="V14"/>
  <c r="V15" s="1"/>
  <c r="F15"/>
  <c r="U14"/>
  <c r="U15" s="1"/>
  <c r="I15"/>
  <c r="T18"/>
  <c r="V18" s="1"/>
  <c r="T10"/>
  <c r="T11" s="1"/>
  <c r="T16"/>
  <c r="V16" s="1"/>
  <c r="T3"/>
  <c r="V3" s="1"/>
  <c r="E21"/>
  <c r="T8"/>
  <c r="T6"/>
  <c r="T7" s="1"/>
  <c r="U6"/>
  <c r="F7"/>
  <c r="I7"/>
  <c r="L7"/>
  <c r="L21" s="1"/>
  <c r="O7"/>
  <c r="O21" s="1"/>
  <c r="R7"/>
  <c r="R21" s="1"/>
  <c r="U8"/>
  <c r="U9" s="1"/>
  <c r="F9"/>
  <c r="I9"/>
  <c r="U10"/>
  <c r="U11" s="1"/>
  <c r="F11"/>
  <c r="I11"/>
  <c r="U16"/>
  <c r="U17" s="1"/>
  <c r="F17"/>
  <c r="I17"/>
  <c r="U18"/>
  <c r="U20" s="1"/>
  <c r="F20"/>
  <c r="I20"/>
  <c r="S7"/>
  <c r="S21" s="1"/>
  <c r="T3" i="106"/>
  <c r="V3" s="1"/>
  <c r="F10"/>
  <c r="F11" s="1"/>
  <c r="L10"/>
  <c r="L11" s="1"/>
  <c r="R10"/>
  <c r="R11" s="1"/>
  <c r="T6"/>
  <c r="T7" s="1"/>
  <c r="U6"/>
  <c r="U7" s="1"/>
  <c r="U11" s="1"/>
  <c r="T8"/>
  <c r="S10"/>
  <c r="S11" s="1"/>
  <c r="T9"/>
  <c r="V9" s="1"/>
  <c r="T20" i="107" l="1"/>
  <c r="V10"/>
  <c r="V11" s="1"/>
  <c r="F21"/>
  <c r="V17"/>
  <c r="T17"/>
  <c r="V6"/>
  <c r="V7" s="1"/>
  <c r="T9"/>
  <c r="V20"/>
  <c r="I21"/>
  <c r="V8"/>
  <c r="V9" s="1"/>
  <c r="U7"/>
  <c r="U21" s="1"/>
  <c r="T10" i="106"/>
  <c r="T11" s="1"/>
  <c r="V6"/>
  <c r="V7" s="1"/>
  <c r="V8"/>
  <c r="V10" s="1"/>
  <c r="V11" l="1"/>
  <c r="V21" i="107"/>
  <c r="T21"/>
  <c r="C1" i="105" l="1"/>
  <c r="S186" l="1"/>
  <c r="U186" s="1"/>
  <c r="R186"/>
  <c r="O186"/>
  <c r="L186"/>
  <c r="I186"/>
  <c r="F186"/>
  <c r="S185"/>
  <c r="U185" s="1"/>
  <c r="R185"/>
  <c r="O185"/>
  <c r="L185"/>
  <c r="I185"/>
  <c r="F185"/>
  <c r="S183"/>
  <c r="U183" s="1"/>
  <c r="U184" s="1"/>
  <c r="R183"/>
  <c r="O183"/>
  <c r="L183"/>
  <c r="I183"/>
  <c r="F183"/>
  <c r="S180"/>
  <c r="R180"/>
  <c r="R182" s="1"/>
  <c r="O180"/>
  <c r="O182" s="1"/>
  <c r="L180"/>
  <c r="L182" s="1"/>
  <c r="I180"/>
  <c r="I182" s="1"/>
  <c r="F180"/>
  <c r="F182" s="1"/>
  <c r="S178"/>
  <c r="U178" s="1"/>
  <c r="U179" s="1"/>
  <c r="R178"/>
  <c r="O178"/>
  <c r="L178"/>
  <c r="I178"/>
  <c r="F178"/>
  <c r="S176"/>
  <c r="U176" s="1"/>
  <c r="U177" s="1"/>
  <c r="R176"/>
  <c r="O176"/>
  <c r="L176"/>
  <c r="I176"/>
  <c r="F176"/>
  <c r="S174"/>
  <c r="U174" s="1"/>
  <c r="U175" s="1"/>
  <c r="R174"/>
  <c r="O174"/>
  <c r="L174"/>
  <c r="I174"/>
  <c r="F174"/>
  <c r="S172"/>
  <c r="R172"/>
  <c r="R173" s="1"/>
  <c r="O172"/>
  <c r="O173" s="1"/>
  <c r="L172"/>
  <c r="L173" s="1"/>
  <c r="I172"/>
  <c r="I173" s="1"/>
  <c r="F172"/>
  <c r="F173" s="1"/>
  <c r="S169"/>
  <c r="U169" s="1"/>
  <c r="R169"/>
  <c r="O169"/>
  <c r="L169"/>
  <c r="I169"/>
  <c r="F169"/>
  <c r="S168"/>
  <c r="U168" s="1"/>
  <c r="R168"/>
  <c r="O168"/>
  <c r="L168"/>
  <c r="I168"/>
  <c r="F168"/>
  <c r="S167"/>
  <c r="U167" s="1"/>
  <c r="R167"/>
  <c r="O167"/>
  <c r="L167"/>
  <c r="I167"/>
  <c r="F167"/>
  <c r="S166"/>
  <c r="U166" s="1"/>
  <c r="U170" s="1"/>
  <c r="R166"/>
  <c r="O166"/>
  <c r="L166"/>
  <c r="I166"/>
  <c r="F166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U165" s="1"/>
  <c r="R162"/>
  <c r="O162"/>
  <c r="L162"/>
  <c r="I162"/>
  <c r="F162"/>
  <c r="S160"/>
  <c r="U160" s="1"/>
  <c r="R160"/>
  <c r="O160"/>
  <c r="L160"/>
  <c r="I160"/>
  <c r="F160"/>
  <c r="S159"/>
  <c r="S161" s="1"/>
  <c r="R159"/>
  <c r="O159"/>
  <c r="O161" s="1"/>
  <c r="L159"/>
  <c r="I159"/>
  <c r="F159"/>
  <c r="S157"/>
  <c r="U157" s="1"/>
  <c r="U158" s="1"/>
  <c r="R157"/>
  <c r="O157"/>
  <c r="O158" s="1"/>
  <c r="L157"/>
  <c r="I157"/>
  <c r="F157"/>
  <c r="S155"/>
  <c r="U155" s="1"/>
  <c r="R155"/>
  <c r="O155"/>
  <c r="L155"/>
  <c r="I155"/>
  <c r="F155"/>
  <c r="S154"/>
  <c r="U154" s="1"/>
  <c r="R154"/>
  <c r="O154"/>
  <c r="L154"/>
  <c r="I154"/>
  <c r="F154"/>
  <c r="S153"/>
  <c r="S156" s="1"/>
  <c r="R153"/>
  <c r="O153"/>
  <c r="O156" s="1"/>
  <c r="L153"/>
  <c r="I153"/>
  <c r="F153"/>
  <c r="S148"/>
  <c r="R148"/>
  <c r="R152" s="1"/>
  <c r="O148"/>
  <c r="O152" s="1"/>
  <c r="L148"/>
  <c r="L152" s="1"/>
  <c r="I148"/>
  <c r="I152" s="1"/>
  <c r="F148"/>
  <c r="F152" s="1"/>
  <c r="S143"/>
  <c r="R143"/>
  <c r="R147" s="1"/>
  <c r="O143"/>
  <c r="O147" s="1"/>
  <c r="L143"/>
  <c r="L147" s="1"/>
  <c r="I143"/>
  <c r="I147" s="1"/>
  <c r="F143"/>
  <c r="F147" s="1"/>
  <c r="S141"/>
  <c r="U141" s="1"/>
  <c r="R141"/>
  <c r="O141"/>
  <c r="L141"/>
  <c r="I141"/>
  <c r="F141"/>
  <c r="S134"/>
  <c r="U134" s="1"/>
  <c r="U142" s="1"/>
  <c r="R134"/>
  <c r="O134"/>
  <c r="L134"/>
  <c r="L142" s="1"/>
  <c r="I134"/>
  <c r="I142" s="1"/>
  <c r="F134"/>
  <c r="F142" s="1"/>
  <c r="S132"/>
  <c r="U132" s="1"/>
  <c r="R132"/>
  <c r="O132"/>
  <c r="L132"/>
  <c r="I132"/>
  <c r="F132"/>
  <c r="S131"/>
  <c r="U131" s="1"/>
  <c r="R131"/>
  <c r="O131"/>
  <c r="L131"/>
  <c r="L133" s="1"/>
  <c r="I131"/>
  <c r="F131"/>
  <c r="F133" s="1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L130" s="1"/>
  <c r="I127"/>
  <c r="F127"/>
  <c r="F130" s="1"/>
  <c r="S122"/>
  <c r="R122"/>
  <c r="R126" s="1"/>
  <c r="O122"/>
  <c r="O126" s="1"/>
  <c r="L122"/>
  <c r="L126" s="1"/>
  <c r="I122"/>
  <c r="I126" s="1"/>
  <c r="F122"/>
  <c r="F126" s="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L121" s="1"/>
  <c r="I118"/>
  <c r="F118"/>
  <c r="F121" s="1"/>
  <c r="S116"/>
  <c r="U116" s="1"/>
  <c r="R116"/>
  <c r="O116"/>
  <c r="L116"/>
  <c r="I116"/>
  <c r="F116"/>
  <c r="S110"/>
  <c r="U110" s="1"/>
  <c r="R110"/>
  <c r="O110"/>
  <c r="L110"/>
  <c r="L117" s="1"/>
  <c r="I110"/>
  <c r="F110"/>
  <c r="F117" s="1"/>
  <c r="S108"/>
  <c r="U108" s="1"/>
  <c r="R108"/>
  <c r="O108"/>
  <c r="L108"/>
  <c r="I108"/>
  <c r="F108"/>
  <c r="S99"/>
  <c r="U99" s="1"/>
  <c r="R99"/>
  <c r="O99"/>
  <c r="L99"/>
  <c r="I99"/>
  <c r="F99"/>
  <c r="S98"/>
  <c r="U98" s="1"/>
  <c r="R98"/>
  <c r="O98"/>
  <c r="L98"/>
  <c r="L109" s="1"/>
  <c r="I98"/>
  <c r="F98"/>
  <c r="F109" s="1"/>
  <c r="S96"/>
  <c r="U96" s="1"/>
  <c r="R96"/>
  <c r="O96"/>
  <c r="L96"/>
  <c r="I96"/>
  <c r="F96"/>
  <c r="S85"/>
  <c r="U85" s="1"/>
  <c r="R85"/>
  <c r="O85"/>
  <c r="L85"/>
  <c r="L97" s="1"/>
  <c r="I85"/>
  <c r="F85"/>
  <c r="F97" s="1"/>
  <c r="S83"/>
  <c r="U83" s="1"/>
  <c r="R83"/>
  <c r="O83"/>
  <c r="L83"/>
  <c r="I83"/>
  <c r="F83"/>
  <c r="S76"/>
  <c r="U76" s="1"/>
  <c r="R76"/>
  <c r="O76"/>
  <c r="L76"/>
  <c r="I76"/>
  <c r="F76"/>
  <c r="S75"/>
  <c r="U75" s="1"/>
  <c r="U84" s="1"/>
  <c r="R75"/>
  <c r="O75"/>
  <c r="L75"/>
  <c r="L84" s="1"/>
  <c r="I75"/>
  <c r="F75"/>
  <c r="F84" s="1"/>
  <c r="S73"/>
  <c r="U73" s="1"/>
  <c r="R73"/>
  <c r="O73"/>
  <c r="L73"/>
  <c r="I73"/>
  <c r="F73"/>
  <c r="S72"/>
  <c r="U72" s="1"/>
  <c r="U74" s="1"/>
  <c r="R72"/>
  <c r="O72"/>
  <c r="L72"/>
  <c r="I72"/>
  <c r="F72"/>
  <c r="F74" s="1"/>
  <c r="S70"/>
  <c r="U70" s="1"/>
  <c r="R70"/>
  <c r="O70"/>
  <c r="L70"/>
  <c r="I70"/>
  <c r="F70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61"/>
  <c r="U61" s="1"/>
  <c r="U71" s="1"/>
  <c r="R61"/>
  <c r="O61"/>
  <c r="L61"/>
  <c r="I61"/>
  <c r="F61"/>
  <c r="F71" s="1"/>
  <c r="S59"/>
  <c r="U59" s="1"/>
  <c r="R59"/>
  <c r="O59"/>
  <c r="L59"/>
  <c r="I59"/>
  <c r="F59"/>
  <c r="S58"/>
  <c r="U58" s="1"/>
  <c r="R58"/>
  <c r="O58"/>
  <c r="L58"/>
  <c r="I58"/>
  <c r="F58"/>
  <c r="S56"/>
  <c r="U56" s="1"/>
  <c r="R56"/>
  <c r="O56"/>
  <c r="L56"/>
  <c r="I56"/>
  <c r="F56"/>
  <c r="S55"/>
  <c r="U55" s="1"/>
  <c r="R55"/>
  <c r="R57" s="1"/>
  <c r="O55"/>
  <c r="L55"/>
  <c r="L57" s="1"/>
  <c r="I55"/>
  <c r="F55"/>
  <c r="S52"/>
  <c r="U52" s="1"/>
  <c r="R52"/>
  <c r="O52"/>
  <c r="L52"/>
  <c r="I52"/>
  <c r="F52"/>
  <c r="S50"/>
  <c r="U50" s="1"/>
  <c r="R50"/>
  <c r="O50"/>
  <c r="L50"/>
  <c r="I50"/>
  <c r="F50"/>
  <c r="S36"/>
  <c r="U36" s="1"/>
  <c r="R36"/>
  <c r="R51" s="1"/>
  <c r="O36"/>
  <c r="O51" s="1"/>
  <c r="L36"/>
  <c r="L51" s="1"/>
  <c r="I36"/>
  <c r="F36"/>
  <c r="S34"/>
  <c r="U34" s="1"/>
  <c r="R34"/>
  <c r="O34"/>
  <c r="L34"/>
  <c r="I34"/>
  <c r="F34"/>
  <c r="S33"/>
  <c r="U33" s="1"/>
  <c r="R33"/>
  <c r="R35" s="1"/>
  <c r="O33"/>
  <c r="O35" s="1"/>
  <c r="L33"/>
  <c r="L35" s="1"/>
  <c r="I33"/>
  <c r="F33"/>
  <c r="S31"/>
  <c r="U31" s="1"/>
  <c r="U32" s="1"/>
  <c r="R31"/>
  <c r="R32" s="1"/>
  <c r="O31"/>
  <c r="L31"/>
  <c r="L32" s="1"/>
  <c r="I31"/>
  <c r="F31"/>
  <c r="S24"/>
  <c r="R24"/>
  <c r="R30" s="1"/>
  <c r="O24"/>
  <c r="O30" s="1"/>
  <c r="L24"/>
  <c r="L30" s="1"/>
  <c r="I24"/>
  <c r="I30" s="1"/>
  <c r="F24"/>
  <c r="F30" s="1"/>
  <c r="S22"/>
  <c r="U22" s="1"/>
  <c r="U23" s="1"/>
  <c r="R22"/>
  <c r="R23" s="1"/>
  <c r="O22"/>
  <c r="L22"/>
  <c r="L23" s="1"/>
  <c r="I22"/>
  <c r="F22"/>
  <c r="S20"/>
  <c r="U20" s="1"/>
  <c r="R20"/>
  <c r="O20"/>
  <c r="L20"/>
  <c r="I20"/>
  <c r="F20"/>
  <c r="S19"/>
  <c r="U19" s="1"/>
  <c r="U21" s="1"/>
  <c r="R19"/>
  <c r="R21" s="1"/>
  <c r="O19"/>
  <c r="L19"/>
  <c r="I19"/>
  <c r="I21" s="1"/>
  <c r="F19"/>
  <c r="S17"/>
  <c r="U17" s="1"/>
  <c r="R17"/>
  <c r="O17"/>
  <c r="L17"/>
  <c r="I17"/>
  <c r="F17"/>
  <c r="S16"/>
  <c r="U16" s="1"/>
  <c r="R16"/>
  <c r="O16"/>
  <c r="O18" s="1"/>
  <c r="L16"/>
  <c r="I16"/>
  <c r="I18" s="1"/>
  <c r="F16"/>
  <c r="S6"/>
  <c r="R6"/>
  <c r="R15" s="1"/>
  <c r="O6"/>
  <c r="O15" s="1"/>
  <c r="L6"/>
  <c r="L15" s="1"/>
  <c r="I6"/>
  <c r="I15" s="1"/>
  <c r="F6"/>
  <c r="F15" s="1"/>
  <c r="S187"/>
  <c r="S184"/>
  <c r="S179"/>
  <c r="S177"/>
  <c r="S175"/>
  <c r="S170"/>
  <c r="S165"/>
  <c r="S142"/>
  <c r="S133"/>
  <c r="S130"/>
  <c r="S121"/>
  <c r="S117"/>
  <c r="S109"/>
  <c r="S97"/>
  <c r="S84"/>
  <c r="S74"/>
  <c r="S71"/>
  <c r="R187"/>
  <c r="Q187"/>
  <c r="R184"/>
  <c r="Q184"/>
  <c r="R179"/>
  <c r="Q179"/>
  <c r="R177"/>
  <c r="Q177"/>
  <c r="R175"/>
  <c r="Q175"/>
  <c r="R170"/>
  <c r="Q170"/>
  <c r="R165"/>
  <c r="Q165"/>
  <c r="R161"/>
  <c r="Q161"/>
  <c r="R158"/>
  <c r="Q158"/>
  <c r="R156"/>
  <c r="Q156"/>
  <c r="R142"/>
  <c r="Q142"/>
  <c r="R133"/>
  <c r="Q133"/>
  <c r="R130"/>
  <c r="Q130"/>
  <c r="R121"/>
  <c r="Q121"/>
  <c r="R117"/>
  <c r="Q117"/>
  <c r="R109"/>
  <c r="Q109"/>
  <c r="R97"/>
  <c r="Q97"/>
  <c r="R84"/>
  <c r="Q84"/>
  <c r="R74"/>
  <c r="Q74"/>
  <c r="R71"/>
  <c r="Q71"/>
  <c r="Q60"/>
  <c r="Q57"/>
  <c r="Q51"/>
  <c r="Q35"/>
  <c r="Q32"/>
  <c r="Q23"/>
  <c r="Q21"/>
  <c r="R18"/>
  <c r="Q18"/>
  <c r="O187"/>
  <c r="N187"/>
  <c r="O184"/>
  <c r="N184"/>
  <c r="O179"/>
  <c r="N179"/>
  <c r="O177"/>
  <c r="N177"/>
  <c r="O175"/>
  <c r="N175"/>
  <c r="O170"/>
  <c r="N170"/>
  <c r="O165"/>
  <c r="N165"/>
  <c r="N161"/>
  <c r="N158"/>
  <c r="N156"/>
  <c r="O142"/>
  <c r="N142"/>
  <c r="O133"/>
  <c r="N133"/>
  <c r="O130"/>
  <c r="N130"/>
  <c r="N121"/>
  <c r="O117"/>
  <c r="N117"/>
  <c r="O109"/>
  <c r="N109"/>
  <c r="O97"/>
  <c r="N97"/>
  <c r="O84"/>
  <c r="N84"/>
  <c r="O74"/>
  <c r="N74"/>
  <c r="O71"/>
  <c r="N71"/>
  <c r="O60"/>
  <c r="N60"/>
  <c r="O57"/>
  <c r="N57"/>
  <c r="N51"/>
  <c r="N35"/>
  <c r="O32"/>
  <c r="N32"/>
  <c r="O23"/>
  <c r="N23"/>
  <c r="N21"/>
  <c r="N18"/>
  <c r="L187"/>
  <c r="K187"/>
  <c r="L184"/>
  <c r="K184"/>
  <c r="L179"/>
  <c r="K179"/>
  <c r="L177"/>
  <c r="K177"/>
  <c r="L175"/>
  <c r="K175"/>
  <c r="L170"/>
  <c r="K170"/>
  <c r="L165"/>
  <c r="K165"/>
  <c r="L161"/>
  <c r="K161"/>
  <c r="L158"/>
  <c r="K158"/>
  <c r="K156"/>
  <c r="K142"/>
  <c r="K133"/>
  <c r="K130"/>
  <c r="K121"/>
  <c r="K117"/>
  <c r="K109"/>
  <c r="K97"/>
  <c r="K74"/>
  <c r="L71"/>
  <c r="K71"/>
  <c r="K60"/>
  <c r="K57"/>
  <c r="K51"/>
  <c r="K35"/>
  <c r="K32"/>
  <c r="K23"/>
  <c r="K21"/>
  <c r="L18"/>
  <c r="K18"/>
  <c r="I187"/>
  <c r="H187"/>
  <c r="I184"/>
  <c r="H184"/>
  <c r="I179"/>
  <c r="H179"/>
  <c r="I177"/>
  <c r="H177"/>
  <c r="I175"/>
  <c r="H175"/>
  <c r="I170"/>
  <c r="H170"/>
  <c r="I165"/>
  <c r="H165"/>
  <c r="H161"/>
  <c r="I158"/>
  <c r="H158"/>
  <c r="I156"/>
  <c r="H156"/>
  <c r="I133"/>
  <c r="H133"/>
  <c r="I130"/>
  <c r="H130"/>
  <c r="I121"/>
  <c r="H121"/>
  <c r="I117"/>
  <c r="H117"/>
  <c r="I109"/>
  <c r="H109"/>
  <c r="I97"/>
  <c r="H97"/>
  <c r="I84"/>
  <c r="H84"/>
  <c r="I74"/>
  <c r="H74"/>
  <c r="I71"/>
  <c r="H71"/>
  <c r="I60"/>
  <c r="H60"/>
  <c r="I57"/>
  <c r="H57"/>
  <c r="I51"/>
  <c r="H51"/>
  <c r="H35"/>
  <c r="H32"/>
  <c r="H23"/>
  <c r="H21"/>
  <c r="H18"/>
  <c r="F187"/>
  <c r="E187"/>
  <c r="F184"/>
  <c r="E184"/>
  <c r="F179"/>
  <c r="E179"/>
  <c r="F177"/>
  <c r="E177"/>
  <c r="F175"/>
  <c r="E175"/>
  <c r="F170"/>
  <c r="E170"/>
  <c r="F165"/>
  <c r="E165"/>
  <c r="F161"/>
  <c r="E161"/>
  <c r="F158"/>
  <c r="E158"/>
  <c r="E156"/>
  <c r="E133"/>
  <c r="E130"/>
  <c r="E121"/>
  <c r="E117"/>
  <c r="E109"/>
  <c r="E97"/>
  <c r="E84"/>
  <c r="E74"/>
  <c r="E71"/>
  <c r="E60"/>
  <c r="F57"/>
  <c r="E57"/>
  <c r="F51"/>
  <c r="E51"/>
  <c r="F35"/>
  <c r="E35"/>
  <c r="F32"/>
  <c r="E32"/>
  <c r="F23"/>
  <c r="E23"/>
  <c r="F21"/>
  <c r="E21"/>
  <c r="F18"/>
  <c r="E18"/>
  <c r="S3"/>
  <c r="U3" s="1"/>
  <c r="R3"/>
  <c r="O3"/>
  <c r="L3"/>
  <c r="I3"/>
  <c r="F3"/>
  <c r="P1"/>
  <c r="U2" s="1"/>
  <c r="U172" l="1"/>
  <c r="U173" s="1"/>
  <c r="S173"/>
  <c r="U24"/>
  <c r="U30" s="1"/>
  <c r="S30"/>
  <c r="U122"/>
  <c r="U126" s="1"/>
  <c r="S126"/>
  <c r="U143"/>
  <c r="U147" s="1"/>
  <c r="S147"/>
  <c r="U148"/>
  <c r="U152" s="1"/>
  <c r="S152"/>
  <c r="U180"/>
  <c r="U182" s="1"/>
  <c r="S182"/>
  <c r="U6"/>
  <c r="U15" s="1"/>
  <c r="S15"/>
  <c r="S60"/>
  <c r="T6"/>
  <c r="T15" s="1"/>
  <c r="T17"/>
  <c r="V17" s="1"/>
  <c r="T20"/>
  <c r="T22"/>
  <c r="T23" s="1"/>
  <c r="T24"/>
  <c r="T30" s="1"/>
  <c r="T31"/>
  <c r="T32" s="1"/>
  <c r="T33"/>
  <c r="I23"/>
  <c r="I32"/>
  <c r="T34"/>
  <c r="V34" s="1"/>
  <c r="T36"/>
  <c r="T50"/>
  <c r="V50" s="1"/>
  <c r="T52"/>
  <c r="T55"/>
  <c r="V55" s="1"/>
  <c r="T56"/>
  <c r="T58"/>
  <c r="V58" s="1"/>
  <c r="T62"/>
  <c r="S21"/>
  <c r="S32"/>
  <c r="T174"/>
  <c r="T175" s="1"/>
  <c r="T64"/>
  <c r="T70"/>
  <c r="T73"/>
  <c r="T75"/>
  <c r="T76"/>
  <c r="T83"/>
  <c r="T85"/>
  <c r="T96"/>
  <c r="T97" s="1"/>
  <c r="T98"/>
  <c r="T99"/>
  <c r="T108"/>
  <c r="V108" s="1"/>
  <c r="T110"/>
  <c r="V110" s="1"/>
  <c r="T116"/>
  <c r="T118"/>
  <c r="T119"/>
  <c r="T120"/>
  <c r="V120" s="1"/>
  <c r="T122"/>
  <c r="T126" s="1"/>
  <c r="T127"/>
  <c r="T131"/>
  <c r="T133" s="1"/>
  <c r="T132"/>
  <c r="V132" s="1"/>
  <c r="T134"/>
  <c r="T3"/>
  <c r="V3" s="1"/>
  <c r="E188"/>
  <c r="O21"/>
  <c r="O121"/>
  <c r="T141"/>
  <c r="T143"/>
  <c r="T147" s="1"/>
  <c r="T148"/>
  <c r="T152" s="1"/>
  <c r="T153"/>
  <c r="V153" s="1"/>
  <c r="T155"/>
  <c r="T157"/>
  <c r="T158" s="1"/>
  <c r="T159"/>
  <c r="T160"/>
  <c r="V160" s="1"/>
  <c r="T162"/>
  <c r="V162" s="1"/>
  <c r="T163"/>
  <c r="V163" s="1"/>
  <c r="T164"/>
  <c r="V164" s="1"/>
  <c r="T166"/>
  <c r="V166" s="1"/>
  <c r="T167"/>
  <c r="V167" s="1"/>
  <c r="T168"/>
  <c r="V168" s="1"/>
  <c r="T169"/>
  <c r="V169" s="1"/>
  <c r="T172"/>
  <c r="T173" s="1"/>
  <c r="T176"/>
  <c r="T177" s="1"/>
  <c r="T178"/>
  <c r="T179" s="1"/>
  <c r="T180"/>
  <c r="T182" s="1"/>
  <c r="T183"/>
  <c r="T184" s="1"/>
  <c r="T185"/>
  <c r="V185" s="1"/>
  <c r="T186"/>
  <c r="S18"/>
  <c r="T16"/>
  <c r="V16" s="1"/>
  <c r="T19"/>
  <c r="T21" s="1"/>
  <c r="V20"/>
  <c r="V24"/>
  <c r="V30" s="1"/>
  <c r="V33"/>
  <c r="V36"/>
  <c r="V51" s="1"/>
  <c r="V52"/>
  <c r="F60"/>
  <c r="L60"/>
  <c r="R60"/>
  <c r="R188" s="1"/>
  <c r="T61"/>
  <c r="V61" s="1"/>
  <c r="V62"/>
  <c r="T63"/>
  <c r="V63" s="1"/>
  <c r="V64"/>
  <c r="T65"/>
  <c r="V65" s="1"/>
  <c r="V70"/>
  <c r="T72"/>
  <c r="V72" s="1"/>
  <c r="V96"/>
  <c r="V98"/>
  <c r="V99"/>
  <c r="V119"/>
  <c r="V122"/>
  <c r="V126" s="1"/>
  <c r="T128"/>
  <c r="V128" s="1"/>
  <c r="T129"/>
  <c r="V129" s="1"/>
  <c r="V134"/>
  <c r="V141"/>
  <c r="V143"/>
  <c r="V147" s="1"/>
  <c r="V148"/>
  <c r="V152" s="1"/>
  <c r="F156"/>
  <c r="L156"/>
  <c r="V155"/>
  <c r="V186"/>
  <c r="U187"/>
  <c r="V159"/>
  <c r="U159"/>
  <c r="U161" s="1"/>
  <c r="I161"/>
  <c r="S158"/>
  <c r="T154"/>
  <c r="V154" s="1"/>
  <c r="U153"/>
  <c r="U156" s="1"/>
  <c r="U133"/>
  <c r="U130"/>
  <c r="T121"/>
  <c r="U121"/>
  <c r="V118"/>
  <c r="V116"/>
  <c r="T117"/>
  <c r="U117"/>
  <c r="U109"/>
  <c r="U97"/>
  <c r="V85"/>
  <c r="V75"/>
  <c r="V76"/>
  <c r="V83"/>
  <c r="T74"/>
  <c r="V73"/>
  <c r="L74"/>
  <c r="T59"/>
  <c r="V59" s="1"/>
  <c r="U60"/>
  <c r="V56"/>
  <c r="T57"/>
  <c r="U57"/>
  <c r="S57"/>
  <c r="T51"/>
  <c r="U51"/>
  <c r="S51"/>
  <c r="U35"/>
  <c r="I35"/>
  <c r="S35"/>
  <c r="V31"/>
  <c r="V32" s="1"/>
  <c r="V22"/>
  <c r="V23" s="1"/>
  <c r="S23"/>
  <c r="L21"/>
  <c r="U18"/>
  <c r="V6"/>
  <c r="V15" s="1"/>
  <c r="H188"/>
  <c r="K188"/>
  <c r="N188"/>
  <c r="Q188"/>
  <c r="F188"/>
  <c r="O188"/>
  <c r="V131" l="1"/>
  <c r="V178"/>
  <c r="V179" s="1"/>
  <c r="V157"/>
  <c r="V158" s="1"/>
  <c r="T142"/>
  <c r="T109"/>
  <c r="T35"/>
  <c r="V35"/>
  <c r="I188"/>
  <c r="T130"/>
  <c r="T18"/>
  <c r="V57"/>
  <c r="V97"/>
  <c r="V117"/>
  <c r="V127"/>
  <c r="V130" s="1"/>
  <c r="T161"/>
  <c r="V183"/>
  <c r="V184" s="1"/>
  <c r="V172"/>
  <c r="V173" s="1"/>
  <c r="V109"/>
  <c r="V133"/>
  <c r="T187"/>
  <c r="V180"/>
  <c r="V182" s="1"/>
  <c r="V176"/>
  <c r="V177" s="1"/>
  <c r="T156"/>
  <c r="V187"/>
  <c r="T60"/>
  <c r="V156"/>
  <c r="V161"/>
  <c r="V74"/>
  <c r="V142"/>
  <c r="L188"/>
  <c r="V19"/>
  <c r="V21" s="1"/>
  <c r="V18"/>
  <c r="V174"/>
  <c r="V175" s="1"/>
  <c r="S188"/>
  <c r="V71"/>
  <c r="T84"/>
  <c r="V60"/>
  <c r="V121"/>
  <c r="V170"/>
  <c r="T165"/>
  <c r="V165"/>
  <c r="T71"/>
  <c r="T170"/>
  <c r="U188"/>
  <c r="V84"/>
  <c r="V188" l="1"/>
  <c r="T188"/>
  <c r="Q16" i="95"/>
  <c r="N16"/>
  <c r="K16"/>
  <c r="H16"/>
  <c r="E16"/>
  <c r="S15"/>
  <c r="R15"/>
  <c r="O15"/>
  <c r="L15"/>
  <c r="I15"/>
  <c r="F15"/>
  <c r="S14"/>
  <c r="U14" s="1"/>
  <c r="R14"/>
  <c r="R16" s="1"/>
  <c r="O14"/>
  <c r="L14"/>
  <c r="I14"/>
  <c r="I16" s="1"/>
  <c r="F14"/>
  <c r="Q13"/>
  <c r="N13"/>
  <c r="K13"/>
  <c r="H13"/>
  <c r="E13"/>
  <c r="S12"/>
  <c r="U12" s="1"/>
  <c r="R12"/>
  <c r="R13" s="1"/>
  <c r="O12"/>
  <c r="O13" s="1"/>
  <c r="L12"/>
  <c r="I12"/>
  <c r="I13" s="1"/>
  <c r="F12"/>
  <c r="O16" l="1"/>
  <c r="T15"/>
  <c r="V15" s="1"/>
  <c r="S13"/>
  <c r="T14"/>
  <c r="V14" s="1"/>
  <c r="S16"/>
  <c r="T12"/>
  <c r="T13" s="1"/>
  <c r="F13"/>
  <c r="L13"/>
  <c r="F16"/>
  <c r="L16"/>
  <c r="U13"/>
  <c r="U15"/>
  <c r="U16" s="1"/>
  <c r="T16" l="1"/>
  <c r="V16"/>
  <c r="V12"/>
  <c r="V13" s="1"/>
  <c r="H73" i="103" l="1"/>
  <c r="H76"/>
  <c r="S76" s="1"/>
  <c r="U76" s="1"/>
  <c r="Q82"/>
  <c r="N82"/>
  <c r="K82"/>
  <c r="H82"/>
  <c r="E82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R76"/>
  <c r="O76"/>
  <c r="L76"/>
  <c r="I76"/>
  <c r="F76"/>
  <c r="H43"/>
  <c r="T78" l="1"/>
  <c r="V78" s="1"/>
  <c r="T80"/>
  <c r="V80" s="1"/>
  <c r="T76"/>
  <c r="V76" s="1"/>
  <c r="T77"/>
  <c r="T79"/>
  <c r="V79" s="1"/>
  <c r="H161" i="96"/>
  <c r="H165" s="1"/>
  <c r="V77" i="103" l="1"/>
  <c r="S138" i="96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H110" i="103"/>
  <c r="T136" i="96" l="1"/>
  <c r="V136" s="1"/>
  <c r="T138"/>
  <c r="T137"/>
  <c r="V137" s="1"/>
  <c r="V138"/>
  <c r="S135"/>
  <c r="U135" s="1"/>
  <c r="R135"/>
  <c r="O135"/>
  <c r="L135"/>
  <c r="I135"/>
  <c r="F135"/>
  <c r="S34"/>
  <c r="U34" s="1"/>
  <c r="R34"/>
  <c r="O34"/>
  <c r="L34"/>
  <c r="I34"/>
  <c r="F34"/>
  <c r="H33"/>
  <c r="H32"/>
  <c r="H31"/>
  <c r="H30"/>
  <c r="H29"/>
  <c r="H27"/>
  <c r="K121" i="103"/>
  <c r="K120"/>
  <c r="N28" i="96"/>
  <c r="N43" s="1"/>
  <c r="K9"/>
  <c r="H43" l="1"/>
  <c r="T34"/>
  <c r="V34" s="1"/>
  <c r="T135"/>
  <c r="V135" s="1"/>
  <c r="H120"/>
  <c r="S37" i="103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T37" l="1"/>
  <c r="T32"/>
  <c r="V32" s="1"/>
  <c r="T36"/>
  <c r="V36" s="1"/>
  <c r="V37"/>
  <c r="T35"/>
  <c r="V35" s="1"/>
  <c r="T34"/>
  <c r="V34" s="1"/>
  <c r="T33"/>
  <c r="V33" s="1"/>
  <c r="T31"/>
  <c r="V31" s="1"/>
  <c r="S137" l="1"/>
  <c r="U137" s="1"/>
  <c r="R137"/>
  <c r="O137"/>
  <c r="L137"/>
  <c r="I137"/>
  <c r="F137"/>
  <c r="S136"/>
  <c r="U136" s="1"/>
  <c r="R136"/>
  <c r="O136"/>
  <c r="L136"/>
  <c r="I136"/>
  <c r="T136" s="1"/>
  <c r="F136"/>
  <c r="S130"/>
  <c r="U130" s="1"/>
  <c r="R130"/>
  <c r="O130"/>
  <c r="L130"/>
  <c r="I130"/>
  <c r="F130"/>
  <c r="K125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04"/>
  <c r="U104" s="1"/>
  <c r="R104"/>
  <c r="O104"/>
  <c r="L104"/>
  <c r="I104"/>
  <c r="F104"/>
  <c r="N15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R8"/>
  <c r="O8"/>
  <c r="L8"/>
  <c r="H8"/>
  <c r="S8" s="1"/>
  <c r="U8" s="1"/>
  <c r="F8"/>
  <c r="S38"/>
  <c r="U38" s="1"/>
  <c r="R38"/>
  <c r="O38"/>
  <c r="L38"/>
  <c r="I38"/>
  <c r="F38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N26"/>
  <c r="N24"/>
  <c r="S27"/>
  <c r="U27" s="1"/>
  <c r="R27"/>
  <c r="O27"/>
  <c r="L27"/>
  <c r="I27"/>
  <c r="F27"/>
  <c r="S26"/>
  <c r="U26" s="1"/>
  <c r="R26"/>
  <c r="O26"/>
  <c r="L26"/>
  <c r="I26"/>
  <c r="F26"/>
  <c r="T104" l="1"/>
  <c r="V104" s="1"/>
  <c r="V136"/>
  <c r="T137"/>
  <c r="V137" s="1"/>
  <c r="T28"/>
  <c r="T30"/>
  <c r="T130"/>
  <c r="V130" s="1"/>
  <c r="T128"/>
  <c r="V128" s="1"/>
  <c r="T126"/>
  <c r="V126" s="1"/>
  <c r="T127"/>
  <c r="V127" s="1"/>
  <c r="T129"/>
  <c r="V129" s="1"/>
  <c r="I8"/>
  <c r="T8" s="1"/>
  <c r="V8" s="1"/>
  <c r="T10"/>
  <c r="V10" s="1"/>
  <c r="T12"/>
  <c r="V12" s="1"/>
  <c r="T9"/>
  <c r="V9" s="1"/>
  <c r="T11"/>
  <c r="V11" s="1"/>
  <c r="T13"/>
  <c r="V13" s="1"/>
  <c r="V30"/>
  <c r="V28"/>
  <c r="T29"/>
  <c r="V29" s="1"/>
  <c r="T38"/>
  <c r="V38" s="1"/>
  <c r="T26"/>
  <c r="V26" s="1"/>
  <c r="T27"/>
  <c r="V27" s="1"/>
  <c r="N20"/>
  <c r="O20" s="1"/>
  <c r="R21"/>
  <c r="O21"/>
  <c r="L21"/>
  <c r="S21"/>
  <c r="U21" s="1"/>
  <c r="I21"/>
  <c r="F21"/>
  <c r="R20"/>
  <c r="K20"/>
  <c r="L20" s="1"/>
  <c r="I20"/>
  <c r="F20"/>
  <c r="H58"/>
  <c r="H57"/>
  <c r="K58"/>
  <c r="K93"/>
  <c r="H45"/>
  <c r="S85" i="96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60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75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F76"/>
  <c r="I76"/>
  <c r="L76"/>
  <c r="O76"/>
  <c r="R76"/>
  <c r="S76"/>
  <c r="U76" s="1"/>
  <c r="E77"/>
  <c r="H77"/>
  <c r="K77"/>
  <c r="N77"/>
  <c r="Q77"/>
  <c r="F78"/>
  <c r="I78"/>
  <c r="L78"/>
  <c r="O78"/>
  <c r="R78"/>
  <c r="S78"/>
  <c r="U78" s="1"/>
  <c r="T82" l="1"/>
  <c r="V82" s="1"/>
  <c r="T78"/>
  <c r="V78" s="1"/>
  <c r="T69"/>
  <c r="V69" s="1"/>
  <c r="T71"/>
  <c r="V71" s="1"/>
  <c r="T75"/>
  <c r="V75" s="1"/>
  <c r="T53"/>
  <c r="V53" s="1"/>
  <c r="T57"/>
  <c r="V57" s="1"/>
  <c r="T58"/>
  <c r="V58" s="1"/>
  <c r="T60"/>
  <c r="V60" s="1"/>
  <c r="T85"/>
  <c r="V85" s="1"/>
  <c r="T20" i="103"/>
  <c r="V20" s="1"/>
  <c r="S20"/>
  <c r="U20" s="1"/>
  <c r="T21"/>
  <c r="V21" s="1"/>
  <c r="T83" i="96"/>
  <c r="V83" s="1"/>
  <c r="T84"/>
  <c r="V84" s="1"/>
  <c r="T59"/>
  <c r="V59" s="1"/>
  <c r="T52"/>
  <c r="V52" s="1"/>
  <c r="T55"/>
  <c r="V55" s="1"/>
  <c r="T54"/>
  <c r="V54" s="1"/>
  <c r="T56"/>
  <c r="V56" s="1"/>
  <c r="T73"/>
  <c r="V73" s="1"/>
  <c r="T70"/>
  <c r="V70" s="1"/>
  <c r="T72"/>
  <c r="V72" s="1"/>
  <c r="T74"/>
  <c r="V74" s="1"/>
  <c r="T76"/>
  <c r="V76" s="1"/>
  <c r="S187" l="1"/>
  <c r="U187" s="1"/>
  <c r="R187"/>
  <c r="O187"/>
  <c r="L187"/>
  <c r="I187"/>
  <c r="F187"/>
  <c r="S186"/>
  <c r="U186" s="1"/>
  <c r="R186"/>
  <c r="O186"/>
  <c r="L186"/>
  <c r="I186"/>
  <c r="F186"/>
  <c r="S185"/>
  <c r="U185" s="1"/>
  <c r="R185"/>
  <c r="O185"/>
  <c r="L185"/>
  <c r="I185"/>
  <c r="F185"/>
  <c r="S184"/>
  <c r="U184" s="1"/>
  <c r="R184"/>
  <c r="O184"/>
  <c r="L184"/>
  <c r="I184"/>
  <c r="F184"/>
  <c r="S183"/>
  <c r="U183" s="1"/>
  <c r="R183"/>
  <c r="O183"/>
  <c r="L183"/>
  <c r="I183"/>
  <c r="F183"/>
  <c r="S81"/>
  <c r="U81" s="1"/>
  <c r="R81"/>
  <c r="O81"/>
  <c r="L81"/>
  <c r="I81"/>
  <c r="F81"/>
  <c r="S80"/>
  <c r="U80" s="1"/>
  <c r="R80"/>
  <c r="O80"/>
  <c r="L80"/>
  <c r="I80"/>
  <c r="F80"/>
  <c r="S68"/>
  <c r="U68" s="1"/>
  <c r="R68"/>
  <c r="O68"/>
  <c r="L68"/>
  <c r="I68"/>
  <c r="F68"/>
  <c r="S67"/>
  <c r="U67" s="1"/>
  <c r="R67"/>
  <c r="O67"/>
  <c r="L67"/>
  <c r="I67"/>
  <c r="F67"/>
  <c r="S66"/>
  <c r="U66" s="1"/>
  <c r="R66"/>
  <c r="O66"/>
  <c r="L66"/>
  <c r="I66"/>
  <c r="F66"/>
  <c r="H90" i="103"/>
  <c r="Q150" i="100"/>
  <c r="N150"/>
  <c r="K150"/>
  <c r="H150"/>
  <c r="E150"/>
  <c r="S149"/>
  <c r="U149" s="1"/>
  <c r="R149"/>
  <c r="O149"/>
  <c r="L149"/>
  <c r="I149"/>
  <c r="F149"/>
  <c r="S148"/>
  <c r="U148" s="1"/>
  <c r="R148"/>
  <c r="O148"/>
  <c r="L148"/>
  <c r="I148"/>
  <c r="F148"/>
  <c r="S175"/>
  <c r="U175" s="1"/>
  <c r="R175"/>
  <c r="O175"/>
  <c r="L175"/>
  <c r="I175"/>
  <c r="F175"/>
  <c r="S174"/>
  <c r="U174" s="1"/>
  <c r="R174"/>
  <c r="O174"/>
  <c r="L174"/>
  <c r="I174"/>
  <c r="F174"/>
  <c r="S173"/>
  <c r="U173" s="1"/>
  <c r="R173"/>
  <c r="O173"/>
  <c r="L173"/>
  <c r="I173"/>
  <c r="F173"/>
  <c r="S172"/>
  <c r="U172" s="1"/>
  <c r="R172"/>
  <c r="O172"/>
  <c r="L172"/>
  <c r="I172"/>
  <c r="F172"/>
  <c r="S171"/>
  <c r="U171" s="1"/>
  <c r="R171"/>
  <c r="O171"/>
  <c r="L171"/>
  <c r="I171"/>
  <c r="F171"/>
  <c r="S170"/>
  <c r="U170" s="1"/>
  <c r="R170"/>
  <c r="O170"/>
  <c r="L170"/>
  <c r="I170"/>
  <c r="F170"/>
  <c r="S169"/>
  <c r="U169" s="1"/>
  <c r="R169"/>
  <c r="O169"/>
  <c r="L169"/>
  <c r="I169"/>
  <c r="F169"/>
  <c r="S168"/>
  <c r="U168" s="1"/>
  <c r="R168"/>
  <c r="O168"/>
  <c r="L168"/>
  <c r="I168"/>
  <c r="F168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R162"/>
  <c r="O162"/>
  <c r="L162"/>
  <c r="I162"/>
  <c r="F162"/>
  <c r="S161"/>
  <c r="U161" s="1"/>
  <c r="R161"/>
  <c r="O161"/>
  <c r="L161"/>
  <c r="I161"/>
  <c r="F161"/>
  <c r="S160"/>
  <c r="U160" s="1"/>
  <c r="R160"/>
  <c r="O160"/>
  <c r="L160"/>
  <c r="I160"/>
  <c r="F160"/>
  <c r="S159"/>
  <c r="U159" s="1"/>
  <c r="R159"/>
  <c r="O159"/>
  <c r="L159"/>
  <c r="I159"/>
  <c r="F159"/>
  <c r="S158"/>
  <c r="U158" s="1"/>
  <c r="R158"/>
  <c r="O158"/>
  <c r="L158"/>
  <c r="I158"/>
  <c r="F158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R155"/>
  <c r="O155"/>
  <c r="L155"/>
  <c r="I155"/>
  <c r="F155"/>
  <c r="S154"/>
  <c r="U154" s="1"/>
  <c r="R154"/>
  <c r="O154"/>
  <c r="L154"/>
  <c r="I154"/>
  <c r="F154"/>
  <c r="S153"/>
  <c r="U153" s="1"/>
  <c r="R153"/>
  <c r="O153"/>
  <c r="L153"/>
  <c r="I153"/>
  <c r="F153"/>
  <c r="S152"/>
  <c r="U152" s="1"/>
  <c r="R152"/>
  <c r="O152"/>
  <c r="L152"/>
  <c r="I152"/>
  <c r="F152"/>
  <c r="Q95"/>
  <c r="N95"/>
  <c r="K95"/>
  <c r="H95"/>
  <c r="E95"/>
  <c r="S93"/>
  <c r="U93" s="1"/>
  <c r="R93"/>
  <c r="O93"/>
  <c r="L93"/>
  <c r="I93"/>
  <c r="F93"/>
  <c r="S94"/>
  <c r="U94" s="1"/>
  <c r="R94"/>
  <c r="O94"/>
  <c r="L94"/>
  <c r="I94"/>
  <c r="F94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144"/>
  <c r="U144" s="1"/>
  <c r="R144"/>
  <c r="O144"/>
  <c r="L144"/>
  <c r="I144"/>
  <c r="F144"/>
  <c r="S143"/>
  <c r="U143" s="1"/>
  <c r="R143"/>
  <c r="O143"/>
  <c r="L143"/>
  <c r="I143"/>
  <c r="F143"/>
  <c r="Q127"/>
  <c r="N127"/>
  <c r="K127"/>
  <c r="H127"/>
  <c r="E127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3"/>
  <c r="U113" s="1"/>
  <c r="R113"/>
  <c r="O113"/>
  <c r="L113"/>
  <c r="I113"/>
  <c r="F113"/>
  <c r="S112"/>
  <c r="U112" s="1"/>
  <c r="R112"/>
  <c r="O112"/>
  <c r="L112"/>
  <c r="I112"/>
  <c r="F112"/>
  <c r="Q58"/>
  <c r="N58"/>
  <c r="K58"/>
  <c r="H58"/>
  <c r="E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K101" i="103"/>
  <c r="N97"/>
  <c r="S98"/>
  <c r="U98" s="1"/>
  <c r="R98"/>
  <c r="O98"/>
  <c r="L98"/>
  <c r="I98"/>
  <c r="F98"/>
  <c r="N25"/>
  <c r="K25"/>
  <c r="K24"/>
  <c r="K19"/>
  <c r="K16"/>
  <c r="S68" i="100"/>
  <c r="U68" s="1"/>
  <c r="R68"/>
  <c r="O68"/>
  <c r="L68"/>
  <c r="I68"/>
  <c r="F68"/>
  <c r="S67"/>
  <c r="U67" s="1"/>
  <c r="R67"/>
  <c r="O67"/>
  <c r="L67"/>
  <c r="I67"/>
  <c r="F67"/>
  <c r="S66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60"/>
  <c r="U60" s="1"/>
  <c r="R60"/>
  <c r="O60"/>
  <c r="L60"/>
  <c r="I60"/>
  <c r="F60"/>
  <c r="S139"/>
  <c r="U139" s="1"/>
  <c r="R139"/>
  <c r="O139"/>
  <c r="L139"/>
  <c r="I139"/>
  <c r="F139"/>
  <c r="K6" i="103"/>
  <c r="Q110" i="100"/>
  <c r="N110"/>
  <c r="K110"/>
  <c r="H110"/>
  <c r="E110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Q141"/>
  <c r="N141"/>
  <c r="K141"/>
  <c r="H141"/>
  <c r="E141"/>
  <c r="S140"/>
  <c r="U140" s="1"/>
  <c r="R140"/>
  <c r="O140"/>
  <c r="L140"/>
  <c r="I140"/>
  <c r="F140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Q131"/>
  <c r="N131"/>
  <c r="K131"/>
  <c r="H131"/>
  <c r="E131"/>
  <c r="S130"/>
  <c r="U130" s="1"/>
  <c r="R130"/>
  <c r="O130"/>
  <c r="L130"/>
  <c r="I130"/>
  <c r="F130"/>
  <c r="S129"/>
  <c r="U129" s="1"/>
  <c r="R129"/>
  <c r="O129"/>
  <c r="L129"/>
  <c r="I129"/>
  <c r="F129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Q29"/>
  <c r="N29"/>
  <c r="K29"/>
  <c r="H29"/>
  <c r="E29"/>
  <c r="S28"/>
  <c r="U28" s="1"/>
  <c r="R28"/>
  <c r="O28"/>
  <c r="L28"/>
  <c r="I28"/>
  <c r="F28"/>
  <c r="F27"/>
  <c r="I27"/>
  <c r="L27"/>
  <c r="O27"/>
  <c r="R27"/>
  <c r="S27"/>
  <c r="Q75"/>
  <c r="N75"/>
  <c r="K75"/>
  <c r="H75"/>
  <c r="E75"/>
  <c r="S74"/>
  <c r="U74" s="1"/>
  <c r="R74"/>
  <c r="O74"/>
  <c r="L74"/>
  <c r="I74"/>
  <c r="F74"/>
  <c r="Q26"/>
  <c r="N26"/>
  <c r="K26"/>
  <c r="H26"/>
  <c r="E26"/>
  <c r="S25"/>
  <c r="U25" s="1"/>
  <c r="R25"/>
  <c r="O25"/>
  <c r="L25"/>
  <c r="I25"/>
  <c r="F25"/>
  <c r="S24"/>
  <c r="U24" s="1"/>
  <c r="R24"/>
  <c r="O24"/>
  <c r="L24"/>
  <c r="I24"/>
  <c r="F24"/>
  <c r="Q44"/>
  <c r="N44"/>
  <c r="K44"/>
  <c r="H44"/>
  <c r="E44"/>
  <c r="S43"/>
  <c r="U43" s="1"/>
  <c r="R43"/>
  <c r="O43"/>
  <c r="L43"/>
  <c r="I43"/>
  <c r="F43"/>
  <c r="S19"/>
  <c r="U19" s="1"/>
  <c r="R19"/>
  <c r="O19"/>
  <c r="L19"/>
  <c r="I19"/>
  <c r="F19"/>
  <c r="Q22"/>
  <c r="N22"/>
  <c r="K22"/>
  <c r="H22"/>
  <c r="E22"/>
  <c r="S21"/>
  <c r="U21" s="1"/>
  <c r="R21"/>
  <c r="O21"/>
  <c r="L21"/>
  <c r="I21"/>
  <c r="F21"/>
  <c r="S20"/>
  <c r="U20" s="1"/>
  <c r="R20"/>
  <c r="O20"/>
  <c r="L20"/>
  <c r="I20"/>
  <c r="F20"/>
  <c r="S98"/>
  <c r="U98" s="1"/>
  <c r="R98"/>
  <c r="O98"/>
  <c r="L98"/>
  <c r="I98"/>
  <c r="F98"/>
  <c r="S97"/>
  <c r="U97" s="1"/>
  <c r="R97"/>
  <c r="O97"/>
  <c r="L97"/>
  <c r="I97"/>
  <c r="F97"/>
  <c r="T56" l="1"/>
  <c r="V56" s="1"/>
  <c r="T152"/>
  <c r="T168"/>
  <c r="T170"/>
  <c r="T172"/>
  <c r="V172" s="1"/>
  <c r="T174"/>
  <c r="S29"/>
  <c r="O29"/>
  <c r="I29"/>
  <c r="T139"/>
  <c r="T60"/>
  <c r="V60" s="1"/>
  <c r="T133"/>
  <c r="R29"/>
  <c r="L29"/>
  <c r="F29"/>
  <c r="T89"/>
  <c r="T34"/>
  <c r="V34" s="1"/>
  <c r="T106"/>
  <c r="V106" s="1"/>
  <c r="T91"/>
  <c r="T93"/>
  <c r="T97"/>
  <c r="V97" s="1"/>
  <c r="T20"/>
  <c r="V20" s="1"/>
  <c r="T24"/>
  <c r="V24" s="1"/>
  <c r="T74"/>
  <c r="V74" s="1"/>
  <c r="U27"/>
  <c r="U29" s="1"/>
  <c r="V139"/>
  <c r="T67"/>
  <c r="V67" s="1"/>
  <c r="T98" i="103"/>
  <c r="T116" i="100"/>
  <c r="V116" s="1"/>
  <c r="T118"/>
  <c r="V118" s="1"/>
  <c r="T143"/>
  <c r="V143" s="1"/>
  <c r="V152"/>
  <c r="T153"/>
  <c r="T155"/>
  <c r="V155" s="1"/>
  <c r="T161"/>
  <c r="V161" s="1"/>
  <c r="T163"/>
  <c r="V163" s="1"/>
  <c r="T27"/>
  <c r="V27" s="1"/>
  <c r="T67" i="96"/>
  <c r="V67" s="1"/>
  <c r="T81"/>
  <c r="T187"/>
  <c r="V187" s="1"/>
  <c r="T185"/>
  <c r="V185" s="1"/>
  <c r="T183"/>
  <c r="V183" s="1"/>
  <c r="T184"/>
  <c r="V184" s="1"/>
  <c r="T186"/>
  <c r="V186" s="1"/>
  <c r="T66"/>
  <c r="V66" s="1"/>
  <c r="T80"/>
  <c r="V80" s="1"/>
  <c r="V81"/>
  <c r="T68"/>
  <c r="V68" s="1"/>
  <c r="T149" i="100"/>
  <c r="V149" s="1"/>
  <c r="T148"/>
  <c r="V148" s="1"/>
  <c r="T175"/>
  <c r="V174"/>
  <c r="V175"/>
  <c r="T173"/>
  <c r="V173" s="1"/>
  <c r="T171"/>
  <c r="V171" s="1"/>
  <c r="T169"/>
  <c r="V168"/>
  <c r="V169"/>
  <c r="V170"/>
  <c r="T159"/>
  <c r="V159" s="1"/>
  <c r="T157"/>
  <c r="V157" s="1"/>
  <c r="V153"/>
  <c r="T154"/>
  <c r="V154" s="1"/>
  <c r="T156"/>
  <c r="V156" s="1"/>
  <c r="T158"/>
  <c r="V158" s="1"/>
  <c r="T160"/>
  <c r="V160" s="1"/>
  <c r="T162"/>
  <c r="V162" s="1"/>
  <c r="T164"/>
  <c r="V164" s="1"/>
  <c r="V93"/>
  <c r="T94"/>
  <c r="T88"/>
  <c r="V88" s="1"/>
  <c r="V89"/>
  <c r="T90"/>
  <c r="V90" s="1"/>
  <c r="V91"/>
  <c r="T92"/>
  <c r="V92" s="1"/>
  <c r="V94"/>
  <c r="T144"/>
  <c r="V144" s="1"/>
  <c r="T117"/>
  <c r="V117" s="1"/>
  <c r="T115"/>
  <c r="V115" s="1"/>
  <c r="T114"/>
  <c r="V114" s="1"/>
  <c r="T112"/>
  <c r="T113"/>
  <c r="T119"/>
  <c r="T120"/>
  <c r="T121"/>
  <c r="T122"/>
  <c r="T123"/>
  <c r="T124"/>
  <c r="T125"/>
  <c r="T126"/>
  <c r="V112"/>
  <c r="V113"/>
  <c r="V119"/>
  <c r="V120"/>
  <c r="V121"/>
  <c r="V122"/>
  <c r="V123"/>
  <c r="V124"/>
  <c r="V125"/>
  <c r="V126"/>
  <c r="T54"/>
  <c r="V54" s="1"/>
  <c r="T52"/>
  <c r="V52" s="1"/>
  <c r="T50"/>
  <c r="T51"/>
  <c r="T53"/>
  <c r="T55"/>
  <c r="T57"/>
  <c r="V57" s="1"/>
  <c r="V51"/>
  <c r="V53"/>
  <c r="V55"/>
  <c r="V98" i="103"/>
  <c r="T65" i="100"/>
  <c r="V65" s="1"/>
  <c r="T63"/>
  <c r="V63" s="1"/>
  <c r="T61"/>
  <c r="V61" s="1"/>
  <c r="T62"/>
  <c r="V62" s="1"/>
  <c r="T64"/>
  <c r="V64" s="1"/>
  <c r="T66"/>
  <c r="V66" s="1"/>
  <c r="T68"/>
  <c r="V68" s="1"/>
  <c r="T107"/>
  <c r="V107" s="1"/>
  <c r="T109"/>
  <c r="V109" s="1"/>
  <c r="T108"/>
  <c r="V108" s="1"/>
  <c r="T140"/>
  <c r="V140" s="1"/>
  <c r="T137"/>
  <c r="V137" s="1"/>
  <c r="T135"/>
  <c r="V135" s="1"/>
  <c r="V133"/>
  <c r="T134"/>
  <c r="V134" s="1"/>
  <c r="T136"/>
  <c r="V136" s="1"/>
  <c r="T138"/>
  <c r="V138" s="1"/>
  <c r="T129"/>
  <c r="V129" s="1"/>
  <c r="T130"/>
  <c r="V130" s="1"/>
  <c r="T39"/>
  <c r="V39" s="1"/>
  <c r="T37"/>
  <c r="V37" s="1"/>
  <c r="T35"/>
  <c r="V35" s="1"/>
  <c r="T36"/>
  <c r="V36" s="1"/>
  <c r="T38"/>
  <c r="V38" s="1"/>
  <c r="T28"/>
  <c r="V28" s="1"/>
  <c r="T25"/>
  <c r="V25" s="1"/>
  <c r="T43"/>
  <c r="V43" s="1"/>
  <c r="T19"/>
  <c r="T21"/>
  <c r="V21" s="1"/>
  <c r="T98"/>
  <c r="V98" s="1"/>
  <c r="V29" l="1"/>
  <c r="T29"/>
  <c r="V50"/>
  <c r="V19"/>
  <c r="Q190" i="83" l="1"/>
  <c r="N190"/>
  <c r="K190"/>
  <c r="H190"/>
  <c r="E190"/>
  <c r="S189"/>
  <c r="S190" s="1"/>
  <c r="R189"/>
  <c r="R190" s="1"/>
  <c r="O189"/>
  <c r="O190" s="1"/>
  <c r="L189"/>
  <c r="L190" s="1"/>
  <c r="I189"/>
  <c r="I190" s="1"/>
  <c r="F189"/>
  <c r="F190" s="1"/>
  <c r="Q188"/>
  <c r="N188"/>
  <c r="K188"/>
  <c r="H188"/>
  <c r="E188"/>
  <c r="S187"/>
  <c r="S188" s="1"/>
  <c r="R187"/>
  <c r="R188" s="1"/>
  <c r="O187"/>
  <c r="O188" s="1"/>
  <c r="L187"/>
  <c r="L188" s="1"/>
  <c r="I187"/>
  <c r="I188" s="1"/>
  <c r="F187"/>
  <c r="F188" s="1"/>
  <c r="S10" i="89"/>
  <c r="U10" s="1"/>
  <c r="R10"/>
  <c r="O10"/>
  <c r="L10"/>
  <c r="I10"/>
  <c r="F10"/>
  <c r="Q15"/>
  <c r="N15"/>
  <c r="K15"/>
  <c r="H15"/>
  <c r="E15"/>
  <c r="H48" i="100"/>
  <c r="E48"/>
  <c r="Q48"/>
  <c r="N48"/>
  <c r="K48"/>
  <c r="S47"/>
  <c r="U47" s="1"/>
  <c r="R47"/>
  <c r="O47"/>
  <c r="L47"/>
  <c r="I47"/>
  <c r="F47"/>
  <c r="S46"/>
  <c r="U46" s="1"/>
  <c r="R46"/>
  <c r="O46"/>
  <c r="L46"/>
  <c r="I46"/>
  <c r="F46"/>
  <c r="Q23" i="103"/>
  <c r="T10" i="89" l="1"/>
  <c r="V10" s="1"/>
  <c r="U187" i="83"/>
  <c r="U188" s="1"/>
  <c r="T189"/>
  <c r="T190" s="1"/>
  <c r="T187"/>
  <c r="T188" s="1"/>
  <c r="U189"/>
  <c r="U190" s="1"/>
  <c r="T46" i="100"/>
  <c r="V46" s="1"/>
  <c r="T47"/>
  <c r="V47" s="1"/>
  <c r="V189" i="83" l="1"/>
  <c r="V190" s="1"/>
  <c r="V187"/>
  <c r="V188" s="1"/>
  <c r="Q32" i="100" l="1"/>
  <c r="N32"/>
  <c r="K32"/>
  <c r="H32"/>
  <c r="E32"/>
  <c r="S31"/>
  <c r="U31" s="1"/>
  <c r="R31"/>
  <c r="O31"/>
  <c r="L31"/>
  <c r="I31"/>
  <c r="F31"/>
  <c r="H82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H7" i="103"/>
  <c r="S7" s="1"/>
  <c r="U7" s="1"/>
  <c r="K21" i="95"/>
  <c r="S19"/>
  <c r="U19" s="1"/>
  <c r="R19"/>
  <c r="O19"/>
  <c r="L19"/>
  <c r="I19"/>
  <c r="F19"/>
  <c r="S18"/>
  <c r="U18" s="1"/>
  <c r="R18"/>
  <c r="O18"/>
  <c r="L18"/>
  <c r="I18"/>
  <c r="F18"/>
  <c r="H23" i="103"/>
  <c r="Q9" i="93"/>
  <c r="N9"/>
  <c r="K9"/>
  <c r="H9"/>
  <c r="E9"/>
  <c r="S8"/>
  <c r="U8" s="1"/>
  <c r="R8"/>
  <c r="O8"/>
  <c r="L8"/>
  <c r="I8"/>
  <c r="F8"/>
  <c r="S7"/>
  <c r="U7" s="1"/>
  <c r="R7"/>
  <c r="O7"/>
  <c r="L7"/>
  <c r="I7"/>
  <c r="F7"/>
  <c r="H15"/>
  <c r="E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282" i="96"/>
  <c r="U282" s="1"/>
  <c r="R282"/>
  <c r="O282"/>
  <c r="L282"/>
  <c r="I282"/>
  <c r="F282"/>
  <c r="S217" i="104"/>
  <c r="U217" s="1"/>
  <c r="R217"/>
  <c r="O217"/>
  <c r="L217"/>
  <c r="I217"/>
  <c r="F217"/>
  <c r="S216"/>
  <c r="U216" s="1"/>
  <c r="U218" s="1"/>
  <c r="R216"/>
  <c r="O216"/>
  <c r="O218" s="1"/>
  <c r="L216"/>
  <c r="I216"/>
  <c r="F216"/>
  <c r="S214"/>
  <c r="U214" s="1"/>
  <c r="R214"/>
  <c r="O214"/>
  <c r="L214"/>
  <c r="I214"/>
  <c r="F214"/>
  <c r="S209"/>
  <c r="U209" s="1"/>
  <c r="U215" s="1"/>
  <c r="R209"/>
  <c r="R215" s="1"/>
  <c r="O209"/>
  <c r="O215" s="1"/>
  <c r="L209"/>
  <c r="I209"/>
  <c r="I215" s="1"/>
  <c r="F209"/>
  <c r="F215" s="1"/>
  <c r="S207"/>
  <c r="U207" s="1"/>
  <c r="R207"/>
  <c r="O207"/>
  <c r="L207"/>
  <c r="I207"/>
  <c r="F207"/>
  <c r="S200"/>
  <c r="U200" s="1"/>
  <c r="U208" s="1"/>
  <c r="R200"/>
  <c r="O200"/>
  <c r="O208" s="1"/>
  <c r="L200"/>
  <c r="I200"/>
  <c r="I208" s="1"/>
  <c r="F200"/>
  <c r="S194"/>
  <c r="R194"/>
  <c r="R199" s="1"/>
  <c r="O194"/>
  <c r="O199" s="1"/>
  <c r="L194"/>
  <c r="L199" s="1"/>
  <c r="I194"/>
  <c r="F194"/>
  <c r="F199" s="1"/>
  <c r="S192"/>
  <c r="R192"/>
  <c r="R193" s="1"/>
  <c r="O192"/>
  <c r="O193" s="1"/>
  <c r="L192"/>
  <c r="L193" s="1"/>
  <c r="I192"/>
  <c r="F192"/>
  <c r="F193" s="1"/>
  <c r="S180"/>
  <c r="U180" s="1"/>
  <c r="R180"/>
  <c r="O180"/>
  <c r="L180"/>
  <c r="I180"/>
  <c r="F180"/>
  <c r="S177"/>
  <c r="U177" s="1"/>
  <c r="U181" s="1"/>
  <c r="R177"/>
  <c r="R181" s="1"/>
  <c r="O177"/>
  <c r="O181" s="1"/>
  <c r="L177"/>
  <c r="I177"/>
  <c r="I181" s="1"/>
  <c r="F177"/>
  <c r="S174"/>
  <c r="R174"/>
  <c r="R176" s="1"/>
  <c r="O174"/>
  <c r="O176" s="1"/>
  <c r="L174"/>
  <c r="L176" s="1"/>
  <c r="I174"/>
  <c r="F174"/>
  <c r="F176" s="1"/>
  <c r="S172"/>
  <c r="U172" s="1"/>
  <c r="R172"/>
  <c r="O172"/>
  <c r="L172"/>
  <c r="I172"/>
  <c r="F172"/>
  <c r="S162"/>
  <c r="U162" s="1"/>
  <c r="R162"/>
  <c r="O162"/>
  <c r="L162"/>
  <c r="I162"/>
  <c r="F162"/>
  <c r="S161"/>
  <c r="U161" s="1"/>
  <c r="R161"/>
  <c r="O161"/>
  <c r="O173" s="1"/>
  <c r="L161"/>
  <c r="I161"/>
  <c r="F161"/>
  <c r="S148"/>
  <c r="U148" s="1"/>
  <c r="R148"/>
  <c r="O148"/>
  <c r="O160" s="1"/>
  <c r="L148"/>
  <c r="I148"/>
  <c r="F148"/>
  <c r="S146"/>
  <c r="U146" s="1"/>
  <c r="R146"/>
  <c r="O146"/>
  <c r="L146"/>
  <c r="I146"/>
  <c r="F146"/>
  <c r="S141"/>
  <c r="U141" s="1"/>
  <c r="R141"/>
  <c r="O141"/>
  <c r="O147" s="1"/>
  <c r="L141"/>
  <c r="I141"/>
  <c r="F141"/>
  <c r="S138"/>
  <c r="R138"/>
  <c r="R140" s="1"/>
  <c r="O138"/>
  <c r="O140" s="1"/>
  <c r="L138"/>
  <c r="L140" s="1"/>
  <c r="I138"/>
  <c r="F138"/>
  <c r="F140" s="1"/>
  <c r="S131"/>
  <c r="U131" s="1"/>
  <c r="R131"/>
  <c r="O131"/>
  <c r="O137" s="1"/>
  <c r="L131"/>
  <c r="I131"/>
  <c r="F131"/>
  <c r="S121"/>
  <c r="R121"/>
  <c r="R130" s="1"/>
  <c r="O121"/>
  <c r="O130" s="1"/>
  <c r="L121"/>
  <c r="L130" s="1"/>
  <c r="I121"/>
  <c r="F121"/>
  <c r="F130" s="1"/>
  <c r="S119"/>
  <c r="U119" s="1"/>
  <c r="R119"/>
  <c r="O119"/>
  <c r="L119"/>
  <c r="I119"/>
  <c r="F119"/>
  <c r="S113"/>
  <c r="U113" s="1"/>
  <c r="R113"/>
  <c r="O113"/>
  <c r="L113"/>
  <c r="I113"/>
  <c r="F113"/>
  <c r="S112"/>
  <c r="U112" s="1"/>
  <c r="U120" s="1"/>
  <c r="R112"/>
  <c r="R120" s="1"/>
  <c r="O112"/>
  <c r="O120" s="1"/>
  <c r="L112"/>
  <c r="I112"/>
  <c r="T112" s="1"/>
  <c r="F112"/>
  <c r="S104"/>
  <c r="U104" s="1"/>
  <c r="R104"/>
  <c r="O104"/>
  <c r="L104"/>
  <c r="I104"/>
  <c r="F104"/>
  <c r="S103"/>
  <c r="R103"/>
  <c r="R111" s="1"/>
  <c r="O103"/>
  <c r="O111" s="1"/>
  <c r="L103"/>
  <c r="L111" s="1"/>
  <c r="I103"/>
  <c r="I111" s="1"/>
  <c r="F103"/>
  <c r="F111" s="1"/>
  <c r="S101"/>
  <c r="U101" s="1"/>
  <c r="R101"/>
  <c r="O101"/>
  <c r="L101"/>
  <c r="I101"/>
  <c r="F101"/>
  <c r="S97"/>
  <c r="U97" s="1"/>
  <c r="U102" s="1"/>
  <c r="R97"/>
  <c r="R102" s="1"/>
  <c r="O97"/>
  <c r="O102" s="1"/>
  <c r="L97"/>
  <c r="I97"/>
  <c r="F97"/>
  <c r="S95"/>
  <c r="U95" s="1"/>
  <c r="R95"/>
  <c r="O95"/>
  <c r="L95"/>
  <c r="I95"/>
  <c r="F95"/>
  <c r="S94"/>
  <c r="U94" s="1"/>
  <c r="U96" s="1"/>
  <c r="R94"/>
  <c r="O94"/>
  <c r="L94"/>
  <c r="I94"/>
  <c r="F94"/>
  <c r="S73"/>
  <c r="R73"/>
  <c r="R93" s="1"/>
  <c r="O73"/>
  <c r="O93" s="1"/>
  <c r="L73"/>
  <c r="L93" s="1"/>
  <c r="I73"/>
  <c r="I93" s="1"/>
  <c r="F73"/>
  <c r="F93" s="1"/>
  <c r="S71"/>
  <c r="U71" s="1"/>
  <c r="U72" s="1"/>
  <c r="R71"/>
  <c r="O71"/>
  <c r="O72" s="1"/>
  <c r="L71"/>
  <c r="I71"/>
  <c r="F71"/>
  <c r="S66"/>
  <c r="U66" s="1"/>
  <c r="R66"/>
  <c r="O66"/>
  <c r="L66"/>
  <c r="I66"/>
  <c r="F66"/>
  <c r="S65"/>
  <c r="U65" s="1"/>
  <c r="U70" s="1"/>
  <c r="R65"/>
  <c r="O65"/>
  <c r="O70" s="1"/>
  <c r="L65"/>
  <c r="I65"/>
  <c r="I70" s="1"/>
  <c r="F65"/>
  <c r="S62"/>
  <c r="R62"/>
  <c r="R64" s="1"/>
  <c r="O62"/>
  <c r="O64" s="1"/>
  <c r="L62"/>
  <c r="L64" s="1"/>
  <c r="I62"/>
  <c r="I64" s="1"/>
  <c r="F62"/>
  <c r="F64" s="1"/>
  <c r="S49"/>
  <c r="R49"/>
  <c r="R61" s="1"/>
  <c r="O49"/>
  <c r="O61" s="1"/>
  <c r="L49"/>
  <c r="L61" s="1"/>
  <c r="I49"/>
  <c r="F49"/>
  <c r="F61" s="1"/>
  <c r="S39"/>
  <c r="U39" s="1"/>
  <c r="R39"/>
  <c r="O39"/>
  <c r="L39"/>
  <c r="I39"/>
  <c r="F39"/>
  <c r="S38"/>
  <c r="U38" s="1"/>
  <c r="R38"/>
  <c r="O38"/>
  <c r="L38"/>
  <c r="I38"/>
  <c r="F38"/>
  <c r="S37"/>
  <c r="S48" s="1"/>
  <c r="R37"/>
  <c r="R48" s="1"/>
  <c r="O37"/>
  <c r="O48" s="1"/>
  <c r="L37"/>
  <c r="L48" s="1"/>
  <c r="I37"/>
  <c r="I48" s="1"/>
  <c r="F37"/>
  <c r="F48" s="1"/>
  <c r="S35"/>
  <c r="U35" s="1"/>
  <c r="R35"/>
  <c r="O35"/>
  <c r="L35"/>
  <c r="I35"/>
  <c r="F35"/>
  <c r="S19"/>
  <c r="U19" s="1"/>
  <c r="R19"/>
  <c r="O19"/>
  <c r="L19"/>
  <c r="I19"/>
  <c r="F19"/>
  <c r="S18"/>
  <c r="R18"/>
  <c r="O18"/>
  <c r="O36" s="1"/>
  <c r="L18"/>
  <c r="I18"/>
  <c r="F18"/>
  <c r="S7"/>
  <c r="U7" s="1"/>
  <c r="R7"/>
  <c r="O7"/>
  <c r="L7"/>
  <c r="I7"/>
  <c r="F7"/>
  <c r="S6"/>
  <c r="U6" s="1"/>
  <c r="U17" s="1"/>
  <c r="R6"/>
  <c r="O6"/>
  <c r="O17" s="1"/>
  <c r="L6"/>
  <c r="I6"/>
  <c r="T6" s="1"/>
  <c r="F6"/>
  <c r="S218"/>
  <c r="R218"/>
  <c r="Q218"/>
  <c r="Q215"/>
  <c r="R208"/>
  <c r="Q208"/>
  <c r="Q181"/>
  <c r="R173"/>
  <c r="Q173"/>
  <c r="R160"/>
  <c r="Q160"/>
  <c r="R147"/>
  <c r="Q147"/>
  <c r="R137"/>
  <c r="Q137"/>
  <c r="Q102"/>
  <c r="R96"/>
  <c r="Q96"/>
  <c r="R72"/>
  <c r="Q72"/>
  <c r="R70"/>
  <c r="Q70"/>
  <c r="R36"/>
  <c r="Q36"/>
  <c r="R17"/>
  <c r="Q17"/>
  <c r="N218"/>
  <c r="N215"/>
  <c r="N208"/>
  <c r="N181"/>
  <c r="N173"/>
  <c r="N160"/>
  <c r="N147"/>
  <c r="N137"/>
  <c r="N120"/>
  <c r="N102"/>
  <c r="N96"/>
  <c r="N72"/>
  <c r="N70"/>
  <c r="N36"/>
  <c r="N17"/>
  <c r="L218"/>
  <c r="K218"/>
  <c r="L215"/>
  <c r="K215"/>
  <c r="L208"/>
  <c r="K208"/>
  <c r="L181"/>
  <c r="K181"/>
  <c r="L173"/>
  <c r="K173"/>
  <c r="L160"/>
  <c r="K160"/>
  <c r="L147"/>
  <c r="K147"/>
  <c r="L137"/>
  <c r="K137"/>
  <c r="L120"/>
  <c r="K120"/>
  <c r="L102"/>
  <c r="K102"/>
  <c r="L96"/>
  <c r="K96"/>
  <c r="L72"/>
  <c r="K72"/>
  <c r="L70"/>
  <c r="K70"/>
  <c r="L36"/>
  <c r="K36"/>
  <c r="L17"/>
  <c r="K17"/>
  <c r="H218"/>
  <c r="H208"/>
  <c r="H181"/>
  <c r="H173"/>
  <c r="H160"/>
  <c r="H147"/>
  <c r="H137"/>
  <c r="H120"/>
  <c r="H102"/>
  <c r="H96"/>
  <c r="H72"/>
  <c r="H70"/>
  <c r="H36"/>
  <c r="H17"/>
  <c r="F218"/>
  <c r="E218"/>
  <c r="E215"/>
  <c r="F208"/>
  <c r="E208"/>
  <c r="F181"/>
  <c r="E181"/>
  <c r="F173"/>
  <c r="E173"/>
  <c r="F160"/>
  <c r="E160"/>
  <c r="F147"/>
  <c r="E147"/>
  <c r="F137"/>
  <c r="E137"/>
  <c r="E120"/>
  <c r="E102"/>
  <c r="F96"/>
  <c r="E96"/>
  <c r="F72"/>
  <c r="E72"/>
  <c r="F70"/>
  <c r="E70"/>
  <c r="F36"/>
  <c r="E36"/>
  <c r="F17"/>
  <c r="E17"/>
  <c r="S3"/>
  <c r="U3" s="1"/>
  <c r="R3"/>
  <c r="O3"/>
  <c r="L3"/>
  <c r="I3"/>
  <c r="F3"/>
  <c r="P1"/>
  <c r="U2" s="1"/>
  <c r="C1"/>
  <c r="S138" i="103"/>
  <c r="U138" s="1"/>
  <c r="R138"/>
  <c r="O138"/>
  <c r="L138"/>
  <c r="I138"/>
  <c r="F138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1"/>
  <c r="U131" s="1"/>
  <c r="R131"/>
  <c r="O131"/>
  <c r="L131"/>
  <c r="I131"/>
  <c r="F131"/>
  <c r="S125"/>
  <c r="U125" s="1"/>
  <c r="R125"/>
  <c r="O125"/>
  <c r="L125"/>
  <c r="I125"/>
  <c r="F125"/>
  <c r="S123"/>
  <c r="U123" s="1"/>
  <c r="U124" s="1"/>
  <c r="R123"/>
  <c r="O123"/>
  <c r="L123"/>
  <c r="I123"/>
  <c r="F123"/>
  <c r="S121"/>
  <c r="U121" s="1"/>
  <c r="R121"/>
  <c r="O121"/>
  <c r="L121"/>
  <c r="I121"/>
  <c r="F121"/>
  <c r="S120"/>
  <c r="S122" s="1"/>
  <c r="R120"/>
  <c r="O120"/>
  <c r="L120"/>
  <c r="I120"/>
  <c r="F120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I119" s="1"/>
  <c r="F116"/>
  <c r="S114"/>
  <c r="U114" s="1"/>
  <c r="U115" s="1"/>
  <c r="R114"/>
  <c r="O114"/>
  <c r="L114"/>
  <c r="I114"/>
  <c r="I115" s="1"/>
  <c r="F114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7"/>
  <c r="R107"/>
  <c r="R109" s="1"/>
  <c r="O107"/>
  <c r="O109" s="1"/>
  <c r="L107"/>
  <c r="L109" s="1"/>
  <c r="I107"/>
  <c r="F107"/>
  <c r="F109" s="1"/>
  <c r="S105"/>
  <c r="U105" s="1"/>
  <c r="R105"/>
  <c r="O105"/>
  <c r="L105"/>
  <c r="I105"/>
  <c r="S103"/>
  <c r="U103" s="1"/>
  <c r="R103"/>
  <c r="O103"/>
  <c r="L103"/>
  <c r="I103"/>
  <c r="F103"/>
  <c r="F106" s="1"/>
  <c r="S101"/>
  <c r="U101" s="1"/>
  <c r="U102" s="1"/>
  <c r="R101"/>
  <c r="O101"/>
  <c r="L101"/>
  <c r="I101"/>
  <c r="F101"/>
  <c r="F102" s="1"/>
  <c r="S99"/>
  <c r="U99" s="1"/>
  <c r="R99"/>
  <c r="O99"/>
  <c r="L99"/>
  <c r="I99"/>
  <c r="F99"/>
  <c r="S97"/>
  <c r="U97" s="1"/>
  <c r="R97"/>
  <c r="O97"/>
  <c r="L97"/>
  <c r="I97"/>
  <c r="F97"/>
  <c r="S96"/>
  <c r="U96" s="1"/>
  <c r="R96"/>
  <c r="O96"/>
  <c r="L96"/>
  <c r="I96"/>
  <c r="F96"/>
  <c r="F100" s="1"/>
  <c r="S94"/>
  <c r="U94" s="1"/>
  <c r="R94"/>
  <c r="O94"/>
  <c r="L94"/>
  <c r="I94"/>
  <c r="F94"/>
  <c r="S93"/>
  <c r="U93" s="1"/>
  <c r="R93"/>
  <c r="O93"/>
  <c r="L93"/>
  <c r="I93"/>
  <c r="F93"/>
  <c r="F95" s="1"/>
  <c r="S91"/>
  <c r="U91" s="1"/>
  <c r="R91"/>
  <c r="O91"/>
  <c r="L91"/>
  <c r="I91"/>
  <c r="F91"/>
  <c r="S90"/>
  <c r="U90" s="1"/>
  <c r="R90"/>
  <c r="O90"/>
  <c r="L90"/>
  <c r="I90"/>
  <c r="F90"/>
  <c r="F92" s="1"/>
  <c r="S88"/>
  <c r="U88" s="1"/>
  <c r="U89" s="1"/>
  <c r="R88"/>
  <c r="O88"/>
  <c r="L88"/>
  <c r="I88"/>
  <c r="F88"/>
  <c r="F89" s="1"/>
  <c r="S86"/>
  <c r="U86" s="1"/>
  <c r="R86"/>
  <c r="O86"/>
  <c r="L86"/>
  <c r="I86"/>
  <c r="F86"/>
  <c r="S85"/>
  <c r="U85" s="1"/>
  <c r="R85"/>
  <c r="O85"/>
  <c r="L85"/>
  <c r="I85"/>
  <c r="F85"/>
  <c r="F87" s="1"/>
  <c r="S83"/>
  <c r="U83" s="1"/>
  <c r="U84" s="1"/>
  <c r="R83"/>
  <c r="O83"/>
  <c r="L83"/>
  <c r="I83"/>
  <c r="F83"/>
  <c r="F84" s="1"/>
  <c r="S81"/>
  <c r="R81"/>
  <c r="R82" s="1"/>
  <c r="O81"/>
  <c r="O82" s="1"/>
  <c r="L81"/>
  <c r="L82" s="1"/>
  <c r="I81"/>
  <c r="F81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O75" s="1"/>
  <c r="L72"/>
  <c r="I72"/>
  <c r="F72"/>
  <c r="F75" s="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L71" s="1"/>
  <c r="I68"/>
  <c r="F68"/>
  <c r="F71" s="1"/>
  <c r="S66"/>
  <c r="U66" s="1"/>
  <c r="R66"/>
  <c r="O66"/>
  <c r="L66"/>
  <c r="I66"/>
  <c r="F66"/>
  <c r="S65"/>
  <c r="U65" s="1"/>
  <c r="R65"/>
  <c r="O65"/>
  <c r="O67" s="1"/>
  <c r="L65"/>
  <c r="L67" s="1"/>
  <c r="I65"/>
  <c r="F65"/>
  <c r="F67" s="1"/>
  <c r="S63"/>
  <c r="U63" s="1"/>
  <c r="R63"/>
  <c r="O63"/>
  <c r="L63"/>
  <c r="I63"/>
  <c r="F63"/>
  <c r="S62"/>
  <c r="U62" s="1"/>
  <c r="R62"/>
  <c r="O62"/>
  <c r="L62"/>
  <c r="L64" s="1"/>
  <c r="I62"/>
  <c r="F62"/>
  <c r="F64" s="1"/>
  <c r="S60"/>
  <c r="U60" s="1"/>
  <c r="U61" s="1"/>
  <c r="R60"/>
  <c r="O60"/>
  <c r="O61" s="1"/>
  <c r="L60"/>
  <c r="L61" s="1"/>
  <c r="I60"/>
  <c r="F60"/>
  <c r="F61" s="1"/>
  <c r="S58"/>
  <c r="U58" s="1"/>
  <c r="R58"/>
  <c r="O58"/>
  <c r="L58"/>
  <c r="I58"/>
  <c r="F58"/>
  <c r="S57"/>
  <c r="U57" s="1"/>
  <c r="R57"/>
  <c r="O57"/>
  <c r="O59" s="1"/>
  <c r="L57"/>
  <c r="L59" s="1"/>
  <c r="I57"/>
  <c r="F57"/>
  <c r="F59" s="1"/>
  <c r="S55"/>
  <c r="U55" s="1"/>
  <c r="U56" s="1"/>
  <c r="R55"/>
  <c r="O55"/>
  <c r="O56" s="1"/>
  <c r="L55"/>
  <c r="L56" s="1"/>
  <c r="I55"/>
  <c r="F55"/>
  <c r="F56" s="1"/>
  <c r="S53"/>
  <c r="U53" s="1"/>
  <c r="R53"/>
  <c r="O53"/>
  <c r="L53"/>
  <c r="I53"/>
  <c r="F53"/>
  <c r="S52"/>
  <c r="U52" s="1"/>
  <c r="R52"/>
  <c r="O52"/>
  <c r="O54" s="1"/>
  <c r="L52"/>
  <c r="L54" s="1"/>
  <c r="I52"/>
  <c r="F52"/>
  <c r="F54" s="1"/>
  <c r="S50"/>
  <c r="U50" s="1"/>
  <c r="R50"/>
  <c r="O50"/>
  <c r="L50"/>
  <c r="I50"/>
  <c r="F50"/>
  <c r="S45"/>
  <c r="U45" s="1"/>
  <c r="R45"/>
  <c r="O45"/>
  <c r="O51" s="1"/>
  <c r="L45"/>
  <c r="L51" s="1"/>
  <c r="I45"/>
  <c r="F45"/>
  <c r="F51" s="1"/>
  <c r="S43"/>
  <c r="U43" s="1"/>
  <c r="U44" s="1"/>
  <c r="R43"/>
  <c r="O43"/>
  <c r="O44" s="1"/>
  <c r="L43"/>
  <c r="L44" s="1"/>
  <c r="I43"/>
  <c r="F43"/>
  <c r="F44" s="1"/>
  <c r="S41"/>
  <c r="U41" s="1"/>
  <c r="U42" s="1"/>
  <c r="R41"/>
  <c r="O41"/>
  <c r="O42" s="1"/>
  <c r="L41"/>
  <c r="L42" s="1"/>
  <c r="I41"/>
  <c r="F41"/>
  <c r="F42" s="1"/>
  <c r="S39"/>
  <c r="U39" s="1"/>
  <c r="R39"/>
  <c r="O39"/>
  <c r="L39"/>
  <c r="I39"/>
  <c r="F39"/>
  <c r="S25"/>
  <c r="U25" s="1"/>
  <c r="R25"/>
  <c r="O25"/>
  <c r="L25"/>
  <c r="I25"/>
  <c r="F25"/>
  <c r="S24"/>
  <c r="U24" s="1"/>
  <c r="U40" s="1"/>
  <c r="R24"/>
  <c r="R40" s="1"/>
  <c r="O24"/>
  <c r="O40" s="1"/>
  <c r="L24"/>
  <c r="L40" s="1"/>
  <c r="I24"/>
  <c r="F24"/>
  <c r="S22"/>
  <c r="U22" s="1"/>
  <c r="R22"/>
  <c r="O22"/>
  <c r="L22"/>
  <c r="I22"/>
  <c r="F22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S23" s="1"/>
  <c r="R16"/>
  <c r="R23" s="1"/>
  <c r="O16"/>
  <c r="L16"/>
  <c r="L23" s="1"/>
  <c r="I16"/>
  <c r="F16"/>
  <c r="F23" s="1"/>
  <c r="S14"/>
  <c r="U14" s="1"/>
  <c r="R14"/>
  <c r="O14"/>
  <c r="L14"/>
  <c r="I14"/>
  <c r="F14"/>
  <c r="R7"/>
  <c r="O7"/>
  <c r="L7"/>
  <c r="F7"/>
  <c r="S6"/>
  <c r="U6" s="1"/>
  <c r="R6"/>
  <c r="O6"/>
  <c r="L6"/>
  <c r="I6"/>
  <c r="F6"/>
  <c r="F15" s="1"/>
  <c r="S89"/>
  <c r="S44"/>
  <c r="Q139"/>
  <c r="Q132"/>
  <c r="R124"/>
  <c r="Q124"/>
  <c r="R122"/>
  <c r="Q122"/>
  <c r="R119"/>
  <c r="Q119"/>
  <c r="R115"/>
  <c r="Q115"/>
  <c r="R113"/>
  <c r="Q113"/>
  <c r="R106"/>
  <c r="Q106"/>
  <c r="R102"/>
  <c r="Q102"/>
  <c r="R100"/>
  <c r="Q100"/>
  <c r="R95"/>
  <c r="Q95"/>
  <c r="R92"/>
  <c r="Q92"/>
  <c r="R89"/>
  <c r="Q89"/>
  <c r="R87"/>
  <c r="Q87"/>
  <c r="R84"/>
  <c r="Q84"/>
  <c r="R75"/>
  <c r="Q75"/>
  <c r="R71"/>
  <c r="Q71"/>
  <c r="R67"/>
  <c r="Q67"/>
  <c r="R64"/>
  <c r="Q64"/>
  <c r="R61"/>
  <c r="Q61"/>
  <c r="R59"/>
  <c r="Q59"/>
  <c r="R56"/>
  <c r="Q56"/>
  <c r="R54"/>
  <c r="Q54"/>
  <c r="R51"/>
  <c r="Q51"/>
  <c r="R44"/>
  <c r="Q44"/>
  <c r="R42"/>
  <c r="Q42"/>
  <c r="Q40"/>
  <c r="Q15"/>
  <c r="O139"/>
  <c r="N139"/>
  <c r="O132"/>
  <c r="N132"/>
  <c r="O124"/>
  <c r="N124"/>
  <c r="O122"/>
  <c r="N122"/>
  <c r="O119"/>
  <c r="N119"/>
  <c r="O115"/>
  <c r="N115"/>
  <c r="O113"/>
  <c r="N113"/>
  <c r="O106"/>
  <c r="N106"/>
  <c r="O102"/>
  <c r="N102"/>
  <c r="O100"/>
  <c r="N100"/>
  <c r="O95"/>
  <c r="N95"/>
  <c r="O92"/>
  <c r="N92"/>
  <c r="O89"/>
  <c r="N89"/>
  <c r="N87"/>
  <c r="O84"/>
  <c r="N84"/>
  <c r="N75"/>
  <c r="N71"/>
  <c r="N67"/>
  <c r="N64"/>
  <c r="N61"/>
  <c r="N59"/>
  <c r="N56"/>
  <c r="N54"/>
  <c r="N51"/>
  <c r="N44"/>
  <c r="N42"/>
  <c r="N40"/>
  <c r="N23"/>
  <c r="L139"/>
  <c r="K139"/>
  <c r="L132"/>
  <c r="K132"/>
  <c r="L124"/>
  <c r="K124"/>
  <c r="K122"/>
  <c r="L119"/>
  <c r="K119"/>
  <c r="L115"/>
  <c r="K115"/>
  <c r="L113"/>
  <c r="K113"/>
  <c r="K106"/>
  <c r="L102"/>
  <c r="K102"/>
  <c r="L100"/>
  <c r="K100"/>
  <c r="L95"/>
  <c r="K95"/>
  <c r="L92"/>
  <c r="K92"/>
  <c r="L89"/>
  <c r="K89"/>
  <c r="L87"/>
  <c r="K87"/>
  <c r="L84"/>
  <c r="K84"/>
  <c r="K75"/>
  <c r="K71"/>
  <c r="K67"/>
  <c r="K64"/>
  <c r="K61"/>
  <c r="K59"/>
  <c r="K56"/>
  <c r="K54"/>
  <c r="K51"/>
  <c r="K44"/>
  <c r="K42"/>
  <c r="K40"/>
  <c r="K23"/>
  <c r="K15"/>
  <c r="H139"/>
  <c r="H132"/>
  <c r="I124"/>
  <c r="H124"/>
  <c r="H122"/>
  <c r="H119"/>
  <c r="H115"/>
  <c r="H113"/>
  <c r="I106"/>
  <c r="H106"/>
  <c r="I102"/>
  <c r="H102"/>
  <c r="I100"/>
  <c r="H100"/>
  <c r="H95"/>
  <c r="I92"/>
  <c r="H92"/>
  <c r="I89"/>
  <c r="H89"/>
  <c r="I87"/>
  <c r="H87"/>
  <c r="H84"/>
  <c r="H75"/>
  <c r="I71"/>
  <c r="H71"/>
  <c r="I67"/>
  <c r="H67"/>
  <c r="I64"/>
  <c r="H64"/>
  <c r="I61"/>
  <c r="H61"/>
  <c r="I59"/>
  <c r="H59"/>
  <c r="H56"/>
  <c r="I54"/>
  <c r="H54"/>
  <c r="I51"/>
  <c r="H51"/>
  <c r="I44"/>
  <c r="H44"/>
  <c r="I42"/>
  <c r="H42"/>
  <c r="H40"/>
  <c r="F139"/>
  <c r="E139"/>
  <c r="F132"/>
  <c r="E132"/>
  <c r="F124"/>
  <c r="E124"/>
  <c r="F122"/>
  <c r="E122"/>
  <c r="F119"/>
  <c r="E119"/>
  <c r="F115"/>
  <c r="E115"/>
  <c r="F113"/>
  <c r="E113"/>
  <c r="E106"/>
  <c r="E102"/>
  <c r="E100"/>
  <c r="E95"/>
  <c r="E92"/>
  <c r="E89"/>
  <c r="E87"/>
  <c r="E84"/>
  <c r="E75"/>
  <c r="E71"/>
  <c r="E67"/>
  <c r="E64"/>
  <c r="E61"/>
  <c r="E59"/>
  <c r="E56"/>
  <c r="E54"/>
  <c r="E51"/>
  <c r="E44"/>
  <c r="E42"/>
  <c r="E40"/>
  <c r="E23"/>
  <c r="E15"/>
  <c r="S3"/>
  <c r="U3" s="1"/>
  <c r="R3"/>
  <c r="O3"/>
  <c r="L3"/>
  <c r="I3"/>
  <c r="F3"/>
  <c r="P1"/>
  <c r="U2" s="1"/>
  <c r="C1"/>
  <c r="S38" i="102"/>
  <c r="U38" s="1"/>
  <c r="R38"/>
  <c r="O38"/>
  <c r="L38"/>
  <c r="I38"/>
  <c r="F38"/>
  <c r="S36"/>
  <c r="U36" s="1"/>
  <c r="R36"/>
  <c r="O36"/>
  <c r="L36"/>
  <c r="I36"/>
  <c r="F36"/>
  <c r="S30"/>
  <c r="R30"/>
  <c r="R35" s="1"/>
  <c r="O30"/>
  <c r="O35" s="1"/>
  <c r="L30"/>
  <c r="L35" s="1"/>
  <c r="I30"/>
  <c r="I35" s="1"/>
  <c r="F30"/>
  <c r="F35" s="1"/>
  <c r="S28"/>
  <c r="U28" s="1"/>
  <c r="R28"/>
  <c r="O28"/>
  <c r="L28"/>
  <c r="I28"/>
  <c r="F28"/>
  <c r="S26"/>
  <c r="U26" s="1"/>
  <c r="R26"/>
  <c r="O26"/>
  <c r="L26"/>
  <c r="I26"/>
  <c r="F26"/>
  <c r="S24"/>
  <c r="U24" s="1"/>
  <c r="R24"/>
  <c r="O24"/>
  <c r="L24"/>
  <c r="I24"/>
  <c r="F24"/>
  <c r="S22"/>
  <c r="U22" s="1"/>
  <c r="R22"/>
  <c r="O22"/>
  <c r="L22"/>
  <c r="I22"/>
  <c r="F22"/>
  <c r="S19"/>
  <c r="U19" s="1"/>
  <c r="R19"/>
  <c r="O19"/>
  <c r="L19"/>
  <c r="I19"/>
  <c r="F19"/>
  <c r="S16"/>
  <c r="R16"/>
  <c r="R18" s="1"/>
  <c r="O16"/>
  <c r="O18" s="1"/>
  <c r="L16"/>
  <c r="L18" s="1"/>
  <c r="I16"/>
  <c r="I18" s="1"/>
  <c r="F16"/>
  <c r="F18" s="1"/>
  <c r="S13"/>
  <c r="R13"/>
  <c r="R15" s="1"/>
  <c r="O13"/>
  <c r="O15" s="1"/>
  <c r="L13"/>
  <c r="L15" s="1"/>
  <c r="I13"/>
  <c r="I15" s="1"/>
  <c r="F13"/>
  <c r="F15" s="1"/>
  <c r="S6"/>
  <c r="R6"/>
  <c r="R12" s="1"/>
  <c r="O6"/>
  <c r="O12" s="1"/>
  <c r="L6"/>
  <c r="L12" s="1"/>
  <c r="I6"/>
  <c r="I12" s="1"/>
  <c r="F6"/>
  <c r="F12" s="1"/>
  <c r="Q23"/>
  <c r="Q25" s="1"/>
  <c r="Q27" s="1"/>
  <c r="Q29" s="1"/>
  <c r="Q37" s="1"/>
  <c r="Q39" s="1"/>
  <c r="N23"/>
  <c r="N25" s="1"/>
  <c r="N27" s="1"/>
  <c r="N29" s="1"/>
  <c r="N37" s="1"/>
  <c r="N39" s="1"/>
  <c r="K23"/>
  <c r="K25" s="1"/>
  <c r="K27" s="1"/>
  <c r="K29" s="1"/>
  <c r="K37" s="1"/>
  <c r="K39" s="1"/>
  <c r="H23"/>
  <c r="H25" s="1"/>
  <c r="H27" s="1"/>
  <c r="H29" s="1"/>
  <c r="H37" s="1"/>
  <c r="H39" s="1"/>
  <c r="E23"/>
  <c r="E25" s="1"/>
  <c r="E27" s="1"/>
  <c r="E29" s="1"/>
  <c r="E37" s="1"/>
  <c r="E39" s="1"/>
  <c r="S3"/>
  <c r="U3" s="1"/>
  <c r="R3"/>
  <c r="O3"/>
  <c r="L3"/>
  <c r="I3"/>
  <c r="F3"/>
  <c r="P1"/>
  <c r="U2" s="1"/>
  <c r="C1"/>
  <c r="Q21" i="101"/>
  <c r="N21"/>
  <c r="K21"/>
  <c r="H21"/>
  <c r="E21"/>
  <c r="S20"/>
  <c r="S21" s="1"/>
  <c r="R20"/>
  <c r="R21" s="1"/>
  <c r="O20"/>
  <c r="O21" s="1"/>
  <c r="L20"/>
  <c r="L21" s="1"/>
  <c r="I20"/>
  <c r="I21" s="1"/>
  <c r="F20"/>
  <c r="F21" s="1"/>
  <c r="Q19"/>
  <c r="N19"/>
  <c r="K19"/>
  <c r="H19"/>
  <c r="E19"/>
  <c r="S18"/>
  <c r="U18" s="1"/>
  <c r="R18"/>
  <c r="O18"/>
  <c r="L18"/>
  <c r="I18"/>
  <c r="F18"/>
  <c r="S17"/>
  <c r="U17" s="1"/>
  <c r="R17"/>
  <c r="O17"/>
  <c r="L17"/>
  <c r="I17"/>
  <c r="F17"/>
  <c r="S16"/>
  <c r="S19" s="1"/>
  <c r="R16"/>
  <c r="R19" s="1"/>
  <c r="O16"/>
  <c r="L16"/>
  <c r="L19" s="1"/>
  <c r="I16"/>
  <c r="F16"/>
  <c r="F19" s="1"/>
  <c r="Q15"/>
  <c r="N15"/>
  <c r="K15"/>
  <c r="H15"/>
  <c r="E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S15" s="1"/>
  <c r="R10"/>
  <c r="R15" s="1"/>
  <c r="O10"/>
  <c r="O15" s="1"/>
  <c r="L10"/>
  <c r="L15" s="1"/>
  <c r="I10"/>
  <c r="I15" s="1"/>
  <c r="F10"/>
  <c r="F15" s="1"/>
  <c r="Q9"/>
  <c r="N9"/>
  <c r="K9"/>
  <c r="H9"/>
  <c r="E9"/>
  <c r="S8"/>
  <c r="U8" s="1"/>
  <c r="R8"/>
  <c r="O8"/>
  <c r="L8"/>
  <c r="I8"/>
  <c r="F8"/>
  <c r="S7"/>
  <c r="U7" s="1"/>
  <c r="R7"/>
  <c r="O7"/>
  <c r="L7"/>
  <c r="I7"/>
  <c r="F7"/>
  <c r="S6"/>
  <c r="R6"/>
  <c r="R9" s="1"/>
  <c r="O6"/>
  <c r="L6"/>
  <c r="L9" s="1"/>
  <c r="I6"/>
  <c r="F6"/>
  <c r="F9" s="1"/>
  <c r="S3"/>
  <c r="U3" s="1"/>
  <c r="R3"/>
  <c r="O3"/>
  <c r="L3"/>
  <c r="I3"/>
  <c r="F3"/>
  <c r="P1"/>
  <c r="U2" s="1"/>
  <c r="C1"/>
  <c r="S176" i="100"/>
  <c r="U176" s="1"/>
  <c r="R176"/>
  <c r="O176"/>
  <c r="L176"/>
  <c r="I176"/>
  <c r="F176"/>
  <c r="S167"/>
  <c r="U167" s="1"/>
  <c r="R167"/>
  <c r="O167"/>
  <c r="L167"/>
  <c r="I167"/>
  <c r="F167"/>
  <c r="S165"/>
  <c r="U165" s="1"/>
  <c r="R165"/>
  <c r="O165"/>
  <c r="L165"/>
  <c r="I165"/>
  <c r="F165"/>
  <c r="S151"/>
  <c r="U151" s="1"/>
  <c r="R151"/>
  <c r="O151"/>
  <c r="L151"/>
  <c r="I151"/>
  <c r="F151"/>
  <c r="S147"/>
  <c r="R147"/>
  <c r="R150" s="1"/>
  <c r="O147"/>
  <c r="O150" s="1"/>
  <c r="L147"/>
  <c r="L150" s="1"/>
  <c r="I147"/>
  <c r="F147"/>
  <c r="S145"/>
  <c r="U145" s="1"/>
  <c r="R145"/>
  <c r="O145"/>
  <c r="L145"/>
  <c r="I145"/>
  <c r="F145"/>
  <c r="S142"/>
  <c r="U142" s="1"/>
  <c r="R142"/>
  <c r="O142"/>
  <c r="O146" s="1"/>
  <c r="L142"/>
  <c r="I142"/>
  <c r="F142"/>
  <c r="S132"/>
  <c r="R132"/>
  <c r="R141" s="1"/>
  <c r="O132"/>
  <c r="O141" s="1"/>
  <c r="L132"/>
  <c r="I132"/>
  <c r="I141" s="1"/>
  <c r="F132"/>
  <c r="S128"/>
  <c r="R128"/>
  <c r="R131" s="1"/>
  <c r="O128"/>
  <c r="O131" s="1"/>
  <c r="L128"/>
  <c r="L131" s="1"/>
  <c r="I128"/>
  <c r="F128"/>
  <c r="S111"/>
  <c r="R111"/>
  <c r="R127" s="1"/>
  <c r="O111"/>
  <c r="O127" s="1"/>
  <c r="L111"/>
  <c r="L127" s="1"/>
  <c r="I111"/>
  <c r="F111"/>
  <c r="S105"/>
  <c r="S110" s="1"/>
  <c r="R105"/>
  <c r="R110" s="1"/>
  <c r="O105"/>
  <c r="O110" s="1"/>
  <c r="L105"/>
  <c r="L110" s="1"/>
  <c r="I105"/>
  <c r="F105"/>
  <c r="S103"/>
  <c r="U103" s="1"/>
  <c r="U104" s="1"/>
  <c r="R103"/>
  <c r="O103"/>
  <c r="O104" s="1"/>
  <c r="L103"/>
  <c r="I103"/>
  <c r="F103"/>
  <c r="F104" s="1"/>
  <c r="S101"/>
  <c r="U101" s="1"/>
  <c r="U102" s="1"/>
  <c r="R101"/>
  <c r="O101"/>
  <c r="O102" s="1"/>
  <c r="L101"/>
  <c r="I101"/>
  <c r="F101"/>
  <c r="F102" s="1"/>
  <c r="S99"/>
  <c r="U99" s="1"/>
  <c r="R99"/>
  <c r="O99"/>
  <c r="L99"/>
  <c r="I99"/>
  <c r="F99"/>
  <c r="S96"/>
  <c r="U96" s="1"/>
  <c r="R96"/>
  <c r="O96"/>
  <c r="O100" s="1"/>
  <c r="L96"/>
  <c r="I96"/>
  <c r="F96"/>
  <c r="F100" s="1"/>
  <c r="S87"/>
  <c r="R87"/>
  <c r="R95" s="1"/>
  <c r="O87"/>
  <c r="O95" s="1"/>
  <c r="L87"/>
  <c r="L95" s="1"/>
  <c r="I87"/>
  <c r="F87"/>
  <c r="S85"/>
  <c r="U85" s="1"/>
  <c r="U86" s="1"/>
  <c r="R85"/>
  <c r="O85"/>
  <c r="O86" s="1"/>
  <c r="L85"/>
  <c r="I85"/>
  <c r="F85"/>
  <c r="F86" s="1"/>
  <c r="S83"/>
  <c r="U83" s="1"/>
  <c r="U84" s="1"/>
  <c r="R83"/>
  <c r="O83"/>
  <c r="O84" s="1"/>
  <c r="L83"/>
  <c r="I83"/>
  <c r="F83"/>
  <c r="F84" s="1"/>
  <c r="S81"/>
  <c r="U81" s="1"/>
  <c r="R81"/>
  <c r="O81"/>
  <c r="L81"/>
  <c r="I81"/>
  <c r="F81"/>
  <c r="S76"/>
  <c r="U76" s="1"/>
  <c r="R76"/>
  <c r="O76"/>
  <c r="O82" s="1"/>
  <c r="L76"/>
  <c r="I76"/>
  <c r="I82" s="1"/>
  <c r="F76"/>
  <c r="F82" s="1"/>
  <c r="S73"/>
  <c r="S75" s="1"/>
  <c r="R73"/>
  <c r="R75" s="1"/>
  <c r="O73"/>
  <c r="O75" s="1"/>
  <c r="L73"/>
  <c r="L75" s="1"/>
  <c r="I73"/>
  <c r="F73"/>
  <c r="S71"/>
  <c r="U71" s="1"/>
  <c r="U72" s="1"/>
  <c r="R71"/>
  <c r="O71"/>
  <c r="O72" s="1"/>
  <c r="L71"/>
  <c r="I71"/>
  <c r="F71"/>
  <c r="F72" s="1"/>
  <c r="S69"/>
  <c r="U69" s="1"/>
  <c r="R69"/>
  <c r="O69"/>
  <c r="L69"/>
  <c r="I69"/>
  <c r="F69"/>
  <c r="S59"/>
  <c r="U59" s="1"/>
  <c r="R59"/>
  <c r="O59"/>
  <c r="L59"/>
  <c r="I59"/>
  <c r="F59"/>
  <c r="F70" s="1"/>
  <c r="S49"/>
  <c r="R49"/>
  <c r="R58" s="1"/>
  <c r="O49"/>
  <c r="O58" s="1"/>
  <c r="L49"/>
  <c r="L58" s="1"/>
  <c r="I49"/>
  <c r="F49"/>
  <c r="S45"/>
  <c r="R45"/>
  <c r="R48" s="1"/>
  <c r="O45"/>
  <c r="O48" s="1"/>
  <c r="L45"/>
  <c r="I45"/>
  <c r="I48" s="1"/>
  <c r="F45"/>
  <c r="F48" s="1"/>
  <c r="S42"/>
  <c r="R42"/>
  <c r="R44" s="1"/>
  <c r="O42"/>
  <c r="O44" s="1"/>
  <c r="L42"/>
  <c r="L44" s="1"/>
  <c r="I42"/>
  <c r="F42"/>
  <c r="S40"/>
  <c r="U40" s="1"/>
  <c r="R40"/>
  <c r="O40"/>
  <c r="L40"/>
  <c r="I40"/>
  <c r="F40"/>
  <c r="S33"/>
  <c r="U33" s="1"/>
  <c r="U41" s="1"/>
  <c r="R33"/>
  <c r="O33"/>
  <c r="L33"/>
  <c r="I33"/>
  <c r="I41" s="1"/>
  <c r="F33"/>
  <c r="F41" s="1"/>
  <c r="S30"/>
  <c r="U30" s="1"/>
  <c r="U32" s="1"/>
  <c r="R30"/>
  <c r="O30"/>
  <c r="O32" s="1"/>
  <c r="L30"/>
  <c r="I30"/>
  <c r="I32" s="1"/>
  <c r="F30"/>
  <c r="S23"/>
  <c r="R23"/>
  <c r="R26" s="1"/>
  <c r="O23"/>
  <c r="O26" s="1"/>
  <c r="L23"/>
  <c r="L26" s="1"/>
  <c r="I23"/>
  <c r="F23"/>
  <c r="S18"/>
  <c r="R18"/>
  <c r="R22" s="1"/>
  <c r="O18"/>
  <c r="O22" s="1"/>
  <c r="L18"/>
  <c r="L22" s="1"/>
  <c r="I18"/>
  <c r="F18"/>
  <c r="S16"/>
  <c r="U16" s="1"/>
  <c r="U17" s="1"/>
  <c r="R16"/>
  <c r="O16"/>
  <c r="L16"/>
  <c r="I16"/>
  <c r="I17" s="1"/>
  <c r="F16"/>
  <c r="F17" s="1"/>
  <c r="S14"/>
  <c r="U14" s="1"/>
  <c r="R14"/>
  <c r="O14"/>
  <c r="L14"/>
  <c r="I14"/>
  <c r="F14"/>
  <c r="S13"/>
  <c r="U13" s="1"/>
  <c r="R13"/>
  <c r="O13"/>
  <c r="L13"/>
  <c r="I13"/>
  <c r="F13"/>
  <c r="S12"/>
  <c r="U12" s="1"/>
  <c r="U15" s="1"/>
  <c r="R12"/>
  <c r="O12"/>
  <c r="L12"/>
  <c r="I12"/>
  <c r="I15" s="1"/>
  <c r="F12"/>
  <c r="F15" s="1"/>
  <c r="S10"/>
  <c r="U10" s="1"/>
  <c r="R10"/>
  <c r="O10"/>
  <c r="L10"/>
  <c r="I10"/>
  <c r="F10"/>
  <c r="S9"/>
  <c r="U9" s="1"/>
  <c r="R9"/>
  <c r="O9"/>
  <c r="L9"/>
  <c r="I9"/>
  <c r="F9"/>
  <c r="S8"/>
  <c r="U8" s="1"/>
  <c r="U11" s="1"/>
  <c r="R8"/>
  <c r="O8"/>
  <c r="O11" s="1"/>
  <c r="L8"/>
  <c r="I8"/>
  <c r="I11" s="1"/>
  <c r="F8"/>
  <c r="F11" s="1"/>
  <c r="S6"/>
  <c r="U6" s="1"/>
  <c r="U7" s="1"/>
  <c r="R6"/>
  <c r="O6"/>
  <c r="O7" s="1"/>
  <c r="L6"/>
  <c r="I6"/>
  <c r="F6"/>
  <c r="F7" s="1"/>
  <c r="S177"/>
  <c r="R177"/>
  <c r="Q177"/>
  <c r="R166"/>
  <c r="Q166"/>
  <c r="R146"/>
  <c r="Q146"/>
  <c r="R104"/>
  <c r="Q104"/>
  <c r="R102"/>
  <c r="Q102"/>
  <c r="R100"/>
  <c r="Q100"/>
  <c r="R86"/>
  <c r="Q86"/>
  <c r="R84"/>
  <c r="Q84"/>
  <c r="R82"/>
  <c r="Q82"/>
  <c r="R72"/>
  <c r="Q72"/>
  <c r="R70"/>
  <c r="Q70"/>
  <c r="R41"/>
  <c r="Q41"/>
  <c r="R17"/>
  <c r="Q17"/>
  <c r="R15"/>
  <c r="Q15"/>
  <c r="R11"/>
  <c r="Q11"/>
  <c r="R7"/>
  <c r="Q7"/>
  <c r="O177"/>
  <c r="N177"/>
  <c r="N166"/>
  <c r="N146"/>
  <c r="N104"/>
  <c r="N102"/>
  <c r="N100"/>
  <c r="N86"/>
  <c r="N84"/>
  <c r="N82"/>
  <c r="N72"/>
  <c r="N70"/>
  <c r="O41"/>
  <c r="N41"/>
  <c r="O17"/>
  <c r="N17"/>
  <c r="O15"/>
  <c r="N15"/>
  <c r="N11"/>
  <c r="N7"/>
  <c r="L177"/>
  <c r="K177"/>
  <c r="L166"/>
  <c r="K166"/>
  <c r="L146"/>
  <c r="K146"/>
  <c r="L104"/>
  <c r="K104"/>
  <c r="L102"/>
  <c r="K102"/>
  <c r="L100"/>
  <c r="K100"/>
  <c r="L86"/>
  <c r="K86"/>
  <c r="L84"/>
  <c r="K84"/>
  <c r="L82"/>
  <c r="K82"/>
  <c r="L72"/>
  <c r="K72"/>
  <c r="L70"/>
  <c r="K70"/>
  <c r="L41"/>
  <c r="K41"/>
  <c r="L17"/>
  <c r="K17"/>
  <c r="L15"/>
  <c r="K15"/>
  <c r="L11"/>
  <c r="K11"/>
  <c r="L7"/>
  <c r="K7"/>
  <c r="I177"/>
  <c r="H177"/>
  <c r="I166"/>
  <c r="H166"/>
  <c r="I146"/>
  <c r="H146"/>
  <c r="I104"/>
  <c r="H104"/>
  <c r="I102"/>
  <c r="H102"/>
  <c r="I100"/>
  <c r="H100"/>
  <c r="I86"/>
  <c r="H86"/>
  <c r="I84"/>
  <c r="H84"/>
  <c r="I72"/>
  <c r="H72"/>
  <c r="H70"/>
  <c r="H41"/>
  <c r="H17"/>
  <c r="H15"/>
  <c r="H11"/>
  <c r="H7"/>
  <c r="F177"/>
  <c r="E177"/>
  <c r="F166"/>
  <c r="E166"/>
  <c r="E146"/>
  <c r="E104"/>
  <c r="E102"/>
  <c r="E100"/>
  <c r="E86"/>
  <c r="E84"/>
  <c r="E82"/>
  <c r="E72"/>
  <c r="E70"/>
  <c r="E41"/>
  <c r="E17"/>
  <c r="E15"/>
  <c r="E11"/>
  <c r="E7"/>
  <c r="U16" i="102" l="1"/>
  <c r="U18" s="1"/>
  <c r="S18"/>
  <c r="S124" i="103"/>
  <c r="O15"/>
  <c r="U30" i="102"/>
  <c r="U35" s="1"/>
  <c r="S35"/>
  <c r="U6"/>
  <c r="U12" s="1"/>
  <c r="S12"/>
  <c r="U13"/>
  <c r="U15" s="1"/>
  <c r="S15"/>
  <c r="O23"/>
  <c r="O25" s="1"/>
  <c r="O27" s="1"/>
  <c r="O29" s="1"/>
  <c r="O37" s="1"/>
  <c r="O39" s="1"/>
  <c r="I23"/>
  <c r="I25" s="1"/>
  <c r="I27" s="1"/>
  <c r="I29" s="1"/>
  <c r="I37" s="1"/>
  <c r="I39" s="1"/>
  <c r="U23"/>
  <c r="U25"/>
  <c r="U27"/>
  <c r="U29"/>
  <c r="U37"/>
  <c r="U39"/>
  <c r="F23"/>
  <c r="F25" s="1"/>
  <c r="F27" s="1"/>
  <c r="F29" s="1"/>
  <c r="F37" s="1"/>
  <c r="F39" s="1"/>
  <c r="R23"/>
  <c r="R25" s="1"/>
  <c r="R27" s="1"/>
  <c r="R29" s="1"/>
  <c r="R37" s="1"/>
  <c r="R39" s="1"/>
  <c r="L15" i="103"/>
  <c r="R15"/>
  <c r="K178" i="100"/>
  <c r="S84"/>
  <c r="L32"/>
  <c r="R32"/>
  <c r="H15" i="103"/>
  <c r="S106"/>
  <c r="S132"/>
  <c r="U15"/>
  <c r="I7"/>
  <c r="H40" i="102"/>
  <c r="S102" i="104"/>
  <c r="S208"/>
  <c r="U62"/>
  <c r="U64" s="1"/>
  <c r="S64"/>
  <c r="T62"/>
  <c r="T64" s="1"/>
  <c r="T65"/>
  <c r="T71"/>
  <c r="T72" s="1"/>
  <c r="T95"/>
  <c r="T101"/>
  <c r="T104"/>
  <c r="T119"/>
  <c r="T141"/>
  <c r="T148"/>
  <c r="T160" s="1"/>
  <c r="T161"/>
  <c r="T180"/>
  <c r="T207"/>
  <c r="T214"/>
  <c r="T217"/>
  <c r="S181"/>
  <c r="S215"/>
  <c r="T192"/>
  <c r="T193" s="1"/>
  <c r="I193"/>
  <c r="U192"/>
  <c r="U193" s="1"/>
  <c r="S193"/>
  <c r="T121"/>
  <c r="T130" s="1"/>
  <c r="I130"/>
  <c r="U121"/>
  <c r="U130" s="1"/>
  <c r="S130"/>
  <c r="T131"/>
  <c r="V131" s="1"/>
  <c r="T194"/>
  <c r="T199" s="1"/>
  <c r="I199"/>
  <c r="U194"/>
  <c r="U199" s="1"/>
  <c r="S199"/>
  <c r="T146"/>
  <c r="V146" s="1"/>
  <c r="N40" i="102"/>
  <c r="T174" i="104"/>
  <c r="T176" s="1"/>
  <c r="I176"/>
  <c r="U174"/>
  <c r="U176" s="1"/>
  <c r="S176"/>
  <c r="T6" i="100"/>
  <c r="T7" s="1"/>
  <c r="T66" i="103"/>
  <c r="V66" s="1"/>
  <c r="T110"/>
  <c r="T111"/>
  <c r="T112"/>
  <c r="T114"/>
  <c r="T115" s="1"/>
  <c r="T116"/>
  <c r="T117"/>
  <c r="T118"/>
  <c r="T120"/>
  <c r="T123"/>
  <c r="T124" s="1"/>
  <c r="T133"/>
  <c r="T134"/>
  <c r="T135"/>
  <c r="T18" i="104"/>
  <c r="V18" s="1"/>
  <c r="I72"/>
  <c r="U73"/>
  <c r="U93" s="1"/>
  <c r="S93"/>
  <c r="T138"/>
  <c r="T140" s="1"/>
  <c r="I140"/>
  <c r="U138"/>
  <c r="U140" s="1"/>
  <c r="S140"/>
  <c r="T49"/>
  <c r="T61" s="1"/>
  <c r="I61"/>
  <c r="U49"/>
  <c r="U61" s="1"/>
  <c r="S61"/>
  <c r="T35"/>
  <c r="V35" s="1"/>
  <c r="I218"/>
  <c r="S96"/>
  <c r="T162"/>
  <c r="V162" s="1"/>
  <c r="U103"/>
  <c r="U111" s="1"/>
  <c r="S111"/>
  <c r="T172"/>
  <c r="V172" s="1"/>
  <c r="T39"/>
  <c r="V39" s="1"/>
  <c r="T282" i="96"/>
  <c r="V282" s="1"/>
  <c r="T37" i="104"/>
  <c r="V37" s="1"/>
  <c r="U18"/>
  <c r="U36" s="1"/>
  <c r="T107" i="103"/>
  <c r="T109" s="1"/>
  <c r="I109"/>
  <c r="U107"/>
  <c r="U109" s="1"/>
  <c r="S109"/>
  <c r="E40" i="102"/>
  <c r="K40"/>
  <c r="Q40"/>
  <c r="I7" i="100"/>
  <c r="S41"/>
  <c r="S166"/>
  <c r="T3" i="101"/>
  <c r="H22"/>
  <c r="N22"/>
  <c r="T6" i="102"/>
  <c r="T12" s="1"/>
  <c r="T13"/>
  <c r="T15" s="1"/>
  <c r="T16"/>
  <c r="T18" s="1"/>
  <c r="T19"/>
  <c r="T22"/>
  <c r="T24"/>
  <c r="T26"/>
  <c r="I17" i="104"/>
  <c r="I36"/>
  <c r="T11" i="101"/>
  <c r="V11" s="1"/>
  <c r="T13"/>
  <c r="V13" s="1"/>
  <c r="T3" i="102"/>
  <c r="T28"/>
  <c r="T30"/>
  <c r="T35" s="1"/>
  <c r="T36"/>
  <c r="T38"/>
  <c r="T3" i="103"/>
  <c r="T41"/>
  <c r="T42" s="1"/>
  <c r="T43"/>
  <c r="T44" s="1"/>
  <c r="T45"/>
  <c r="T50"/>
  <c r="T52"/>
  <c r="T53"/>
  <c r="T55"/>
  <c r="T56" s="1"/>
  <c r="T60"/>
  <c r="T61" s="1"/>
  <c r="F22" i="100"/>
  <c r="F26"/>
  <c r="F44"/>
  <c r="T45"/>
  <c r="T48" s="1"/>
  <c r="L48"/>
  <c r="F58"/>
  <c r="F75"/>
  <c r="F95"/>
  <c r="F110"/>
  <c r="F127"/>
  <c r="F131"/>
  <c r="F141"/>
  <c r="T132"/>
  <c r="T141" s="1"/>
  <c r="L141"/>
  <c r="F150"/>
  <c r="U81" i="103"/>
  <c r="U82" s="1"/>
  <c r="S82"/>
  <c r="I9" i="101"/>
  <c r="O9"/>
  <c r="I19"/>
  <c r="O19"/>
  <c r="T62" i="103"/>
  <c r="V62" s="1"/>
  <c r="T63"/>
  <c r="O64"/>
  <c r="T65"/>
  <c r="T68"/>
  <c r="V68" s="1"/>
  <c r="T69"/>
  <c r="V69" s="1"/>
  <c r="O71"/>
  <c r="T70"/>
  <c r="T73"/>
  <c r="V73" s="1"/>
  <c r="T83"/>
  <c r="T84" s="1"/>
  <c r="T85"/>
  <c r="T86"/>
  <c r="O87"/>
  <c r="T88"/>
  <c r="T89" s="1"/>
  <c r="T96"/>
  <c r="T99"/>
  <c r="T101"/>
  <c r="T102" s="1"/>
  <c r="L106"/>
  <c r="V107"/>
  <c r="V109" s="1"/>
  <c r="V114"/>
  <c r="V115" s="1"/>
  <c r="L122"/>
  <c r="R132"/>
  <c r="R139"/>
  <c r="T3" i="104"/>
  <c r="V3" s="1"/>
  <c r="V6"/>
  <c r="T7"/>
  <c r="V7" s="1"/>
  <c r="T19"/>
  <c r="V19" s="1"/>
  <c r="T38"/>
  <c r="V38" s="1"/>
  <c r="V62"/>
  <c r="V64" s="1"/>
  <c r="V65"/>
  <c r="T66"/>
  <c r="V66" s="1"/>
  <c r="V71"/>
  <c r="V72" s="1"/>
  <c r="T94"/>
  <c r="V95"/>
  <c r="T97"/>
  <c r="T102" s="1"/>
  <c r="V101"/>
  <c r="T103"/>
  <c r="V104"/>
  <c r="V112"/>
  <c r="T113"/>
  <c r="V119"/>
  <c r="V141"/>
  <c r="V148"/>
  <c r="V161"/>
  <c r="T177"/>
  <c r="T181" s="1"/>
  <c r="V180"/>
  <c r="V192"/>
  <c r="V193" s="1"/>
  <c r="T200"/>
  <c r="V207"/>
  <c r="T209"/>
  <c r="V214"/>
  <c r="T216"/>
  <c r="V217"/>
  <c r="T18" i="100"/>
  <c r="T22" s="1"/>
  <c r="I22"/>
  <c r="U18"/>
  <c r="U22" s="1"/>
  <c r="S22"/>
  <c r="T23"/>
  <c r="T26" s="1"/>
  <c r="I26"/>
  <c r="U23"/>
  <c r="U26" s="1"/>
  <c r="S26"/>
  <c r="T42"/>
  <c r="T44" s="1"/>
  <c r="I44"/>
  <c r="U42"/>
  <c r="U44" s="1"/>
  <c r="S44"/>
  <c r="U45"/>
  <c r="U48" s="1"/>
  <c r="S48"/>
  <c r="T49"/>
  <c r="T58" s="1"/>
  <c r="I58"/>
  <c r="U49"/>
  <c r="U58" s="1"/>
  <c r="S58"/>
  <c r="T73"/>
  <c r="T75" s="1"/>
  <c r="I75"/>
  <c r="T87"/>
  <c r="T95" s="1"/>
  <c r="I95"/>
  <c r="U87"/>
  <c r="U95" s="1"/>
  <c r="S95"/>
  <c r="T105"/>
  <c r="T110" s="1"/>
  <c r="I110"/>
  <c r="T111"/>
  <c r="T127" s="1"/>
  <c r="I127"/>
  <c r="U111"/>
  <c r="U127" s="1"/>
  <c r="S127"/>
  <c r="T128"/>
  <c r="T131" s="1"/>
  <c r="I131"/>
  <c r="U128"/>
  <c r="U131" s="1"/>
  <c r="S131"/>
  <c r="U132"/>
  <c r="U141" s="1"/>
  <c r="S141"/>
  <c r="T147"/>
  <c r="T150" s="1"/>
  <c r="I150"/>
  <c r="U147"/>
  <c r="U150" s="1"/>
  <c r="S150"/>
  <c r="T8"/>
  <c r="T10"/>
  <c r="T12"/>
  <c r="V12" s="1"/>
  <c r="T14"/>
  <c r="T16"/>
  <c r="T17" s="1"/>
  <c r="T30"/>
  <c r="T40"/>
  <c r="T59"/>
  <c r="V59" s="1"/>
  <c r="T69"/>
  <c r="O70"/>
  <c r="T71"/>
  <c r="T72" s="1"/>
  <c r="T76"/>
  <c r="V76" s="1"/>
  <c r="T81"/>
  <c r="T85"/>
  <c r="T86" s="1"/>
  <c r="T96"/>
  <c r="V96" s="1"/>
  <c r="T101"/>
  <c r="T102" s="1"/>
  <c r="T103"/>
  <c r="T104" s="1"/>
  <c r="T142"/>
  <c r="V142" s="1"/>
  <c r="T151"/>
  <c r="V151" s="1"/>
  <c r="T165"/>
  <c r="O166"/>
  <c r="T167"/>
  <c r="V167" s="1"/>
  <c r="V3" i="101"/>
  <c r="T8"/>
  <c r="V8" s="1"/>
  <c r="E22"/>
  <c r="K22"/>
  <c r="Q22"/>
  <c r="T12"/>
  <c r="T14"/>
  <c r="T18"/>
  <c r="V18" s="1"/>
  <c r="V3" i="102"/>
  <c r="V13"/>
  <c r="V15" s="1"/>
  <c r="V19"/>
  <c r="V24"/>
  <c r="V28"/>
  <c r="U40"/>
  <c r="V63" i="103"/>
  <c r="V65"/>
  <c r="V70"/>
  <c r="O96" i="104"/>
  <c r="T77" i="100"/>
  <c r="V77" s="1"/>
  <c r="T79"/>
  <c r="V79" s="1"/>
  <c r="F32"/>
  <c r="S32"/>
  <c r="T18" i="95"/>
  <c r="V18" s="1"/>
  <c r="T73" i="104"/>
  <c r="T93" s="1"/>
  <c r="I75" i="103"/>
  <c r="L75"/>
  <c r="T72"/>
  <c r="V72" s="1"/>
  <c r="F82"/>
  <c r="T81"/>
  <c r="T82" s="1"/>
  <c r="I82"/>
  <c r="V43"/>
  <c r="V44" s="1"/>
  <c r="V112"/>
  <c r="I113"/>
  <c r="V111"/>
  <c r="V110"/>
  <c r="I84"/>
  <c r="V86"/>
  <c r="V85"/>
  <c r="V118"/>
  <c r="V117"/>
  <c r="V116"/>
  <c r="T121"/>
  <c r="V121" s="1"/>
  <c r="V120"/>
  <c r="T138"/>
  <c r="V138" s="1"/>
  <c r="T125"/>
  <c r="V125" s="1"/>
  <c r="T105"/>
  <c r="V105" s="1"/>
  <c r="E140"/>
  <c r="T103"/>
  <c r="T6"/>
  <c r="V6" s="1"/>
  <c r="T14"/>
  <c r="V14" s="1"/>
  <c r="I40"/>
  <c r="F40"/>
  <c r="T39"/>
  <c r="V39" s="1"/>
  <c r="O23"/>
  <c r="V53"/>
  <c r="V52"/>
  <c r="V55"/>
  <c r="V56" s="1"/>
  <c r="V60"/>
  <c r="V61" s="1"/>
  <c r="T131"/>
  <c r="V131" s="1"/>
  <c r="T91"/>
  <c r="V91" s="1"/>
  <c r="T94"/>
  <c r="V94" s="1"/>
  <c r="T57"/>
  <c r="T58"/>
  <c r="T93"/>
  <c r="V93" s="1"/>
  <c r="V50"/>
  <c r="V45"/>
  <c r="V58"/>
  <c r="V57"/>
  <c r="V135"/>
  <c r="V134"/>
  <c r="V133"/>
  <c r="T90"/>
  <c r="V90" s="1"/>
  <c r="I132"/>
  <c r="T176" i="100"/>
  <c r="V176" s="1"/>
  <c r="V165"/>
  <c r="F146"/>
  <c r="T145"/>
  <c r="T146" s="1"/>
  <c r="V16"/>
  <c r="V17" s="1"/>
  <c r="Q140" i="103"/>
  <c r="T97"/>
  <c r="V97" s="1"/>
  <c r="S100"/>
  <c r="R140"/>
  <c r="T24"/>
  <c r="V24" s="1"/>
  <c r="V101"/>
  <c r="V102" s="1"/>
  <c r="I70" i="100"/>
  <c r="V69"/>
  <c r="V14"/>
  <c r="T13"/>
  <c r="V13" s="1"/>
  <c r="V103" i="103"/>
  <c r="T25"/>
  <c r="V25" s="1"/>
  <c r="V101" i="100"/>
  <c r="V102" s="1"/>
  <c r="E178"/>
  <c r="T33"/>
  <c r="V33" s="1"/>
  <c r="T83"/>
  <c r="T84" s="1"/>
  <c r="T99"/>
  <c r="V99" s="1"/>
  <c r="V99" i="103"/>
  <c r="V96"/>
  <c r="V85" i="100"/>
  <c r="V86" s="1"/>
  <c r="T16" i="103"/>
  <c r="V16" s="1"/>
  <c r="T18"/>
  <c r="V18" s="1"/>
  <c r="T19"/>
  <c r="V19" s="1"/>
  <c r="I23"/>
  <c r="T22"/>
  <c r="V22" s="1"/>
  <c r="T31" i="100"/>
  <c r="V31" s="1"/>
  <c r="V81"/>
  <c r="T78"/>
  <c r="T80"/>
  <c r="V78"/>
  <c r="V80"/>
  <c r="T17" i="103"/>
  <c r="V17" s="1"/>
  <c r="V10" i="100"/>
  <c r="T9"/>
  <c r="V9" s="1"/>
  <c r="V8"/>
  <c r="V6"/>
  <c r="V7" s="1"/>
  <c r="I15" i="103"/>
  <c r="T7"/>
  <c r="V7" s="1"/>
  <c r="T19" i="95"/>
  <c r="V19" s="1"/>
  <c r="T7" i="93"/>
  <c r="T8"/>
  <c r="V7"/>
  <c r="V8"/>
  <c r="T12"/>
  <c r="V12" s="1"/>
  <c r="T14"/>
  <c r="V14" s="1"/>
  <c r="T11"/>
  <c r="T13"/>
  <c r="V11"/>
  <c r="V13"/>
  <c r="K219" i="104"/>
  <c r="U173"/>
  <c r="I173"/>
  <c r="S173"/>
  <c r="I160"/>
  <c r="U160"/>
  <c r="S160"/>
  <c r="U147"/>
  <c r="I147"/>
  <c r="S147"/>
  <c r="I137"/>
  <c r="T137"/>
  <c r="U137"/>
  <c r="S137"/>
  <c r="F120"/>
  <c r="I120"/>
  <c r="S120"/>
  <c r="V97"/>
  <c r="F102"/>
  <c r="I102"/>
  <c r="Q219"/>
  <c r="H219"/>
  <c r="I96"/>
  <c r="N219"/>
  <c r="L219"/>
  <c r="R219"/>
  <c r="S72"/>
  <c r="T70"/>
  <c r="S70"/>
  <c r="U37"/>
  <c r="U48" s="1"/>
  <c r="T36"/>
  <c r="S36"/>
  <c r="T17"/>
  <c r="S17"/>
  <c r="T139" i="103"/>
  <c r="U139"/>
  <c r="I139"/>
  <c r="S139"/>
  <c r="U132"/>
  <c r="T122"/>
  <c r="U120"/>
  <c r="U122" s="1"/>
  <c r="I122"/>
  <c r="V119"/>
  <c r="T119"/>
  <c r="U119"/>
  <c r="S119"/>
  <c r="S115"/>
  <c r="V113"/>
  <c r="T113"/>
  <c r="U113"/>
  <c r="S113"/>
  <c r="T106"/>
  <c r="U106"/>
  <c r="S102"/>
  <c r="K140"/>
  <c r="T100"/>
  <c r="U100"/>
  <c r="T95"/>
  <c r="U95"/>
  <c r="I95"/>
  <c r="S95"/>
  <c r="T92"/>
  <c r="U92"/>
  <c r="S92"/>
  <c r="V88"/>
  <c r="V89" s="1"/>
  <c r="V87"/>
  <c r="T87"/>
  <c r="U87"/>
  <c r="S87"/>
  <c r="V83"/>
  <c r="V84" s="1"/>
  <c r="S84"/>
  <c r="T74"/>
  <c r="V74" s="1"/>
  <c r="L140"/>
  <c r="U75"/>
  <c r="S75"/>
  <c r="U71"/>
  <c r="S71"/>
  <c r="T67"/>
  <c r="U67"/>
  <c r="S67"/>
  <c r="U64"/>
  <c r="S64"/>
  <c r="S61"/>
  <c r="H140"/>
  <c r="U59"/>
  <c r="S59"/>
  <c r="I56"/>
  <c r="S56"/>
  <c r="V54"/>
  <c r="T54"/>
  <c r="U54"/>
  <c r="S54"/>
  <c r="V51"/>
  <c r="T51"/>
  <c r="U51"/>
  <c r="O140"/>
  <c r="S51"/>
  <c r="V41"/>
  <c r="V42" s="1"/>
  <c r="S42"/>
  <c r="S40"/>
  <c r="U16"/>
  <c r="U23" s="1"/>
  <c r="S15"/>
  <c r="N140"/>
  <c r="V3"/>
  <c r="S23" i="102"/>
  <c r="S25" s="1"/>
  <c r="S27" s="1"/>
  <c r="S29" s="1"/>
  <c r="S37" s="1"/>
  <c r="S39" s="1"/>
  <c r="I22" i="101"/>
  <c r="O22"/>
  <c r="V12"/>
  <c r="V14"/>
  <c r="U6"/>
  <c r="T7"/>
  <c r="V7" s="1"/>
  <c r="S9"/>
  <c r="S22" s="1"/>
  <c r="T10"/>
  <c r="T15" s="1"/>
  <c r="U16"/>
  <c r="U19" s="1"/>
  <c r="T17"/>
  <c r="V17" s="1"/>
  <c r="T20"/>
  <c r="T21" s="1"/>
  <c r="F22"/>
  <c r="L22"/>
  <c r="R22"/>
  <c r="T6"/>
  <c r="U10"/>
  <c r="U15" s="1"/>
  <c r="T16"/>
  <c r="V16" s="1"/>
  <c r="U20"/>
  <c r="U21" s="1"/>
  <c r="T177" i="100"/>
  <c r="U177"/>
  <c r="T166"/>
  <c r="U166"/>
  <c r="U146"/>
  <c r="S146"/>
  <c r="U105"/>
  <c r="U110" s="1"/>
  <c r="S104"/>
  <c r="S102"/>
  <c r="T100"/>
  <c r="U100"/>
  <c r="S100"/>
  <c r="S86"/>
  <c r="U82"/>
  <c r="H178"/>
  <c r="S82"/>
  <c r="U73"/>
  <c r="U75" s="1"/>
  <c r="S72"/>
  <c r="T70"/>
  <c r="U70"/>
  <c r="S70"/>
  <c r="Q178"/>
  <c r="V45"/>
  <c r="V48" s="1"/>
  <c r="F178"/>
  <c r="N178"/>
  <c r="R178"/>
  <c r="T41"/>
  <c r="V40"/>
  <c r="O178"/>
  <c r="S17"/>
  <c r="T15"/>
  <c r="S15"/>
  <c r="T11"/>
  <c r="S11"/>
  <c r="S7"/>
  <c r="I40" i="102" l="1"/>
  <c r="L23"/>
  <c r="L25" s="1"/>
  <c r="L27" s="1"/>
  <c r="L29" s="1"/>
  <c r="L37" s="1"/>
  <c r="L39" s="1"/>
  <c r="V36"/>
  <c r="V26"/>
  <c r="V22"/>
  <c r="V16"/>
  <c r="V18" s="1"/>
  <c r="V6"/>
  <c r="V12" s="1"/>
  <c r="O40"/>
  <c r="R40"/>
  <c r="F40"/>
  <c r="L178" i="100"/>
  <c r="T215" i="104"/>
  <c r="T218"/>
  <c r="T208"/>
  <c r="T111"/>
  <c r="T96"/>
  <c r="V138"/>
  <c r="V140" s="1"/>
  <c r="V160"/>
  <c r="V147"/>
  <c r="V121"/>
  <c r="V130" s="1"/>
  <c r="T173"/>
  <c r="T147"/>
  <c r="V113"/>
  <c r="V120" s="1"/>
  <c r="T120"/>
  <c r="V194"/>
  <c r="V199" s="1"/>
  <c r="V174"/>
  <c r="V176" s="1"/>
  <c r="V137"/>
  <c r="V102"/>
  <c r="V103" i="100"/>
  <c r="V104" s="1"/>
  <c r="V38" i="102"/>
  <c r="V30"/>
  <c r="V35" s="1"/>
  <c r="V123" i="103"/>
  <c r="V124" s="1"/>
  <c r="V67"/>
  <c r="V49" i="104"/>
  <c r="V61" s="1"/>
  <c r="V173"/>
  <c r="V48"/>
  <c r="T48"/>
  <c r="V20" i="101"/>
  <c r="V21" s="1"/>
  <c r="V10"/>
  <c r="V15" s="1"/>
  <c r="S219" i="104"/>
  <c r="V122" i="103"/>
  <c r="V64"/>
  <c r="O219" i="104"/>
  <c r="V177"/>
  <c r="V94"/>
  <c r="V96" s="1"/>
  <c r="T64" i="103"/>
  <c r="T71"/>
  <c r="V71"/>
  <c r="V82" i="100"/>
  <c r="V70"/>
  <c r="S40" i="102"/>
  <c r="V106" i="103"/>
  <c r="V95"/>
  <c r="V166" i="100"/>
  <c r="V209" i="104"/>
  <c r="V215" s="1"/>
  <c r="U219"/>
  <c r="V177" i="100"/>
  <c r="T32"/>
  <c r="V181" i="104"/>
  <c r="V36"/>
  <c r="V17"/>
  <c r="V71" i="100"/>
  <c r="V72" s="1"/>
  <c r="V30"/>
  <c r="V32" s="1"/>
  <c r="V147"/>
  <c r="V150" s="1"/>
  <c r="V132"/>
  <c r="V141" s="1"/>
  <c r="V128"/>
  <c r="V131" s="1"/>
  <c r="V111"/>
  <c r="V127" s="1"/>
  <c r="V105"/>
  <c r="V110" s="1"/>
  <c r="V87"/>
  <c r="V95" s="1"/>
  <c r="V73"/>
  <c r="V75" s="1"/>
  <c r="V49"/>
  <c r="V58" s="1"/>
  <c r="V42"/>
  <c r="V44" s="1"/>
  <c r="V23"/>
  <c r="V26" s="1"/>
  <c r="V18"/>
  <c r="V22" s="1"/>
  <c r="T82"/>
  <c r="V83"/>
  <c r="V84" s="1"/>
  <c r="V92" i="103"/>
  <c r="F140"/>
  <c r="T15"/>
  <c r="V216" i="104"/>
  <c r="V218" s="1"/>
  <c r="V200"/>
  <c r="V208" s="1"/>
  <c r="V103"/>
  <c r="V111" s="1"/>
  <c r="V70"/>
  <c r="V73"/>
  <c r="V93" s="1"/>
  <c r="V81" i="103"/>
  <c r="V82" s="1"/>
  <c r="V139"/>
  <c r="T132"/>
  <c r="I140"/>
  <c r="V41" i="100"/>
  <c r="V132" i="103"/>
  <c r="T59"/>
  <c r="V59"/>
  <c r="U140"/>
  <c r="V145" i="100"/>
  <c r="V146" s="1"/>
  <c r="V100" i="103"/>
  <c r="U178" i="100"/>
  <c r="V15"/>
  <c r="T40" i="103"/>
  <c r="V100" i="100"/>
  <c r="V40" i="103"/>
  <c r="T23"/>
  <c r="V23"/>
  <c r="V11" i="100"/>
  <c r="V15" i="103"/>
  <c r="F219" i="104"/>
  <c r="I219"/>
  <c r="V75" i="103"/>
  <c r="T75"/>
  <c r="S140"/>
  <c r="T9" i="101"/>
  <c r="V19"/>
  <c r="T19"/>
  <c r="T22" s="1"/>
  <c r="V6"/>
  <c r="U9"/>
  <c r="U22" s="1"/>
  <c r="I178" i="100"/>
  <c r="S178"/>
  <c r="L40" i="102" l="1"/>
  <c r="T23"/>
  <c r="T25" s="1"/>
  <c r="T27" s="1"/>
  <c r="T29" s="1"/>
  <c r="T37" s="1"/>
  <c r="T39" s="1"/>
  <c r="T219" i="104"/>
  <c r="T178" i="100"/>
  <c r="V178"/>
  <c r="V219" i="104"/>
  <c r="V140" i="103"/>
  <c r="T140"/>
  <c r="V9" i="101"/>
  <c r="V22" s="1"/>
  <c r="V23" i="102" l="1"/>
  <c r="V25" s="1"/>
  <c r="V27" s="1"/>
  <c r="V29" s="1"/>
  <c r="V37" s="1"/>
  <c r="V39" s="1"/>
  <c r="T40"/>
  <c r="S3" i="100"/>
  <c r="U3" s="1"/>
  <c r="R3"/>
  <c r="O3"/>
  <c r="L3"/>
  <c r="I3"/>
  <c r="F3"/>
  <c r="P1"/>
  <c r="U2" s="1"/>
  <c r="C1"/>
  <c r="V40" i="102" l="1"/>
  <c r="T3" i="100"/>
  <c r="V3" s="1"/>
  <c r="Q14" i="99"/>
  <c r="N14"/>
  <c r="K14"/>
  <c r="H14"/>
  <c r="E14"/>
  <c r="S13"/>
  <c r="R13"/>
  <c r="O13"/>
  <c r="L13"/>
  <c r="I13"/>
  <c r="F13"/>
  <c r="S12"/>
  <c r="U12" s="1"/>
  <c r="R12"/>
  <c r="R14" s="1"/>
  <c r="O12"/>
  <c r="O14" s="1"/>
  <c r="L12"/>
  <c r="I12"/>
  <c r="I14" s="1"/>
  <c r="F12"/>
  <c r="Q11"/>
  <c r="N11"/>
  <c r="K11"/>
  <c r="H11"/>
  <c r="E11"/>
  <c r="S10"/>
  <c r="R10"/>
  <c r="O10"/>
  <c r="L10"/>
  <c r="I10"/>
  <c r="F10"/>
  <c r="S9"/>
  <c r="U9" s="1"/>
  <c r="R9"/>
  <c r="R11" s="1"/>
  <c r="O9"/>
  <c r="O11" s="1"/>
  <c r="L9"/>
  <c r="L11" s="1"/>
  <c r="I9"/>
  <c r="I11" s="1"/>
  <c r="F9"/>
  <c r="F11" s="1"/>
  <c r="Q20"/>
  <c r="N20"/>
  <c r="K20"/>
  <c r="H20"/>
  <c r="E20"/>
  <c r="S19"/>
  <c r="U19" s="1"/>
  <c r="R19"/>
  <c r="O19"/>
  <c r="L19"/>
  <c r="I19"/>
  <c r="F19"/>
  <c r="S18"/>
  <c r="S20" s="1"/>
  <c r="R18"/>
  <c r="O18"/>
  <c r="L18"/>
  <c r="I18"/>
  <c r="F18"/>
  <c r="Q17"/>
  <c r="N17"/>
  <c r="K17"/>
  <c r="H17"/>
  <c r="E17"/>
  <c r="S16"/>
  <c r="U16" s="1"/>
  <c r="R16"/>
  <c r="O16"/>
  <c r="L16"/>
  <c r="I16"/>
  <c r="F16"/>
  <c r="S15"/>
  <c r="S17" s="1"/>
  <c r="R15"/>
  <c r="O15"/>
  <c r="O17" s="1"/>
  <c r="L15"/>
  <c r="I15"/>
  <c r="F15"/>
  <c r="Q8"/>
  <c r="Q21" s="1"/>
  <c r="N8"/>
  <c r="K8"/>
  <c r="K21" s="1"/>
  <c r="H8"/>
  <c r="E8"/>
  <c r="E21" s="1"/>
  <c r="S7"/>
  <c r="U7" s="1"/>
  <c r="R7"/>
  <c r="O7"/>
  <c r="L7"/>
  <c r="I7"/>
  <c r="F7"/>
  <c r="S6"/>
  <c r="S8" s="1"/>
  <c r="R6"/>
  <c r="O6"/>
  <c r="L6"/>
  <c r="I6"/>
  <c r="F6"/>
  <c r="S3"/>
  <c r="U3" s="1"/>
  <c r="R3"/>
  <c r="O3"/>
  <c r="L3"/>
  <c r="I3"/>
  <c r="F3"/>
  <c r="P1"/>
  <c r="U2" s="1"/>
  <c r="C1"/>
  <c r="Q8" i="98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S8" s="1"/>
  <c r="S9" s="1"/>
  <c r="R6"/>
  <c r="R8" s="1"/>
  <c r="R9" s="1"/>
  <c r="O6"/>
  <c r="O8" s="1"/>
  <c r="O9" s="1"/>
  <c r="L6"/>
  <c r="I6"/>
  <c r="I8" s="1"/>
  <c r="I9" s="1"/>
  <c r="F6"/>
  <c r="S3"/>
  <c r="U3" s="1"/>
  <c r="R3"/>
  <c r="O3"/>
  <c r="L3"/>
  <c r="I3"/>
  <c r="F3"/>
  <c r="P1"/>
  <c r="U2" s="1"/>
  <c r="C1"/>
  <c r="E157" i="96"/>
  <c r="E159" s="1"/>
  <c r="E151"/>
  <c r="E153" s="1"/>
  <c r="E301"/>
  <c r="E299"/>
  <c r="E291"/>
  <c r="E289"/>
  <c r="E285"/>
  <c r="E280"/>
  <c r="E278"/>
  <c r="E270"/>
  <c r="E242"/>
  <c r="E222"/>
  <c r="E204"/>
  <c r="E189"/>
  <c r="E178"/>
  <c r="E150"/>
  <c r="E145"/>
  <c r="E140"/>
  <c r="E128"/>
  <c r="E120"/>
  <c r="E116"/>
  <c r="E100"/>
  <c r="E96"/>
  <c r="E93"/>
  <c r="E91"/>
  <c r="E87"/>
  <c r="E62"/>
  <c r="E50"/>
  <c r="E48"/>
  <c r="E25"/>
  <c r="H21" i="99" l="1"/>
  <c r="N21"/>
  <c r="S14"/>
  <c r="T3" i="98"/>
  <c r="T7"/>
  <c r="T3" i="99"/>
  <c r="V3" s="1"/>
  <c r="S11"/>
  <c r="S21" s="1"/>
  <c r="O20"/>
  <c r="T18"/>
  <c r="V18" s="1"/>
  <c r="F20"/>
  <c r="L20"/>
  <c r="R20"/>
  <c r="F17"/>
  <c r="L17"/>
  <c r="R17"/>
  <c r="T15"/>
  <c r="V15" s="1"/>
  <c r="T13"/>
  <c r="V13" s="1"/>
  <c r="T12"/>
  <c r="V12" s="1"/>
  <c r="T10"/>
  <c r="V10" s="1"/>
  <c r="O8"/>
  <c r="O21" s="1"/>
  <c r="T6"/>
  <c r="F8"/>
  <c r="L8"/>
  <c r="R8"/>
  <c r="R21" s="1"/>
  <c r="T9"/>
  <c r="F14"/>
  <c r="L14"/>
  <c r="U10"/>
  <c r="U11" s="1"/>
  <c r="U13"/>
  <c r="U14" s="1"/>
  <c r="U6"/>
  <c r="T7"/>
  <c r="V7" s="1"/>
  <c r="I8"/>
  <c r="U15"/>
  <c r="U17" s="1"/>
  <c r="T16"/>
  <c r="T17" s="1"/>
  <c r="I17"/>
  <c r="U18"/>
  <c r="U20" s="1"/>
  <c r="T19"/>
  <c r="I20"/>
  <c r="T6" i="98"/>
  <c r="V6" s="1"/>
  <c r="V3"/>
  <c r="V7"/>
  <c r="U6"/>
  <c r="U8" s="1"/>
  <c r="U9" s="1"/>
  <c r="F8"/>
  <c r="F9" s="1"/>
  <c r="L8"/>
  <c r="L9" s="1"/>
  <c r="E302" i="96"/>
  <c r="I21" i="99" l="1"/>
  <c r="L21"/>
  <c r="V14"/>
  <c r="U8"/>
  <c r="U21" s="1"/>
  <c r="T8"/>
  <c r="V6"/>
  <c r="F21"/>
  <c r="T20"/>
  <c r="T14"/>
  <c r="V19"/>
  <c r="V16"/>
  <c r="V17" s="1"/>
  <c r="T11"/>
  <c r="V9"/>
  <c r="V11" s="1"/>
  <c r="V20"/>
  <c r="V8" i="98"/>
  <c r="V9" s="1"/>
  <c r="T8"/>
  <c r="T9" s="1"/>
  <c r="H18" i="74"/>
  <c r="H19" s="1"/>
  <c r="T21" i="99" l="1"/>
  <c r="V8"/>
  <c r="V21" s="1"/>
  <c r="S300" i="96"/>
  <c r="U300" s="1"/>
  <c r="U301" s="1"/>
  <c r="R300"/>
  <c r="R301" s="1"/>
  <c r="O300"/>
  <c r="L300"/>
  <c r="L301" s="1"/>
  <c r="I300"/>
  <c r="F300"/>
  <c r="F301" s="1"/>
  <c r="S298"/>
  <c r="U298" s="1"/>
  <c r="U299" s="1"/>
  <c r="R298"/>
  <c r="R299" s="1"/>
  <c r="O298"/>
  <c r="L298"/>
  <c r="L299" s="1"/>
  <c r="I298"/>
  <c r="F298"/>
  <c r="F299" s="1"/>
  <c r="S296"/>
  <c r="R296"/>
  <c r="R297" s="1"/>
  <c r="O296"/>
  <c r="O297" s="1"/>
  <c r="L296"/>
  <c r="L297" s="1"/>
  <c r="I296"/>
  <c r="I297" s="1"/>
  <c r="F296"/>
  <c r="F297" s="1"/>
  <c r="S290"/>
  <c r="U290" s="1"/>
  <c r="U291" s="1"/>
  <c r="R290"/>
  <c r="R291" s="1"/>
  <c r="O290"/>
  <c r="L290"/>
  <c r="L291" s="1"/>
  <c r="I290"/>
  <c r="F290"/>
  <c r="F291" s="1"/>
  <c r="S288"/>
  <c r="U288" s="1"/>
  <c r="R288"/>
  <c r="O288"/>
  <c r="L288"/>
  <c r="I288"/>
  <c r="F288"/>
  <c r="S287"/>
  <c r="U287" s="1"/>
  <c r="R287"/>
  <c r="O287"/>
  <c r="L287"/>
  <c r="I287"/>
  <c r="F287"/>
  <c r="S286"/>
  <c r="U286" s="1"/>
  <c r="U289" s="1"/>
  <c r="R286"/>
  <c r="R289" s="1"/>
  <c r="O286"/>
  <c r="L286"/>
  <c r="L289" s="1"/>
  <c r="I286"/>
  <c r="F286"/>
  <c r="F289" s="1"/>
  <c r="S284"/>
  <c r="U284" s="1"/>
  <c r="R284"/>
  <c r="O284"/>
  <c r="L284"/>
  <c r="I284"/>
  <c r="F284"/>
  <c r="S281"/>
  <c r="U281" s="1"/>
  <c r="U285" s="1"/>
  <c r="R281"/>
  <c r="R285" s="1"/>
  <c r="O281"/>
  <c r="L281"/>
  <c r="L285" s="1"/>
  <c r="I281"/>
  <c r="F281"/>
  <c r="F285" s="1"/>
  <c r="S279"/>
  <c r="U279" s="1"/>
  <c r="U280" s="1"/>
  <c r="R279"/>
  <c r="R280" s="1"/>
  <c r="O279"/>
  <c r="L279"/>
  <c r="L280" s="1"/>
  <c r="I279"/>
  <c r="F279"/>
  <c r="F280" s="1"/>
  <c r="S277"/>
  <c r="U277" s="1"/>
  <c r="R277"/>
  <c r="O277"/>
  <c r="L277"/>
  <c r="I277"/>
  <c r="F277"/>
  <c r="S276"/>
  <c r="U276" s="1"/>
  <c r="R276"/>
  <c r="O276"/>
  <c r="L276"/>
  <c r="I276"/>
  <c r="F276"/>
  <c r="S275"/>
  <c r="U275" s="1"/>
  <c r="R275"/>
  <c r="O275"/>
  <c r="L275"/>
  <c r="I275"/>
  <c r="F275"/>
  <c r="S274"/>
  <c r="U274" s="1"/>
  <c r="R274"/>
  <c r="O274"/>
  <c r="L274"/>
  <c r="I274"/>
  <c r="F274"/>
  <c r="S273"/>
  <c r="U273" s="1"/>
  <c r="R273"/>
  <c r="O273"/>
  <c r="L273"/>
  <c r="I273"/>
  <c r="F273"/>
  <c r="S272"/>
  <c r="U272" s="1"/>
  <c r="R272"/>
  <c r="O272"/>
  <c r="L272"/>
  <c r="I272"/>
  <c r="F272"/>
  <c r="S271"/>
  <c r="U271" s="1"/>
  <c r="U278" s="1"/>
  <c r="R271"/>
  <c r="R278" s="1"/>
  <c r="O271"/>
  <c r="L271"/>
  <c r="L278" s="1"/>
  <c r="I271"/>
  <c r="F271"/>
  <c r="S269"/>
  <c r="U269" s="1"/>
  <c r="R269"/>
  <c r="O269"/>
  <c r="L269"/>
  <c r="I269"/>
  <c r="F269"/>
  <c r="S257"/>
  <c r="U257" s="1"/>
  <c r="R257"/>
  <c r="O257"/>
  <c r="L257"/>
  <c r="I257"/>
  <c r="F257"/>
  <c r="S256"/>
  <c r="U256" s="1"/>
  <c r="R256"/>
  <c r="O256"/>
  <c r="L256"/>
  <c r="I256"/>
  <c r="F256"/>
  <c r="S255"/>
  <c r="U255" s="1"/>
  <c r="R255"/>
  <c r="O255"/>
  <c r="L255"/>
  <c r="I255"/>
  <c r="F255"/>
  <c r="S254"/>
  <c r="U254" s="1"/>
  <c r="R254"/>
  <c r="O254"/>
  <c r="L254"/>
  <c r="I254"/>
  <c r="F254"/>
  <c r="S253"/>
  <c r="U253" s="1"/>
  <c r="R253"/>
  <c r="O253"/>
  <c r="L253"/>
  <c r="I253"/>
  <c r="F253"/>
  <c r="S252"/>
  <c r="U252" s="1"/>
  <c r="R252"/>
  <c r="O252"/>
  <c r="L252"/>
  <c r="I252"/>
  <c r="F252"/>
  <c r="S251"/>
  <c r="U251" s="1"/>
  <c r="R251"/>
  <c r="O251"/>
  <c r="L251"/>
  <c r="I251"/>
  <c r="F251"/>
  <c r="S250"/>
  <c r="U250" s="1"/>
  <c r="R250"/>
  <c r="O250"/>
  <c r="L250"/>
  <c r="I250"/>
  <c r="F250"/>
  <c r="S249"/>
  <c r="U249" s="1"/>
  <c r="R249"/>
  <c r="O249"/>
  <c r="L249"/>
  <c r="I249"/>
  <c r="F249"/>
  <c r="S248"/>
  <c r="U248" s="1"/>
  <c r="R248"/>
  <c r="O248"/>
  <c r="L248"/>
  <c r="I248"/>
  <c r="F248"/>
  <c r="S247"/>
  <c r="U247" s="1"/>
  <c r="R247"/>
  <c r="O247"/>
  <c r="L247"/>
  <c r="I247"/>
  <c r="F247"/>
  <c r="S246"/>
  <c r="U246" s="1"/>
  <c r="R246"/>
  <c r="O246"/>
  <c r="L246"/>
  <c r="I246"/>
  <c r="F246"/>
  <c r="S245"/>
  <c r="U245" s="1"/>
  <c r="R245"/>
  <c r="O245"/>
  <c r="L245"/>
  <c r="I245"/>
  <c r="F245"/>
  <c r="S244"/>
  <c r="U244" s="1"/>
  <c r="R244"/>
  <c r="O244"/>
  <c r="L244"/>
  <c r="I244"/>
  <c r="F244"/>
  <c r="S243"/>
  <c r="U243" s="1"/>
  <c r="U270" s="1"/>
  <c r="R243"/>
  <c r="R270" s="1"/>
  <c r="O243"/>
  <c r="L243"/>
  <c r="L270" s="1"/>
  <c r="I243"/>
  <c r="F243"/>
  <c r="F270" s="1"/>
  <c r="S241"/>
  <c r="U241" s="1"/>
  <c r="R241"/>
  <c r="O241"/>
  <c r="L241"/>
  <c r="I241"/>
  <c r="F241"/>
  <c r="S233"/>
  <c r="U233" s="1"/>
  <c r="R233"/>
  <c r="O233"/>
  <c r="L233"/>
  <c r="I233"/>
  <c r="F233"/>
  <c r="S232"/>
  <c r="U232" s="1"/>
  <c r="R232"/>
  <c r="O232"/>
  <c r="L232"/>
  <c r="I232"/>
  <c r="F232"/>
  <c r="S231"/>
  <c r="U231" s="1"/>
  <c r="R231"/>
  <c r="O231"/>
  <c r="L231"/>
  <c r="I231"/>
  <c r="F231"/>
  <c r="S230"/>
  <c r="U230" s="1"/>
  <c r="R230"/>
  <c r="O230"/>
  <c r="L230"/>
  <c r="I230"/>
  <c r="F230"/>
  <c r="S229"/>
  <c r="U229" s="1"/>
  <c r="R229"/>
  <c r="O229"/>
  <c r="L229"/>
  <c r="I229"/>
  <c r="F229"/>
  <c r="S228"/>
  <c r="U228" s="1"/>
  <c r="R228"/>
  <c r="O228"/>
  <c r="L228"/>
  <c r="I228"/>
  <c r="F228"/>
  <c r="S227"/>
  <c r="U227" s="1"/>
  <c r="R227"/>
  <c r="O227"/>
  <c r="L227"/>
  <c r="I227"/>
  <c r="F227"/>
  <c r="S226"/>
  <c r="U226" s="1"/>
  <c r="R226"/>
  <c r="O226"/>
  <c r="L226"/>
  <c r="I226"/>
  <c r="F226"/>
  <c r="S225"/>
  <c r="U225" s="1"/>
  <c r="R225"/>
  <c r="O225"/>
  <c r="L225"/>
  <c r="I225"/>
  <c r="F225"/>
  <c r="S224"/>
  <c r="U224" s="1"/>
  <c r="R224"/>
  <c r="O224"/>
  <c r="L224"/>
  <c r="I224"/>
  <c r="F224"/>
  <c r="S223"/>
  <c r="U223" s="1"/>
  <c r="U242" s="1"/>
  <c r="R223"/>
  <c r="R242" s="1"/>
  <c r="O223"/>
  <c r="L223"/>
  <c r="L242" s="1"/>
  <c r="I223"/>
  <c r="F223"/>
  <c r="F242" s="1"/>
  <c r="S210"/>
  <c r="U210" s="1"/>
  <c r="R210"/>
  <c r="O210"/>
  <c r="L210"/>
  <c r="I210"/>
  <c r="F210"/>
  <c r="S209"/>
  <c r="U209" s="1"/>
  <c r="R209"/>
  <c r="O209"/>
  <c r="L209"/>
  <c r="I209"/>
  <c r="F209"/>
  <c r="S208"/>
  <c r="U208" s="1"/>
  <c r="R208"/>
  <c r="O208"/>
  <c r="L208"/>
  <c r="I208"/>
  <c r="F208"/>
  <c r="S207"/>
  <c r="U207" s="1"/>
  <c r="R207"/>
  <c r="O207"/>
  <c r="L207"/>
  <c r="I207"/>
  <c r="F207"/>
  <c r="S206"/>
  <c r="U206" s="1"/>
  <c r="R206"/>
  <c r="O206"/>
  <c r="L206"/>
  <c r="I206"/>
  <c r="F206"/>
  <c r="S205"/>
  <c r="U205" s="1"/>
  <c r="R205"/>
  <c r="R222" s="1"/>
  <c r="O205"/>
  <c r="L205"/>
  <c r="L222" s="1"/>
  <c r="I205"/>
  <c r="F205"/>
  <c r="F222" s="1"/>
  <c r="S203"/>
  <c r="U203" s="1"/>
  <c r="R203"/>
  <c r="O203"/>
  <c r="L203"/>
  <c r="I203"/>
  <c r="F203"/>
  <c r="S200"/>
  <c r="U200" s="1"/>
  <c r="R200"/>
  <c r="O200"/>
  <c r="L200"/>
  <c r="I200"/>
  <c r="F200"/>
  <c r="S199"/>
  <c r="U199" s="1"/>
  <c r="R199"/>
  <c r="O199"/>
  <c r="L199"/>
  <c r="I199"/>
  <c r="F199"/>
  <c r="S198"/>
  <c r="U198" s="1"/>
  <c r="R198"/>
  <c r="O198"/>
  <c r="L198"/>
  <c r="I198"/>
  <c r="F198"/>
  <c r="S197"/>
  <c r="U197" s="1"/>
  <c r="R197"/>
  <c r="O197"/>
  <c r="L197"/>
  <c r="I197"/>
  <c r="F197"/>
  <c r="S196"/>
  <c r="U196" s="1"/>
  <c r="R196"/>
  <c r="O196"/>
  <c r="L196"/>
  <c r="I196"/>
  <c r="F196"/>
  <c r="S195"/>
  <c r="U195" s="1"/>
  <c r="R195"/>
  <c r="O195"/>
  <c r="L195"/>
  <c r="I195"/>
  <c r="F195"/>
  <c r="S194"/>
  <c r="U194" s="1"/>
  <c r="R194"/>
  <c r="O194"/>
  <c r="L194"/>
  <c r="I194"/>
  <c r="F194"/>
  <c r="S193"/>
  <c r="U193" s="1"/>
  <c r="R193"/>
  <c r="O193"/>
  <c r="L193"/>
  <c r="I193"/>
  <c r="F193"/>
  <c r="S192"/>
  <c r="U192" s="1"/>
  <c r="R192"/>
  <c r="O192"/>
  <c r="L192"/>
  <c r="I192"/>
  <c r="F192"/>
  <c r="S191"/>
  <c r="U191" s="1"/>
  <c r="R191"/>
  <c r="O191"/>
  <c r="L191"/>
  <c r="I191"/>
  <c r="F191"/>
  <c r="S190"/>
  <c r="U190" s="1"/>
  <c r="U204" s="1"/>
  <c r="R190"/>
  <c r="O190"/>
  <c r="L190"/>
  <c r="I190"/>
  <c r="F190"/>
  <c r="F204" s="1"/>
  <c r="S188"/>
  <c r="U188" s="1"/>
  <c r="R188"/>
  <c r="O188"/>
  <c r="L188"/>
  <c r="I188"/>
  <c r="F188"/>
  <c r="S182"/>
  <c r="U182" s="1"/>
  <c r="R182"/>
  <c r="O182"/>
  <c r="L182"/>
  <c r="I182"/>
  <c r="F182"/>
  <c r="S181"/>
  <c r="U181" s="1"/>
  <c r="R181"/>
  <c r="O181"/>
  <c r="L181"/>
  <c r="I181"/>
  <c r="F181"/>
  <c r="S180"/>
  <c r="U180" s="1"/>
  <c r="R180"/>
  <c r="O180"/>
  <c r="L180"/>
  <c r="I180"/>
  <c r="F180"/>
  <c r="S179"/>
  <c r="U179" s="1"/>
  <c r="U189" s="1"/>
  <c r="R179"/>
  <c r="R189" s="1"/>
  <c r="O179"/>
  <c r="L179"/>
  <c r="L189" s="1"/>
  <c r="I179"/>
  <c r="F179"/>
  <c r="F189" s="1"/>
  <c r="S170"/>
  <c r="U170" s="1"/>
  <c r="R170"/>
  <c r="O170"/>
  <c r="L170"/>
  <c r="I170"/>
  <c r="F170"/>
  <c r="S169"/>
  <c r="U169" s="1"/>
  <c r="R169"/>
  <c r="O169"/>
  <c r="L169"/>
  <c r="I169"/>
  <c r="F169"/>
  <c r="S168"/>
  <c r="U168" s="1"/>
  <c r="R168"/>
  <c r="O168"/>
  <c r="L168"/>
  <c r="I168"/>
  <c r="F168"/>
  <c r="S167"/>
  <c r="U167" s="1"/>
  <c r="R167"/>
  <c r="O167"/>
  <c r="L167"/>
  <c r="I167"/>
  <c r="F167"/>
  <c r="S166"/>
  <c r="U166" s="1"/>
  <c r="U178" s="1"/>
  <c r="R166"/>
  <c r="R178" s="1"/>
  <c r="O166"/>
  <c r="O178" s="1"/>
  <c r="L166"/>
  <c r="L178" s="1"/>
  <c r="I166"/>
  <c r="F166"/>
  <c r="F178" s="1"/>
  <c r="S164"/>
  <c r="U164" s="1"/>
  <c r="R164"/>
  <c r="O164"/>
  <c r="L164"/>
  <c r="I164"/>
  <c r="F164"/>
  <c r="S162"/>
  <c r="U162" s="1"/>
  <c r="R162"/>
  <c r="O162"/>
  <c r="L162"/>
  <c r="I162"/>
  <c r="F162"/>
  <c r="S161"/>
  <c r="U161" s="1"/>
  <c r="R161"/>
  <c r="O161"/>
  <c r="L161"/>
  <c r="I161"/>
  <c r="F161"/>
  <c r="S160"/>
  <c r="R160"/>
  <c r="R165" s="1"/>
  <c r="O160"/>
  <c r="O165" s="1"/>
  <c r="L160"/>
  <c r="L165" s="1"/>
  <c r="I160"/>
  <c r="I165" s="1"/>
  <c r="F160"/>
  <c r="F165" s="1"/>
  <c r="S158"/>
  <c r="U158" s="1"/>
  <c r="R158"/>
  <c r="O158"/>
  <c r="L158"/>
  <c r="I158"/>
  <c r="F158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R155"/>
  <c r="O155"/>
  <c r="L155"/>
  <c r="I155"/>
  <c r="F155"/>
  <c r="S154"/>
  <c r="U154" s="1"/>
  <c r="U159" s="1"/>
  <c r="R154"/>
  <c r="R159" s="1"/>
  <c r="O154"/>
  <c r="L154"/>
  <c r="L159" s="1"/>
  <c r="I154"/>
  <c r="F154"/>
  <c r="S152"/>
  <c r="U152" s="1"/>
  <c r="R152"/>
  <c r="O152"/>
  <c r="L152"/>
  <c r="I152"/>
  <c r="F152"/>
  <c r="S151"/>
  <c r="U151" s="1"/>
  <c r="U153" s="1"/>
  <c r="R151"/>
  <c r="R153" s="1"/>
  <c r="O151"/>
  <c r="L151"/>
  <c r="L153" s="1"/>
  <c r="I151"/>
  <c r="F151"/>
  <c r="F153" s="1"/>
  <c r="S149"/>
  <c r="U149" s="1"/>
  <c r="R149"/>
  <c r="O149"/>
  <c r="L149"/>
  <c r="I149"/>
  <c r="F149"/>
  <c r="S148"/>
  <c r="U148" s="1"/>
  <c r="R148"/>
  <c r="O148"/>
  <c r="L148"/>
  <c r="I148"/>
  <c r="F148"/>
  <c r="S147"/>
  <c r="U147" s="1"/>
  <c r="R147"/>
  <c r="O147"/>
  <c r="L147"/>
  <c r="I147"/>
  <c r="F147"/>
  <c r="S146"/>
  <c r="U146" s="1"/>
  <c r="U150" s="1"/>
  <c r="R146"/>
  <c r="R150" s="1"/>
  <c r="O146"/>
  <c r="L146"/>
  <c r="L150" s="1"/>
  <c r="I146"/>
  <c r="F146"/>
  <c r="F150" s="1"/>
  <c r="S144"/>
  <c r="U144" s="1"/>
  <c r="R144"/>
  <c r="O144"/>
  <c r="L144"/>
  <c r="I144"/>
  <c r="F144"/>
  <c r="S142"/>
  <c r="U142" s="1"/>
  <c r="R142"/>
  <c r="O142"/>
  <c r="L142"/>
  <c r="I142"/>
  <c r="F142"/>
  <c r="S141"/>
  <c r="U141" s="1"/>
  <c r="U145" s="1"/>
  <c r="R141"/>
  <c r="R145" s="1"/>
  <c r="O141"/>
  <c r="L141"/>
  <c r="L145" s="1"/>
  <c r="I141"/>
  <c r="F141"/>
  <c r="F145" s="1"/>
  <c r="S139"/>
  <c r="U139" s="1"/>
  <c r="R139"/>
  <c r="O139"/>
  <c r="L139"/>
  <c r="I139"/>
  <c r="F139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U140" s="1"/>
  <c r="R129"/>
  <c r="R140" s="1"/>
  <c r="O129"/>
  <c r="L129"/>
  <c r="L140" s="1"/>
  <c r="I129"/>
  <c r="F129"/>
  <c r="S127"/>
  <c r="U127" s="1"/>
  <c r="R127"/>
  <c r="O127"/>
  <c r="L127"/>
  <c r="I127"/>
  <c r="F127"/>
  <c r="S122"/>
  <c r="U122" s="1"/>
  <c r="R122"/>
  <c r="O122"/>
  <c r="L122"/>
  <c r="I122"/>
  <c r="F122"/>
  <c r="S121"/>
  <c r="U121" s="1"/>
  <c r="U128" s="1"/>
  <c r="R121"/>
  <c r="R128" s="1"/>
  <c r="O121"/>
  <c r="L121"/>
  <c r="L128" s="1"/>
  <c r="I121"/>
  <c r="F121"/>
  <c r="F128" s="1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U120" s="1"/>
  <c r="R117"/>
  <c r="R120" s="1"/>
  <c r="O117"/>
  <c r="L117"/>
  <c r="L120" s="1"/>
  <c r="I117"/>
  <c r="I120" s="1"/>
  <c r="F117"/>
  <c r="F120" s="1"/>
  <c r="S115"/>
  <c r="U115" s="1"/>
  <c r="R115"/>
  <c r="O115"/>
  <c r="L115"/>
  <c r="I115"/>
  <c r="F115"/>
  <c r="S114"/>
  <c r="U114" s="1"/>
  <c r="U116" s="1"/>
  <c r="R114"/>
  <c r="R116" s="1"/>
  <c r="O114"/>
  <c r="L114"/>
  <c r="L116" s="1"/>
  <c r="I114"/>
  <c r="F114"/>
  <c r="F116" s="1"/>
  <c r="S112"/>
  <c r="U112" s="1"/>
  <c r="R112"/>
  <c r="O112"/>
  <c r="L112"/>
  <c r="I112"/>
  <c r="F112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U113" s="1"/>
  <c r="R101"/>
  <c r="R113" s="1"/>
  <c r="O101"/>
  <c r="L101"/>
  <c r="L113" s="1"/>
  <c r="I101"/>
  <c r="F101"/>
  <c r="F113" s="1"/>
  <c r="S99"/>
  <c r="U99" s="1"/>
  <c r="R99"/>
  <c r="O99"/>
  <c r="L99"/>
  <c r="I99"/>
  <c r="F99"/>
  <c r="S98"/>
  <c r="U98" s="1"/>
  <c r="R98"/>
  <c r="O98"/>
  <c r="L98"/>
  <c r="I98"/>
  <c r="F98"/>
  <c r="S97"/>
  <c r="U97" s="1"/>
  <c r="U100" s="1"/>
  <c r="R97"/>
  <c r="R100" s="1"/>
  <c r="O97"/>
  <c r="L97"/>
  <c r="L100" s="1"/>
  <c r="I97"/>
  <c r="F97"/>
  <c r="S95"/>
  <c r="U95" s="1"/>
  <c r="R95"/>
  <c r="O95"/>
  <c r="L95"/>
  <c r="I95"/>
  <c r="F95"/>
  <c r="S94"/>
  <c r="U94" s="1"/>
  <c r="U96" s="1"/>
  <c r="R94"/>
  <c r="R96" s="1"/>
  <c r="O94"/>
  <c r="L94"/>
  <c r="L96" s="1"/>
  <c r="I94"/>
  <c r="F94"/>
  <c r="F96" s="1"/>
  <c r="S92"/>
  <c r="U92" s="1"/>
  <c r="U93" s="1"/>
  <c r="R92"/>
  <c r="R93" s="1"/>
  <c r="O92"/>
  <c r="L92"/>
  <c r="L93" s="1"/>
  <c r="I92"/>
  <c r="F92"/>
  <c r="F93" s="1"/>
  <c r="S90"/>
  <c r="U90" s="1"/>
  <c r="R90"/>
  <c r="O90"/>
  <c r="L90"/>
  <c r="I90"/>
  <c r="F90"/>
  <c r="S89"/>
  <c r="U89" s="1"/>
  <c r="R89"/>
  <c r="O89"/>
  <c r="L89"/>
  <c r="I89"/>
  <c r="F89"/>
  <c r="S88"/>
  <c r="U88" s="1"/>
  <c r="U91" s="1"/>
  <c r="R88"/>
  <c r="O88"/>
  <c r="L88"/>
  <c r="L91" s="1"/>
  <c r="I88"/>
  <c r="F88"/>
  <c r="F91" s="1"/>
  <c r="S86"/>
  <c r="U86" s="1"/>
  <c r="R86"/>
  <c r="O86"/>
  <c r="L86"/>
  <c r="I86"/>
  <c r="F86"/>
  <c r="S79"/>
  <c r="U79" s="1"/>
  <c r="R79"/>
  <c r="O79"/>
  <c r="O87" s="1"/>
  <c r="L79"/>
  <c r="L87" s="1"/>
  <c r="I79"/>
  <c r="F79"/>
  <c r="U87"/>
  <c r="F87"/>
  <c r="S65"/>
  <c r="U65" s="1"/>
  <c r="R65"/>
  <c r="O65"/>
  <c r="L65"/>
  <c r="I65"/>
  <c r="F65"/>
  <c r="S64"/>
  <c r="U64" s="1"/>
  <c r="R64"/>
  <c r="O64"/>
  <c r="L64"/>
  <c r="I64"/>
  <c r="F64"/>
  <c r="S63"/>
  <c r="R63"/>
  <c r="R77" s="1"/>
  <c r="O63"/>
  <c r="O77" s="1"/>
  <c r="L63"/>
  <c r="L77" s="1"/>
  <c r="I63"/>
  <c r="I77" s="1"/>
  <c r="F63"/>
  <c r="F77" s="1"/>
  <c r="S61"/>
  <c r="U61" s="1"/>
  <c r="R61"/>
  <c r="O61"/>
  <c r="L61"/>
  <c r="I61"/>
  <c r="F61"/>
  <c r="S51"/>
  <c r="U51" s="1"/>
  <c r="U62" s="1"/>
  <c r="R51"/>
  <c r="R62" s="1"/>
  <c r="O51"/>
  <c r="O62" s="1"/>
  <c r="L51"/>
  <c r="L62" s="1"/>
  <c r="I51"/>
  <c r="F51"/>
  <c r="F62" s="1"/>
  <c r="S49"/>
  <c r="U49" s="1"/>
  <c r="U50" s="1"/>
  <c r="R49"/>
  <c r="R50" s="1"/>
  <c r="O49"/>
  <c r="O50" s="1"/>
  <c r="L49"/>
  <c r="L50" s="1"/>
  <c r="I49"/>
  <c r="F49"/>
  <c r="F50" s="1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U48" s="1"/>
  <c r="R44"/>
  <c r="R48" s="1"/>
  <c r="O44"/>
  <c r="O48" s="1"/>
  <c r="L44"/>
  <c r="L48" s="1"/>
  <c r="I44"/>
  <c r="F44"/>
  <c r="F48" s="1"/>
  <c r="S42"/>
  <c r="U42" s="1"/>
  <c r="R42"/>
  <c r="O42"/>
  <c r="L42"/>
  <c r="I42"/>
  <c r="F42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U43" s="1"/>
  <c r="R26"/>
  <c r="R43" s="1"/>
  <c r="O26"/>
  <c r="O43" s="1"/>
  <c r="L26"/>
  <c r="L43" s="1"/>
  <c r="I26"/>
  <c r="I43" s="1"/>
  <c r="F26"/>
  <c r="F43" s="1"/>
  <c r="S24"/>
  <c r="U24" s="1"/>
  <c r="R24"/>
  <c r="O24"/>
  <c r="L24"/>
  <c r="I24"/>
  <c r="F24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25" s="1"/>
  <c r="R6"/>
  <c r="R25" s="1"/>
  <c r="O6"/>
  <c r="L6"/>
  <c r="I6"/>
  <c r="I25" s="1"/>
  <c r="F6"/>
  <c r="S301"/>
  <c r="S299"/>
  <c r="S291"/>
  <c r="S289"/>
  <c r="S285"/>
  <c r="S280"/>
  <c r="S278"/>
  <c r="S270"/>
  <c r="S222"/>
  <c r="S204"/>
  <c r="S189"/>
  <c r="S159"/>
  <c r="S153"/>
  <c r="S150"/>
  <c r="S116"/>
  <c r="S62"/>
  <c r="Q301"/>
  <c r="Q299"/>
  <c r="Q291"/>
  <c r="Q289"/>
  <c r="Q285"/>
  <c r="Q280"/>
  <c r="Q278"/>
  <c r="Q270"/>
  <c r="Q242"/>
  <c r="Q204"/>
  <c r="Q189"/>
  <c r="Q178"/>
  <c r="Q159"/>
  <c r="Q153"/>
  <c r="Q150"/>
  <c r="Q145"/>
  <c r="Q140"/>
  <c r="Q128"/>
  <c r="Q120"/>
  <c r="Q116"/>
  <c r="Q113"/>
  <c r="Q100"/>
  <c r="Q96"/>
  <c r="Q93"/>
  <c r="Q91"/>
  <c r="Q87"/>
  <c r="Q62"/>
  <c r="Q50"/>
  <c r="Q48"/>
  <c r="Q25"/>
  <c r="O301"/>
  <c r="N301"/>
  <c r="O299"/>
  <c r="N299"/>
  <c r="O291"/>
  <c r="N291"/>
  <c r="O289"/>
  <c r="N289"/>
  <c r="O285"/>
  <c r="N285"/>
  <c r="O280"/>
  <c r="N280"/>
  <c r="O278"/>
  <c r="N278"/>
  <c r="O270"/>
  <c r="N270"/>
  <c r="O242"/>
  <c r="N242"/>
  <c r="O222"/>
  <c r="N222"/>
  <c r="N204"/>
  <c r="O189"/>
  <c r="N189"/>
  <c r="N178"/>
  <c r="O159"/>
  <c r="N159"/>
  <c r="O153"/>
  <c r="N153"/>
  <c r="O150"/>
  <c r="N150"/>
  <c r="O145"/>
  <c r="N145"/>
  <c r="O140"/>
  <c r="N140"/>
  <c r="O128"/>
  <c r="N128"/>
  <c r="O120"/>
  <c r="N120"/>
  <c r="O116"/>
  <c r="N116"/>
  <c r="O113"/>
  <c r="N113"/>
  <c r="O100"/>
  <c r="N100"/>
  <c r="O96"/>
  <c r="N96"/>
  <c r="O93"/>
  <c r="N93"/>
  <c r="O91"/>
  <c r="N91"/>
  <c r="N87"/>
  <c r="N62"/>
  <c r="N50"/>
  <c r="N48"/>
  <c r="N25"/>
  <c r="K301"/>
  <c r="K299"/>
  <c r="K291"/>
  <c r="K289"/>
  <c r="K285"/>
  <c r="K280"/>
  <c r="K278"/>
  <c r="K270"/>
  <c r="K242"/>
  <c r="K222"/>
  <c r="K204"/>
  <c r="K189"/>
  <c r="K178"/>
  <c r="K159"/>
  <c r="K153"/>
  <c r="K150"/>
  <c r="K145"/>
  <c r="K140"/>
  <c r="K128"/>
  <c r="K120"/>
  <c r="K116"/>
  <c r="K113"/>
  <c r="K100"/>
  <c r="K96"/>
  <c r="K93"/>
  <c r="K91"/>
  <c r="K87"/>
  <c r="K62"/>
  <c r="K50"/>
  <c r="K48"/>
  <c r="K25"/>
  <c r="I301"/>
  <c r="H301"/>
  <c r="I299"/>
  <c r="H299"/>
  <c r="I291"/>
  <c r="H291"/>
  <c r="I289"/>
  <c r="H289"/>
  <c r="I285"/>
  <c r="H285"/>
  <c r="I280"/>
  <c r="H280"/>
  <c r="I278"/>
  <c r="H278"/>
  <c r="I270"/>
  <c r="H270"/>
  <c r="H242"/>
  <c r="H222"/>
  <c r="I204"/>
  <c r="H204"/>
  <c r="I189"/>
  <c r="H189"/>
  <c r="I178"/>
  <c r="H178"/>
  <c r="I159"/>
  <c r="H159"/>
  <c r="I153"/>
  <c r="H153"/>
  <c r="I150"/>
  <c r="H150"/>
  <c r="I145"/>
  <c r="H145"/>
  <c r="I140"/>
  <c r="H140"/>
  <c r="I128"/>
  <c r="H128"/>
  <c r="I116"/>
  <c r="H116"/>
  <c r="I113"/>
  <c r="H113"/>
  <c r="I100"/>
  <c r="H100"/>
  <c r="I96"/>
  <c r="H96"/>
  <c r="I93"/>
  <c r="H93"/>
  <c r="I91"/>
  <c r="H91"/>
  <c r="I87"/>
  <c r="H87"/>
  <c r="I62"/>
  <c r="H62"/>
  <c r="I50"/>
  <c r="H50"/>
  <c r="I48"/>
  <c r="H48"/>
  <c r="H25"/>
  <c r="F278"/>
  <c r="F159"/>
  <c r="U160" l="1"/>
  <c r="U165" s="1"/>
  <c r="S165"/>
  <c r="S96"/>
  <c r="S145"/>
  <c r="F100"/>
  <c r="S178"/>
  <c r="I222"/>
  <c r="U222"/>
  <c r="U296"/>
  <c r="U297" s="1"/>
  <c r="S297"/>
  <c r="I242"/>
  <c r="H302"/>
  <c r="S43"/>
  <c r="S242"/>
  <c r="F140"/>
  <c r="U63"/>
  <c r="U77" s="1"/>
  <c r="S77"/>
  <c r="R204"/>
  <c r="T252"/>
  <c r="V252" s="1"/>
  <c r="T254"/>
  <c r="T256"/>
  <c r="V256" s="1"/>
  <c r="T269"/>
  <c r="V269" s="1"/>
  <c r="T271"/>
  <c r="V271" s="1"/>
  <c r="T273"/>
  <c r="V273" s="1"/>
  <c r="T275"/>
  <c r="V275" s="1"/>
  <c r="T277"/>
  <c r="T279"/>
  <c r="T280" s="1"/>
  <c r="T284"/>
  <c r="T286"/>
  <c r="V286" s="1"/>
  <c r="T288"/>
  <c r="T290"/>
  <c r="T291" s="1"/>
  <c r="T296"/>
  <c r="T297" s="1"/>
  <c r="T298"/>
  <c r="T299" s="1"/>
  <c r="T300"/>
  <c r="T301" s="1"/>
  <c r="S48"/>
  <c r="S25"/>
  <c r="T6"/>
  <c r="V6" s="1"/>
  <c r="T8"/>
  <c r="V8" s="1"/>
  <c r="T10"/>
  <c r="V10" s="1"/>
  <c r="T12"/>
  <c r="V12" s="1"/>
  <c r="T14"/>
  <c r="V14" s="1"/>
  <c r="T26"/>
  <c r="V26" s="1"/>
  <c r="T28"/>
  <c r="V28" s="1"/>
  <c r="T30"/>
  <c r="V30" s="1"/>
  <c r="T32"/>
  <c r="V32" s="1"/>
  <c r="T42"/>
  <c r="V42" s="1"/>
  <c r="T44"/>
  <c r="V44" s="1"/>
  <c r="T46"/>
  <c r="V46" s="1"/>
  <c r="T51"/>
  <c r="V51" s="1"/>
  <c r="T64"/>
  <c r="V64" s="1"/>
  <c r="T79"/>
  <c r="V79" s="1"/>
  <c r="T89"/>
  <c r="V89" s="1"/>
  <c r="T95"/>
  <c r="V95" s="1"/>
  <c r="T98"/>
  <c r="V98" s="1"/>
  <c r="T102"/>
  <c r="V102" s="1"/>
  <c r="T104"/>
  <c r="V104" s="1"/>
  <c r="T114"/>
  <c r="V114" s="1"/>
  <c r="T118"/>
  <c r="V118" s="1"/>
  <c r="T122"/>
  <c r="V122" s="1"/>
  <c r="T130"/>
  <c r="V130" s="1"/>
  <c r="T132"/>
  <c r="V132" s="1"/>
  <c r="T134"/>
  <c r="V134" s="1"/>
  <c r="T142"/>
  <c r="V142" s="1"/>
  <c r="T146"/>
  <c r="V146" s="1"/>
  <c r="T148"/>
  <c r="V148" s="1"/>
  <c r="T151"/>
  <c r="V151" s="1"/>
  <c r="T154"/>
  <c r="V154" s="1"/>
  <c r="T156"/>
  <c r="V156" s="1"/>
  <c r="T160"/>
  <c r="T162"/>
  <c r="V162" s="1"/>
  <c r="T166"/>
  <c r="V166" s="1"/>
  <c r="T168"/>
  <c r="V168" s="1"/>
  <c r="T170"/>
  <c r="V170" s="1"/>
  <c r="T180"/>
  <c r="V180" s="1"/>
  <c r="T182"/>
  <c r="V182" s="1"/>
  <c r="T190"/>
  <c r="V190" s="1"/>
  <c r="T193"/>
  <c r="V193" s="1"/>
  <c r="T194"/>
  <c r="V194" s="1"/>
  <c r="T196"/>
  <c r="V196" s="1"/>
  <c r="T198"/>
  <c r="V198" s="1"/>
  <c r="T200"/>
  <c r="V200" s="1"/>
  <c r="T205"/>
  <c r="V205" s="1"/>
  <c r="T207"/>
  <c r="V207" s="1"/>
  <c r="T209"/>
  <c r="V209" s="1"/>
  <c r="T224"/>
  <c r="V224" s="1"/>
  <c r="T225"/>
  <c r="V225" s="1"/>
  <c r="T227"/>
  <c r="V227" s="1"/>
  <c r="T228"/>
  <c r="V228" s="1"/>
  <c r="T231"/>
  <c r="V231" s="1"/>
  <c r="T232"/>
  <c r="V232" s="1"/>
  <c r="T241"/>
  <c r="V241" s="1"/>
  <c r="T243"/>
  <c r="V243" s="1"/>
  <c r="T245"/>
  <c r="V245" s="1"/>
  <c r="T247"/>
  <c r="V247" s="1"/>
  <c r="R87"/>
  <c r="R91"/>
  <c r="T249"/>
  <c r="V249" s="1"/>
  <c r="T251"/>
  <c r="V251" s="1"/>
  <c r="T253"/>
  <c r="V253" s="1"/>
  <c r="V254"/>
  <c r="T255"/>
  <c r="V255" s="1"/>
  <c r="T257"/>
  <c r="V257" s="1"/>
  <c r="T272"/>
  <c r="V272" s="1"/>
  <c r="T274"/>
  <c r="V274" s="1"/>
  <c r="T276"/>
  <c r="V276" s="1"/>
  <c r="V277"/>
  <c r="T281"/>
  <c r="V284"/>
  <c r="T287"/>
  <c r="V287" s="1"/>
  <c r="V288"/>
  <c r="F25"/>
  <c r="F302" s="1"/>
  <c r="T7"/>
  <c r="V7" s="1"/>
  <c r="O25"/>
  <c r="T9"/>
  <c r="V9" s="1"/>
  <c r="T11"/>
  <c r="V11" s="1"/>
  <c r="T13"/>
  <c r="V13" s="1"/>
  <c r="T24"/>
  <c r="V24" s="1"/>
  <c r="T27"/>
  <c r="V27" s="1"/>
  <c r="T29"/>
  <c r="V29" s="1"/>
  <c r="T31"/>
  <c r="V31" s="1"/>
  <c r="T33"/>
  <c r="V33" s="1"/>
  <c r="T45"/>
  <c r="V45" s="1"/>
  <c r="T47"/>
  <c r="V47" s="1"/>
  <c r="T49"/>
  <c r="T50" s="1"/>
  <c r="T61"/>
  <c r="T62" s="1"/>
  <c r="T63"/>
  <c r="T65"/>
  <c r="V65" s="1"/>
  <c r="T86"/>
  <c r="V86" s="1"/>
  <c r="T88"/>
  <c r="V88" s="1"/>
  <c r="T90"/>
  <c r="V90" s="1"/>
  <c r="T92"/>
  <c r="T93" s="1"/>
  <c r="T94"/>
  <c r="V94" s="1"/>
  <c r="T97"/>
  <c r="V97" s="1"/>
  <c r="T99"/>
  <c r="V99" s="1"/>
  <c r="T101"/>
  <c r="V101" s="1"/>
  <c r="T103"/>
  <c r="V103" s="1"/>
  <c r="T112"/>
  <c r="V112" s="1"/>
  <c r="T115"/>
  <c r="T117"/>
  <c r="V117" s="1"/>
  <c r="T119"/>
  <c r="V119" s="1"/>
  <c r="T121"/>
  <c r="V121" s="1"/>
  <c r="T127"/>
  <c r="V127" s="1"/>
  <c r="T129"/>
  <c r="V129" s="1"/>
  <c r="T131"/>
  <c r="V131" s="1"/>
  <c r="T133"/>
  <c r="V133" s="1"/>
  <c r="T139"/>
  <c r="V139" s="1"/>
  <c r="T141"/>
  <c r="V141" s="1"/>
  <c r="T144"/>
  <c r="V144" s="1"/>
  <c r="T147"/>
  <c r="V147" s="1"/>
  <c r="T149"/>
  <c r="V149" s="1"/>
  <c r="T152"/>
  <c r="V152" s="1"/>
  <c r="T155"/>
  <c r="V155" s="1"/>
  <c r="T157"/>
  <c r="V157" s="1"/>
  <c r="T158"/>
  <c r="V158" s="1"/>
  <c r="T161"/>
  <c r="V161" s="1"/>
  <c r="T164"/>
  <c r="V164" s="1"/>
  <c r="T167"/>
  <c r="T169"/>
  <c r="V169" s="1"/>
  <c r="T179"/>
  <c r="V179" s="1"/>
  <c r="T181"/>
  <c r="V181" s="1"/>
  <c r="T188"/>
  <c r="V188" s="1"/>
  <c r="T191"/>
  <c r="O204"/>
  <c r="T192"/>
  <c r="V192" s="1"/>
  <c r="T195"/>
  <c r="V195" s="1"/>
  <c r="T197"/>
  <c r="V197" s="1"/>
  <c r="T199"/>
  <c r="V199" s="1"/>
  <c r="T203"/>
  <c r="V203" s="1"/>
  <c r="T206"/>
  <c r="V206" s="1"/>
  <c r="T208"/>
  <c r="V208" s="1"/>
  <c r="T210"/>
  <c r="V210" s="1"/>
  <c r="T223"/>
  <c r="V223" s="1"/>
  <c r="T226"/>
  <c r="V226" s="1"/>
  <c r="T229"/>
  <c r="V229" s="1"/>
  <c r="T230"/>
  <c r="V230" s="1"/>
  <c r="T233"/>
  <c r="V233" s="1"/>
  <c r="T244"/>
  <c r="V244" s="1"/>
  <c r="T246"/>
  <c r="T248"/>
  <c r="V248" s="1"/>
  <c r="T250"/>
  <c r="V250" s="1"/>
  <c r="V296"/>
  <c r="V297" s="1"/>
  <c r="L204"/>
  <c r="S140"/>
  <c r="S128"/>
  <c r="S120"/>
  <c r="S113"/>
  <c r="S100"/>
  <c r="S93"/>
  <c r="S91"/>
  <c r="S87"/>
  <c r="S50"/>
  <c r="K302"/>
  <c r="Q302"/>
  <c r="N302"/>
  <c r="L25"/>
  <c r="V160" l="1"/>
  <c r="V165" s="1"/>
  <c r="T165"/>
  <c r="I302"/>
  <c r="U302"/>
  <c r="V63"/>
  <c r="V77" s="1"/>
  <c r="T77"/>
  <c r="V300"/>
  <c r="V301" s="1"/>
  <c r="T285"/>
  <c r="T96"/>
  <c r="V279"/>
  <c r="V280" s="1"/>
  <c r="R302"/>
  <c r="T116"/>
  <c r="O302"/>
  <c r="V290"/>
  <c r="V291" s="1"/>
  <c r="V298"/>
  <c r="V299" s="1"/>
  <c r="V115"/>
  <c r="V116" s="1"/>
  <c r="T100"/>
  <c r="T113"/>
  <c r="T120"/>
  <c r="T128"/>
  <c r="T145"/>
  <c r="T278"/>
  <c r="T178"/>
  <c r="V153"/>
  <c r="V128"/>
  <c r="V100"/>
  <c r="V61"/>
  <c r="V62" s="1"/>
  <c r="V96"/>
  <c r="T270"/>
  <c r="T204"/>
  <c r="V145"/>
  <c r="S302"/>
  <c r="T289"/>
  <c r="T159"/>
  <c r="V281"/>
  <c r="V285" s="1"/>
  <c r="V120"/>
  <c r="V91"/>
  <c r="V242"/>
  <c r="V222"/>
  <c r="V150"/>
  <c r="V140"/>
  <c r="V113"/>
  <c r="V87"/>
  <c r="V48"/>
  <c r="V43"/>
  <c r="L302"/>
  <c r="T87"/>
  <c r="T91"/>
  <c r="T140"/>
  <c r="T189"/>
  <c r="T242"/>
  <c r="V289"/>
  <c r="V278"/>
  <c r="T222"/>
  <c r="V191"/>
  <c r="V204" s="1"/>
  <c r="V167"/>
  <c r="V178" s="1"/>
  <c r="T153"/>
  <c r="T150"/>
  <c r="V92"/>
  <c r="V93" s="1"/>
  <c r="T48"/>
  <c r="T43"/>
  <c r="T25"/>
  <c r="V25"/>
  <c r="V246"/>
  <c r="V270" s="1"/>
  <c r="X270" s="1"/>
  <c r="V189"/>
  <c r="V49"/>
  <c r="V50" s="1"/>
  <c r="V159"/>
  <c r="V302" l="1"/>
  <c r="T302"/>
  <c r="S3"/>
  <c r="U3" s="1"/>
  <c r="R3"/>
  <c r="O3"/>
  <c r="L3"/>
  <c r="I3"/>
  <c r="F3"/>
  <c r="P1"/>
  <c r="U2" s="1"/>
  <c r="C1"/>
  <c r="H6" i="94"/>
  <c r="Q12" i="89"/>
  <c r="N12"/>
  <c r="K12"/>
  <c r="H12"/>
  <c r="E12"/>
  <c r="S11"/>
  <c r="R11"/>
  <c r="O11"/>
  <c r="L11"/>
  <c r="I11"/>
  <c r="F11"/>
  <c r="S9"/>
  <c r="U9" s="1"/>
  <c r="R9"/>
  <c r="R12" s="1"/>
  <c r="O9"/>
  <c r="O12" s="1"/>
  <c r="L9"/>
  <c r="L12" s="1"/>
  <c r="I9"/>
  <c r="I12" s="1"/>
  <c r="F9"/>
  <c r="F12" s="1"/>
  <c r="T3" i="96" l="1"/>
  <c r="V3" s="1"/>
  <c r="S12" i="89"/>
  <c r="T11"/>
  <c r="V11" s="1"/>
  <c r="T9"/>
  <c r="U11"/>
  <c r="U12" s="1"/>
  <c r="T12" l="1"/>
  <c r="V9"/>
  <c r="V12" s="1"/>
  <c r="Q21" i="95"/>
  <c r="N21"/>
  <c r="H21"/>
  <c r="E21"/>
  <c r="S20"/>
  <c r="R20"/>
  <c r="O20"/>
  <c r="L20"/>
  <c r="I20"/>
  <c r="F20"/>
  <c r="S17"/>
  <c r="U17" s="1"/>
  <c r="R17"/>
  <c r="R21" s="1"/>
  <c r="O17"/>
  <c r="O21" s="1"/>
  <c r="L17"/>
  <c r="L21" s="1"/>
  <c r="I17"/>
  <c r="I21" s="1"/>
  <c r="F17"/>
  <c r="F21" s="1"/>
  <c r="Q11"/>
  <c r="N11"/>
  <c r="K11"/>
  <c r="H11"/>
  <c r="E11"/>
  <c r="S10"/>
  <c r="R10"/>
  <c r="O10"/>
  <c r="L10"/>
  <c r="I10"/>
  <c r="F10"/>
  <c r="S9"/>
  <c r="U9" s="1"/>
  <c r="R9"/>
  <c r="R11" s="1"/>
  <c r="O9"/>
  <c r="O11" s="1"/>
  <c r="L9"/>
  <c r="L11" s="1"/>
  <c r="I9"/>
  <c r="F9"/>
  <c r="F11" s="1"/>
  <c r="Q8"/>
  <c r="N8"/>
  <c r="K8"/>
  <c r="H8"/>
  <c r="E8"/>
  <c r="S7"/>
  <c r="U7" s="1"/>
  <c r="R7"/>
  <c r="O7"/>
  <c r="L7"/>
  <c r="I7"/>
  <c r="F7"/>
  <c r="S6"/>
  <c r="R6"/>
  <c r="O6"/>
  <c r="L6"/>
  <c r="I6"/>
  <c r="F6"/>
  <c r="S3"/>
  <c r="U3" s="1"/>
  <c r="R3"/>
  <c r="O3"/>
  <c r="L3"/>
  <c r="I3"/>
  <c r="F3"/>
  <c r="P1"/>
  <c r="U2" s="1"/>
  <c r="C1"/>
  <c r="K22" l="1"/>
  <c r="T3"/>
  <c r="V3" s="1"/>
  <c r="T10"/>
  <c r="V10" s="1"/>
  <c r="N22"/>
  <c r="Q22"/>
  <c r="H22"/>
  <c r="T20"/>
  <c r="I11"/>
  <c r="T6"/>
  <c r="E22"/>
  <c r="S21"/>
  <c r="S11"/>
  <c r="V20"/>
  <c r="T17"/>
  <c r="U20"/>
  <c r="U21" s="1"/>
  <c r="T9"/>
  <c r="T11" s="1"/>
  <c r="U10"/>
  <c r="U11" s="1"/>
  <c r="V6"/>
  <c r="U6"/>
  <c r="T7"/>
  <c r="T8" s="1"/>
  <c r="F8"/>
  <c r="F22" s="1"/>
  <c r="I8"/>
  <c r="L8"/>
  <c r="L22" s="1"/>
  <c r="O8"/>
  <c r="O22" s="1"/>
  <c r="R8"/>
  <c r="R22" s="1"/>
  <c r="S8"/>
  <c r="S22" s="1"/>
  <c r="T21" l="1"/>
  <c r="T22" s="1"/>
  <c r="I22"/>
  <c r="V9"/>
  <c r="V11" s="1"/>
  <c r="V17"/>
  <c r="V21" s="1"/>
  <c r="U8"/>
  <c r="U22" s="1"/>
  <c r="V7"/>
  <c r="V8" s="1"/>
  <c r="V22" l="1"/>
  <c r="S11" i="87"/>
  <c r="U11" s="1"/>
  <c r="R11"/>
  <c r="O11"/>
  <c r="L11"/>
  <c r="I11"/>
  <c r="F11"/>
  <c r="S10"/>
  <c r="U10" s="1"/>
  <c r="R10"/>
  <c r="O10"/>
  <c r="L10"/>
  <c r="I10"/>
  <c r="F10"/>
  <c r="H8" i="69"/>
  <c r="Q8" i="94"/>
  <c r="Q9" s="1"/>
  <c r="N8"/>
  <c r="N9" s="1"/>
  <c r="K8"/>
  <c r="K9" s="1"/>
  <c r="H8"/>
  <c r="H9" s="1"/>
  <c r="E8"/>
  <c r="E9" s="1"/>
  <c r="S7"/>
  <c r="R7"/>
  <c r="O7"/>
  <c r="L7"/>
  <c r="I7"/>
  <c r="F7"/>
  <c r="S6"/>
  <c r="U6" s="1"/>
  <c r="R6"/>
  <c r="O6"/>
  <c r="L6"/>
  <c r="I6"/>
  <c r="F6"/>
  <c r="S3"/>
  <c r="U3" s="1"/>
  <c r="R3"/>
  <c r="O3"/>
  <c r="L3"/>
  <c r="I3"/>
  <c r="T3" s="1"/>
  <c r="F3"/>
  <c r="P1"/>
  <c r="U2" s="1"/>
  <c r="C1"/>
  <c r="T10" i="87" l="1"/>
  <c r="V10" s="1"/>
  <c r="T11"/>
  <c r="V11" s="1"/>
  <c r="T7" i="94"/>
  <c r="V3"/>
  <c r="V7"/>
  <c r="T6"/>
  <c r="U7"/>
  <c r="S8"/>
  <c r="S9" s="1"/>
  <c r="F8"/>
  <c r="F9" s="1"/>
  <c r="I8"/>
  <c r="I9" s="1"/>
  <c r="L8"/>
  <c r="L9" s="1"/>
  <c r="O8"/>
  <c r="O9" s="1"/>
  <c r="R8"/>
  <c r="R9" s="1"/>
  <c r="Q15" i="93"/>
  <c r="Q16" s="1"/>
  <c r="N15"/>
  <c r="K15"/>
  <c r="K16" s="1"/>
  <c r="H16"/>
  <c r="E16"/>
  <c r="S10"/>
  <c r="S15" s="1"/>
  <c r="R10"/>
  <c r="R15" s="1"/>
  <c r="O10"/>
  <c r="O15" s="1"/>
  <c r="L10"/>
  <c r="L15" s="1"/>
  <c r="I10"/>
  <c r="I15" s="1"/>
  <c r="F10"/>
  <c r="F15" s="1"/>
  <c r="S6"/>
  <c r="R6"/>
  <c r="R9" s="1"/>
  <c r="O6"/>
  <c r="O9" s="1"/>
  <c r="L6"/>
  <c r="L9" s="1"/>
  <c r="I6"/>
  <c r="I9" s="1"/>
  <c r="F6"/>
  <c r="F9" s="1"/>
  <c r="S3"/>
  <c r="U3" s="1"/>
  <c r="R3"/>
  <c r="O3"/>
  <c r="L3"/>
  <c r="I3"/>
  <c r="F3"/>
  <c r="P1"/>
  <c r="U2" s="1"/>
  <c r="C1"/>
  <c r="H27" i="73"/>
  <c r="Q13" i="87"/>
  <c r="N13"/>
  <c r="K13"/>
  <c r="H13"/>
  <c r="E13"/>
  <c r="S9"/>
  <c r="U9" s="1"/>
  <c r="R9"/>
  <c r="O9"/>
  <c r="L9"/>
  <c r="I9"/>
  <c r="F9"/>
  <c r="S12"/>
  <c r="U12" s="1"/>
  <c r="R12"/>
  <c r="O12"/>
  <c r="L12"/>
  <c r="I12"/>
  <c r="F12"/>
  <c r="S9" i="91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28" i="90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S75" i="87"/>
  <c r="U75" s="1"/>
  <c r="R75"/>
  <c r="O75"/>
  <c r="L75"/>
  <c r="I75"/>
  <c r="F75"/>
  <c r="S8"/>
  <c r="R8"/>
  <c r="O8"/>
  <c r="L8"/>
  <c r="I8"/>
  <c r="F8"/>
  <c r="Q186" i="83"/>
  <c r="N186"/>
  <c r="K186"/>
  <c r="H186"/>
  <c r="E186"/>
  <c r="S185"/>
  <c r="U185" s="1"/>
  <c r="R185"/>
  <c r="O185"/>
  <c r="L185"/>
  <c r="I185"/>
  <c r="F185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R105"/>
  <c r="O105"/>
  <c r="L105"/>
  <c r="I105"/>
  <c r="F105"/>
  <c r="S104"/>
  <c r="U104" s="1"/>
  <c r="R104"/>
  <c r="O104"/>
  <c r="L104"/>
  <c r="I104"/>
  <c r="T104" s="1"/>
  <c r="F104"/>
  <c r="S76"/>
  <c r="U76" s="1"/>
  <c r="R76"/>
  <c r="O76"/>
  <c r="L76"/>
  <c r="I76"/>
  <c r="T76" s="1"/>
  <c r="F76"/>
  <c r="T75" i="87" l="1"/>
  <c r="V75" s="1"/>
  <c r="T7" i="91"/>
  <c r="T9"/>
  <c r="V9" s="1"/>
  <c r="U6" i="93"/>
  <c r="U9" s="1"/>
  <c r="S9"/>
  <c r="T3"/>
  <c r="F16"/>
  <c r="T8" i="94"/>
  <c r="T9" s="1"/>
  <c r="U8"/>
  <c r="U9" s="1"/>
  <c r="V6"/>
  <c r="T10" i="93"/>
  <c r="T15" s="1"/>
  <c r="I16"/>
  <c r="S16"/>
  <c r="N16"/>
  <c r="T6"/>
  <c r="T9" s="1"/>
  <c r="V3"/>
  <c r="V10"/>
  <c r="V15" s="1"/>
  <c r="L16"/>
  <c r="O16"/>
  <c r="R16"/>
  <c r="U10"/>
  <c r="U15" s="1"/>
  <c r="S13" i="87"/>
  <c r="F13"/>
  <c r="L13"/>
  <c r="R13"/>
  <c r="I13"/>
  <c r="O13"/>
  <c r="T12"/>
  <c r="V12" s="1"/>
  <c r="T9"/>
  <c r="T8" i="91"/>
  <c r="V8" s="1"/>
  <c r="V7"/>
  <c r="T20" i="90"/>
  <c r="V20" s="1"/>
  <c r="T21"/>
  <c r="T22"/>
  <c r="V22" s="1"/>
  <c r="T23"/>
  <c r="V23" s="1"/>
  <c r="T24"/>
  <c r="V24" s="1"/>
  <c r="T25"/>
  <c r="V25" s="1"/>
  <c r="T26"/>
  <c r="T27"/>
  <c r="V27" s="1"/>
  <c r="T28"/>
  <c r="V28" s="1"/>
  <c r="V21"/>
  <c r="V26"/>
  <c r="U8" i="87"/>
  <c r="U13" s="1"/>
  <c r="T8"/>
  <c r="V76" i="83"/>
  <c r="V104"/>
  <c r="T109"/>
  <c r="V109" s="1"/>
  <c r="T185"/>
  <c r="T107"/>
  <c r="V107" s="1"/>
  <c r="T105"/>
  <c r="V105" s="1"/>
  <c r="T106"/>
  <c r="V106" s="1"/>
  <c r="T108"/>
  <c r="V108" s="1"/>
  <c r="V8" i="94" l="1"/>
  <c r="V9" s="1"/>
  <c r="V6" i="93"/>
  <c r="V9" s="1"/>
  <c r="V16" s="1"/>
  <c r="T16"/>
  <c r="U16"/>
  <c r="V9" i="87"/>
  <c r="T13"/>
  <c r="V8"/>
  <c r="V185" i="83"/>
  <c r="V13" i="87" l="1"/>
  <c r="K15" i="90"/>
  <c r="S61" i="87"/>
  <c r="U61" s="1"/>
  <c r="R61"/>
  <c r="O61"/>
  <c r="L61"/>
  <c r="I61"/>
  <c r="F61"/>
  <c r="S60"/>
  <c r="U60" s="1"/>
  <c r="R60"/>
  <c r="O60"/>
  <c r="L60"/>
  <c r="I60"/>
  <c r="F60"/>
  <c r="K69"/>
  <c r="T60" l="1"/>
  <c r="V60" s="1"/>
  <c r="T61"/>
  <c r="V61" s="1"/>
  <c r="H18" i="90"/>
  <c r="S14" i="91"/>
  <c r="U14" s="1"/>
  <c r="R14"/>
  <c r="O14"/>
  <c r="L14"/>
  <c r="I14"/>
  <c r="F14"/>
  <c r="R15"/>
  <c r="O15"/>
  <c r="L15"/>
  <c r="S15"/>
  <c r="U15" s="1"/>
  <c r="F15"/>
  <c r="R13"/>
  <c r="O13"/>
  <c r="L13"/>
  <c r="H13"/>
  <c r="S13" s="1"/>
  <c r="U13" s="1"/>
  <c r="F13"/>
  <c r="H17" l="1"/>
  <c r="T14"/>
  <c r="V14" s="1"/>
  <c r="I13"/>
  <c r="T13" s="1"/>
  <c r="V13" s="1"/>
  <c r="I15"/>
  <c r="S44" i="87"/>
  <c r="U44" s="1"/>
  <c r="R44"/>
  <c r="O44"/>
  <c r="L44"/>
  <c r="I44"/>
  <c r="F44"/>
  <c r="S43"/>
  <c r="U43" s="1"/>
  <c r="R43"/>
  <c r="O43"/>
  <c r="L43"/>
  <c r="I43"/>
  <c r="F43"/>
  <c r="S42"/>
  <c r="U42" s="1"/>
  <c r="R42"/>
  <c r="O42"/>
  <c r="L42"/>
  <c r="I42"/>
  <c r="T42" s="1"/>
  <c r="F42"/>
  <c r="S38"/>
  <c r="U38" s="1"/>
  <c r="R38"/>
  <c r="O38"/>
  <c r="L38"/>
  <c r="I38"/>
  <c r="F38"/>
  <c r="S37"/>
  <c r="U37" s="1"/>
  <c r="R37"/>
  <c r="O37"/>
  <c r="L37"/>
  <c r="I37"/>
  <c r="T37" s="1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T34" s="1"/>
  <c r="F34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T22" s="1"/>
  <c r="F22"/>
  <c r="Q95" i="83"/>
  <c r="N95"/>
  <c r="K95"/>
  <c r="H95"/>
  <c r="E95"/>
  <c r="S94"/>
  <c r="U94" s="1"/>
  <c r="R94"/>
  <c r="O94"/>
  <c r="L94"/>
  <c r="I94"/>
  <c r="F94"/>
  <c r="S93"/>
  <c r="U93" s="1"/>
  <c r="R93"/>
  <c r="O93"/>
  <c r="L93"/>
  <c r="I93"/>
  <c r="F93"/>
  <c r="T23" i="87" l="1"/>
  <c r="V23" s="1"/>
  <c r="V34"/>
  <c r="T35"/>
  <c r="V35" s="1"/>
  <c r="V37"/>
  <c r="T38"/>
  <c r="V38" s="1"/>
  <c r="V42"/>
  <c r="T43"/>
  <c r="V43" s="1"/>
  <c r="T15" i="91"/>
  <c r="V15" s="1"/>
  <c r="T44" i="87"/>
  <c r="V44" s="1"/>
  <c r="T36"/>
  <c r="V36" s="1"/>
  <c r="V22"/>
  <c r="T24"/>
  <c r="V24" s="1"/>
  <c r="T93" i="83"/>
  <c r="V93" s="1"/>
  <c r="T94"/>
  <c r="S97" i="69"/>
  <c r="U97" s="1"/>
  <c r="R97"/>
  <c r="O97"/>
  <c r="L97"/>
  <c r="I97"/>
  <c r="F97"/>
  <c r="H37" i="82"/>
  <c r="S123" i="87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R55" i="83"/>
  <c r="O55"/>
  <c r="L55"/>
  <c r="H55"/>
  <c r="S55" s="1"/>
  <c r="U55" s="1"/>
  <c r="F55"/>
  <c r="Q71"/>
  <c r="N71"/>
  <c r="K71"/>
  <c r="H71"/>
  <c r="E71"/>
  <c r="S70"/>
  <c r="U70" s="1"/>
  <c r="R70"/>
  <c r="O70"/>
  <c r="L70"/>
  <c r="I70"/>
  <c r="F70"/>
  <c r="S67" i="69"/>
  <c r="U67" s="1"/>
  <c r="R67"/>
  <c r="O67"/>
  <c r="L67"/>
  <c r="I67"/>
  <c r="F67"/>
  <c r="S80"/>
  <c r="U80" s="1"/>
  <c r="R80"/>
  <c r="O80"/>
  <c r="L80"/>
  <c r="I80"/>
  <c r="F80"/>
  <c r="S79"/>
  <c r="U79" s="1"/>
  <c r="R79"/>
  <c r="O79"/>
  <c r="L79"/>
  <c r="I79"/>
  <c r="F79"/>
  <c r="S81"/>
  <c r="U81" s="1"/>
  <c r="R81"/>
  <c r="O81"/>
  <c r="L81"/>
  <c r="I81"/>
  <c r="F81"/>
  <c r="S78"/>
  <c r="U78" s="1"/>
  <c r="R78"/>
  <c r="O78"/>
  <c r="L78"/>
  <c r="I78"/>
  <c r="F78"/>
  <c r="R77"/>
  <c r="O77"/>
  <c r="L77"/>
  <c r="H77"/>
  <c r="S77" s="1"/>
  <c r="U77" s="1"/>
  <c r="F77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H35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N19"/>
  <c r="N17"/>
  <c r="N16"/>
  <c r="N15"/>
  <c r="E137" i="87"/>
  <c r="F137" s="1"/>
  <c r="E135"/>
  <c r="F135" s="1"/>
  <c r="E132"/>
  <c r="E138"/>
  <c r="F138" s="1"/>
  <c r="E136"/>
  <c r="E134"/>
  <c r="E133"/>
  <c r="F133" s="1"/>
  <c r="E131"/>
  <c r="E130"/>
  <c r="F130" s="1"/>
  <c r="Q144"/>
  <c r="N144"/>
  <c r="H144"/>
  <c r="U143"/>
  <c r="R143"/>
  <c r="O143"/>
  <c r="F143"/>
  <c r="U142"/>
  <c r="R142"/>
  <c r="O142"/>
  <c r="F142"/>
  <c r="U141"/>
  <c r="R141"/>
  <c r="O141"/>
  <c r="F141"/>
  <c r="U140"/>
  <c r="R140"/>
  <c r="O140"/>
  <c r="T140" s="1"/>
  <c r="F140"/>
  <c r="U139"/>
  <c r="R139"/>
  <c r="O139"/>
  <c r="F139"/>
  <c r="R138"/>
  <c r="O138"/>
  <c r="K144"/>
  <c r="U137"/>
  <c r="R137"/>
  <c r="O137"/>
  <c r="U136"/>
  <c r="R136"/>
  <c r="O136"/>
  <c r="T136" s="1"/>
  <c r="F136"/>
  <c r="U135"/>
  <c r="R135"/>
  <c r="O135"/>
  <c r="U134"/>
  <c r="R134"/>
  <c r="O134"/>
  <c r="F134"/>
  <c r="U133"/>
  <c r="R133"/>
  <c r="O133"/>
  <c r="U132"/>
  <c r="R132"/>
  <c r="O132"/>
  <c r="T132" s="1"/>
  <c r="F132"/>
  <c r="U131"/>
  <c r="R131"/>
  <c r="O131"/>
  <c r="F131"/>
  <c r="R130"/>
  <c r="O130"/>
  <c r="Q46"/>
  <c r="N46"/>
  <c r="H46"/>
  <c r="E46"/>
  <c r="R45"/>
  <c r="O45"/>
  <c r="L45"/>
  <c r="S45"/>
  <c r="U45" s="1"/>
  <c r="I45"/>
  <c r="F45"/>
  <c r="S73" i="69"/>
  <c r="U73" s="1"/>
  <c r="R73"/>
  <c r="O73"/>
  <c r="L73"/>
  <c r="I73"/>
  <c r="F73"/>
  <c r="S72"/>
  <c r="U72" s="1"/>
  <c r="R72"/>
  <c r="O72"/>
  <c r="L72"/>
  <c r="I72"/>
  <c r="F7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Q8" i="92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R6"/>
  <c r="O6"/>
  <c r="O8" s="1"/>
  <c r="L6"/>
  <c r="I6"/>
  <c r="I8" s="1"/>
  <c r="F6"/>
  <c r="S3"/>
  <c r="U3" s="1"/>
  <c r="R3"/>
  <c r="O3"/>
  <c r="L3"/>
  <c r="I3"/>
  <c r="F3"/>
  <c r="P1"/>
  <c r="U2" s="1"/>
  <c r="C1"/>
  <c r="Q11" i="82"/>
  <c r="Q10"/>
  <c r="S17"/>
  <c r="U17" s="1"/>
  <c r="O17"/>
  <c r="L17"/>
  <c r="I17"/>
  <c r="F17"/>
  <c r="S16"/>
  <c r="U16" s="1"/>
  <c r="O16"/>
  <c r="L16"/>
  <c r="I16"/>
  <c r="F16"/>
  <c r="S15"/>
  <c r="U15" s="1"/>
  <c r="O15"/>
  <c r="L15"/>
  <c r="I15"/>
  <c r="F15"/>
  <c r="S14"/>
  <c r="U14" s="1"/>
  <c r="O14"/>
  <c r="L14"/>
  <c r="I14"/>
  <c r="F14"/>
  <c r="S13"/>
  <c r="U13" s="1"/>
  <c r="O13"/>
  <c r="L13"/>
  <c r="I13"/>
  <c r="F13"/>
  <c r="S12"/>
  <c r="U12" s="1"/>
  <c r="O12"/>
  <c r="L12"/>
  <c r="I12"/>
  <c r="F12"/>
  <c r="S11"/>
  <c r="U11" s="1"/>
  <c r="O11"/>
  <c r="L11"/>
  <c r="I11"/>
  <c r="F11"/>
  <c r="S33" i="87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L102"/>
  <c r="I102"/>
  <c r="F102"/>
  <c r="S108"/>
  <c r="U108" s="1"/>
  <c r="R108"/>
  <c r="O108"/>
  <c r="L100"/>
  <c r="I100"/>
  <c r="F100"/>
  <c r="S107"/>
  <c r="U107" s="1"/>
  <c r="R107"/>
  <c r="O107"/>
  <c r="L101"/>
  <c r="I101"/>
  <c r="F101"/>
  <c r="S106"/>
  <c r="U106" s="1"/>
  <c r="R106"/>
  <c r="O106"/>
  <c r="S105"/>
  <c r="U105" s="1"/>
  <c r="R105"/>
  <c r="O105"/>
  <c r="L106"/>
  <c r="I106"/>
  <c r="F106"/>
  <c r="S104"/>
  <c r="U104" s="1"/>
  <c r="R104"/>
  <c r="O104"/>
  <c r="L108"/>
  <c r="I108"/>
  <c r="F108"/>
  <c r="S103"/>
  <c r="U103" s="1"/>
  <c r="R103"/>
  <c r="O103"/>
  <c r="L107"/>
  <c r="I107"/>
  <c r="F107"/>
  <c r="S102"/>
  <c r="U102" s="1"/>
  <c r="R102"/>
  <c r="O102"/>
  <c r="L105"/>
  <c r="I105"/>
  <c r="F105"/>
  <c r="S101"/>
  <c r="U101" s="1"/>
  <c r="R101"/>
  <c r="O101"/>
  <c r="L104"/>
  <c r="I104"/>
  <c r="F104"/>
  <c r="S100"/>
  <c r="U100" s="1"/>
  <c r="R100"/>
  <c r="O100"/>
  <c r="L103"/>
  <c r="I103"/>
  <c r="F103"/>
  <c r="S99"/>
  <c r="U99" s="1"/>
  <c r="R99"/>
  <c r="O99"/>
  <c r="L99"/>
  <c r="I99"/>
  <c r="F99"/>
  <c r="T73" i="69" l="1"/>
  <c r="V73" s="1"/>
  <c r="R144" i="87"/>
  <c r="T135"/>
  <c r="T139"/>
  <c r="T52" i="69"/>
  <c r="T49"/>
  <c r="V49" s="1"/>
  <c r="E144" i="87"/>
  <c r="I55" i="83"/>
  <c r="T55" s="1"/>
  <c r="V55" s="1"/>
  <c r="T21" i="69"/>
  <c r="V21" s="1"/>
  <c r="T23"/>
  <c r="V23" s="1"/>
  <c r="T25"/>
  <c r="T48"/>
  <c r="V48" s="1"/>
  <c r="T72"/>
  <c r="T134" i="87"/>
  <c r="T142"/>
  <c r="T143"/>
  <c r="T37" i="69"/>
  <c r="T39"/>
  <c r="V39" s="1"/>
  <c r="V52"/>
  <c r="I77"/>
  <c r="T77" s="1"/>
  <c r="V77" s="1"/>
  <c r="T67"/>
  <c r="V67" s="1"/>
  <c r="T121" i="87"/>
  <c r="V121" s="1"/>
  <c r="T32"/>
  <c r="V32" s="1"/>
  <c r="T18"/>
  <c r="V18" s="1"/>
  <c r="V94" i="83"/>
  <c r="T97" i="69"/>
  <c r="V97" s="1"/>
  <c r="T123" i="87"/>
  <c r="V123" s="1"/>
  <c r="T122"/>
  <c r="V122" s="1"/>
  <c r="T20"/>
  <c r="V20" s="1"/>
  <c r="T19"/>
  <c r="T21"/>
  <c r="V19"/>
  <c r="V21"/>
  <c r="T70" i="83"/>
  <c r="T80" i="69"/>
  <c r="T79"/>
  <c r="V79" s="1"/>
  <c r="V80"/>
  <c r="T78"/>
  <c r="V78" s="1"/>
  <c r="T81"/>
  <c r="V81" s="1"/>
  <c r="T53"/>
  <c r="V53" s="1"/>
  <c r="T54"/>
  <c r="V54" s="1"/>
  <c r="T38"/>
  <c r="V38" s="1"/>
  <c r="V37"/>
  <c r="V25"/>
  <c r="T22"/>
  <c r="V22" s="1"/>
  <c r="T24"/>
  <c r="V24" s="1"/>
  <c r="T31" i="87"/>
  <c r="T133"/>
  <c r="V133" s="1"/>
  <c r="T137"/>
  <c r="V137" s="1"/>
  <c r="T141"/>
  <c r="V141" s="1"/>
  <c r="V31"/>
  <c r="O144"/>
  <c r="V143"/>
  <c r="T131"/>
  <c r="V132"/>
  <c r="V134"/>
  <c r="V136"/>
  <c r="V140"/>
  <c r="V142"/>
  <c r="V139"/>
  <c r="F144"/>
  <c r="V131"/>
  <c r="V135"/>
  <c r="T130"/>
  <c r="V130" s="1"/>
  <c r="U138"/>
  <c r="I144"/>
  <c r="U130"/>
  <c r="U144" s="1"/>
  <c r="L144"/>
  <c r="T45"/>
  <c r="V72" i="69"/>
  <c r="T51"/>
  <c r="V51" s="1"/>
  <c r="T50"/>
  <c r="V50" s="1"/>
  <c r="T3" i="92"/>
  <c r="V3" s="1"/>
  <c r="F8"/>
  <c r="F9" s="1"/>
  <c r="L8"/>
  <c r="L9" s="1"/>
  <c r="R8"/>
  <c r="R9" s="1"/>
  <c r="T6"/>
  <c r="S8"/>
  <c r="S9" s="1"/>
  <c r="I9"/>
  <c r="O9"/>
  <c r="U6"/>
  <c r="T7"/>
  <c r="V7" s="1"/>
  <c r="R11" i="82"/>
  <c r="T11" s="1"/>
  <c r="V11" s="1"/>
  <c r="R12"/>
  <c r="T12" s="1"/>
  <c r="V12" s="1"/>
  <c r="R13"/>
  <c r="T13" s="1"/>
  <c r="V13" s="1"/>
  <c r="R14"/>
  <c r="T14" s="1"/>
  <c r="V14" s="1"/>
  <c r="R15"/>
  <c r="T15" s="1"/>
  <c r="V15" s="1"/>
  <c r="R16"/>
  <c r="T16" s="1"/>
  <c r="V16" s="1"/>
  <c r="R17"/>
  <c r="T17" s="1"/>
  <c r="V17" s="1"/>
  <c r="T33" i="87"/>
  <c r="V33" s="1"/>
  <c r="T102"/>
  <c r="V102" s="1"/>
  <c r="T99"/>
  <c r="V99" s="1"/>
  <c r="T100"/>
  <c r="T105"/>
  <c r="V105" s="1"/>
  <c r="T104"/>
  <c r="V104" s="1"/>
  <c r="T107"/>
  <c r="V107" s="1"/>
  <c r="V100"/>
  <c r="T101"/>
  <c r="V101" s="1"/>
  <c r="T103"/>
  <c r="V103" s="1"/>
  <c r="T106"/>
  <c r="V106" s="1"/>
  <c r="T108"/>
  <c r="V108" s="1"/>
  <c r="V70" i="83" l="1"/>
  <c r="T138" i="87"/>
  <c r="V138" s="1"/>
  <c r="V144" s="1"/>
  <c r="S144"/>
  <c r="V45"/>
  <c r="T8" i="92"/>
  <c r="U8"/>
  <c r="U9" s="1"/>
  <c r="T9"/>
  <c r="V6"/>
  <c r="Q17" i="91"/>
  <c r="N17"/>
  <c r="K17"/>
  <c r="E17"/>
  <c r="C1"/>
  <c r="Q19"/>
  <c r="N19"/>
  <c r="K19"/>
  <c r="H19"/>
  <c r="E19"/>
  <c r="S18"/>
  <c r="S19" s="1"/>
  <c r="R18"/>
  <c r="R19" s="1"/>
  <c r="O18"/>
  <c r="O19" s="1"/>
  <c r="L18"/>
  <c r="L19" s="1"/>
  <c r="I18"/>
  <c r="I19" s="1"/>
  <c r="F18"/>
  <c r="F19" s="1"/>
  <c r="S16"/>
  <c r="U16" s="1"/>
  <c r="R16"/>
  <c r="O16"/>
  <c r="L16"/>
  <c r="I16"/>
  <c r="F16"/>
  <c r="S12"/>
  <c r="U12" s="1"/>
  <c r="U17" s="1"/>
  <c r="R12"/>
  <c r="R17" s="1"/>
  <c r="O12"/>
  <c r="O17" s="1"/>
  <c r="L12"/>
  <c r="L17" s="1"/>
  <c r="I12"/>
  <c r="F12"/>
  <c r="F17" s="1"/>
  <c r="Q11"/>
  <c r="N11"/>
  <c r="K11"/>
  <c r="H11"/>
  <c r="E11"/>
  <c r="S10"/>
  <c r="U10" s="1"/>
  <c r="R10"/>
  <c r="O10"/>
  <c r="L10"/>
  <c r="I10"/>
  <c r="F10"/>
  <c r="S6"/>
  <c r="R6"/>
  <c r="O6"/>
  <c r="O11" s="1"/>
  <c r="L6"/>
  <c r="I6"/>
  <c r="I11" s="1"/>
  <c r="F6"/>
  <c r="S3"/>
  <c r="U3" s="1"/>
  <c r="R3"/>
  <c r="O3"/>
  <c r="L3"/>
  <c r="I3"/>
  <c r="F3"/>
  <c r="P1"/>
  <c r="U2" s="1"/>
  <c r="S21" i="83"/>
  <c r="U21" s="1"/>
  <c r="R21"/>
  <c r="O21"/>
  <c r="L21"/>
  <c r="I21"/>
  <c r="F21"/>
  <c r="Q35" i="69"/>
  <c r="Q33"/>
  <c r="Q30"/>
  <c r="N57"/>
  <c r="T21" i="83" l="1"/>
  <c r="I17" i="91"/>
  <c r="E20"/>
  <c r="T144" i="87"/>
  <c r="V21" i="83"/>
  <c r="V8" i="92"/>
  <c r="V9" s="1"/>
  <c r="T3" i="91"/>
  <c r="V3" s="1"/>
  <c r="S17"/>
  <c r="Q20"/>
  <c r="N20"/>
  <c r="K20"/>
  <c r="H20"/>
  <c r="T16"/>
  <c r="V16" s="1"/>
  <c r="L11"/>
  <c r="L20" s="1"/>
  <c r="F11"/>
  <c r="F20" s="1"/>
  <c r="R11"/>
  <c r="R20" s="1"/>
  <c r="T6"/>
  <c r="V6" s="1"/>
  <c r="S11"/>
  <c r="T12"/>
  <c r="T17" s="1"/>
  <c r="T18"/>
  <c r="T19" s="1"/>
  <c r="I20"/>
  <c r="O20"/>
  <c r="U6"/>
  <c r="T10"/>
  <c r="V10" s="1"/>
  <c r="U18"/>
  <c r="U19" s="1"/>
  <c r="S41" i="69"/>
  <c r="U41" s="1"/>
  <c r="R41"/>
  <c r="O41"/>
  <c r="L41"/>
  <c r="I41"/>
  <c r="F41"/>
  <c r="S40"/>
  <c r="U40" s="1"/>
  <c r="R40"/>
  <c r="O40"/>
  <c r="L40"/>
  <c r="I40"/>
  <c r="F40"/>
  <c r="S36"/>
  <c r="U36" s="1"/>
  <c r="R36"/>
  <c r="O36"/>
  <c r="L36"/>
  <c r="I36"/>
  <c r="F36"/>
  <c r="S35"/>
  <c r="U35" s="1"/>
  <c r="R35"/>
  <c r="O35"/>
  <c r="L35"/>
  <c r="I35"/>
  <c r="F35"/>
  <c r="V18" i="91" l="1"/>
  <c r="V19" s="1"/>
  <c r="T40" i="69"/>
  <c r="V40" s="1"/>
  <c r="T35"/>
  <c r="V35" s="1"/>
  <c r="S20" i="91"/>
  <c r="V12"/>
  <c r="V17" s="1"/>
  <c r="V11"/>
  <c r="U11"/>
  <c r="U20" s="1"/>
  <c r="T11"/>
  <c r="T20" s="1"/>
  <c r="T36" i="69"/>
  <c r="V36" s="1"/>
  <c r="T41"/>
  <c r="V41" s="1"/>
  <c r="V20" i="91" l="1"/>
  <c r="H97" i="87"/>
  <c r="Q75" i="69" l="1"/>
  <c r="N75"/>
  <c r="H75"/>
  <c r="E75"/>
  <c r="S71"/>
  <c r="U71" s="1"/>
  <c r="R71"/>
  <c r="O71"/>
  <c r="L71"/>
  <c r="I71"/>
  <c r="F71"/>
  <c r="R74"/>
  <c r="O74"/>
  <c r="L74"/>
  <c r="S74"/>
  <c r="U74" s="1"/>
  <c r="I74"/>
  <c r="F7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K19"/>
  <c r="K18"/>
  <c r="K17"/>
  <c r="K16"/>
  <c r="K15"/>
  <c r="K14"/>
  <c r="K13"/>
  <c r="K12"/>
  <c r="K105"/>
  <c r="K41" i="87"/>
  <c r="K46" s="1"/>
  <c r="K29"/>
  <c r="S93" i="69"/>
  <c r="U93" s="1"/>
  <c r="R93"/>
  <c r="O93"/>
  <c r="L93"/>
  <c r="I93"/>
  <c r="F93"/>
  <c r="S92"/>
  <c r="U92" s="1"/>
  <c r="R92"/>
  <c r="O92"/>
  <c r="L92"/>
  <c r="I92"/>
  <c r="T92" s="1"/>
  <c r="F92"/>
  <c r="K70"/>
  <c r="K75" s="1"/>
  <c r="H65"/>
  <c r="S60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T58" s="1"/>
  <c r="F58"/>
  <c r="T63" l="1"/>
  <c r="T71"/>
  <c r="V71" s="1"/>
  <c r="T59"/>
  <c r="V59" s="1"/>
  <c r="V92"/>
  <c r="T62"/>
  <c r="V62" s="1"/>
  <c r="V63"/>
  <c r="T74"/>
  <c r="V74" s="1"/>
  <c r="T61"/>
  <c r="V61" s="1"/>
  <c r="V58"/>
  <c r="T93"/>
  <c r="V93" s="1"/>
  <c r="T60"/>
  <c r="V60" s="1"/>
  <c r="K89"/>
  <c r="H17" i="87"/>
  <c r="Q150" i="83" l="1"/>
  <c r="N150"/>
  <c r="K150"/>
  <c r="H150"/>
  <c r="E150"/>
  <c r="S149"/>
  <c r="U149" s="1"/>
  <c r="R149"/>
  <c r="O149"/>
  <c r="L149"/>
  <c r="I149"/>
  <c r="F149"/>
  <c r="S147"/>
  <c r="U147" s="1"/>
  <c r="R147"/>
  <c r="O147"/>
  <c r="L147"/>
  <c r="I147"/>
  <c r="F147"/>
  <c r="Q63"/>
  <c r="N63"/>
  <c r="K63"/>
  <c r="H63"/>
  <c r="E63"/>
  <c r="S62"/>
  <c r="U62" s="1"/>
  <c r="R62"/>
  <c r="O62"/>
  <c r="L62"/>
  <c r="I62"/>
  <c r="F62"/>
  <c r="S61"/>
  <c r="U61" s="1"/>
  <c r="R61"/>
  <c r="O61"/>
  <c r="L61"/>
  <c r="I61"/>
  <c r="F61"/>
  <c r="Q68"/>
  <c r="N68"/>
  <c r="K68"/>
  <c r="H68"/>
  <c r="E68"/>
  <c r="S66"/>
  <c r="U66" s="1"/>
  <c r="R66"/>
  <c r="O66"/>
  <c r="L66"/>
  <c r="I66"/>
  <c r="F66"/>
  <c r="S67"/>
  <c r="U67" s="1"/>
  <c r="R67"/>
  <c r="O67"/>
  <c r="L67"/>
  <c r="I67"/>
  <c r="F67"/>
  <c r="S65"/>
  <c r="U65" s="1"/>
  <c r="R65"/>
  <c r="O65"/>
  <c r="L65"/>
  <c r="I65"/>
  <c r="F65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41"/>
  <c r="U141" s="1"/>
  <c r="R141"/>
  <c r="O141"/>
  <c r="L141"/>
  <c r="I141"/>
  <c r="F141"/>
  <c r="S140"/>
  <c r="U140" s="1"/>
  <c r="R140"/>
  <c r="O140"/>
  <c r="L140"/>
  <c r="I140"/>
  <c r="F140"/>
  <c r="S139"/>
  <c r="U139" s="1"/>
  <c r="R139"/>
  <c r="O139"/>
  <c r="L139"/>
  <c r="I139"/>
  <c r="F139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Q89"/>
  <c r="N89"/>
  <c r="K89"/>
  <c r="H89"/>
  <c r="E89"/>
  <c r="S88"/>
  <c r="U88" s="1"/>
  <c r="R88"/>
  <c r="O88"/>
  <c r="L88"/>
  <c r="I88"/>
  <c r="F88"/>
  <c r="S87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177"/>
  <c r="U177" s="1"/>
  <c r="R177"/>
  <c r="O177"/>
  <c r="L177"/>
  <c r="I177"/>
  <c r="F177"/>
  <c r="S176"/>
  <c r="U176" s="1"/>
  <c r="R176"/>
  <c r="O176"/>
  <c r="L176"/>
  <c r="I176"/>
  <c r="F176"/>
  <c r="S175"/>
  <c r="U175" s="1"/>
  <c r="R175"/>
  <c r="O175"/>
  <c r="L175"/>
  <c r="I175"/>
  <c r="F175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H1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Q22" i="82"/>
  <c r="K22"/>
  <c r="H22"/>
  <c r="E22"/>
  <c r="S21"/>
  <c r="U21" s="1"/>
  <c r="R21"/>
  <c r="O21"/>
  <c r="L21"/>
  <c r="I21"/>
  <c r="F21"/>
  <c r="N20"/>
  <c r="N22" s="1"/>
  <c r="T61" i="83" l="1"/>
  <c r="V61" s="1"/>
  <c r="T114"/>
  <c r="V114" s="1"/>
  <c r="T116"/>
  <c r="T118"/>
  <c r="T120"/>
  <c r="V120" s="1"/>
  <c r="T126"/>
  <c r="V126" s="1"/>
  <c r="T128"/>
  <c r="V128" s="1"/>
  <c r="T130"/>
  <c r="V130" s="1"/>
  <c r="T132"/>
  <c r="V132" s="1"/>
  <c r="T134"/>
  <c r="V134" s="1"/>
  <c r="T139"/>
  <c r="V139" s="1"/>
  <c r="T149"/>
  <c r="V149" s="1"/>
  <c r="T147"/>
  <c r="V147" s="1"/>
  <c r="T62"/>
  <c r="V62" s="1"/>
  <c r="T65"/>
  <c r="V65" s="1"/>
  <c r="T66"/>
  <c r="V66" s="1"/>
  <c r="T67"/>
  <c r="V67" s="1"/>
  <c r="T135"/>
  <c r="V135" s="1"/>
  <c r="T127"/>
  <c r="T129"/>
  <c r="T131"/>
  <c r="T133"/>
  <c r="V127"/>
  <c r="V129"/>
  <c r="V131"/>
  <c r="V133"/>
  <c r="T140"/>
  <c r="V140" s="1"/>
  <c r="T141"/>
  <c r="V141" s="1"/>
  <c r="V118"/>
  <c r="V116"/>
  <c r="T115"/>
  <c r="V115" s="1"/>
  <c r="T117"/>
  <c r="V117" s="1"/>
  <c r="T119"/>
  <c r="V119" s="1"/>
  <c r="T121"/>
  <c r="V121" s="1"/>
  <c r="T87"/>
  <c r="V87" s="1"/>
  <c r="T85"/>
  <c r="V85" s="1"/>
  <c r="S89"/>
  <c r="T86"/>
  <c r="T88"/>
  <c r="V88" s="1"/>
  <c r="T26"/>
  <c r="V26" s="1"/>
  <c r="T28"/>
  <c r="V28" s="1"/>
  <c r="T30"/>
  <c r="V30" s="1"/>
  <c r="T9"/>
  <c r="V9" s="1"/>
  <c r="T175"/>
  <c r="V175" s="1"/>
  <c r="T177"/>
  <c r="V177" s="1"/>
  <c r="T176"/>
  <c r="V176" s="1"/>
  <c r="T10"/>
  <c r="V10" s="1"/>
  <c r="T11"/>
  <c r="V11" s="1"/>
  <c r="T32"/>
  <c r="V32" s="1"/>
  <c r="T27"/>
  <c r="T29"/>
  <c r="T31"/>
  <c r="V31" s="1"/>
  <c r="T33"/>
  <c r="V33" s="1"/>
  <c r="V27"/>
  <c r="V29"/>
  <c r="T21" i="82"/>
  <c r="V86" i="83" l="1"/>
  <c r="V21" i="82"/>
  <c r="S115" i="87" l="1"/>
  <c r="U115" s="1"/>
  <c r="R115"/>
  <c r="O115"/>
  <c r="L115"/>
  <c r="I115"/>
  <c r="F115"/>
  <c r="S114"/>
  <c r="U114" s="1"/>
  <c r="R114"/>
  <c r="O114"/>
  <c r="L114"/>
  <c r="I114"/>
  <c r="F114"/>
  <c r="N111"/>
  <c r="R90"/>
  <c r="O90"/>
  <c r="S90"/>
  <c r="U90" s="1"/>
  <c r="I90"/>
  <c r="F90"/>
  <c r="R89"/>
  <c r="O89"/>
  <c r="S89"/>
  <c r="U89" s="1"/>
  <c r="I89"/>
  <c r="F89"/>
  <c r="R88"/>
  <c r="O88"/>
  <c r="L88"/>
  <c r="S88"/>
  <c r="U88" s="1"/>
  <c r="I88"/>
  <c r="F88"/>
  <c r="R87"/>
  <c r="O87"/>
  <c r="L87"/>
  <c r="S87"/>
  <c r="U87" s="1"/>
  <c r="I87"/>
  <c r="F87"/>
  <c r="R86"/>
  <c r="O86"/>
  <c r="K86"/>
  <c r="S86" s="1"/>
  <c r="U86" s="1"/>
  <c r="I86"/>
  <c r="F86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T56" s="1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44" i="82"/>
  <c r="U44" s="1"/>
  <c r="R44"/>
  <c r="O44"/>
  <c r="L44"/>
  <c r="I44"/>
  <c r="F44"/>
  <c r="S43"/>
  <c r="U43" s="1"/>
  <c r="R43"/>
  <c r="O43"/>
  <c r="L43"/>
  <c r="I43"/>
  <c r="F43"/>
  <c r="F45"/>
  <c r="I45"/>
  <c r="L45"/>
  <c r="O45"/>
  <c r="R45"/>
  <c r="S45"/>
  <c r="U45" s="1"/>
  <c r="E46"/>
  <c r="H46"/>
  <c r="K46"/>
  <c r="N46"/>
  <c r="Q46"/>
  <c r="S42"/>
  <c r="U42" s="1"/>
  <c r="R42"/>
  <c r="O42"/>
  <c r="L42"/>
  <c r="I42"/>
  <c r="F42"/>
  <c r="S41"/>
  <c r="U41" s="1"/>
  <c r="R41"/>
  <c r="O41"/>
  <c r="L41"/>
  <c r="I41"/>
  <c r="F41"/>
  <c r="S40"/>
  <c r="U40" s="1"/>
  <c r="R40"/>
  <c r="O40"/>
  <c r="L40"/>
  <c r="I40"/>
  <c r="F40"/>
  <c r="T114" i="87" l="1"/>
  <c r="T43" i="82"/>
  <c r="V43" s="1"/>
  <c r="T40"/>
  <c r="V40" s="1"/>
  <c r="T52" i="87"/>
  <c r="V52" s="1"/>
  <c r="T54"/>
  <c r="V54" s="1"/>
  <c r="T115"/>
  <c r="V115" s="1"/>
  <c r="V114"/>
  <c r="T87"/>
  <c r="T88"/>
  <c r="V88" s="1"/>
  <c r="V87"/>
  <c r="L86"/>
  <c r="T86" s="1"/>
  <c r="V86" s="1"/>
  <c r="L89"/>
  <c r="T89" s="1"/>
  <c r="V89" s="1"/>
  <c r="L90"/>
  <c r="T90" s="1"/>
  <c r="V90" s="1"/>
  <c r="V56"/>
  <c r="T57"/>
  <c r="V57" s="1"/>
  <c r="T58"/>
  <c r="V58" s="1"/>
  <c r="T59"/>
  <c r="V59" s="1"/>
  <c r="T53"/>
  <c r="V53" s="1"/>
  <c r="T55"/>
  <c r="V55" s="1"/>
  <c r="T45" i="82"/>
  <c r="V45" s="1"/>
  <c r="T44"/>
  <c r="V44" s="1"/>
  <c r="T42"/>
  <c r="V42" s="1"/>
  <c r="T41"/>
  <c r="V41" s="1"/>
  <c r="R85" l="1"/>
  <c r="S85"/>
  <c r="U85" s="1"/>
  <c r="L85"/>
  <c r="I85"/>
  <c r="F85"/>
  <c r="R84"/>
  <c r="S84"/>
  <c r="U84" s="1"/>
  <c r="L84"/>
  <c r="I84"/>
  <c r="F84"/>
  <c r="R83"/>
  <c r="N83"/>
  <c r="S83" s="1"/>
  <c r="U83" s="1"/>
  <c r="L83"/>
  <c r="I83"/>
  <c r="F83"/>
  <c r="N82"/>
  <c r="Q45" i="90"/>
  <c r="N45"/>
  <c r="K45"/>
  <c r="H45"/>
  <c r="E45"/>
  <c r="S44"/>
  <c r="U44" s="1"/>
  <c r="R44"/>
  <c r="O44"/>
  <c r="L44"/>
  <c r="I44"/>
  <c r="F44"/>
  <c r="S43"/>
  <c r="U43" s="1"/>
  <c r="R43"/>
  <c r="O43"/>
  <c r="L43"/>
  <c r="I43"/>
  <c r="F43"/>
  <c r="S42"/>
  <c r="R42"/>
  <c r="O42"/>
  <c r="L42"/>
  <c r="I42"/>
  <c r="F42"/>
  <c r="S41"/>
  <c r="U41" s="1"/>
  <c r="R41"/>
  <c r="R45" s="1"/>
  <c r="O41"/>
  <c r="O45" s="1"/>
  <c r="L41"/>
  <c r="I41"/>
  <c r="I45" s="1"/>
  <c r="F41"/>
  <c r="Q40"/>
  <c r="N40"/>
  <c r="K40"/>
  <c r="H40"/>
  <c r="E40"/>
  <c r="S39"/>
  <c r="U39" s="1"/>
  <c r="R39"/>
  <c r="O39"/>
  <c r="L39"/>
  <c r="I39"/>
  <c r="F39"/>
  <c r="S38"/>
  <c r="U38" s="1"/>
  <c r="R38"/>
  <c r="O38"/>
  <c r="L38"/>
  <c r="I38"/>
  <c r="F38"/>
  <c r="S37"/>
  <c r="R37"/>
  <c r="O37"/>
  <c r="L37"/>
  <c r="I37"/>
  <c r="F37"/>
  <c r="S36"/>
  <c r="U36" s="1"/>
  <c r="R36"/>
  <c r="R40" s="1"/>
  <c r="O36"/>
  <c r="L36"/>
  <c r="I36"/>
  <c r="F36"/>
  <c r="Q35"/>
  <c r="N35"/>
  <c r="K35"/>
  <c r="H35"/>
  <c r="E35"/>
  <c r="S34"/>
  <c r="U34" s="1"/>
  <c r="R34"/>
  <c r="O34"/>
  <c r="L34"/>
  <c r="I34"/>
  <c r="F34"/>
  <c r="S33"/>
  <c r="U33" s="1"/>
  <c r="R33"/>
  <c r="O33"/>
  <c r="L33"/>
  <c r="I33"/>
  <c r="F33"/>
  <c r="S32"/>
  <c r="R32"/>
  <c r="O32"/>
  <c r="L32"/>
  <c r="I32"/>
  <c r="F32"/>
  <c r="S31"/>
  <c r="U31" s="1"/>
  <c r="R31"/>
  <c r="O31"/>
  <c r="O35" s="1"/>
  <c r="L31"/>
  <c r="I31"/>
  <c r="I35" s="1"/>
  <c r="F31"/>
  <c r="Q62"/>
  <c r="N62"/>
  <c r="K62"/>
  <c r="H62"/>
  <c r="E62"/>
  <c r="S61"/>
  <c r="U61" s="1"/>
  <c r="R61"/>
  <c r="O61"/>
  <c r="L61"/>
  <c r="I61"/>
  <c r="F61"/>
  <c r="S60"/>
  <c r="U60" s="1"/>
  <c r="R60"/>
  <c r="O60"/>
  <c r="L60"/>
  <c r="I60"/>
  <c r="F60"/>
  <c r="S59"/>
  <c r="R59"/>
  <c r="O59"/>
  <c r="L59"/>
  <c r="I59"/>
  <c r="F59"/>
  <c r="S58"/>
  <c r="U58" s="1"/>
  <c r="R58"/>
  <c r="R62" s="1"/>
  <c r="O58"/>
  <c r="L58"/>
  <c r="I58"/>
  <c r="I62" s="1"/>
  <c r="F58"/>
  <c r="Q57"/>
  <c r="N57"/>
  <c r="K57"/>
  <c r="H57"/>
  <c r="E57"/>
  <c r="S56"/>
  <c r="U56" s="1"/>
  <c r="R56"/>
  <c r="O56"/>
  <c r="L56"/>
  <c r="I56"/>
  <c r="F56"/>
  <c r="S55"/>
  <c r="U55" s="1"/>
  <c r="R55"/>
  <c r="O55"/>
  <c r="L55"/>
  <c r="I55"/>
  <c r="F55"/>
  <c r="S54"/>
  <c r="R54"/>
  <c r="O54"/>
  <c r="L54"/>
  <c r="I54"/>
  <c r="F54"/>
  <c r="S53"/>
  <c r="U53" s="1"/>
  <c r="R53"/>
  <c r="R57" s="1"/>
  <c r="O53"/>
  <c r="O57" s="1"/>
  <c r="L53"/>
  <c r="I53"/>
  <c r="I57" s="1"/>
  <c r="F53"/>
  <c r="F57" s="1"/>
  <c r="Q30"/>
  <c r="N30"/>
  <c r="K30"/>
  <c r="H30"/>
  <c r="E30"/>
  <c r="S29"/>
  <c r="U29" s="1"/>
  <c r="R29"/>
  <c r="O29"/>
  <c r="L29"/>
  <c r="I29"/>
  <c r="F29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5"/>
  <c r="U15" s="1"/>
  <c r="R15"/>
  <c r="O15"/>
  <c r="L15"/>
  <c r="I15"/>
  <c r="F15"/>
  <c r="Q16"/>
  <c r="N16"/>
  <c r="K16"/>
  <c r="H16"/>
  <c r="E16"/>
  <c r="S14"/>
  <c r="R14"/>
  <c r="O14"/>
  <c r="L14"/>
  <c r="I14"/>
  <c r="F14"/>
  <c r="Q52"/>
  <c r="N52"/>
  <c r="K52"/>
  <c r="H52"/>
  <c r="E52"/>
  <c r="S51"/>
  <c r="U51" s="1"/>
  <c r="R51"/>
  <c r="O51"/>
  <c r="L51"/>
  <c r="I51"/>
  <c r="F51"/>
  <c r="S50"/>
  <c r="U50" s="1"/>
  <c r="R50"/>
  <c r="R52" s="1"/>
  <c r="O50"/>
  <c r="O52" s="1"/>
  <c r="L50"/>
  <c r="I50"/>
  <c r="I52" s="1"/>
  <c r="F50"/>
  <c r="Q13"/>
  <c r="N13"/>
  <c r="K13"/>
  <c r="H13"/>
  <c r="E13"/>
  <c r="S12"/>
  <c r="U12" s="1"/>
  <c r="U13" s="1"/>
  <c r="R12"/>
  <c r="R13" s="1"/>
  <c r="O12"/>
  <c r="O13" s="1"/>
  <c r="L12"/>
  <c r="L13" s="1"/>
  <c r="I12"/>
  <c r="I13" s="1"/>
  <c r="F12"/>
  <c r="F13" s="1"/>
  <c r="Q11"/>
  <c r="N11"/>
  <c r="K11"/>
  <c r="H11"/>
  <c r="E11"/>
  <c r="S10"/>
  <c r="R10"/>
  <c r="O10"/>
  <c r="L10"/>
  <c r="I10"/>
  <c r="F10"/>
  <c r="S9"/>
  <c r="U9" s="1"/>
  <c r="R9"/>
  <c r="R11" s="1"/>
  <c r="O9"/>
  <c r="O11" s="1"/>
  <c r="L9"/>
  <c r="L11" s="1"/>
  <c r="I9"/>
  <c r="I11" s="1"/>
  <c r="F9"/>
  <c r="F11" s="1"/>
  <c r="Q8"/>
  <c r="N8"/>
  <c r="K8"/>
  <c r="H8"/>
  <c r="E8"/>
  <c r="S7"/>
  <c r="U7" s="1"/>
  <c r="R7"/>
  <c r="O7"/>
  <c r="L7"/>
  <c r="I7"/>
  <c r="F7"/>
  <c r="S6"/>
  <c r="S8" s="1"/>
  <c r="R6"/>
  <c r="R8" s="1"/>
  <c r="O6"/>
  <c r="L6"/>
  <c r="I6"/>
  <c r="F6"/>
  <c r="F8" s="1"/>
  <c r="S3"/>
  <c r="U3" s="1"/>
  <c r="R3"/>
  <c r="O3"/>
  <c r="L3"/>
  <c r="I3"/>
  <c r="F3"/>
  <c r="P1"/>
  <c r="U2" s="1"/>
  <c r="C1"/>
  <c r="T38" l="1"/>
  <c r="V38" s="1"/>
  <c r="T34"/>
  <c r="V34" s="1"/>
  <c r="I40"/>
  <c r="K46"/>
  <c r="Q46"/>
  <c r="O83" i="82"/>
  <c r="T83" s="1"/>
  <c r="V83" s="1"/>
  <c r="O84"/>
  <c r="T84" s="1"/>
  <c r="V84" s="1"/>
  <c r="O85"/>
  <c r="T85" s="1"/>
  <c r="V85" s="1"/>
  <c r="H46" i="90"/>
  <c r="N46"/>
  <c r="T18"/>
  <c r="V18" s="1"/>
  <c r="T42"/>
  <c r="T44"/>
  <c r="V44" s="1"/>
  <c r="O40"/>
  <c r="T36"/>
  <c r="V36" s="1"/>
  <c r="F35"/>
  <c r="R35"/>
  <c r="T32"/>
  <c r="V32" s="1"/>
  <c r="O62"/>
  <c r="T60"/>
  <c r="V60" s="1"/>
  <c r="T58"/>
  <c r="V58" s="1"/>
  <c r="T54"/>
  <c r="V54" s="1"/>
  <c r="T56"/>
  <c r="V56" s="1"/>
  <c r="O30"/>
  <c r="I30"/>
  <c r="T19"/>
  <c r="V19" s="1"/>
  <c r="T10"/>
  <c r="V10" s="1"/>
  <c r="S16"/>
  <c r="F30"/>
  <c r="T17"/>
  <c r="R30"/>
  <c r="T29"/>
  <c r="V29" s="1"/>
  <c r="T53"/>
  <c r="T55"/>
  <c r="V55" s="1"/>
  <c r="T59"/>
  <c r="V59" s="1"/>
  <c r="S62"/>
  <c r="T61"/>
  <c r="V61" s="1"/>
  <c r="T31"/>
  <c r="T33"/>
  <c r="V33" s="1"/>
  <c r="T37"/>
  <c r="V37" s="1"/>
  <c r="S40"/>
  <c r="T39"/>
  <c r="V39" s="1"/>
  <c r="T41"/>
  <c r="V41" s="1"/>
  <c r="V42"/>
  <c r="T43"/>
  <c r="V43" s="1"/>
  <c r="S30"/>
  <c r="S57"/>
  <c r="S35"/>
  <c r="S45"/>
  <c r="E46"/>
  <c r="O16"/>
  <c r="T15"/>
  <c r="V15" s="1"/>
  <c r="T14"/>
  <c r="F52"/>
  <c r="L52"/>
  <c r="L35"/>
  <c r="F40"/>
  <c r="L40"/>
  <c r="F45"/>
  <c r="L45"/>
  <c r="U32"/>
  <c r="U35" s="1"/>
  <c r="U37"/>
  <c r="U40" s="1"/>
  <c r="U42"/>
  <c r="U45" s="1"/>
  <c r="U54"/>
  <c r="U57" s="1"/>
  <c r="L57"/>
  <c r="F62"/>
  <c r="L62"/>
  <c r="U59"/>
  <c r="U62" s="1"/>
  <c r="U30"/>
  <c r="L30"/>
  <c r="L16"/>
  <c r="R16"/>
  <c r="U14"/>
  <c r="U16" s="1"/>
  <c r="F16"/>
  <c r="I16"/>
  <c r="S11"/>
  <c r="T3"/>
  <c r="V3" s="1"/>
  <c r="S13"/>
  <c r="U52"/>
  <c r="T51"/>
  <c r="V51" s="1"/>
  <c r="S52"/>
  <c r="T50"/>
  <c r="T12"/>
  <c r="T7"/>
  <c r="V7" s="1"/>
  <c r="T9"/>
  <c r="T11" s="1"/>
  <c r="U10"/>
  <c r="U11" s="1"/>
  <c r="T6"/>
  <c r="V6" s="1"/>
  <c r="O8"/>
  <c r="I8"/>
  <c r="L8"/>
  <c r="U6"/>
  <c r="U8" s="1"/>
  <c r="S14" i="89"/>
  <c r="R14"/>
  <c r="O14"/>
  <c r="L14"/>
  <c r="I14"/>
  <c r="F14"/>
  <c r="S13"/>
  <c r="R13"/>
  <c r="R15" s="1"/>
  <c r="O13"/>
  <c r="O15" s="1"/>
  <c r="L13"/>
  <c r="L15" s="1"/>
  <c r="I13"/>
  <c r="I15" s="1"/>
  <c r="F13"/>
  <c r="F15" s="1"/>
  <c r="Q8"/>
  <c r="Q16" s="1"/>
  <c r="N8"/>
  <c r="N16" s="1"/>
  <c r="K8"/>
  <c r="K16" s="1"/>
  <c r="H8"/>
  <c r="H16" s="1"/>
  <c r="E8"/>
  <c r="S7"/>
  <c r="R7"/>
  <c r="O7"/>
  <c r="L7"/>
  <c r="I7"/>
  <c r="F7"/>
  <c r="S6"/>
  <c r="U6" s="1"/>
  <c r="R6"/>
  <c r="O6"/>
  <c r="O8" s="1"/>
  <c r="L6"/>
  <c r="I6"/>
  <c r="I8" s="1"/>
  <c r="F6"/>
  <c r="S3"/>
  <c r="U3" s="1"/>
  <c r="R3"/>
  <c r="O3"/>
  <c r="L3"/>
  <c r="I3"/>
  <c r="F3"/>
  <c r="P1"/>
  <c r="U2" s="1"/>
  <c r="C1"/>
  <c r="K82" i="82"/>
  <c r="H16" i="84"/>
  <c r="E16"/>
  <c r="S15"/>
  <c r="U15" s="1"/>
  <c r="R15"/>
  <c r="O15"/>
  <c r="L15"/>
  <c r="I15"/>
  <c r="F15"/>
  <c r="Q8"/>
  <c r="N8"/>
  <c r="K8"/>
  <c r="H8"/>
  <c r="E8"/>
  <c r="S7"/>
  <c r="U7" s="1"/>
  <c r="R7"/>
  <c r="O7"/>
  <c r="L7"/>
  <c r="I7"/>
  <c r="F7"/>
  <c r="Q19"/>
  <c r="N19"/>
  <c r="K19"/>
  <c r="H19"/>
  <c r="E19"/>
  <c r="S18"/>
  <c r="U18" s="1"/>
  <c r="R18"/>
  <c r="O18"/>
  <c r="L18"/>
  <c r="I18"/>
  <c r="F18"/>
  <c r="Q11"/>
  <c r="N11"/>
  <c r="K11"/>
  <c r="H11"/>
  <c r="E11"/>
  <c r="S10"/>
  <c r="U10" s="1"/>
  <c r="R10"/>
  <c r="O10"/>
  <c r="L10"/>
  <c r="I10"/>
  <c r="F10"/>
  <c r="S77" i="82"/>
  <c r="U77" s="1"/>
  <c r="R77"/>
  <c r="O77"/>
  <c r="L77"/>
  <c r="I77"/>
  <c r="F77"/>
  <c r="S76"/>
  <c r="U76" s="1"/>
  <c r="R76"/>
  <c r="O76"/>
  <c r="L76"/>
  <c r="I76"/>
  <c r="F76"/>
  <c r="S75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N67"/>
  <c r="S67" s="1"/>
  <c r="U67" s="1"/>
  <c r="Q79"/>
  <c r="N79"/>
  <c r="K79"/>
  <c r="H79"/>
  <c r="E79"/>
  <c r="S78"/>
  <c r="U78" s="1"/>
  <c r="R78"/>
  <c r="O78"/>
  <c r="L78"/>
  <c r="I78"/>
  <c r="F78"/>
  <c r="S69"/>
  <c r="U69" s="1"/>
  <c r="R69"/>
  <c r="O69"/>
  <c r="L69"/>
  <c r="I69"/>
  <c r="F69"/>
  <c r="S68"/>
  <c r="U68" s="1"/>
  <c r="R68"/>
  <c r="O68"/>
  <c r="L68"/>
  <c r="I68"/>
  <c r="F68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K61"/>
  <c r="E66"/>
  <c r="H61"/>
  <c r="H66" s="1"/>
  <c r="Q25"/>
  <c r="N25"/>
  <c r="K25"/>
  <c r="H25"/>
  <c r="E25"/>
  <c r="S24"/>
  <c r="U24" s="1"/>
  <c r="R24"/>
  <c r="O24"/>
  <c r="L24"/>
  <c r="I24"/>
  <c r="F24"/>
  <c r="N52"/>
  <c r="K52"/>
  <c r="K51"/>
  <c r="K50"/>
  <c r="K48"/>
  <c r="K47"/>
  <c r="S56"/>
  <c r="U56" s="1"/>
  <c r="R56"/>
  <c r="O56"/>
  <c r="L56"/>
  <c r="I56"/>
  <c r="F56"/>
  <c r="S55"/>
  <c r="U55" s="1"/>
  <c r="R55"/>
  <c r="O55"/>
  <c r="L55"/>
  <c r="I55"/>
  <c r="F55"/>
  <c r="S70" i="72"/>
  <c r="U70" s="1"/>
  <c r="R70"/>
  <c r="O70"/>
  <c r="L70"/>
  <c r="I70"/>
  <c r="F70"/>
  <c r="Q10" i="80"/>
  <c r="N10"/>
  <c r="K10"/>
  <c r="H10"/>
  <c r="E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E37" i="71"/>
  <c r="E42"/>
  <c r="E40"/>
  <c r="T62" i="82" l="1"/>
  <c r="R46" i="90"/>
  <c r="F8" i="89"/>
  <c r="U13"/>
  <c r="S15"/>
  <c r="T8" i="80"/>
  <c r="V8" s="1"/>
  <c r="T70" i="72"/>
  <c r="V70" s="1"/>
  <c r="T10" i="84"/>
  <c r="V10" s="1"/>
  <c r="T6" i="89"/>
  <c r="V6" s="1"/>
  <c r="T16" i="90"/>
  <c r="T56" i="82"/>
  <c r="V56" s="1"/>
  <c r="T70"/>
  <c r="V70" s="1"/>
  <c r="T72"/>
  <c r="V72" s="1"/>
  <c r="T74"/>
  <c r="V74" s="1"/>
  <c r="T76"/>
  <c r="V76" s="1"/>
  <c r="S46" i="90"/>
  <c r="V14"/>
  <c r="T35"/>
  <c r="V40"/>
  <c r="T40"/>
  <c r="V31"/>
  <c r="V35" s="1"/>
  <c r="T62"/>
  <c r="T57"/>
  <c r="F46"/>
  <c r="L46"/>
  <c r="T30"/>
  <c r="I46"/>
  <c r="V17"/>
  <c r="V30" s="1"/>
  <c r="V53"/>
  <c r="V57" s="1"/>
  <c r="V62"/>
  <c r="O46"/>
  <c r="T45"/>
  <c r="V45"/>
  <c r="U46"/>
  <c r="T52"/>
  <c r="V12"/>
  <c r="V13" s="1"/>
  <c r="V16"/>
  <c r="V50"/>
  <c r="V52" s="1"/>
  <c r="T13"/>
  <c r="V9"/>
  <c r="V11" s="1"/>
  <c r="T8"/>
  <c r="V8"/>
  <c r="T14" i="89"/>
  <c r="V14" s="1"/>
  <c r="R8"/>
  <c r="R16" s="1"/>
  <c r="T3"/>
  <c r="V3" s="1"/>
  <c r="T7"/>
  <c r="V7" s="1"/>
  <c r="S8"/>
  <c r="S16" s="1"/>
  <c r="T13"/>
  <c r="E16"/>
  <c r="I16"/>
  <c r="O16"/>
  <c r="L8"/>
  <c r="U7"/>
  <c r="U8" s="1"/>
  <c r="U14"/>
  <c r="T15" i="84"/>
  <c r="V15" s="1"/>
  <c r="T7"/>
  <c r="T18"/>
  <c r="T77" i="82"/>
  <c r="V77" s="1"/>
  <c r="T75"/>
  <c r="V75" s="1"/>
  <c r="T73"/>
  <c r="V73" s="1"/>
  <c r="T71"/>
  <c r="V71" s="1"/>
  <c r="U79"/>
  <c r="S79"/>
  <c r="T68"/>
  <c r="V68" s="1"/>
  <c r="T69"/>
  <c r="V69" s="1"/>
  <c r="T78"/>
  <c r="V78" s="1"/>
  <c r="T63"/>
  <c r="V63" s="1"/>
  <c r="T64"/>
  <c r="V64" s="1"/>
  <c r="V62"/>
  <c r="T24"/>
  <c r="V24" s="1"/>
  <c r="T55"/>
  <c r="V55" s="1"/>
  <c r="T7" i="80"/>
  <c r="T9"/>
  <c r="V9" s="1"/>
  <c r="S37" i="71"/>
  <c r="T15" i="89" l="1"/>
  <c r="U15"/>
  <c r="V8"/>
  <c r="T46" i="90"/>
  <c r="V46"/>
  <c r="L16" i="89"/>
  <c r="T8"/>
  <c r="T16" s="1"/>
  <c r="V13"/>
  <c r="V15" s="1"/>
  <c r="F16"/>
  <c r="U16"/>
  <c r="V7" i="84"/>
  <c r="V18"/>
  <c r="V7" i="80"/>
  <c r="Q13" i="86"/>
  <c r="N13"/>
  <c r="K13"/>
  <c r="H13"/>
  <c r="E13"/>
  <c r="S12"/>
  <c r="U12" s="1"/>
  <c r="R12"/>
  <c r="O12"/>
  <c r="L12"/>
  <c r="I12"/>
  <c r="F12"/>
  <c r="S11"/>
  <c r="U11" s="1"/>
  <c r="R11"/>
  <c r="O11"/>
  <c r="L11"/>
  <c r="I11"/>
  <c r="F11"/>
  <c r="Q9"/>
  <c r="N9"/>
  <c r="K9"/>
  <c r="H9"/>
  <c r="E9"/>
  <c r="S8"/>
  <c r="U8" s="1"/>
  <c r="R8"/>
  <c r="O8"/>
  <c r="L8"/>
  <c r="I8"/>
  <c r="F8"/>
  <c r="S7"/>
  <c r="U7" s="1"/>
  <c r="R7"/>
  <c r="O7"/>
  <c r="L7"/>
  <c r="I7"/>
  <c r="F7"/>
  <c r="S48" i="71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Q24" i="72"/>
  <c r="T46" i="71" l="1"/>
  <c r="T48"/>
  <c r="V48" s="1"/>
  <c r="T7" i="86"/>
  <c r="V7" s="1"/>
  <c r="T11"/>
  <c r="V11" s="1"/>
  <c r="V16" i="89"/>
  <c r="T12" i="86"/>
  <c r="V12" s="1"/>
  <c r="T8"/>
  <c r="V8" s="1"/>
  <c r="T47" i="71"/>
  <c r="V47" s="1"/>
  <c r="V46"/>
  <c r="S57" i="82" l="1"/>
  <c r="U57" s="1"/>
  <c r="R57"/>
  <c r="O57"/>
  <c r="L57"/>
  <c r="I57"/>
  <c r="F57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15" i="86"/>
  <c r="U15" s="1"/>
  <c r="R15"/>
  <c r="O15"/>
  <c r="L15"/>
  <c r="I15"/>
  <c r="F15"/>
  <c r="Q20" i="81"/>
  <c r="N20"/>
  <c r="K20"/>
  <c r="H20"/>
  <c r="E20"/>
  <c r="S19"/>
  <c r="U19" s="1"/>
  <c r="R19"/>
  <c r="O19"/>
  <c r="L19"/>
  <c r="I19"/>
  <c r="F19"/>
  <c r="S18"/>
  <c r="U18" s="1"/>
  <c r="R18"/>
  <c r="O18"/>
  <c r="L18"/>
  <c r="I18"/>
  <c r="F18"/>
  <c r="H50" i="82"/>
  <c r="S23" i="72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6"/>
  <c r="U26" s="1"/>
  <c r="O26"/>
  <c r="L26"/>
  <c r="I26"/>
  <c r="F26"/>
  <c r="R25"/>
  <c r="S25"/>
  <c r="U25" s="1"/>
  <c r="O25"/>
  <c r="L25"/>
  <c r="I25"/>
  <c r="F25"/>
  <c r="S24"/>
  <c r="U24" s="1"/>
  <c r="R24"/>
  <c r="O24"/>
  <c r="L24"/>
  <c r="I24"/>
  <c r="F24"/>
  <c r="R20"/>
  <c r="S20"/>
  <c r="U20" s="1"/>
  <c r="O20"/>
  <c r="L20"/>
  <c r="I20"/>
  <c r="F20"/>
  <c r="R19"/>
  <c r="O19"/>
  <c r="L19"/>
  <c r="I19"/>
  <c r="F19"/>
  <c r="R18"/>
  <c r="N18"/>
  <c r="S18" s="1"/>
  <c r="U18" s="1"/>
  <c r="L18"/>
  <c r="I18"/>
  <c r="F18"/>
  <c r="N16"/>
  <c r="N15"/>
  <c r="N14"/>
  <c r="H36" i="61"/>
  <c r="E36"/>
  <c r="Q36"/>
  <c r="N36"/>
  <c r="K36"/>
  <c r="S35"/>
  <c r="U35" s="1"/>
  <c r="R35"/>
  <c r="O35"/>
  <c r="L35"/>
  <c r="I35"/>
  <c r="F35"/>
  <c r="R74" i="71"/>
  <c r="N74"/>
  <c r="S74" s="1"/>
  <c r="U74" s="1"/>
  <c r="L74"/>
  <c r="I74"/>
  <c r="F74"/>
  <c r="Q71"/>
  <c r="Q76" s="1"/>
  <c r="N70"/>
  <c r="N69"/>
  <c r="N68"/>
  <c r="K16" i="72"/>
  <c r="K28" s="1"/>
  <c r="S45" i="71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S42"/>
  <c r="U42" s="1"/>
  <c r="R42"/>
  <c r="O42"/>
  <c r="L42"/>
  <c r="I42"/>
  <c r="F42"/>
  <c r="Q41" i="61"/>
  <c r="N41"/>
  <c r="K41"/>
  <c r="H41"/>
  <c r="E41"/>
  <c r="S38"/>
  <c r="U38" s="1"/>
  <c r="R38"/>
  <c r="O38"/>
  <c r="L38"/>
  <c r="I38"/>
  <c r="F38"/>
  <c r="S40"/>
  <c r="U40" s="1"/>
  <c r="R40"/>
  <c r="O40"/>
  <c r="L40"/>
  <c r="I40"/>
  <c r="S39"/>
  <c r="U39" s="1"/>
  <c r="R39"/>
  <c r="O39"/>
  <c r="L39"/>
  <c r="I39"/>
  <c r="E111" i="69"/>
  <c r="E110"/>
  <c r="T21" i="72" l="1"/>
  <c r="T15" i="86"/>
  <c r="V15" s="1"/>
  <c r="T39" i="61"/>
  <c r="V39" s="1"/>
  <c r="T38"/>
  <c r="O74" i="71"/>
  <c r="V38" i="61"/>
  <c r="T42" i="71"/>
  <c r="V42" s="1"/>
  <c r="T23" i="72"/>
  <c r="T74" i="71"/>
  <c r="V74" s="1"/>
  <c r="O18" i="72"/>
  <c r="T18" s="1"/>
  <c r="V18" s="1"/>
  <c r="T53" i="82"/>
  <c r="V53" s="1"/>
  <c r="T57"/>
  <c r="V57" s="1"/>
  <c r="T52"/>
  <c r="V52" s="1"/>
  <c r="T44" i="71"/>
  <c r="V44" s="1"/>
  <c r="T54" i="82"/>
  <c r="V54" s="1"/>
  <c r="T18" i="81"/>
  <c r="T19"/>
  <c r="V19" s="1"/>
  <c r="V23" i="72"/>
  <c r="T22"/>
  <c r="V22" s="1"/>
  <c r="V21"/>
  <c r="T25"/>
  <c r="V25" s="1"/>
  <c r="T19"/>
  <c r="V19" s="1"/>
  <c r="T20"/>
  <c r="V20" s="1"/>
  <c r="T24"/>
  <c r="V24" s="1"/>
  <c r="S19"/>
  <c r="U19" s="1"/>
  <c r="R26"/>
  <c r="T26" s="1"/>
  <c r="V26" s="1"/>
  <c r="T35" i="61"/>
  <c r="T43" i="71"/>
  <c r="V43" s="1"/>
  <c r="T45"/>
  <c r="V45" s="1"/>
  <c r="T40" i="61"/>
  <c r="V40" s="1"/>
  <c r="K8" i="73"/>
  <c r="S34" i="72"/>
  <c r="U34" s="1"/>
  <c r="R34"/>
  <c r="O34"/>
  <c r="L34"/>
  <c r="I34"/>
  <c r="F34"/>
  <c r="R33"/>
  <c r="O33"/>
  <c r="L33"/>
  <c r="H33"/>
  <c r="S33" s="1"/>
  <c r="U33" s="1"/>
  <c r="F33"/>
  <c r="N27" i="82"/>
  <c r="K27"/>
  <c r="Q25" i="71"/>
  <c r="N25"/>
  <c r="K25"/>
  <c r="H25"/>
  <c r="E25"/>
  <c r="S24"/>
  <c r="U24" s="1"/>
  <c r="R24"/>
  <c r="O24"/>
  <c r="L24"/>
  <c r="I24"/>
  <c r="F24"/>
  <c r="S23"/>
  <c r="U23" s="1"/>
  <c r="R23"/>
  <c r="O23"/>
  <c r="L23"/>
  <c r="I23"/>
  <c r="F23"/>
  <c r="S29" i="80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T22" s="1"/>
  <c r="F22"/>
  <c r="K20"/>
  <c r="R34" i="82"/>
  <c r="O34"/>
  <c r="L34"/>
  <c r="S34"/>
  <c r="U34" s="1"/>
  <c r="I34"/>
  <c r="F34"/>
  <c r="R33"/>
  <c r="O33"/>
  <c r="L33"/>
  <c r="S33"/>
  <c r="U33" s="1"/>
  <c r="I33"/>
  <c r="F33"/>
  <c r="R32"/>
  <c r="O32"/>
  <c r="L32"/>
  <c r="S32"/>
  <c r="U32" s="1"/>
  <c r="I32"/>
  <c r="F32"/>
  <c r="R31"/>
  <c r="O31"/>
  <c r="K31"/>
  <c r="S31" s="1"/>
  <c r="U31" s="1"/>
  <c r="I31"/>
  <c r="F31"/>
  <c r="Q34" i="59"/>
  <c r="S17" i="81"/>
  <c r="S20" s="1"/>
  <c r="R17"/>
  <c r="R20" s="1"/>
  <c r="O17"/>
  <c r="O20" s="1"/>
  <c r="L17"/>
  <c r="L20" s="1"/>
  <c r="I17"/>
  <c r="I20" s="1"/>
  <c r="F17"/>
  <c r="F20" s="1"/>
  <c r="Q16"/>
  <c r="N16"/>
  <c r="K16"/>
  <c r="H16"/>
  <c r="E16"/>
  <c r="S15"/>
  <c r="S16" s="1"/>
  <c r="R15"/>
  <c r="R16" s="1"/>
  <c r="O15"/>
  <c r="O16" s="1"/>
  <c r="L15"/>
  <c r="L16" s="1"/>
  <c r="I15"/>
  <c r="I16" s="1"/>
  <c r="F15"/>
  <c r="F16" s="1"/>
  <c r="Q12" i="65"/>
  <c r="N12"/>
  <c r="K12"/>
  <c r="H12"/>
  <c r="E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2" s="1"/>
  <c r="R6"/>
  <c r="R12" s="1"/>
  <c r="O6"/>
  <c r="O12" s="1"/>
  <c r="L6"/>
  <c r="I6"/>
  <c r="I12" s="1"/>
  <c r="F6"/>
  <c r="H36" i="82"/>
  <c r="E36"/>
  <c r="Q10" i="81"/>
  <c r="N10"/>
  <c r="K10"/>
  <c r="H10"/>
  <c r="E10"/>
  <c r="S9"/>
  <c r="U9" s="1"/>
  <c r="R9"/>
  <c r="O9"/>
  <c r="L9"/>
  <c r="I9"/>
  <c r="F9"/>
  <c r="Q14"/>
  <c r="N14"/>
  <c r="K14"/>
  <c r="H14"/>
  <c r="E14"/>
  <c r="S13"/>
  <c r="U13" s="1"/>
  <c r="R13"/>
  <c r="O13"/>
  <c r="L13"/>
  <c r="I13"/>
  <c r="F13"/>
  <c r="S12"/>
  <c r="U12" s="1"/>
  <c r="R12"/>
  <c r="O12"/>
  <c r="L12"/>
  <c r="I12"/>
  <c r="F12"/>
  <c r="Q15" i="71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Q15" i="80"/>
  <c r="N15"/>
  <c r="K15"/>
  <c r="H15"/>
  <c r="E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Q54" i="72"/>
  <c r="S59"/>
  <c r="U59" s="1"/>
  <c r="R59"/>
  <c r="O59"/>
  <c r="L59"/>
  <c r="I59"/>
  <c r="F59"/>
  <c r="R58"/>
  <c r="O58"/>
  <c r="S58"/>
  <c r="U58" s="1"/>
  <c r="I58"/>
  <c r="F58"/>
  <c r="R57"/>
  <c r="N57"/>
  <c r="O57" s="1"/>
  <c r="K57"/>
  <c r="I57"/>
  <c r="F57"/>
  <c r="T7" i="65" l="1"/>
  <c r="T9"/>
  <c r="T11"/>
  <c r="T18" i="71"/>
  <c r="V18" s="1"/>
  <c r="I33" i="72"/>
  <c r="T33" s="1"/>
  <c r="V33" s="1"/>
  <c r="S57"/>
  <c r="U57" s="1"/>
  <c r="T16" i="71"/>
  <c r="V16" s="1"/>
  <c r="L57" i="72"/>
  <c r="T57" s="1"/>
  <c r="V57" s="1"/>
  <c r="T6" i="65"/>
  <c r="V6" s="1"/>
  <c r="T8"/>
  <c r="V8" s="1"/>
  <c r="T10"/>
  <c r="V10" s="1"/>
  <c r="V22" i="80"/>
  <c r="T23" i="71"/>
  <c r="V23" s="1"/>
  <c r="T13" i="80"/>
  <c r="V13" s="1"/>
  <c r="L31" i="82"/>
  <c r="T31" s="1"/>
  <c r="V31" s="1"/>
  <c r="V18" i="81"/>
  <c r="V35" i="61"/>
  <c r="T34" i="72"/>
  <c r="V34" s="1"/>
  <c r="T24" i="71"/>
  <c r="V24" s="1"/>
  <c r="T23" i="80"/>
  <c r="V23" s="1"/>
  <c r="T24"/>
  <c r="V24" s="1"/>
  <c r="T25"/>
  <c r="V25" s="1"/>
  <c r="T26"/>
  <c r="V26" s="1"/>
  <c r="T27"/>
  <c r="V27" s="1"/>
  <c r="T28"/>
  <c r="V28" s="1"/>
  <c r="T29"/>
  <c r="V29" s="1"/>
  <c r="T33" i="82"/>
  <c r="V33" s="1"/>
  <c r="T32"/>
  <c r="V32" s="1"/>
  <c r="T34"/>
  <c r="V34" s="1"/>
  <c r="T13" i="81"/>
  <c r="V13" s="1"/>
  <c r="U15"/>
  <c r="U16" s="1"/>
  <c r="T17"/>
  <c r="T20" s="1"/>
  <c r="T15"/>
  <c r="T16" s="1"/>
  <c r="U17"/>
  <c r="U20" s="1"/>
  <c r="V7" i="65"/>
  <c r="V9"/>
  <c r="V11"/>
  <c r="S12"/>
  <c r="F12"/>
  <c r="L12"/>
  <c r="T9" i="81"/>
  <c r="V9" s="1"/>
  <c r="T12"/>
  <c r="V12" s="1"/>
  <c r="T15" i="71"/>
  <c r="V15" s="1"/>
  <c r="T17"/>
  <c r="V17" s="1"/>
  <c r="T19"/>
  <c r="V19" s="1"/>
  <c r="T12" i="80"/>
  <c r="V12" s="1"/>
  <c r="T14"/>
  <c r="V14" s="1"/>
  <c r="T59" i="72"/>
  <c r="V59" s="1"/>
  <c r="L58"/>
  <c r="T58" s="1"/>
  <c r="V58" s="1"/>
  <c r="Q27" i="55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86" i="56"/>
  <c r="U86" s="1"/>
  <c r="R86"/>
  <c r="O86"/>
  <c r="L86"/>
  <c r="I86"/>
  <c r="F86"/>
  <c r="S85"/>
  <c r="U85" s="1"/>
  <c r="R85"/>
  <c r="O85"/>
  <c r="L85"/>
  <c r="I85"/>
  <c r="F85"/>
  <c r="S25" i="59"/>
  <c r="U25" s="1"/>
  <c r="R25"/>
  <c r="O25"/>
  <c r="L25"/>
  <c r="I25"/>
  <c r="F25"/>
  <c r="T34" i="55" l="1"/>
  <c r="T39"/>
  <c r="T12" i="65"/>
  <c r="T25" i="59"/>
  <c r="V25" s="1"/>
  <c r="T85" i="56"/>
  <c r="V85" s="1"/>
  <c r="V34" i="55"/>
  <c r="T35"/>
  <c r="V35" s="1"/>
  <c r="V39"/>
  <c r="V12" i="65"/>
  <c r="V15" i="81"/>
  <c r="V16" s="1"/>
  <c r="V17"/>
  <c r="V20" s="1"/>
  <c r="T37" i="55"/>
  <c r="V37" s="1"/>
  <c r="T36"/>
  <c r="V36" s="1"/>
  <c r="T38"/>
  <c r="V38" s="1"/>
  <c r="T86" i="56"/>
  <c r="V86" s="1"/>
  <c r="Q28" i="71" l="1"/>
  <c r="Q29" s="1"/>
  <c r="H16" i="80"/>
  <c r="S33" i="55"/>
  <c r="U33" s="1"/>
  <c r="R33"/>
  <c r="O33"/>
  <c r="L33"/>
  <c r="I33"/>
  <c r="F33"/>
  <c r="S32" i="71"/>
  <c r="U32" s="1"/>
  <c r="R32"/>
  <c r="O32"/>
  <c r="L32"/>
  <c r="I32"/>
  <c r="F32"/>
  <c r="S31"/>
  <c r="U31" s="1"/>
  <c r="R31"/>
  <c r="O31"/>
  <c r="L31"/>
  <c r="I31"/>
  <c r="F31"/>
  <c r="S56" i="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K18" i="59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Q144" i="69"/>
  <c r="N144"/>
  <c r="K144"/>
  <c r="H144"/>
  <c r="E144"/>
  <c r="S143"/>
  <c r="U143" s="1"/>
  <c r="R143"/>
  <c r="O143"/>
  <c r="L143"/>
  <c r="I143"/>
  <c r="F143"/>
  <c r="S142"/>
  <c r="U142" s="1"/>
  <c r="R142"/>
  <c r="O142"/>
  <c r="L142"/>
  <c r="I142"/>
  <c r="F142"/>
  <c r="S141"/>
  <c r="U141" s="1"/>
  <c r="R141"/>
  <c r="O141"/>
  <c r="L141"/>
  <c r="I141"/>
  <c r="F141"/>
  <c r="S140"/>
  <c r="R140"/>
  <c r="R144" s="1"/>
  <c r="O140"/>
  <c r="L140"/>
  <c r="L144" s="1"/>
  <c r="I140"/>
  <c r="F140"/>
  <c r="T142" l="1"/>
  <c r="T51" i="56"/>
  <c r="V51" s="1"/>
  <c r="T31" i="71"/>
  <c r="V31" s="1"/>
  <c r="T10" i="59"/>
  <c r="V10" s="1"/>
  <c r="T12"/>
  <c r="V12" s="1"/>
  <c r="T14"/>
  <c r="V14" s="1"/>
  <c r="T16"/>
  <c r="V16" s="1"/>
  <c r="T33" i="55"/>
  <c r="V33" s="1"/>
  <c r="T32" i="71"/>
  <c r="V32" s="1"/>
  <c r="T53" i="56"/>
  <c r="V53" s="1"/>
  <c r="T55"/>
  <c r="V55" s="1"/>
  <c r="T52"/>
  <c r="V52" s="1"/>
  <c r="T54"/>
  <c r="V54" s="1"/>
  <c r="T56"/>
  <c r="V56" s="1"/>
  <c r="T15" i="59"/>
  <c r="V15" s="1"/>
  <c r="T11"/>
  <c r="V11" s="1"/>
  <c r="T13"/>
  <c r="V13" s="1"/>
  <c r="T141" i="69"/>
  <c r="V141" s="1"/>
  <c r="T140"/>
  <c r="V140" s="1"/>
  <c r="O144"/>
  <c r="S144"/>
  <c r="T143"/>
  <c r="V143" s="1"/>
  <c r="V142"/>
  <c r="F144"/>
  <c r="I144"/>
  <c r="U140"/>
  <c r="U144" s="1"/>
  <c r="T144" l="1"/>
  <c r="V144"/>
  <c r="Q9" i="88" l="1"/>
  <c r="Q10" s="1"/>
  <c r="N9"/>
  <c r="N10" s="1"/>
  <c r="K9"/>
  <c r="K10" s="1"/>
  <c r="H9"/>
  <c r="H10" s="1"/>
  <c r="S8"/>
  <c r="U8" s="1"/>
  <c r="R8"/>
  <c r="O8"/>
  <c r="L8"/>
  <c r="I8"/>
  <c r="S7"/>
  <c r="U7" s="1"/>
  <c r="R7"/>
  <c r="O7"/>
  <c r="L7"/>
  <c r="I7"/>
  <c r="E9"/>
  <c r="E10" s="1"/>
  <c r="F8"/>
  <c r="F7"/>
  <c r="S6"/>
  <c r="S9" s="1"/>
  <c r="S10" s="1"/>
  <c r="R6"/>
  <c r="O6"/>
  <c r="O9" s="1"/>
  <c r="O10" s="1"/>
  <c r="L6"/>
  <c r="I6"/>
  <c r="I9" s="1"/>
  <c r="I10" s="1"/>
  <c r="F6"/>
  <c r="S3"/>
  <c r="U3" s="1"/>
  <c r="R3"/>
  <c r="O3"/>
  <c r="L3"/>
  <c r="I3"/>
  <c r="T3" s="1"/>
  <c r="F3"/>
  <c r="P1"/>
  <c r="U2" s="1"/>
  <c r="C1"/>
  <c r="F9" l="1"/>
  <c r="F10" s="1"/>
  <c r="L9"/>
  <c r="L10" s="1"/>
  <c r="R9"/>
  <c r="R10" s="1"/>
  <c r="T7"/>
  <c r="V7" s="1"/>
  <c r="T8"/>
  <c r="V8" s="1"/>
  <c r="V3"/>
  <c r="U6"/>
  <c r="U9" s="1"/>
  <c r="U10" s="1"/>
  <c r="T6"/>
  <c r="T9" l="1"/>
  <c r="T10" s="1"/>
  <c r="V6"/>
  <c r="V9" s="1"/>
  <c r="V10" s="1"/>
  <c r="S124" i="87" l="1"/>
  <c r="U124" s="1"/>
  <c r="R124"/>
  <c r="O124"/>
  <c r="L124"/>
  <c r="I124"/>
  <c r="F124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U125" s="1"/>
  <c r="R118"/>
  <c r="R125" s="1"/>
  <c r="O118"/>
  <c r="O125" s="1"/>
  <c r="L118"/>
  <c r="I118"/>
  <c r="F118"/>
  <c r="F125" s="1"/>
  <c r="S116"/>
  <c r="U116" s="1"/>
  <c r="R116"/>
  <c r="O116"/>
  <c r="L116"/>
  <c r="I116"/>
  <c r="F116"/>
  <c r="S113"/>
  <c r="U113" s="1"/>
  <c r="R113"/>
  <c r="O113"/>
  <c r="L113"/>
  <c r="I113"/>
  <c r="F113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U117" s="1"/>
  <c r="R110"/>
  <c r="R117" s="1"/>
  <c r="O110"/>
  <c r="O117" s="1"/>
  <c r="L110"/>
  <c r="I110"/>
  <c r="F110"/>
  <c r="F117" s="1"/>
  <c r="S98"/>
  <c r="U98" s="1"/>
  <c r="R98"/>
  <c r="O98"/>
  <c r="L98"/>
  <c r="I98"/>
  <c r="F98"/>
  <c r="S97"/>
  <c r="U97" s="1"/>
  <c r="R97"/>
  <c r="O97"/>
  <c r="L97"/>
  <c r="I97"/>
  <c r="F97"/>
  <c r="S96"/>
  <c r="U96" s="1"/>
  <c r="U109" s="1"/>
  <c r="R96"/>
  <c r="R109" s="1"/>
  <c r="O96"/>
  <c r="L96"/>
  <c r="I96"/>
  <c r="I109" s="1"/>
  <c r="F96"/>
  <c r="F109" s="1"/>
  <c r="S94"/>
  <c r="U94" s="1"/>
  <c r="R94"/>
  <c r="O94"/>
  <c r="L94"/>
  <c r="I94"/>
  <c r="F94"/>
  <c r="S93"/>
  <c r="U93" s="1"/>
  <c r="U95" s="1"/>
  <c r="R93"/>
  <c r="R95" s="1"/>
  <c r="O93"/>
  <c r="O95" s="1"/>
  <c r="L93"/>
  <c r="I93"/>
  <c r="I95" s="1"/>
  <c r="F93"/>
  <c r="F95" s="1"/>
  <c r="S91"/>
  <c r="U91" s="1"/>
  <c r="R91"/>
  <c r="O91"/>
  <c r="L91"/>
  <c r="I91"/>
  <c r="F91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81"/>
  <c r="U81" s="1"/>
  <c r="R81"/>
  <c r="O81"/>
  <c r="L81"/>
  <c r="I81"/>
  <c r="F81"/>
  <c r="S80"/>
  <c r="U80" s="1"/>
  <c r="R80"/>
  <c r="O80"/>
  <c r="L80"/>
  <c r="I80"/>
  <c r="F80"/>
  <c r="S79"/>
  <c r="U79" s="1"/>
  <c r="R79"/>
  <c r="O79"/>
  <c r="L79"/>
  <c r="I79"/>
  <c r="F79"/>
  <c r="S78"/>
  <c r="U78" s="1"/>
  <c r="U92" s="1"/>
  <c r="R78"/>
  <c r="O78"/>
  <c r="O92" s="1"/>
  <c r="L78"/>
  <c r="I78"/>
  <c r="F78"/>
  <c r="S150"/>
  <c r="U150" s="1"/>
  <c r="U151" s="1"/>
  <c r="R150"/>
  <c r="O150"/>
  <c r="O151" s="1"/>
  <c r="L150"/>
  <c r="L151" s="1"/>
  <c r="I150"/>
  <c r="F150"/>
  <c r="S148"/>
  <c r="U148" s="1"/>
  <c r="R148"/>
  <c r="O148"/>
  <c r="L148"/>
  <c r="I148"/>
  <c r="F148"/>
  <c r="S147"/>
  <c r="U147" s="1"/>
  <c r="R147"/>
  <c r="O147"/>
  <c r="L147"/>
  <c r="I147"/>
  <c r="F147"/>
  <c r="S146"/>
  <c r="U146" s="1"/>
  <c r="R146"/>
  <c r="O146"/>
  <c r="L146"/>
  <c r="I146"/>
  <c r="F146"/>
  <c r="S145"/>
  <c r="U145" s="1"/>
  <c r="U149" s="1"/>
  <c r="R145"/>
  <c r="O145"/>
  <c r="O149" s="1"/>
  <c r="L145"/>
  <c r="I145"/>
  <c r="I149" s="1"/>
  <c r="F145"/>
  <c r="S76"/>
  <c r="U76" s="1"/>
  <c r="R76"/>
  <c r="O76"/>
  <c r="L76"/>
  <c r="I76"/>
  <c r="F76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U77" s="1"/>
  <c r="R69"/>
  <c r="O69"/>
  <c r="O77" s="1"/>
  <c r="L69"/>
  <c r="I69"/>
  <c r="F69"/>
  <c r="S67"/>
  <c r="U67" s="1"/>
  <c r="R67"/>
  <c r="O67"/>
  <c r="L67"/>
  <c r="I67"/>
  <c r="F67"/>
  <c r="S66"/>
  <c r="U66" s="1"/>
  <c r="R66"/>
  <c r="O66"/>
  <c r="L66"/>
  <c r="I66"/>
  <c r="F66"/>
  <c r="S65"/>
  <c r="U65" s="1"/>
  <c r="R65"/>
  <c r="O65"/>
  <c r="L65"/>
  <c r="I65"/>
  <c r="F65"/>
  <c r="S64"/>
  <c r="U64" s="1"/>
  <c r="U68" s="1"/>
  <c r="R64"/>
  <c r="O64"/>
  <c r="L64"/>
  <c r="I64"/>
  <c r="F64"/>
  <c r="S62"/>
  <c r="U62" s="1"/>
  <c r="R62"/>
  <c r="O62"/>
  <c r="L62"/>
  <c r="I62"/>
  <c r="F6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U63" s="1"/>
  <c r="R47"/>
  <c r="R63" s="1"/>
  <c r="O47"/>
  <c r="O63" s="1"/>
  <c r="L47"/>
  <c r="I47"/>
  <c r="I63" s="1"/>
  <c r="F47"/>
  <c r="S41"/>
  <c r="S46" s="1"/>
  <c r="R41"/>
  <c r="R46" s="1"/>
  <c r="O41"/>
  <c r="O46" s="1"/>
  <c r="L41"/>
  <c r="L46" s="1"/>
  <c r="I41"/>
  <c r="F41"/>
  <c r="F46" s="1"/>
  <c r="S39"/>
  <c r="U39" s="1"/>
  <c r="R39"/>
  <c r="O39"/>
  <c r="L39"/>
  <c r="I39"/>
  <c r="F39"/>
  <c r="S30"/>
  <c r="U30" s="1"/>
  <c r="R30"/>
  <c r="O30"/>
  <c r="L30"/>
  <c r="I30"/>
  <c r="F30"/>
  <c r="S29"/>
  <c r="U29" s="1"/>
  <c r="U40" s="1"/>
  <c r="R29"/>
  <c r="R40" s="1"/>
  <c r="O29"/>
  <c r="O40" s="1"/>
  <c r="L29"/>
  <c r="L40" s="1"/>
  <c r="I29"/>
  <c r="F29"/>
  <c r="S27"/>
  <c r="U27" s="1"/>
  <c r="U28" s="1"/>
  <c r="R27"/>
  <c r="R28" s="1"/>
  <c r="O27"/>
  <c r="O28" s="1"/>
  <c r="L27"/>
  <c r="L28" s="1"/>
  <c r="I27"/>
  <c r="F27"/>
  <c r="S25"/>
  <c r="U25" s="1"/>
  <c r="R25"/>
  <c r="O25"/>
  <c r="L25"/>
  <c r="I25"/>
  <c r="F25"/>
  <c r="S17"/>
  <c r="U17" s="1"/>
  <c r="U26" s="1"/>
  <c r="R17"/>
  <c r="R26" s="1"/>
  <c r="O17"/>
  <c r="L17"/>
  <c r="L26" s="1"/>
  <c r="I17"/>
  <c r="F17"/>
  <c r="S15"/>
  <c r="U15" s="1"/>
  <c r="R15"/>
  <c r="O15"/>
  <c r="L15"/>
  <c r="I15"/>
  <c r="F15"/>
  <c r="S14"/>
  <c r="U14" s="1"/>
  <c r="U16" s="1"/>
  <c r="R14"/>
  <c r="R16" s="1"/>
  <c r="O14"/>
  <c r="L14"/>
  <c r="I14"/>
  <c r="F14"/>
  <c r="S6"/>
  <c r="U6" s="1"/>
  <c r="U7" s="1"/>
  <c r="R6"/>
  <c r="O6"/>
  <c r="O7" s="1"/>
  <c r="L6"/>
  <c r="I6"/>
  <c r="F6"/>
  <c r="F7" s="1"/>
  <c r="S125"/>
  <c r="S149"/>
  <c r="Q125"/>
  <c r="Q117"/>
  <c r="Q109"/>
  <c r="Q95"/>
  <c r="R92"/>
  <c r="Q92"/>
  <c r="R151"/>
  <c r="Q151"/>
  <c r="R149"/>
  <c r="Q149"/>
  <c r="R77"/>
  <c r="Q77"/>
  <c r="R68"/>
  <c r="Q68"/>
  <c r="Q63"/>
  <c r="Q40"/>
  <c r="Q28"/>
  <c r="Q26"/>
  <c r="Q16"/>
  <c r="R7"/>
  <c r="Q7"/>
  <c r="N125"/>
  <c r="N117"/>
  <c r="N109"/>
  <c r="N95"/>
  <c r="N92"/>
  <c r="N151"/>
  <c r="N149"/>
  <c r="N77"/>
  <c r="O68"/>
  <c r="N68"/>
  <c r="N63"/>
  <c r="N40"/>
  <c r="N28"/>
  <c r="N26"/>
  <c r="N16"/>
  <c r="N7"/>
  <c r="L125"/>
  <c r="K125"/>
  <c r="L117"/>
  <c r="K117"/>
  <c r="L109"/>
  <c r="K109"/>
  <c r="L95"/>
  <c r="K95"/>
  <c r="K92"/>
  <c r="K151"/>
  <c r="K149"/>
  <c r="L77"/>
  <c r="K77"/>
  <c r="L68"/>
  <c r="K68"/>
  <c r="K63"/>
  <c r="K40"/>
  <c r="K28"/>
  <c r="K26"/>
  <c r="K16"/>
  <c r="L7"/>
  <c r="K7"/>
  <c r="I125"/>
  <c r="H125"/>
  <c r="I117"/>
  <c r="H117"/>
  <c r="H109"/>
  <c r="H95"/>
  <c r="H92"/>
  <c r="H151"/>
  <c r="H149"/>
  <c r="H77"/>
  <c r="H68"/>
  <c r="H63"/>
  <c r="H40"/>
  <c r="H28"/>
  <c r="H26"/>
  <c r="H16"/>
  <c r="H7"/>
  <c r="E125"/>
  <c r="E117"/>
  <c r="E109"/>
  <c r="E95"/>
  <c r="E92"/>
  <c r="F151"/>
  <c r="E151"/>
  <c r="F149"/>
  <c r="E149"/>
  <c r="F77"/>
  <c r="E77"/>
  <c r="F68"/>
  <c r="E68"/>
  <c r="E63"/>
  <c r="E40"/>
  <c r="F28"/>
  <c r="E28"/>
  <c r="F26"/>
  <c r="E26"/>
  <c r="E16"/>
  <c r="E7"/>
  <c r="T15" l="1"/>
  <c r="T29"/>
  <c r="T48"/>
  <c r="T50"/>
  <c r="T67"/>
  <c r="T70"/>
  <c r="V70" s="1"/>
  <c r="T71"/>
  <c r="T72"/>
  <c r="V72" s="1"/>
  <c r="T73"/>
  <c r="T74"/>
  <c r="V74" s="1"/>
  <c r="T76"/>
  <c r="T146"/>
  <c r="T148"/>
  <c r="T150"/>
  <c r="T151" s="1"/>
  <c r="T78"/>
  <c r="T80"/>
  <c r="T84"/>
  <c r="T94"/>
  <c r="T110"/>
  <c r="T111"/>
  <c r="V111" s="1"/>
  <c r="T112"/>
  <c r="T113"/>
  <c r="T82"/>
  <c r="S109"/>
  <c r="T27"/>
  <c r="T28" s="1"/>
  <c r="T6"/>
  <c r="T7" s="1"/>
  <c r="I28"/>
  <c r="T65"/>
  <c r="V65" s="1"/>
  <c r="T69"/>
  <c r="I68"/>
  <c r="T39"/>
  <c r="V39" s="1"/>
  <c r="T25"/>
  <c r="V25" s="1"/>
  <c r="T41"/>
  <c r="T46" s="1"/>
  <c r="I46"/>
  <c r="S68"/>
  <c r="T97"/>
  <c r="V97" s="1"/>
  <c r="I77"/>
  <c r="I151"/>
  <c r="I92"/>
  <c r="S26"/>
  <c r="S77"/>
  <c r="S95"/>
  <c r="S117"/>
  <c r="O16"/>
  <c r="O26"/>
  <c r="I7"/>
  <c r="Q126"/>
  <c r="S16"/>
  <c r="S63"/>
  <c r="V6"/>
  <c r="V7" s="1"/>
  <c r="T14"/>
  <c r="T16" s="1"/>
  <c r="V15"/>
  <c r="T47"/>
  <c r="V47" s="1"/>
  <c r="V48"/>
  <c r="T49"/>
  <c r="V49" s="1"/>
  <c r="V50"/>
  <c r="T51"/>
  <c r="V51" s="1"/>
  <c r="T64"/>
  <c r="V64" s="1"/>
  <c r="T66"/>
  <c r="V66" s="1"/>
  <c r="V67"/>
  <c r="T145"/>
  <c r="V145" s="1"/>
  <c r="V146"/>
  <c r="T147"/>
  <c r="V147" s="1"/>
  <c r="V148"/>
  <c r="F92"/>
  <c r="O109"/>
  <c r="T124"/>
  <c r="V124" s="1"/>
  <c r="T119"/>
  <c r="V119" s="1"/>
  <c r="T120"/>
  <c r="V120" s="1"/>
  <c r="T118"/>
  <c r="V118" s="1"/>
  <c r="T98"/>
  <c r="V98" s="1"/>
  <c r="T96"/>
  <c r="V96" s="1"/>
  <c r="T93"/>
  <c r="T95" s="1"/>
  <c r="V27"/>
  <c r="V28" s="1"/>
  <c r="V41"/>
  <c r="V46" s="1"/>
  <c r="T30"/>
  <c r="V30" s="1"/>
  <c r="V29"/>
  <c r="T17"/>
  <c r="T116"/>
  <c r="T117" s="1"/>
  <c r="N126"/>
  <c r="V82"/>
  <c r="E126"/>
  <c r="R126"/>
  <c r="T62"/>
  <c r="V62" s="1"/>
  <c r="H126"/>
  <c r="K126"/>
  <c r="V84"/>
  <c r="T91"/>
  <c r="V91" s="1"/>
  <c r="V78"/>
  <c r="V113"/>
  <c r="V112"/>
  <c r="V110"/>
  <c r="T85"/>
  <c r="V85" s="1"/>
  <c r="T83"/>
  <c r="V83" s="1"/>
  <c r="T81"/>
  <c r="V81" s="1"/>
  <c r="V80"/>
  <c r="T79"/>
  <c r="V94"/>
  <c r="V79"/>
  <c r="L92"/>
  <c r="S92"/>
  <c r="S151"/>
  <c r="L149"/>
  <c r="V69"/>
  <c r="V71"/>
  <c r="V73"/>
  <c r="V76"/>
  <c r="F63"/>
  <c r="L63"/>
  <c r="U41"/>
  <c r="F40"/>
  <c r="I40"/>
  <c r="S40"/>
  <c r="S28"/>
  <c r="I26"/>
  <c r="F16"/>
  <c r="I16"/>
  <c r="L16"/>
  <c r="S7"/>
  <c r="K30" i="55"/>
  <c r="V150" i="87" l="1"/>
  <c r="V151" s="1"/>
  <c r="T77"/>
  <c r="V116"/>
  <c r="T26"/>
  <c r="U46"/>
  <c r="U126" s="1"/>
  <c r="O126"/>
  <c r="T40"/>
  <c r="V14"/>
  <c r="T63"/>
  <c r="V63"/>
  <c r="V68"/>
  <c r="V77"/>
  <c r="F126"/>
  <c r="T125"/>
  <c r="T149"/>
  <c r="V149"/>
  <c r="T68"/>
  <c r="V16"/>
  <c r="T109"/>
  <c r="V125"/>
  <c r="V109"/>
  <c r="V93"/>
  <c r="V95" s="1"/>
  <c r="V40"/>
  <c r="I126"/>
  <c r="S126"/>
  <c r="V17"/>
  <c r="V26" s="1"/>
  <c r="L126"/>
  <c r="T92"/>
  <c r="V117"/>
  <c r="V92"/>
  <c r="S3"/>
  <c r="U3" s="1"/>
  <c r="R3"/>
  <c r="O3"/>
  <c r="L3"/>
  <c r="I3"/>
  <c r="F3"/>
  <c r="P1"/>
  <c r="U2" s="1"/>
  <c r="C1"/>
  <c r="S16" i="86"/>
  <c r="U16" s="1"/>
  <c r="R16"/>
  <c r="R17" s="1"/>
  <c r="O16"/>
  <c r="O17" s="1"/>
  <c r="L16"/>
  <c r="L17" s="1"/>
  <c r="I16"/>
  <c r="F16"/>
  <c r="S14"/>
  <c r="U14" s="1"/>
  <c r="R14"/>
  <c r="O14"/>
  <c r="L14"/>
  <c r="I14"/>
  <c r="F14"/>
  <c r="S10"/>
  <c r="R10"/>
  <c r="R13" s="1"/>
  <c r="O10"/>
  <c r="O13" s="1"/>
  <c r="L10"/>
  <c r="L13" s="1"/>
  <c r="I10"/>
  <c r="F10"/>
  <c r="F13" s="1"/>
  <c r="S6"/>
  <c r="R6"/>
  <c r="R9" s="1"/>
  <c r="O6"/>
  <c r="O9" s="1"/>
  <c r="L6"/>
  <c r="L9" s="1"/>
  <c r="I6"/>
  <c r="F6"/>
  <c r="F9" s="1"/>
  <c r="E17"/>
  <c r="F17"/>
  <c r="Q17"/>
  <c r="N17"/>
  <c r="N18" s="1"/>
  <c r="K17"/>
  <c r="H17"/>
  <c r="H18" s="1"/>
  <c r="C1"/>
  <c r="S3"/>
  <c r="U3" s="1"/>
  <c r="R3"/>
  <c r="O3"/>
  <c r="L3"/>
  <c r="I3"/>
  <c r="F3"/>
  <c r="P1"/>
  <c r="U2" s="1"/>
  <c r="F110" i="69"/>
  <c r="I110"/>
  <c r="L110"/>
  <c r="O110"/>
  <c r="R110"/>
  <c r="S110"/>
  <c r="F111"/>
  <c r="I111"/>
  <c r="L111"/>
  <c r="O111"/>
  <c r="R111"/>
  <c r="S111"/>
  <c r="U111" s="1"/>
  <c r="E112"/>
  <c r="H112"/>
  <c r="K112"/>
  <c r="L112"/>
  <c r="N112"/>
  <c r="Q112"/>
  <c r="S119" i="85"/>
  <c r="U119" s="1"/>
  <c r="R119"/>
  <c r="O119"/>
  <c r="L119"/>
  <c r="I119"/>
  <c r="F119"/>
  <c r="S118"/>
  <c r="U118" s="1"/>
  <c r="U120" s="1"/>
  <c r="R118"/>
  <c r="O118"/>
  <c r="L118"/>
  <c r="I118"/>
  <c r="F118"/>
  <c r="F120" s="1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13"/>
  <c r="U113" s="1"/>
  <c r="R113"/>
  <c r="O113"/>
  <c r="L113"/>
  <c r="I113"/>
  <c r="F113"/>
  <c r="S112"/>
  <c r="U112" s="1"/>
  <c r="U117" s="1"/>
  <c r="R112"/>
  <c r="O112"/>
  <c r="L112"/>
  <c r="I112"/>
  <c r="F112"/>
  <c r="F117" s="1"/>
  <c r="S110"/>
  <c r="U110" s="1"/>
  <c r="U111" s="1"/>
  <c r="R110"/>
  <c r="O110"/>
  <c r="L110"/>
  <c r="I110"/>
  <c r="F110"/>
  <c r="F111" s="1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U109" s="1"/>
  <c r="R105"/>
  <c r="O105"/>
  <c r="L105"/>
  <c r="I105"/>
  <c r="F105"/>
  <c r="F109" s="1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100"/>
  <c r="U100" s="1"/>
  <c r="U104" s="1"/>
  <c r="R100"/>
  <c r="O100"/>
  <c r="L100"/>
  <c r="I100"/>
  <c r="F100"/>
  <c r="F104" s="1"/>
  <c r="S98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U99" s="1"/>
  <c r="R94"/>
  <c r="O94"/>
  <c r="L94"/>
  <c r="I94"/>
  <c r="F94"/>
  <c r="F99" s="1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U93" s="1"/>
  <c r="R87"/>
  <c r="O87"/>
  <c r="L87"/>
  <c r="I87"/>
  <c r="F87"/>
  <c r="F93" s="1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U86" s="1"/>
  <c r="R82"/>
  <c r="O82"/>
  <c r="L82"/>
  <c r="I82"/>
  <c r="F82"/>
  <c r="F86" s="1"/>
  <c r="S80"/>
  <c r="U80" s="1"/>
  <c r="U81" s="1"/>
  <c r="R80"/>
  <c r="O80"/>
  <c r="O81" s="1"/>
  <c r="L80"/>
  <c r="I80"/>
  <c r="F80"/>
  <c r="F81" s="1"/>
  <c r="S78"/>
  <c r="U78" s="1"/>
  <c r="U79" s="1"/>
  <c r="R78"/>
  <c r="O78"/>
  <c r="L78"/>
  <c r="I78"/>
  <c r="F78"/>
  <c r="F79" s="1"/>
  <c r="S76"/>
  <c r="U76" s="1"/>
  <c r="R76"/>
  <c r="O76"/>
  <c r="L76"/>
  <c r="I76"/>
  <c r="F76"/>
  <c r="S75"/>
  <c r="U75" s="1"/>
  <c r="R75"/>
  <c r="O75"/>
  <c r="L75"/>
  <c r="I75"/>
  <c r="F75"/>
  <c r="S74"/>
  <c r="U74" s="1"/>
  <c r="U77" s="1"/>
  <c r="R74"/>
  <c r="R77" s="1"/>
  <c r="O74"/>
  <c r="L74"/>
  <c r="L77" s="1"/>
  <c r="I74"/>
  <c r="F74"/>
  <c r="F77" s="1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U73" s="1"/>
  <c r="R68"/>
  <c r="R73" s="1"/>
  <c r="O68"/>
  <c r="O73" s="1"/>
  <c r="L68"/>
  <c r="L73" s="1"/>
  <c r="I68"/>
  <c r="F68"/>
  <c r="F73" s="1"/>
  <c r="S66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U67" s="1"/>
  <c r="R62"/>
  <c r="R67" s="1"/>
  <c r="O62"/>
  <c r="O67" s="1"/>
  <c r="L62"/>
  <c r="L67" s="1"/>
  <c r="I62"/>
  <c r="F62"/>
  <c r="F67" s="1"/>
  <c r="S60"/>
  <c r="U60" s="1"/>
  <c r="R60"/>
  <c r="O60"/>
  <c r="L60"/>
  <c r="I60"/>
  <c r="F60"/>
  <c r="S59"/>
  <c r="U59" s="1"/>
  <c r="R59"/>
  <c r="O59"/>
  <c r="L59"/>
  <c r="I59"/>
  <c r="F59"/>
  <c r="S58"/>
  <c r="U58" s="1"/>
  <c r="U61" s="1"/>
  <c r="R58"/>
  <c r="R61" s="1"/>
  <c r="O58"/>
  <c r="O61" s="1"/>
  <c r="L58"/>
  <c r="I58"/>
  <c r="F58"/>
  <c r="F61" s="1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U57" s="1"/>
  <c r="R53"/>
  <c r="R57" s="1"/>
  <c r="O53"/>
  <c r="L53"/>
  <c r="I53"/>
  <c r="F53"/>
  <c r="F57" s="1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S43"/>
  <c r="U43" s="1"/>
  <c r="U52" s="1"/>
  <c r="R43"/>
  <c r="O43"/>
  <c r="O52" s="1"/>
  <c r="L43"/>
  <c r="I43"/>
  <c r="F43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S38"/>
  <c r="U38" s="1"/>
  <c r="U42" s="1"/>
  <c r="R38"/>
  <c r="R42" s="1"/>
  <c r="O38"/>
  <c r="L38"/>
  <c r="L42" s="1"/>
  <c r="I38"/>
  <c r="F38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U37" s="1"/>
  <c r="R28"/>
  <c r="R37" s="1"/>
  <c r="O28"/>
  <c r="O37" s="1"/>
  <c r="L28"/>
  <c r="L37" s="1"/>
  <c r="I28"/>
  <c r="F28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U27" s="1"/>
  <c r="R20"/>
  <c r="R27" s="1"/>
  <c r="O20"/>
  <c r="O27" s="1"/>
  <c r="L20"/>
  <c r="I20"/>
  <c r="F20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U19" s="1"/>
  <c r="R15"/>
  <c r="R19" s="1"/>
  <c r="O15"/>
  <c r="L15"/>
  <c r="I15"/>
  <c r="F15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4" s="1"/>
  <c r="R6"/>
  <c r="R14" s="1"/>
  <c r="O6"/>
  <c r="L6"/>
  <c r="I6"/>
  <c r="F6"/>
  <c r="S120"/>
  <c r="S117"/>
  <c r="S111"/>
  <c r="S109"/>
  <c r="S104"/>
  <c r="S93"/>
  <c r="S86"/>
  <c r="S77"/>
  <c r="S57"/>
  <c r="S42"/>
  <c r="S19"/>
  <c r="R120"/>
  <c r="Q120"/>
  <c r="R117"/>
  <c r="Q117"/>
  <c r="R111"/>
  <c r="Q111"/>
  <c r="R109"/>
  <c r="Q109"/>
  <c r="R104"/>
  <c r="Q104"/>
  <c r="R99"/>
  <c r="Q99"/>
  <c r="R93"/>
  <c r="Q93"/>
  <c r="R86"/>
  <c r="Q86"/>
  <c r="R81"/>
  <c r="Q81"/>
  <c r="R79"/>
  <c r="Q79"/>
  <c r="Q77"/>
  <c r="Q73"/>
  <c r="Q67"/>
  <c r="Q61"/>
  <c r="Q57"/>
  <c r="Q52"/>
  <c r="Q42"/>
  <c r="Q37"/>
  <c r="Q27"/>
  <c r="Q19"/>
  <c r="Q14"/>
  <c r="O120"/>
  <c r="N120"/>
  <c r="O117"/>
  <c r="N117"/>
  <c r="O111"/>
  <c r="N111"/>
  <c r="O109"/>
  <c r="N109"/>
  <c r="O104"/>
  <c r="N104"/>
  <c r="O99"/>
  <c r="N99"/>
  <c r="O93"/>
  <c r="N93"/>
  <c r="O86"/>
  <c r="N86"/>
  <c r="N81"/>
  <c r="O79"/>
  <c r="N79"/>
  <c r="O77"/>
  <c r="N77"/>
  <c r="N73"/>
  <c r="N67"/>
  <c r="N61"/>
  <c r="N57"/>
  <c r="N52"/>
  <c r="O42"/>
  <c r="N42"/>
  <c r="N37"/>
  <c r="N27"/>
  <c r="N19"/>
  <c r="N14"/>
  <c r="L120"/>
  <c r="K120"/>
  <c r="L117"/>
  <c r="K117"/>
  <c r="L111"/>
  <c r="K111"/>
  <c r="L109"/>
  <c r="K109"/>
  <c r="L104"/>
  <c r="K104"/>
  <c r="L99"/>
  <c r="K99"/>
  <c r="L93"/>
  <c r="K93"/>
  <c r="L86"/>
  <c r="K86"/>
  <c r="L81"/>
  <c r="K81"/>
  <c r="L79"/>
  <c r="K79"/>
  <c r="K77"/>
  <c r="K73"/>
  <c r="K67"/>
  <c r="K61"/>
  <c r="L57"/>
  <c r="K57"/>
  <c r="K52"/>
  <c r="K42"/>
  <c r="K37"/>
  <c r="K27"/>
  <c r="L19"/>
  <c r="K19"/>
  <c r="K14"/>
  <c r="I120"/>
  <c r="H120"/>
  <c r="I117"/>
  <c r="H117"/>
  <c r="I111"/>
  <c r="H111"/>
  <c r="I109"/>
  <c r="H109"/>
  <c r="I104"/>
  <c r="H104"/>
  <c r="I99"/>
  <c r="H99"/>
  <c r="I93"/>
  <c r="H93"/>
  <c r="I86"/>
  <c r="H86"/>
  <c r="I81"/>
  <c r="H81"/>
  <c r="I79"/>
  <c r="H79"/>
  <c r="H77"/>
  <c r="I73"/>
  <c r="H73"/>
  <c r="I67"/>
  <c r="H67"/>
  <c r="I61"/>
  <c r="H61"/>
  <c r="I57"/>
  <c r="H57"/>
  <c r="H52"/>
  <c r="I42"/>
  <c r="H42"/>
  <c r="I37"/>
  <c r="H37"/>
  <c r="I27"/>
  <c r="H27"/>
  <c r="H19"/>
  <c r="H14"/>
  <c r="E120"/>
  <c r="E117"/>
  <c r="E111"/>
  <c r="E109"/>
  <c r="E104"/>
  <c r="E99"/>
  <c r="E93"/>
  <c r="E86"/>
  <c r="E81"/>
  <c r="E79"/>
  <c r="E77"/>
  <c r="E73"/>
  <c r="E67"/>
  <c r="E61"/>
  <c r="E57"/>
  <c r="E52"/>
  <c r="F42"/>
  <c r="E42"/>
  <c r="F37"/>
  <c r="E37"/>
  <c r="F27"/>
  <c r="E27"/>
  <c r="F19"/>
  <c r="E19"/>
  <c r="E14"/>
  <c r="E145" i="70"/>
  <c r="S144"/>
  <c r="U144" s="1"/>
  <c r="R144"/>
  <c r="O144"/>
  <c r="L144"/>
  <c r="I144"/>
  <c r="F144"/>
  <c r="S143"/>
  <c r="U143" s="1"/>
  <c r="R143"/>
  <c r="O143"/>
  <c r="L143"/>
  <c r="I143"/>
  <c r="F143"/>
  <c r="S142"/>
  <c r="U142" s="1"/>
  <c r="R142"/>
  <c r="O142"/>
  <c r="L142"/>
  <c r="I142"/>
  <c r="F142"/>
  <c r="S141"/>
  <c r="U141" s="1"/>
  <c r="U145" s="1"/>
  <c r="R141"/>
  <c r="O141"/>
  <c r="L141"/>
  <c r="I141"/>
  <c r="F141"/>
  <c r="S139"/>
  <c r="U139" s="1"/>
  <c r="R139"/>
  <c r="O139"/>
  <c r="L139"/>
  <c r="I139"/>
  <c r="F139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U140" s="1"/>
  <c r="R134"/>
  <c r="O134"/>
  <c r="L134"/>
  <c r="I134"/>
  <c r="F134"/>
  <c r="S132"/>
  <c r="U132" s="1"/>
  <c r="U133" s="1"/>
  <c r="R132"/>
  <c r="O132"/>
  <c r="L132"/>
  <c r="I132"/>
  <c r="F132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U131" s="1"/>
  <c r="R125"/>
  <c r="O125"/>
  <c r="L125"/>
  <c r="I125"/>
  <c r="F125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R120"/>
  <c r="O120"/>
  <c r="L120"/>
  <c r="I120"/>
  <c r="S119"/>
  <c r="U119" s="1"/>
  <c r="R119"/>
  <c r="O119"/>
  <c r="L119"/>
  <c r="I119"/>
  <c r="F119"/>
  <c r="S118"/>
  <c r="U118" s="1"/>
  <c r="R118"/>
  <c r="O118"/>
  <c r="L118"/>
  <c r="I118"/>
  <c r="F118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U117" s="1"/>
  <c r="R114"/>
  <c r="O114"/>
  <c r="L114"/>
  <c r="I114"/>
  <c r="F114"/>
  <c r="F117" s="1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U113" s="1"/>
  <c r="R107"/>
  <c r="O107"/>
  <c r="L107"/>
  <c r="I107"/>
  <c r="F107"/>
  <c r="F113" s="1"/>
  <c r="S105"/>
  <c r="U105" s="1"/>
  <c r="R105"/>
  <c r="O105"/>
  <c r="L105"/>
  <c r="I105"/>
  <c r="F105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100"/>
  <c r="U100" s="1"/>
  <c r="U106" s="1"/>
  <c r="R100"/>
  <c r="O100"/>
  <c r="L100"/>
  <c r="I100"/>
  <c r="F100"/>
  <c r="F106" s="1"/>
  <c r="S98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3"/>
  <c r="U93" s="1"/>
  <c r="R93"/>
  <c r="O93"/>
  <c r="L93"/>
  <c r="I93"/>
  <c r="F93"/>
  <c r="S92"/>
  <c r="U92" s="1"/>
  <c r="U99" s="1"/>
  <c r="R92"/>
  <c r="O92"/>
  <c r="L92"/>
  <c r="I92"/>
  <c r="F92"/>
  <c r="F99" s="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U91" s="1"/>
  <c r="R86"/>
  <c r="O86"/>
  <c r="L86"/>
  <c r="I86"/>
  <c r="F86"/>
  <c r="F91" s="1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81"/>
  <c r="U81" s="1"/>
  <c r="U85" s="1"/>
  <c r="R81"/>
  <c r="O81"/>
  <c r="L81"/>
  <c r="I81"/>
  <c r="F81"/>
  <c r="F85" s="1"/>
  <c r="S79"/>
  <c r="U79" s="1"/>
  <c r="R79"/>
  <c r="O79"/>
  <c r="L79"/>
  <c r="I79"/>
  <c r="F79"/>
  <c r="S78"/>
  <c r="U78" s="1"/>
  <c r="U80" s="1"/>
  <c r="R78"/>
  <c r="O78"/>
  <c r="L78"/>
  <c r="I78"/>
  <c r="F78"/>
  <c r="F80" s="1"/>
  <c r="S76"/>
  <c r="R76"/>
  <c r="O76"/>
  <c r="L76"/>
  <c r="I76"/>
  <c r="S75"/>
  <c r="U75" s="1"/>
  <c r="R75"/>
  <c r="O75"/>
  <c r="L75"/>
  <c r="I75"/>
  <c r="F75"/>
  <c r="S74"/>
  <c r="U74" s="1"/>
  <c r="R74"/>
  <c r="O74"/>
  <c r="L74"/>
  <c r="I74"/>
  <c r="F74"/>
  <c r="S72"/>
  <c r="U72" s="1"/>
  <c r="U73" s="1"/>
  <c r="R72"/>
  <c r="O72"/>
  <c r="L72"/>
  <c r="I72"/>
  <c r="F72"/>
  <c r="S70"/>
  <c r="U70" s="1"/>
  <c r="U71" s="1"/>
  <c r="R70"/>
  <c r="O70"/>
  <c r="L70"/>
  <c r="I70"/>
  <c r="F70"/>
  <c r="S68"/>
  <c r="U68" s="1"/>
  <c r="U69" s="1"/>
  <c r="R68"/>
  <c r="O68"/>
  <c r="L68"/>
  <c r="I68"/>
  <c r="F68"/>
  <c r="S66"/>
  <c r="U66" s="1"/>
  <c r="R66"/>
  <c r="O66"/>
  <c r="L66"/>
  <c r="I66"/>
  <c r="F66"/>
  <c r="S65"/>
  <c r="U65" s="1"/>
  <c r="R65"/>
  <c r="O65"/>
  <c r="L65"/>
  <c r="I65"/>
  <c r="F65"/>
  <c r="S64"/>
  <c r="U64" s="1"/>
  <c r="U67" s="1"/>
  <c r="R64"/>
  <c r="O64"/>
  <c r="L64"/>
  <c r="I64"/>
  <c r="F64"/>
  <c r="S62"/>
  <c r="U62" s="1"/>
  <c r="R62"/>
  <c r="O62"/>
  <c r="L62"/>
  <c r="I62"/>
  <c r="F62"/>
  <c r="S61"/>
  <c r="U61" s="1"/>
  <c r="R61"/>
  <c r="O61"/>
  <c r="L61"/>
  <c r="I61"/>
  <c r="F61"/>
  <c r="S60"/>
  <c r="U60" s="1"/>
  <c r="R60"/>
  <c r="O60"/>
  <c r="L60"/>
  <c r="I60"/>
  <c r="F60"/>
  <c r="S59"/>
  <c r="U59" s="1"/>
  <c r="U63" s="1"/>
  <c r="R59"/>
  <c r="O59"/>
  <c r="L59"/>
  <c r="I59"/>
  <c r="F59"/>
  <c r="S57"/>
  <c r="U57" s="1"/>
  <c r="U58" s="1"/>
  <c r="R57"/>
  <c r="O57"/>
  <c r="L57"/>
  <c r="I57"/>
  <c r="F57"/>
  <c r="S55"/>
  <c r="U55" s="1"/>
  <c r="U56" s="1"/>
  <c r="R55"/>
  <c r="O55"/>
  <c r="L55"/>
  <c r="I55"/>
  <c r="F55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U54" s="1"/>
  <c r="R50"/>
  <c r="R54" s="1"/>
  <c r="O50"/>
  <c r="L50"/>
  <c r="I50"/>
  <c r="F50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S42"/>
  <c r="U42" s="1"/>
  <c r="R42"/>
  <c r="O42"/>
  <c r="L42"/>
  <c r="I42"/>
  <c r="F42"/>
  <c r="S41"/>
  <c r="U41" s="1"/>
  <c r="R41"/>
  <c r="O41"/>
  <c r="L41"/>
  <c r="I41"/>
  <c r="F41"/>
  <c r="S40"/>
  <c r="U40" s="1"/>
  <c r="U49" s="1"/>
  <c r="R40"/>
  <c r="O40"/>
  <c r="L40"/>
  <c r="I40"/>
  <c r="F40"/>
  <c r="S38"/>
  <c r="U38" s="1"/>
  <c r="R38"/>
  <c r="O38"/>
  <c r="L38"/>
  <c r="I38"/>
  <c r="F38"/>
  <c r="S37"/>
  <c r="U37" s="1"/>
  <c r="R37"/>
  <c r="O37"/>
  <c r="L37"/>
  <c r="I37"/>
  <c r="F37"/>
  <c r="S36"/>
  <c r="U36" s="1"/>
  <c r="U39" s="1"/>
  <c r="R36"/>
  <c r="O36"/>
  <c r="L36"/>
  <c r="I36"/>
  <c r="F36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U35" s="1"/>
  <c r="R28"/>
  <c r="O28"/>
  <c r="L28"/>
  <c r="I28"/>
  <c r="F28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U27" s="1"/>
  <c r="R23"/>
  <c r="O23"/>
  <c r="L23"/>
  <c r="I23"/>
  <c r="F23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U22" s="1"/>
  <c r="R18"/>
  <c r="R22" s="1"/>
  <c r="O18"/>
  <c r="L18"/>
  <c r="I18"/>
  <c r="F18"/>
  <c r="S16"/>
  <c r="U16" s="1"/>
  <c r="R16"/>
  <c r="O16"/>
  <c r="L16"/>
  <c r="I16"/>
  <c r="F16"/>
  <c r="S15"/>
  <c r="U15" s="1"/>
  <c r="R15"/>
  <c r="O15"/>
  <c r="L15"/>
  <c r="I15"/>
  <c r="F15"/>
  <c r="S14"/>
  <c r="U14" s="1"/>
  <c r="U17" s="1"/>
  <c r="R14"/>
  <c r="O14"/>
  <c r="O17" s="1"/>
  <c r="L14"/>
  <c r="I14"/>
  <c r="F14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3" s="1"/>
  <c r="R6"/>
  <c r="O6"/>
  <c r="O13" s="1"/>
  <c r="L6"/>
  <c r="I6"/>
  <c r="F6"/>
  <c r="S145"/>
  <c r="S133"/>
  <c r="S124"/>
  <c r="S117"/>
  <c r="S113"/>
  <c r="S106"/>
  <c r="S99"/>
  <c r="S91"/>
  <c r="S85"/>
  <c r="S80"/>
  <c r="S73"/>
  <c r="S54"/>
  <c r="R145"/>
  <c r="Q145"/>
  <c r="R140"/>
  <c r="Q140"/>
  <c r="R133"/>
  <c r="Q133"/>
  <c r="R131"/>
  <c r="Q131"/>
  <c r="R124"/>
  <c r="Q124"/>
  <c r="R117"/>
  <c r="Q117"/>
  <c r="R113"/>
  <c r="Q113"/>
  <c r="R106"/>
  <c r="Q106"/>
  <c r="R99"/>
  <c r="Q99"/>
  <c r="R91"/>
  <c r="Q91"/>
  <c r="R85"/>
  <c r="Q85"/>
  <c r="R80"/>
  <c r="Q80"/>
  <c r="R77"/>
  <c r="Q77"/>
  <c r="R73"/>
  <c r="Q73"/>
  <c r="R71"/>
  <c r="Q71"/>
  <c r="R69"/>
  <c r="Q69"/>
  <c r="R67"/>
  <c r="Q67"/>
  <c r="R63"/>
  <c r="Q63"/>
  <c r="R58"/>
  <c r="Q58"/>
  <c r="R56"/>
  <c r="Q56"/>
  <c r="Q54"/>
  <c r="R49"/>
  <c r="Q49"/>
  <c r="R39"/>
  <c r="Q39"/>
  <c r="R35"/>
  <c r="Q35"/>
  <c r="R27"/>
  <c r="Q27"/>
  <c r="Q22"/>
  <c r="R17"/>
  <c r="Q17"/>
  <c r="R13"/>
  <c r="Q13"/>
  <c r="O145"/>
  <c r="N145"/>
  <c r="O140"/>
  <c r="N140"/>
  <c r="O133"/>
  <c r="N133"/>
  <c r="O131"/>
  <c r="N131"/>
  <c r="O124"/>
  <c r="N124"/>
  <c r="O117"/>
  <c r="N117"/>
  <c r="O113"/>
  <c r="N113"/>
  <c r="O106"/>
  <c r="N106"/>
  <c r="O99"/>
  <c r="N99"/>
  <c r="O91"/>
  <c r="N91"/>
  <c r="O85"/>
  <c r="N85"/>
  <c r="O80"/>
  <c r="N80"/>
  <c r="O77"/>
  <c r="N77"/>
  <c r="O73"/>
  <c r="N73"/>
  <c r="O71"/>
  <c r="N71"/>
  <c r="O69"/>
  <c r="N69"/>
  <c r="O67"/>
  <c r="N67"/>
  <c r="O63"/>
  <c r="N63"/>
  <c r="O58"/>
  <c r="N58"/>
  <c r="O56"/>
  <c r="N56"/>
  <c r="O54"/>
  <c r="N54"/>
  <c r="O49"/>
  <c r="N49"/>
  <c r="O39"/>
  <c r="N39"/>
  <c r="O35"/>
  <c r="N35"/>
  <c r="O27"/>
  <c r="N27"/>
  <c r="O22"/>
  <c r="N22"/>
  <c r="N17"/>
  <c r="N13"/>
  <c r="L145"/>
  <c r="K145"/>
  <c r="L140"/>
  <c r="K140"/>
  <c r="L133"/>
  <c r="K133"/>
  <c r="L131"/>
  <c r="K131"/>
  <c r="L124"/>
  <c r="K124"/>
  <c r="L117"/>
  <c r="K117"/>
  <c r="L113"/>
  <c r="K113"/>
  <c r="L106"/>
  <c r="K106"/>
  <c r="L99"/>
  <c r="K99"/>
  <c r="L91"/>
  <c r="K91"/>
  <c r="L85"/>
  <c r="K85"/>
  <c r="L80"/>
  <c r="K80"/>
  <c r="L77"/>
  <c r="K77"/>
  <c r="L73"/>
  <c r="K73"/>
  <c r="L71"/>
  <c r="K71"/>
  <c r="L69"/>
  <c r="K69"/>
  <c r="L67"/>
  <c r="K67"/>
  <c r="L63"/>
  <c r="K63"/>
  <c r="L58"/>
  <c r="K58"/>
  <c r="L56"/>
  <c r="K56"/>
  <c r="L54"/>
  <c r="K54"/>
  <c r="L49"/>
  <c r="K49"/>
  <c r="L39"/>
  <c r="K39"/>
  <c r="L35"/>
  <c r="K35"/>
  <c r="L27"/>
  <c r="K27"/>
  <c r="L22"/>
  <c r="K22"/>
  <c r="L17"/>
  <c r="K17"/>
  <c r="L13"/>
  <c r="L146" s="1"/>
  <c r="K13"/>
  <c r="K146" s="1"/>
  <c r="I145"/>
  <c r="H145"/>
  <c r="I140"/>
  <c r="H140"/>
  <c r="I133"/>
  <c r="H133"/>
  <c r="I131"/>
  <c r="H131"/>
  <c r="I124"/>
  <c r="H124"/>
  <c r="I117"/>
  <c r="H117"/>
  <c r="I113"/>
  <c r="H113"/>
  <c r="I106"/>
  <c r="H106"/>
  <c r="I99"/>
  <c r="H99"/>
  <c r="I91"/>
  <c r="H91"/>
  <c r="I85"/>
  <c r="H85"/>
  <c r="I80"/>
  <c r="H80"/>
  <c r="I77"/>
  <c r="H77"/>
  <c r="I73"/>
  <c r="H73"/>
  <c r="I71"/>
  <c r="H71"/>
  <c r="I69"/>
  <c r="H69"/>
  <c r="I67"/>
  <c r="H67"/>
  <c r="I63"/>
  <c r="H63"/>
  <c r="I58"/>
  <c r="H58"/>
  <c r="I56"/>
  <c r="H56"/>
  <c r="I54"/>
  <c r="H54"/>
  <c r="I49"/>
  <c r="H49"/>
  <c r="I39"/>
  <c r="H39"/>
  <c r="I35"/>
  <c r="H35"/>
  <c r="I27"/>
  <c r="H27"/>
  <c r="I22"/>
  <c r="H22"/>
  <c r="I17"/>
  <c r="H17"/>
  <c r="I13"/>
  <c r="I146" s="1"/>
  <c r="H13"/>
  <c r="H146" s="1"/>
  <c r="F140"/>
  <c r="E140"/>
  <c r="F133"/>
  <c r="E133"/>
  <c r="F131"/>
  <c r="E131"/>
  <c r="E120"/>
  <c r="E124" s="1"/>
  <c r="E117"/>
  <c r="E113"/>
  <c r="E106"/>
  <c r="E99"/>
  <c r="E91"/>
  <c r="E85"/>
  <c r="E80"/>
  <c r="E76"/>
  <c r="E77" s="1"/>
  <c r="F73"/>
  <c r="E73"/>
  <c r="F71"/>
  <c r="E71"/>
  <c r="F69"/>
  <c r="E69"/>
  <c r="F67"/>
  <c r="E67"/>
  <c r="F63"/>
  <c r="E63"/>
  <c r="F58"/>
  <c r="E58"/>
  <c r="F56"/>
  <c r="E56"/>
  <c r="F54"/>
  <c r="E54"/>
  <c r="F49"/>
  <c r="E49"/>
  <c r="F39"/>
  <c r="E39"/>
  <c r="F35"/>
  <c r="E35"/>
  <c r="F27"/>
  <c r="E27"/>
  <c r="F22"/>
  <c r="E22"/>
  <c r="F17"/>
  <c r="E17"/>
  <c r="F13"/>
  <c r="E13"/>
  <c r="Q129" i="85"/>
  <c r="N129"/>
  <c r="K129"/>
  <c r="H129"/>
  <c r="E129"/>
  <c r="S128"/>
  <c r="U128" s="1"/>
  <c r="R128"/>
  <c r="O128"/>
  <c r="L128"/>
  <c r="I128"/>
  <c r="F128"/>
  <c r="S127"/>
  <c r="U127" s="1"/>
  <c r="R127"/>
  <c r="O127"/>
  <c r="L127"/>
  <c r="I127"/>
  <c r="F127"/>
  <c r="S126"/>
  <c r="R126"/>
  <c r="O126"/>
  <c r="L126"/>
  <c r="I126"/>
  <c r="F126"/>
  <c r="S125"/>
  <c r="U125" s="1"/>
  <c r="R125"/>
  <c r="R129" s="1"/>
  <c r="O125"/>
  <c r="O129" s="1"/>
  <c r="L125"/>
  <c r="I125"/>
  <c r="I129" s="1"/>
  <c r="F125"/>
  <c r="S3"/>
  <c r="U3" s="1"/>
  <c r="R3"/>
  <c r="O3"/>
  <c r="L3"/>
  <c r="I3"/>
  <c r="F3"/>
  <c r="P1"/>
  <c r="U2" s="1"/>
  <c r="C1"/>
  <c r="K11" i="71"/>
  <c r="N28"/>
  <c r="Q32" i="63"/>
  <c r="N32"/>
  <c r="K32"/>
  <c r="H32"/>
  <c r="E32"/>
  <c r="S31"/>
  <c r="U31" s="1"/>
  <c r="R31"/>
  <c r="O31"/>
  <c r="L31"/>
  <c r="I31"/>
  <c r="F31"/>
  <c r="S30"/>
  <c r="U30" s="1"/>
  <c r="R30"/>
  <c r="O30"/>
  <c r="L30"/>
  <c r="I30"/>
  <c r="F30"/>
  <c r="Q11"/>
  <c r="N11"/>
  <c r="K11"/>
  <c r="H11"/>
  <c r="S9"/>
  <c r="U9" s="1"/>
  <c r="R9"/>
  <c r="O9"/>
  <c r="L9"/>
  <c r="I9"/>
  <c r="F9"/>
  <c r="E11"/>
  <c r="S10"/>
  <c r="U10" s="1"/>
  <c r="R10"/>
  <c r="O10"/>
  <c r="L10"/>
  <c r="I10"/>
  <c r="F10"/>
  <c r="S8"/>
  <c r="U8" s="1"/>
  <c r="R8"/>
  <c r="O8"/>
  <c r="L8"/>
  <c r="I8"/>
  <c r="F8"/>
  <c r="S7"/>
  <c r="U7" s="1"/>
  <c r="R7"/>
  <c r="O7"/>
  <c r="L7"/>
  <c r="I7"/>
  <c r="F7"/>
  <c r="H17"/>
  <c r="Q17"/>
  <c r="N17"/>
  <c r="K17"/>
  <c r="E17"/>
  <c r="S16"/>
  <c r="U16" s="1"/>
  <c r="R16"/>
  <c r="O16"/>
  <c r="L16"/>
  <c r="I16"/>
  <c r="F16"/>
  <c r="Q14"/>
  <c r="N14"/>
  <c r="K14"/>
  <c r="H14"/>
  <c r="E14"/>
  <c r="S13"/>
  <c r="U13" s="1"/>
  <c r="R13"/>
  <c r="O13"/>
  <c r="L13"/>
  <c r="I13"/>
  <c r="F13"/>
  <c r="N24" i="55"/>
  <c r="N14" i="78"/>
  <c r="N16"/>
  <c r="N11"/>
  <c r="N9"/>
  <c r="O39"/>
  <c r="V39" s="1"/>
  <c r="O38"/>
  <c r="V38" s="1"/>
  <c r="O36"/>
  <c r="V36" s="1"/>
  <c r="O35"/>
  <c r="V35" s="1"/>
  <c r="O32"/>
  <c r="V32" s="1"/>
  <c r="O31"/>
  <c r="V31" s="1"/>
  <c r="O30"/>
  <c r="V30" s="1"/>
  <c r="K34"/>
  <c r="I29"/>
  <c r="I40" s="1"/>
  <c r="N40"/>
  <c r="M40"/>
  <c r="Q38"/>
  <c r="P38"/>
  <c r="Q35"/>
  <c r="P35"/>
  <c r="Q34"/>
  <c r="P34"/>
  <c r="Q32"/>
  <c r="P32"/>
  <c r="Q30"/>
  <c r="Q39" s="1"/>
  <c r="P30"/>
  <c r="P39" s="1"/>
  <c r="H33"/>
  <c r="O33" s="1"/>
  <c r="G34"/>
  <c r="E37"/>
  <c r="O37" s="1"/>
  <c r="L40"/>
  <c r="K40"/>
  <c r="J40"/>
  <c r="H40"/>
  <c r="G40"/>
  <c r="F40"/>
  <c r="D29"/>
  <c r="O29" s="1"/>
  <c r="C34"/>
  <c r="S22" i="70" l="1"/>
  <c r="S63"/>
  <c r="S131"/>
  <c r="S140"/>
  <c r="T7" i="85"/>
  <c r="T9"/>
  <c r="T11"/>
  <c r="T13"/>
  <c r="T16"/>
  <c r="T18"/>
  <c r="T20"/>
  <c r="T22"/>
  <c r="T24"/>
  <c r="T26"/>
  <c r="T28"/>
  <c r="T32"/>
  <c r="T36"/>
  <c r="T39"/>
  <c r="T41"/>
  <c r="T43"/>
  <c r="T45"/>
  <c r="T47"/>
  <c r="T49"/>
  <c r="T51"/>
  <c r="T54"/>
  <c r="T56"/>
  <c r="T58"/>
  <c r="T60"/>
  <c r="O34" i="78"/>
  <c r="V34" s="1"/>
  <c r="E146" i="70"/>
  <c r="T14" i="86"/>
  <c r="V14" s="1"/>
  <c r="S27" i="70"/>
  <c r="T11"/>
  <c r="T14"/>
  <c r="T16"/>
  <c r="T19"/>
  <c r="T21"/>
  <c r="T24"/>
  <c r="T26"/>
  <c r="T28"/>
  <c r="T30"/>
  <c r="V30" s="1"/>
  <c r="T32"/>
  <c r="T34"/>
  <c r="T36"/>
  <c r="T38"/>
  <c r="V38" s="1"/>
  <c r="T40"/>
  <c r="T42"/>
  <c r="T44"/>
  <c r="T46"/>
  <c r="V46" s="1"/>
  <c r="T62" i="85"/>
  <c r="T64"/>
  <c r="T66"/>
  <c r="T68"/>
  <c r="V68" s="1"/>
  <c r="T70"/>
  <c r="T72"/>
  <c r="V72" s="1"/>
  <c r="T75"/>
  <c r="T78"/>
  <c r="T79" s="1"/>
  <c r="T80"/>
  <c r="T81" s="1"/>
  <c r="T83"/>
  <c r="V83" s="1"/>
  <c r="T85"/>
  <c r="T88"/>
  <c r="T90"/>
  <c r="T92"/>
  <c r="T94"/>
  <c r="T96"/>
  <c r="V96" s="1"/>
  <c r="T98"/>
  <c r="T101"/>
  <c r="V101" s="1"/>
  <c r="T103"/>
  <c r="T106"/>
  <c r="V106" s="1"/>
  <c r="T108"/>
  <c r="T110"/>
  <c r="T111" s="1"/>
  <c r="T112"/>
  <c r="T114"/>
  <c r="V114" s="1"/>
  <c r="T116"/>
  <c r="T118"/>
  <c r="V118" s="1"/>
  <c r="T119"/>
  <c r="T6" i="86"/>
  <c r="T9" s="1"/>
  <c r="I9"/>
  <c r="U6"/>
  <c r="U9" s="1"/>
  <c r="S9"/>
  <c r="T10"/>
  <c r="T13" s="1"/>
  <c r="I13"/>
  <c r="U10"/>
  <c r="U13" s="1"/>
  <c r="S13"/>
  <c r="T51" i="70"/>
  <c r="V51" s="1"/>
  <c r="T53"/>
  <c r="T55"/>
  <c r="T56" s="1"/>
  <c r="T57"/>
  <c r="T58" s="1"/>
  <c r="T60"/>
  <c r="V60" s="1"/>
  <c r="T62"/>
  <c r="T64"/>
  <c r="T66"/>
  <c r="T3" i="87"/>
  <c r="V3" s="1"/>
  <c r="T126"/>
  <c r="V126"/>
  <c r="T16" i="86"/>
  <c r="R112" i="69"/>
  <c r="F112"/>
  <c r="T68" i="70"/>
  <c r="T69" s="1"/>
  <c r="T70"/>
  <c r="T71" s="1"/>
  <c r="T72"/>
  <c r="T73" s="1"/>
  <c r="T74"/>
  <c r="T121"/>
  <c r="T123"/>
  <c r="T126"/>
  <c r="T128"/>
  <c r="T130"/>
  <c r="T132"/>
  <c r="T133" s="1"/>
  <c r="T135"/>
  <c r="V135" s="1"/>
  <c r="T137"/>
  <c r="T139"/>
  <c r="V139" s="1"/>
  <c r="T142"/>
  <c r="T144"/>
  <c r="V144" s="1"/>
  <c r="E121" i="85"/>
  <c r="C40" i="78"/>
  <c r="E40"/>
  <c r="T9" i="63"/>
  <c r="V9" s="1"/>
  <c r="T3" i="85"/>
  <c r="V3" s="1"/>
  <c r="T125"/>
  <c r="V125" s="1"/>
  <c r="T127"/>
  <c r="V127" s="1"/>
  <c r="S13" i="70"/>
  <c r="T8"/>
  <c r="V8" s="1"/>
  <c r="V32"/>
  <c r="T50"/>
  <c r="V50" s="1"/>
  <c r="T76"/>
  <c r="T79"/>
  <c r="V79" s="1"/>
  <c r="T82"/>
  <c r="T84"/>
  <c r="V84" s="1"/>
  <c r="T86"/>
  <c r="T88"/>
  <c r="T90"/>
  <c r="T92"/>
  <c r="V92" s="1"/>
  <c r="T94"/>
  <c r="V94" s="1"/>
  <c r="T96"/>
  <c r="T98"/>
  <c r="T103"/>
  <c r="V103" s="1"/>
  <c r="T105"/>
  <c r="T108"/>
  <c r="V108" s="1"/>
  <c r="T110"/>
  <c r="V110" s="1"/>
  <c r="T112"/>
  <c r="T114"/>
  <c r="T116"/>
  <c r="V116" s="1"/>
  <c r="T119"/>
  <c r="S14" i="85"/>
  <c r="T33"/>
  <c r="V33" s="1"/>
  <c r="T35"/>
  <c r="V35" s="1"/>
  <c r="V36"/>
  <c r="V119"/>
  <c r="V37" i="78"/>
  <c r="S37"/>
  <c r="S34"/>
  <c r="V29"/>
  <c r="O40"/>
  <c r="S29"/>
  <c r="V33"/>
  <c r="S33"/>
  <c r="D40"/>
  <c r="S31"/>
  <c r="S35"/>
  <c r="S39"/>
  <c r="T6" i="70"/>
  <c r="V6" s="1"/>
  <c r="T10"/>
  <c r="V10" s="1"/>
  <c r="V11"/>
  <c r="T12"/>
  <c r="V12" s="1"/>
  <c r="V14"/>
  <c r="T15"/>
  <c r="V15" s="1"/>
  <c r="V16"/>
  <c r="T18"/>
  <c r="V19"/>
  <c r="T20"/>
  <c r="V20" s="1"/>
  <c r="V21"/>
  <c r="T23"/>
  <c r="V24"/>
  <c r="T25"/>
  <c r="V25" s="1"/>
  <c r="V26"/>
  <c r="V28"/>
  <c r="T29"/>
  <c r="V29" s="1"/>
  <c r="T31"/>
  <c r="V31" s="1"/>
  <c r="T33"/>
  <c r="V33" s="1"/>
  <c r="V34"/>
  <c r="V36"/>
  <c r="T37"/>
  <c r="V37" s="1"/>
  <c r="V40"/>
  <c r="T41"/>
  <c r="V41" s="1"/>
  <c r="V42"/>
  <c r="T43"/>
  <c r="V43" s="1"/>
  <c r="V44"/>
  <c r="T45"/>
  <c r="V45" s="1"/>
  <c r="T47"/>
  <c r="V47" s="1"/>
  <c r="T52"/>
  <c r="T54" s="1"/>
  <c r="V53"/>
  <c r="V55"/>
  <c r="V56" s="1"/>
  <c r="V57"/>
  <c r="V58" s="1"/>
  <c r="T59"/>
  <c r="V59" s="1"/>
  <c r="T61"/>
  <c r="V61" s="1"/>
  <c r="V62"/>
  <c r="V64"/>
  <c r="T65"/>
  <c r="V65" s="1"/>
  <c r="V66"/>
  <c r="V70"/>
  <c r="V71" s="1"/>
  <c r="V74"/>
  <c r="T75"/>
  <c r="V75" s="1"/>
  <c r="F76"/>
  <c r="T78"/>
  <c r="T80" s="1"/>
  <c r="T81"/>
  <c r="V82"/>
  <c r="T83"/>
  <c r="V83" s="1"/>
  <c r="V86"/>
  <c r="T87"/>
  <c r="V87" s="1"/>
  <c r="V88"/>
  <c r="T89"/>
  <c r="V89" s="1"/>
  <c r="V90"/>
  <c r="T93"/>
  <c r="V93" s="1"/>
  <c r="T95"/>
  <c r="V95" s="1"/>
  <c r="V96"/>
  <c r="T97"/>
  <c r="V97" s="1"/>
  <c r="V98"/>
  <c r="T100"/>
  <c r="V100" s="1"/>
  <c r="T102"/>
  <c r="V102" s="1"/>
  <c r="T104"/>
  <c r="V104" s="1"/>
  <c r="V105"/>
  <c r="T107"/>
  <c r="V107" s="1"/>
  <c r="T109"/>
  <c r="V109" s="1"/>
  <c r="T111"/>
  <c r="V111" s="1"/>
  <c r="V112"/>
  <c r="V114"/>
  <c r="T115"/>
  <c r="V115" s="1"/>
  <c r="T118"/>
  <c r="V118" s="1"/>
  <c r="V119"/>
  <c r="F120"/>
  <c r="T120"/>
  <c r="V121"/>
  <c r="T122"/>
  <c r="V122" s="1"/>
  <c r="V123"/>
  <c r="T125"/>
  <c r="V125" s="1"/>
  <c r="V126"/>
  <c r="T127"/>
  <c r="V127" s="1"/>
  <c r="V128"/>
  <c r="T129"/>
  <c r="V129" s="1"/>
  <c r="V130"/>
  <c r="V132"/>
  <c r="V133" s="1"/>
  <c r="T134"/>
  <c r="V134" s="1"/>
  <c r="T136"/>
  <c r="V136" s="1"/>
  <c r="V137"/>
  <c r="T138"/>
  <c r="V138" s="1"/>
  <c r="T141"/>
  <c r="V141" s="1"/>
  <c r="V142"/>
  <c r="T143"/>
  <c r="V143" s="1"/>
  <c r="O14" i="85"/>
  <c r="O19"/>
  <c r="T30"/>
  <c r="T34"/>
  <c r="V34" s="1"/>
  <c r="O57"/>
  <c r="V10" i="86"/>
  <c r="V13" s="1"/>
  <c r="V16"/>
  <c r="S30" i="78"/>
  <c r="S32"/>
  <c r="S36"/>
  <c r="S38"/>
  <c r="T7" i="70"/>
  <c r="V7" s="1"/>
  <c r="T9"/>
  <c r="V9" s="1"/>
  <c r="T48"/>
  <c r="V48" s="1"/>
  <c r="U76"/>
  <c r="U77" s="1"/>
  <c r="T101"/>
  <c r="V101" s="1"/>
  <c r="U120"/>
  <c r="U124" s="1"/>
  <c r="F145"/>
  <c r="T6" i="85"/>
  <c r="V6" s="1"/>
  <c r="T8"/>
  <c r="V8" s="1"/>
  <c r="T10"/>
  <c r="V10" s="1"/>
  <c r="T12"/>
  <c r="V12" s="1"/>
  <c r="T15"/>
  <c r="V16"/>
  <c r="T17"/>
  <c r="V17" s="1"/>
  <c r="V18"/>
  <c r="V20"/>
  <c r="T21"/>
  <c r="V21" s="1"/>
  <c r="V22"/>
  <c r="T23"/>
  <c r="V23" s="1"/>
  <c r="V24"/>
  <c r="T25"/>
  <c r="V25" s="1"/>
  <c r="V26"/>
  <c r="V28"/>
  <c r="T29"/>
  <c r="V29" s="1"/>
  <c r="V30"/>
  <c r="T31"/>
  <c r="V31" s="1"/>
  <c r="V32"/>
  <c r="T38"/>
  <c r="V39"/>
  <c r="T40"/>
  <c r="V40" s="1"/>
  <c r="V41"/>
  <c r="V43"/>
  <c r="T44"/>
  <c r="V44" s="1"/>
  <c r="R52"/>
  <c r="R121" s="1"/>
  <c r="V45"/>
  <c r="T46"/>
  <c r="V46" s="1"/>
  <c r="V47"/>
  <c r="T48"/>
  <c r="V48" s="1"/>
  <c r="V49"/>
  <c r="T50"/>
  <c r="V50" s="1"/>
  <c r="V51"/>
  <c r="T53"/>
  <c r="V54"/>
  <c r="T55"/>
  <c r="V55" s="1"/>
  <c r="V56"/>
  <c r="V58"/>
  <c r="T59"/>
  <c r="V59" s="1"/>
  <c r="V60"/>
  <c r="T63"/>
  <c r="T65"/>
  <c r="V65" s="1"/>
  <c r="T69"/>
  <c r="V69" s="1"/>
  <c r="V70"/>
  <c r="T71"/>
  <c r="V71" s="1"/>
  <c r="V75"/>
  <c r="T76"/>
  <c r="V76" s="1"/>
  <c r="V78"/>
  <c r="V79" s="1"/>
  <c r="V80"/>
  <c r="V81" s="1"/>
  <c r="T82"/>
  <c r="T84"/>
  <c r="V84" s="1"/>
  <c r="V85"/>
  <c r="T87"/>
  <c r="V87" s="1"/>
  <c r="T89"/>
  <c r="V89" s="1"/>
  <c r="T91"/>
  <c r="V91" s="1"/>
  <c r="V94"/>
  <c r="T95"/>
  <c r="V95" s="1"/>
  <c r="T97"/>
  <c r="V97" s="1"/>
  <c r="V98"/>
  <c r="T100"/>
  <c r="V100" s="1"/>
  <c r="T102"/>
  <c r="V102" s="1"/>
  <c r="V103"/>
  <c r="T105"/>
  <c r="V105" s="1"/>
  <c r="T107"/>
  <c r="V107" s="1"/>
  <c r="V108"/>
  <c r="V110"/>
  <c r="V111" s="1"/>
  <c r="T113"/>
  <c r="T115"/>
  <c r="V115" s="1"/>
  <c r="T111" i="69"/>
  <c r="V111" s="1"/>
  <c r="O112"/>
  <c r="I112"/>
  <c r="I17" i="86"/>
  <c r="S17"/>
  <c r="S18" s="1"/>
  <c r="T3"/>
  <c r="V3" s="1"/>
  <c r="O18"/>
  <c r="K18"/>
  <c r="Q18"/>
  <c r="F18"/>
  <c r="L18"/>
  <c r="R18"/>
  <c r="E18"/>
  <c r="T17"/>
  <c r="U17"/>
  <c r="S112" i="69"/>
  <c r="U110"/>
  <c r="U112" s="1"/>
  <c r="T110"/>
  <c r="V112" i="85"/>
  <c r="V116"/>
  <c r="S99"/>
  <c r="V88"/>
  <c r="V90"/>
  <c r="V92"/>
  <c r="S81"/>
  <c r="S79"/>
  <c r="T74"/>
  <c r="T77" s="1"/>
  <c r="I77"/>
  <c r="S73"/>
  <c r="V62"/>
  <c r="V64"/>
  <c r="V66"/>
  <c r="S67"/>
  <c r="T61"/>
  <c r="L61"/>
  <c r="S61"/>
  <c r="T52"/>
  <c r="F52"/>
  <c r="I52"/>
  <c r="L52"/>
  <c r="S52"/>
  <c r="Q121"/>
  <c r="T37"/>
  <c r="S37"/>
  <c r="T27"/>
  <c r="K121"/>
  <c r="L27"/>
  <c r="S27"/>
  <c r="H121"/>
  <c r="I19"/>
  <c r="N121"/>
  <c r="U121"/>
  <c r="O121"/>
  <c r="T14"/>
  <c r="V7"/>
  <c r="V9"/>
  <c r="V11"/>
  <c r="V13"/>
  <c r="F14"/>
  <c r="F121" s="1"/>
  <c r="I14"/>
  <c r="L14"/>
  <c r="T126"/>
  <c r="V126" s="1"/>
  <c r="S129"/>
  <c r="T128"/>
  <c r="V128" s="1"/>
  <c r="T99" i="70"/>
  <c r="T77"/>
  <c r="S77"/>
  <c r="V72"/>
  <c r="V73" s="1"/>
  <c r="S71"/>
  <c r="S69"/>
  <c r="S67"/>
  <c r="S58"/>
  <c r="S56"/>
  <c r="N146"/>
  <c r="Q146"/>
  <c r="S49"/>
  <c r="S39"/>
  <c r="S35"/>
  <c r="R146"/>
  <c r="T17"/>
  <c r="O146"/>
  <c r="S17"/>
  <c r="F129" i="85"/>
  <c r="L129"/>
  <c r="U126"/>
  <c r="U129" s="1"/>
  <c r="T30" i="63"/>
  <c r="V30" s="1"/>
  <c r="T31"/>
  <c r="V31" s="1"/>
  <c r="T10"/>
  <c r="V10" s="1"/>
  <c r="T7"/>
  <c r="V7" s="1"/>
  <c r="T8"/>
  <c r="V8" s="1"/>
  <c r="T16"/>
  <c r="T13"/>
  <c r="T67" i="70" l="1"/>
  <c r="V120" i="85"/>
  <c r="T49" i="70"/>
  <c r="S40" i="78"/>
  <c r="T91" i="70"/>
  <c r="T35"/>
  <c r="T39"/>
  <c r="T117"/>
  <c r="T73" i="85"/>
  <c r="T112" i="69"/>
  <c r="V6" i="86"/>
  <c r="V9" s="1"/>
  <c r="V68" i="70"/>
  <c r="V69" s="1"/>
  <c r="I121" i="85"/>
  <c r="T117"/>
  <c r="T120"/>
  <c r="T93"/>
  <c r="T99"/>
  <c r="T57"/>
  <c r="V110" i="69"/>
  <c r="V112" s="1"/>
  <c r="I18" i="86"/>
  <c r="T27" i="70"/>
  <c r="T42" i="85"/>
  <c r="T85" i="70"/>
  <c r="U146"/>
  <c r="V78"/>
  <c r="T22"/>
  <c r="T86" i="85"/>
  <c r="T67"/>
  <c r="T19"/>
  <c r="V140" i="70"/>
  <c r="V131"/>
  <c r="V106"/>
  <c r="V120"/>
  <c r="F124"/>
  <c r="V76"/>
  <c r="F77"/>
  <c r="F146" s="1"/>
  <c r="V14" i="85"/>
  <c r="V113"/>
  <c r="V117" s="1"/>
  <c r="T109"/>
  <c r="T104"/>
  <c r="V99"/>
  <c r="V82"/>
  <c r="V86" s="1"/>
  <c r="V73"/>
  <c r="V63"/>
  <c r="V61"/>
  <c r="V53"/>
  <c r="V57" s="1"/>
  <c r="V52"/>
  <c r="V38"/>
  <c r="V42" s="1"/>
  <c r="V37"/>
  <c r="V27"/>
  <c r="V15"/>
  <c r="V19" s="1"/>
  <c r="T145" i="70"/>
  <c r="T124"/>
  <c r="T113"/>
  <c r="V91"/>
  <c r="V81"/>
  <c r="V85" s="1"/>
  <c r="T63"/>
  <c r="V52"/>
  <c r="V54" s="1"/>
  <c r="V35"/>
  <c r="V23"/>
  <c r="V27" s="1"/>
  <c r="V18"/>
  <c r="V22" s="1"/>
  <c r="V17"/>
  <c r="T13"/>
  <c r="T129" i="85"/>
  <c r="S121"/>
  <c r="V93"/>
  <c r="V109"/>
  <c r="V104"/>
  <c r="V145" i="70"/>
  <c r="T140"/>
  <c r="T131"/>
  <c r="V124"/>
  <c r="V117"/>
  <c r="V113"/>
  <c r="T106"/>
  <c r="V99"/>
  <c r="V80"/>
  <c r="V77"/>
  <c r="V67"/>
  <c r="V63"/>
  <c r="V49"/>
  <c r="V39"/>
  <c r="V13"/>
  <c r="T18" i="86"/>
  <c r="U18"/>
  <c r="V17"/>
  <c r="T121" i="85"/>
  <c r="V74"/>
  <c r="V77" s="1"/>
  <c r="V67"/>
  <c r="L121"/>
  <c r="V129"/>
  <c r="S146" i="70"/>
  <c r="V16" i="63"/>
  <c r="V13"/>
  <c r="E20" i="78"/>
  <c r="K11"/>
  <c r="K9"/>
  <c r="V121" i="85" l="1"/>
  <c r="V146" i="70"/>
  <c r="T146"/>
  <c r="V18" i="86"/>
  <c r="K18" i="55"/>
  <c r="N60" i="71"/>
  <c r="O60" s="1"/>
  <c r="N59"/>
  <c r="R60"/>
  <c r="L60"/>
  <c r="I60"/>
  <c r="F60"/>
  <c r="R59"/>
  <c r="O59"/>
  <c r="K59"/>
  <c r="I59"/>
  <c r="F59"/>
  <c r="E62"/>
  <c r="S59" l="1"/>
  <c r="U59" s="1"/>
  <c r="S60"/>
  <c r="U60" s="1"/>
  <c r="L59"/>
  <c r="T59" s="1"/>
  <c r="V59" s="1"/>
  <c r="T60"/>
  <c r="V60" s="1"/>
  <c r="K58"/>
  <c r="H28" i="63" l="1"/>
  <c r="E28"/>
  <c r="S27"/>
  <c r="U27" s="1"/>
  <c r="R27"/>
  <c r="O27"/>
  <c r="L27"/>
  <c r="I27"/>
  <c r="F27"/>
  <c r="Q11" i="64"/>
  <c r="N11"/>
  <c r="K11"/>
  <c r="H11"/>
  <c r="E11"/>
  <c r="S10"/>
  <c r="S11" s="1"/>
  <c r="R10"/>
  <c r="R11" s="1"/>
  <c r="O10"/>
  <c r="O11" s="1"/>
  <c r="L10"/>
  <c r="L11" s="1"/>
  <c r="I10"/>
  <c r="I11" s="1"/>
  <c r="F10"/>
  <c r="F11" s="1"/>
  <c r="T27" i="63" l="1"/>
  <c r="V27" s="1"/>
  <c r="U10" i="64"/>
  <c r="U11" s="1"/>
  <c r="T10"/>
  <c r="T11" s="1"/>
  <c r="V10" l="1"/>
  <c r="V11" s="1"/>
  <c r="H14" i="78" l="1"/>
  <c r="S18"/>
  <c r="S17"/>
  <c r="S16"/>
  <c r="S15"/>
  <c r="S13"/>
  <c r="S12"/>
  <c r="S11"/>
  <c r="S10"/>
  <c r="S9"/>
  <c r="Q20"/>
  <c r="N20"/>
  <c r="K20"/>
  <c r="S14" l="1"/>
  <c r="H20"/>
  <c r="S53" i="59"/>
  <c r="U53" s="1"/>
  <c r="R53"/>
  <c r="O53"/>
  <c r="L53"/>
  <c r="I53"/>
  <c r="F53"/>
  <c r="H6" i="78"/>
  <c r="T53" i="59" l="1"/>
  <c r="V53" s="1"/>
  <c r="Q314" i="56"/>
  <c r="N314"/>
  <c r="K314"/>
  <c r="H314"/>
  <c r="E314"/>
  <c r="S312"/>
  <c r="U312" s="1"/>
  <c r="R312"/>
  <c r="O312"/>
  <c r="L312"/>
  <c r="I312"/>
  <c r="F312"/>
  <c r="S311"/>
  <c r="U311" s="1"/>
  <c r="R311"/>
  <c r="O311"/>
  <c r="L311"/>
  <c r="I311"/>
  <c r="F311"/>
  <c r="S313"/>
  <c r="U313" s="1"/>
  <c r="R313"/>
  <c r="O313"/>
  <c r="L313"/>
  <c r="I313"/>
  <c r="F313"/>
  <c r="S310"/>
  <c r="U310" s="1"/>
  <c r="R310"/>
  <c r="O310"/>
  <c r="L310"/>
  <c r="I310"/>
  <c r="F310"/>
  <c r="S309"/>
  <c r="U309" s="1"/>
  <c r="R309"/>
  <c r="O309"/>
  <c r="L309"/>
  <c r="I309"/>
  <c r="F309"/>
  <c r="S308"/>
  <c r="U308" s="1"/>
  <c r="R308"/>
  <c r="O308"/>
  <c r="L308"/>
  <c r="I308"/>
  <c r="F308"/>
  <c r="S307"/>
  <c r="U307" s="1"/>
  <c r="R307"/>
  <c r="O307"/>
  <c r="L307"/>
  <c r="I307"/>
  <c r="F307"/>
  <c r="S103" i="55"/>
  <c r="U103" s="1"/>
  <c r="R103"/>
  <c r="O103"/>
  <c r="L103"/>
  <c r="I103"/>
  <c r="F103"/>
  <c r="S102"/>
  <c r="U102" s="1"/>
  <c r="R102"/>
  <c r="O102"/>
  <c r="L102"/>
  <c r="I102"/>
  <c r="F102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23" i="81"/>
  <c r="U23" s="1"/>
  <c r="R23"/>
  <c r="O23"/>
  <c r="L23"/>
  <c r="I23"/>
  <c r="F23"/>
  <c r="H63" i="59"/>
  <c r="U18" i="78"/>
  <c r="R18"/>
  <c r="O18"/>
  <c r="L18"/>
  <c r="I18"/>
  <c r="F18"/>
  <c r="U17"/>
  <c r="R17"/>
  <c r="O17"/>
  <c r="L17"/>
  <c r="I17"/>
  <c r="F17"/>
  <c r="U16"/>
  <c r="R16"/>
  <c r="O16"/>
  <c r="L16"/>
  <c r="I16"/>
  <c r="F16"/>
  <c r="U15"/>
  <c r="R15"/>
  <c r="O15"/>
  <c r="L15"/>
  <c r="I15"/>
  <c r="F15"/>
  <c r="S104" i="59"/>
  <c r="U104" s="1"/>
  <c r="R104"/>
  <c r="O104"/>
  <c r="L104"/>
  <c r="I104"/>
  <c r="F104"/>
  <c r="S103"/>
  <c r="U103" s="1"/>
  <c r="R103"/>
  <c r="O103"/>
  <c r="L103"/>
  <c r="I103"/>
  <c r="F103"/>
  <c r="S98" i="55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3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287" i="56"/>
  <c r="U287" s="1"/>
  <c r="R287"/>
  <c r="O287"/>
  <c r="L287"/>
  <c r="I287"/>
  <c r="F287"/>
  <c r="S286"/>
  <c r="U286" s="1"/>
  <c r="R286"/>
  <c r="O286"/>
  <c r="L286"/>
  <c r="I286"/>
  <c r="F286"/>
  <c r="S285"/>
  <c r="U285" s="1"/>
  <c r="R285"/>
  <c r="O285"/>
  <c r="L285"/>
  <c r="I285"/>
  <c r="F285"/>
  <c r="S284"/>
  <c r="U284" s="1"/>
  <c r="R284"/>
  <c r="O284"/>
  <c r="L284"/>
  <c r="I284"/>
  <c r="F284"/>
  <c r="Q235"/>
  <c r="Q231"/>
  <c r="S66" i="54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81"/>
  <c r="U81" s="1"/>
  <c r="R81"/>
  <c r="O81"/>
  <c r="L81"/>
  <c r="I81"/>
  <c r="F81"/>
  <c r="S80"/>
  <c r="U80" s="1"/>
  <c r="R80"/>
  <c r="O80"/>
  <c r="L80"/>
  <c r="I80"/>
  <c r="F80"/>
  <c r="S71"/>
  <c r="U71" s="1"/>
  <c r="R71"/>
  <c r="O71"/>
  <c r="L71"/>
  <c r="I71"/>
  <c r="F71"/>
  <c r="T71" l="1"/>
  <c r="T62"/>
  <c r="V62" s="1"/>
  <c r="T285" i="56"/>
  <c r="V285" s="1"/>
  <c r="T103" i="59"/>
  <c r="V103" s="1"/>
  <c r="T15" i="78"/>
  <c r="V15" s="1"/>
  <c r="T61" i="54"/>
  <c r="V61" s="1"/>
  <c r="T284" i="56"/>
  <c r="V284" s="1"/>
  <c r="T91" i="55"/>
  <c r="V91" s="1"/>
  <c r="T97"/>
  <c r="V97" s="1"/>
  <c r="T98"/>
  <c r="V98" s="1"/>
  <c r="T131"/>
  <c r="V131" s="1"/>
  <c r="T311" i="56"/>
  <c r="V311" s="1"/>
  <c r="V71" i="54"/>
  <c r="T80"/>
  <c r="V80" s="1"/>
  <c r="T82"/>
  <c r="V82" s="1"/>
  <c r="T84"/>
  <c r="V84" s="1"/>
  <c r="T86"/>
  <c r="V86" s="1"/>
  <c r="T88"/>
  <c r="V88" s="1"/>
  <c r="T17" i="78"/>
  <c r="V17" s="1"/>
  <c r="T312" i="56"/>
  <c r="V312" s="1"/>
  <c r="T310"/>
  <c r="V310" s="1"/>
  <c r="T308"/>
  <c r="V308" s="1"/>
  <c r="T307"/>
  <c r="V307" s="1"/>
  <c r="T309"/>
  <c r="V309" s="1"/>
  <c r="T313"/>
  <c r="V313" s="1"/>
  <c r="T102" i="55"/>
  <c r="V102" s="1"/>
  <c r="T103"/>
  <c r="V103" s="1"/>
  <c r="T92"/>
  <c r="V92" s="1"/>
  <c r="T132"/>
  <c r="V132" s="1"/>
  <c r="T130"/>
  <c r="V130" s="1"/>
  <c r="T23" i="81"/>
  <c r="V23" s="1"/>
  <c r="T16" i="78"/>
  <c r="V16" s="1"/>
  <c r="T18"/>
  <c r="V18" s="1"/>
  <c r="T104" i="59"/>
  <c r="V104" s="1"/>
  <c r="T96" i="55"/>
  <c r="V96" s="1"/>
  <c r="T95"/>
  <c r="V95" s="1"/>
  <c r="T94"/>
  <c r="V94" s="1"/>
  <c r="T93"/>
  <c r="V93" s="1"/>
  <c r="T287" i="56"/>
  <c r="V287" s="1"/>
  <c r="T286"/>
  <c r="V286" s="1"/>
  <c r="T66" i="54"/>
  <c r="V66" s="1"/>
  <c r="T64"/>
  <c r="V64" s="1"/>
  <c r="T63"/>
  <c r="V63" s="1"/>
  <c r="T65"/>
  <c r="V65" s="1"/>
  <c r="T81"/>
  <c r="V81" s="1"/>
  <c r="T83"/>
  <c r="V83" s="1"/>
  <c r="T85"/>
  <c r="V85" s="1"/>
  <c r="T87"/>
  <c r="V87" s="1"/>
  <c r="T89"/>
  <c r="V89" s="1"/>
  <c r="H52" i="72" l="1"/>
  <c r="H53"/>
  <c r="S110" i="59"/>
  <c r="U110" s="1"/>
  <c r="R110"/>
  <c r="O110"/>
  <c r="L110"/>
  <c r="I110"/>
  <c r="F110"/>
  <c r="S115"/>
  <c r="U115" s="1"/>
  <c r="R115"/>
  <c r="O115"/>
  <c r="L115"/>
  <c r="I115"/>
  <c r="F115"/>
  <c r="S114"/>
  <c r="U114" s="1"/>
  <c r="R114"/>
  <c r="O114"/>
  <c r="L114"/>
  <c r="I114"/>
  <c r="F114"/>
  <c r="R235" i="56"/>
  <c r="S242"/>
  <c r="U242" s="1"/>
  <c r="R242"/>
  <c r="O242"/>
  <c r="L242"/>
  <c r="I242"/>
  <c r="F242"/>
  <c r="S241"/>
  <c r="U241" s="1"/>
  <c r="R241"/>
  <c r="O241"/>
  <c r="L241"/>
  <c r="I241"/>
  <c r="F241"/>
  <c r="S240"/>
  <c r="U240" s="1"/>
  <c r="R240"/>
  <c r="O240"/>
  <c r="L240"/>
  <c r="I240"/>
  <c r="F240"/>
  <c r="S239"/>
  <c r="U239" s="1"/>
  <c r="R239"/>
  <c r="O239"/>
  <c r="L239"/>
  <c r="I239"/>
  <c r="F239"/>
  <c r="S238"/>
  <c r="U238" s="1"/>
  <c r="R238"/>
  <c r="O238"/>
  <c r="L238"/>
  <c r="I238"/>
  <c r="F238"/>
  <c r="S237"/>
  <c r="U237" s="1"/>
  <c r="R237"/>
  <c r="O237"/>
  <c r="L237"/>
  <c r="I237"/>
  <c r="F237"/>
  <c r="S236"/>
  <c r="U236" s="1"/>
  <c r="R236"/>
  <c r="O236"/>
  <c r="L236"/>
  <c r="I236"/>
  <c r="F236"/>
  <c r="Q303"/>
  <c r="N303"/>
  <c r="K303"/>
  <c r="H303"/>
  <c r="E303"/>
  <c r="S302"/>
  <c r="U302" s="1"/>
  <c r="R302"/>
  <c r="O302"/>
  <c r="L302"/>
  <c r="I302"/>
  <c r="F302"/>
  <c r="S222"/>
  <c r="U222" s="1"/>
  <c r="R222"/>
  <c r="O222"/>
  <c r="L222"/>
  <c r="I222"/>
  <c r="F222"/>
  <c r="S221"/>
  <c r="U221" s="1"/>
  <c r="R221"/>
  <c r="O221"/>
  <c r="L221"/>
  <c r="I221"/>
  <c r="F221"/>
  <c r="S220"/>
  <c r="U220" s="1"/>
  <c r="R220"/>
  <c r="O220"/>
  <c r="L220"/>
  <c r="I220"/>
  <c r="F220"/>
  <c r="S219"/>
  <c r="U219" s="1"/>
  <c r="R219"/>
  <c r="O219"/>
  <c r="L219"/>
  <c r="I219"/>
  <c r="F219"/>
  <c r="Q39" i="72"/>
  <c r="Q37"/>
  <c r="E87" i="71"/>
  <c r="F87" s="1"/>
  <c r="E85"/>
  <c r="F85" s="1"/>
  <c r="E83"/>
  <c r="F83" s="1"/>
  <c r="E82"/>
  <c r="Q88"/>
  <c r="N88"/>
  <c r="K88"/>
  <c r="H88"/>
  <c r="S87"/>
  <c r="U87" s="1"/>
  <c r="R87"/>
  <c r="O87"/>
  <c r="L87"/>
  <c r="I87"/>
  <c r="S86"/>
  <c r="U86" s="1"/>
  <c r="R86"/>
  <c r="O86"/>
  <c r="L86"/>
  <c r="I86"/>
  <c r="F86"/>
  <c r="S85"/>
  <c r="R85"/>
  <c r="O85"/>
  <c r="L85"/>
  <c r="I85"/>
  <c r="S84"/>
  <c r="U84" s="1"/>
  <c r="R84"/>
  <c r="O84"/>
  <c r="L84"/>
  <c r="I84"/>
  <c r="F84"/>
  <c r="S83"/>
  <c r="R83"/>
  <c r="O83"/>
  <c r="L83"/>
  <c r="I83"/>
  <c r="S82"/>
  <c r="R82"/>
  <c r="O82"/>
  <c r="L82"/>
  <c r="I82"/>
  <c r="I88" l="1"/>
  <c r="T236" i="56"/>
  <c r="O88" i="71"/>
  <c r="R88"/>
  <c r="U83"/>
  <c r="T114" i="59"/>
  <c r="V114" s="1"/>
  <c r="T82" i="71"/>
  <c r="T84"/>
  <c r="V84" s="1"/>
  <c r="T86"/>
  <c r="V86" s="1"/>
  <c r="U82"/>
  <c r="T83"/>
  <c r="V83" s="1"/>
  <c r="T85"/>
  <c r="U85"/>
  <c r="T87"/>
  <c r="V87" s="1"/>
  <c r="T220" i="56"/>
  <c r="V220" s="1"/>
  <c r="T222"/>
  <c r="V222" s="1"/>
  <c r="V236"/>
  <c r="T237"/>
  <c r="V237" s="1"/>
  <c r="T239"/>
  <c r="V239" s="1"/>
  <c r="T241"/>
  <c r="V241" s="1"/>
  <c r="T110" i="59"/>
  <c r="V110" s="1"/>
  <c r="T115"/>
  <c r="V115" s="1"/>
  <c r="T238" i="56"/>
  <c r="V238" s="1"/>
  <c r="T240"/>
  <c r="V240" s="1"/>
  <c r="T242"/>
  <c r="V242" s="1"/>
  <c r="T302"/>
  <c r="V302" s="1"/>
  <c r="T221"/>
  <c r="V221" s="1"/>
  <c r="T219"/>
  <c r="V219" s="1"/>
  <c r="E88" i="71"/>
  <c r="F82"/>
  <c r="F88" s="1"/>
  <c r="V85"/>
  <c r="S88"/>
  <c r="L88"/>
  <c r="T88" l="1"/>
  <c r="V82"/>
  <c r="U88"/>
  <c r="V88"/>
  <c r="N50" l="1"/>
  <c r="K50"/>
  <c r="H50"/>
  <c r="E50"/>
  <c r="S80"/>
  <c r="U80" s="1"/>
  <c r="R80"/>
  <c r="O80"/>
  <c r="L80"/>
  <c r="I80"/>
  <c r="F80"/>
  <c r="C1" i="78"/>
  <c r="C1" i="77"/>
  <c r="C1" i="76"/>
  <c r="C1" i="74"/>
  <c r="C1" i="73"/>
  <c r="C1" i="72"/>
  <c r="C1" i="71"/>
  <c r="C1" i="70"/>
  <c r="C1" i="69"/>
  <c r="C1" i="68"/>
  <c r="C1" i="66"/>
  <c r="C1" i="65"/>
  <c r="C1" i="64"/>
  <c r="C1" i="63"/>
  <c r="C1" i="62"/>
  <c r="C1" i="61"/>
  <c r="C1" i="59"/>
  <c r="C1" i="58"/>
  <c r="C1" i="57"/>
  <c r="T80" i="71" l="1"/>
  <c r="V80" s="1"/>
  <c r="S22" i="84"/>
  <c r="S23" s="1"/>
  <c r="R22"/>
  <c r="O22"/>
  <c r="O23" s="1"/>
  <c r="L22"/>
  <c r="L23" s="1"/>
  <c r="I22"/>
  <c r="F22"/>
  <c r="F23" s="1"/>
  <c r="S20"/>
  <c r="S21" s="1"/>
  <c r="R20"/>
  <c r="O20"/>
  <c r="O21" s="1"/>
  <c r="L20"/>
  <c r="L21" s="1"/>
  <c r="I20"/>
  <c r="I21" s="1"/>
  <c r="F20"/>
  <c r="S17"/>
  <c r="S19" s="1"/>
  <c r="R17"/>
  <c r="R19" s="1"/>
  <c r="O17"/>
  <c r="O19" s="1"/>
  <c r="L17"/>
  <c r="L19" s="1"/>
  <c r="I17"/>
  <c r="I19" s="1"/>
  <c r="F17"/>
  <c r="F19" s="1"/>
  <c r="S14"/>
  <c r="U14" s="1"/>
  <c r="U16" s="1"/>
  <c r="R14"/>
  <c r="O14"/>
  <c r="O16" s="1"/>
  <c r="L14"/>
  <c r="L16" s="1"/>
  <c r="I14"/>
  <c r="I16" s="1"/>
  <c r="F14"/>
  <c r="F16" s="1"/>
  <c r="S12"/>
  <c r="S13" s="1"/>
  <c r="R12"/>
  <c r="O12"/>
  <c r="O13" s="1"/>
  <c r="L12"/>
  <c r="L13" s="1"/>
  <c r="I12"/>
  <c r="I13" s="1"/>
  <c r="F12"/>
  <c r="S9"/>
  <c r="R9"/>
  <c r="R11" s="1"/>
  <c r="O9"/>
  <c r="O11" s="1"/>
  <c r="L9"/>
  <c r="L11" s="1"/>
  <c r="I9"/>
  <c r="I11" s="1"/>
  <c r="F9"/>
  <c r="F11" s="1"/>
  <c r="S6"/>
  <c r="R6"/>
  <c r="R8" s="1"/>
  <c r="O6"/>
  <c r="O8" s="1"/>
  <c r="L6"/>
  <c r="L8" s="1"/>
  <c r="I6"/>
  <c r="I8" s="1"/>
  <c r="F6"/>
  <c r="F8" s="1"/>
  <c r="S16"/>
  <c r="R23"/>
  <c r="Q23"/>
  <c r="R21"/>
  <c r="Q21"/>
  <c r="R16"/>
  <c r="Q16"/>
  <c r="R13"/>
  <c r="Q13"/>
  <c r="N23"/>
  <c r="N21"/>
  <c r="N16"/>
  <c r="N13"/>
  <c r="K23"/>
  <c r="K21"/>
  <c r="K16"/>
  <c r="K13"/>
  <c r="H23"/>
  <c r="H21"/>
  <c r="H13"/>
  <c r="E23"/>
  <c r="F21"/>
  <c r="E21"/>
  <c r="F13"/>
  <c r="E13"/>
  <c r="F24"/>
  <c r="U9" l="1"/>
  <c r="U11" s="1"/>
  <c r="S11"/>
  <c r="U6"/>
  <c r="U8" s="1"/>
  <c r="S8"/>
  <c r="E24"/>
  <c r="T6"/>
  <c r="T8" s="1"/>
  <c r="T9"/>
  <c r="T11" s="1"/>
  <c r="T12"/>
  <c r="T13" s="1"/>
  <c r="T14"/>
  <c r="T16" s="1"/>
  <c r="T17"/>
  <c r="T19" s="1"/>
  <c r="T20"/>
  <c r="T21" s="1"/>
  <c r="T22"/>
  <c r="T23" s="1"/>
  <c r="U22"/>
  <c r="U23" s="1"/>
  <c r="I23"/>
  <c r="U20"/>
  <c r="U21" s="1"/>
  <c r="U17"/>
  <c r="U19" s="1"/>
  <c r="U12"/>
  <c r="U13" s="1"/>
  <c r="O24"/>
  <c r="L24"/>
  <c r="R24"/>
  <c r="H24"/>
  <c r="K24"/>
  <c r="N24"/>
  <c r="Q24"/>
  <c r="C1"/>
  <c r="S3"/>
  <c r="U3" s="1"/>
  <c r="R3"/>
  <c r="O3"/>
  <c r="L3"/>
  <c r="I3"/>
  <c r="F3"/>
  <c r="P1"/>
  <c r="U2" s="1"/>
  <c r="S178" i="83"/>
  <c r="U178" s="1"/>
  <c r="R178"/>
  <c r="O178"/>
  <c r="L178"/>
  <c r="I178"/>
  <c r="F178"/>
  <c r="S184"/>
  <c r="R184"/>
  <c r="R186" s="1"/>
  <c r="O184"/>
  <c r="O186" s="1"/>
  <c r="L184"/>
  <c r="L186" s="1"/>
  <c r="I184"/>
  <c r="I186" s="1"/>
  <c r="F184"/>
  <c r="F186" s="1"/>
  <c r="S182"/>
  <c r="U182" s="1"/>
  <c r="U183" s="1"/>
  <c r="R182"/>
  <c r="R183" s="1"/>
  <c r="O182"/>
  <c r="O183" s="1"/>
  <c r="L182"/>
  <c r="L183" s="1"/>
  <c r="I182"/>
  <c r="F182"/>
  <c r="S180"/>
  <c r="U180" s="1"/>
  <c r="U181" s="1"/>
  <c r="R180"/>
  <c r="R181" s="1"/>
  <c r="O180"/>
  <c r="O181" s="1"/>
  <c r="L180"/>
  <c r="L181" s="1"/>
  <c r="I180"/>
  <c r="F180"/>
  <c r="S174"/>
  <c r="U174" s="1"/>
  <c r="R174"/>
  <c r="R179" s="1"/>
  <c r="O174"/>
  <c r="O179" s="1"/>
  <c r="L174"/>
  <c r="L179" s="1"/>
  <c r="I174"/>
  <c r="F174"/>
  <c r="S172"/>
  <c r="U172" s="1"/>
  <c r="U173" s="1"/>
  <c r="R172"/>
  <c r="R173" s="1"/>
  <c r="O172"/>
  <c r="O173" s="1"/>
  <c r="L172"/>
  <c r="L173" s="1"/>
  <c r="I172"/>
  <c r="F172"/>
  <c r="S170"/>
  <c r="U170" s="1"/>
  <c r="U171" s="1"/>
  <c r="R170"/>
  <c r="R171" s="1"/>
  <c r="O170"/>
  <c r="O171" s="1"/>
  <c r="L170"/>
  <c r="L171" s="1"/>
  <c r="I170"/>
  <c r="F170"/>
  <c r="S168"/>
  <c r="U168" s="1"/>
  <c r="U169" s="1"/>
  <c r="R168"/>
  <c r="R169" s="1"/>
  <c r="O168"/>
  <c r="O169" s="1"/>
  <c r="L168"/>
  <c r="L169" s="1"/>
  <c r="I168"/>
  <c r="F168"/>
  <c r="S166"/>
  <c r="U166" s="1"/>
  <c r="U167" s="1"/>
  <c r="R166"/>
  <c r="R167" s="1"/>
  <c r="O166"/>
  <c r="O167" s="1"/>
  <c r="L166"/>
  <c r="L167" s="1"/>
  <c r="I166"/>
  <c r="F166"/>
  <c r="S164"/>
  <c r="U164" s="1"/>
  <c r="U165" s="1"/>
  <c r="R164"/>
  <c r="R165" s="1"/>
  <c r="O164"/>
  <c r="O165" s="1"/>
  <c r="L164"/>
  <c r="L165" s="1"/>
  <c r="I164"/>
  <c r="F164"/>
  <c r="S162"/>
  <c r="U162" s="1"/>
  <c r="U163" s="1"/>
  <c r="R162"/>
  <c r="R163" s="1"/>
  <c r="O162"/>
  <c r="O163" s="1"/>
  <c r="L162"/>
  <c r="L163" s="1"/>
  <c r="I162"/>
  <c r="F162"/>
  <c r="S160"/>
  <c r="U160" s="1"/>
  <c r="U161" s="1"/>
  <c r="R160"/>
  <c r="R161" s="1"/>
  <c r="O160"/>
  <c r="O161" s="1"/>
  <c r="L160"/>
  <c r="L161" s="1"/>
  <c r="I160"/>
  <c r="F160"/>
  <c r="S158"/>
  <c r="U158" s="1"/>
  <c r="U159" s="1"/>
  <c r="R158"/>
  <c r="R159" s="1"/>
  <c r="O158"/>
  <c r="O159" s="1"/>
  <c r="L158"/>
  <c r="L159" s="1"/>
  <c r="I158"/>
  <c r="F158"/>
  <c r="S156"/>
  <c r="U156" s="1"/>
  <c r="U157" s="1"/>
  <c r="R156"/>
  <c r="R157" s="1"/>
  <c r="O156"/>
  <c r="O157" s="1"/>
  <c r="L156"/>
  <c r="L157" s="1"/>
  <c r="I156"/>
  <c r="F156"/>
  <c r="S154"/>
  <c r="U154" s="1"/>
  <c r="U155" s="1"/>
  <c r="R154"/>
  <c r="R155" s="1"/>
  <c r="O154"/>
  <c r="O155" s="1"/>
  <c r="L154"/>
  <c r="L155" s="1"/>
  <c r="I154"/>
  <c r="F154"/>
  <c r="S152"/>
  <c r="U152" s="1"/>
  <c r="R152"/>
  <c r="O152"/>
  <c r="L152"/>
  <c r="I152"/>
  <c r="F152"/>
  <c r="S151"/>
  <c r="U151" s="1"/>
  <c r="R151"/>
  <c r="R153" s="1"/>
  <c r="O151"/>
  <c r="O153" s="1"/>
  <c r="L151"/>
  <c r="L153" s="1"/>
  <c r="I151"/>
  <c r="F151"/>
  <c r="S146"/>
  <c r="R146"/>
  <c r="R150" s="1"/>
  <c r="O146"/>
  <c r="O150" s="1"/>
  <c r="L146"/>
  <c r="L150" s="1"/>
  <c r="I146"/>
  <c r="I150" s="1"/>
  <c r="F146"/>
  <c r="F150" s="1"/>
  <c r="S144"/>
  <c r="U144" s="1"/>
  <c r="U145" s="1"/>
  <c r="R144"/>
  <c r="R145" s="1"/>
  <c r="O144"/>
  <c r="O145" s="1"/>
  <c r="L144"/>
  <c r="L145" s="1"/>
  <c r="I144"/>
  <c r="F144"/>
  <c r="S142"/>
  <c r="U142" s="1"/>
  <c r="R142"/>
  <c r="O142"/>
  <c r="L142"/>
  <c r="I142"/>
  <c r="F142"/>
  <c r="S138"/>
  <c r="U138" s="1"/>
  <c r="R138"/>
  <c r="R143" s="1"/>
  <c r="O138"/>
  <c r="O143" s="1"/>
  <c r="L138"/>
  <c r="L143" s="1"/>
  <c r="I138"/>
  <c r="F138"/>
  <c r="S136"/>
  <c r="U136" s="1"/>
  <c r="R136"/>
  <c r="O136"/>
  <c r="L136"/>
  <c r="I136"/>
  <c r="F136"/>
  <c r="S125"/>
  <c r="U125" s="1"/>
  <c r="R125"/>
  <c r="O125"/>
  <c r="L125"/>
  <c r="I125"/>
  <c r="F125"/>
  <c r="S124"/>
  <c r="U124" s="1"/>
  <c r="R124"/>
  <c r="R137" s="1"/>
  <c r="O124"/>
  <c r="O137" s="1"/>
  <c r="L124"/>
  <c r="L137" s="1"/>
  <c r="I124"/>
  <c r="F124"/>
  <c r="S122"/>
  <c r="U122" s="1"/>
  <c r="R122"/>
  <c r="O122"/>
  <c r="L122"/>
  <c r="I122"/>
  <c r="F122"/>
  <c r="S113"/>
  <c r="U113" s="1"/>
  <c r="R113"/>
  <c r="O113"/>
  <c r="L113"/>
  <c r="I113"/>
  <c r="F113"/>
  <c r="S112"/>
  <c r="U112" s="1"/>
  <c r="R112"/>
  <c r="R123" s="1"/>
  <c r="O112"/>
  <c r="O123" s="1"/>
  <c r="L112"/>
  <c r="L123" s="1"/>
  <c r="I112"/>
  <c r="F112"/>
  <c r="S110"/>
  <c r="U110" s="1"/>
  <c r="R110"/>
  <c r="O110"/>
  <c r="L110"/>
  <c r="I110"/>
  <c r="F110"/>
  <c r="S103"/>
  <c r="U103" s="1"/>
  <c r="R103"/>
  <c r="R111" s="1"/>
  <c r="O103"/>
  <c r="O111" s="1"/>
  <c r="L103"/>
  <c r="L111" s="1"/>
  <c r="I103"/>
  <c r="F103"/>
  <c r="S101"/>
  <c r="U101" s="1"/>
  <c r="U102" s="1"/>
  <c r="R101"/>
  <c r="R102" s="1"/>
  <c r="O101"/>
  <c r="O102" s="1"/>
  <c r="L101"/>
  <c r="L102" s="1"/>
  <c r="I101"/>
  <c r="F101"/>
  <c r="S99"/>
  <c r="U99" s="1"/>
  <c r="U100" s="1"/>
  <c r="R99"/>
  <c r="R100" s="1"/>
  <c r="O99"/>
  <c r="O100" s="1"/>
  <c r="L99"/>
  <c r="L100" s="1"/>
  <c r="I99"/>
  <c r="F99"/>
  <c r="S96"/>
  <c r="R96"/>
  <c r="R98" s="1"/>
  <c r="O96"/>
  <c r="O98" s="1"/>
  <c r="L96"/>
  <c r="L98" s="1"/>
  <c r="I96"/>
  <c r="I98" s="1"/>
  <c r="F96"/>
  <c r="F98" s="1"/>
  <c r="S92"/>
  <c r="R92"/>
  <c r="R95" s="1"/>
  <c r="O92"/>
  <c r="O95" s="1"/>
  <c r="L92"/>
  <c r="L95" s="1"/>
  <c r="I92"/>
  <c r="I95" s="1"/>
  <c r="F92"/>
  <c r="F95" s="1"/>
  <c r="S90"/>
  <c r="U90" s="1"/>
  <c r="U91" s="1"/>
  <c r="R90"/>
  <c r="R91" s="1"/>
  <c r="O90"/>
  <c r="O91" s="1"/>
  <c r="L90"/>
  <c r="L91" s="1"/>
  <c r="I90"/>
  <c r="I91" s="1"/>
  <c r="F90"/>
  <c r="U89"/>
  <c r="R89"/>
  <c r="O89"/>
  <c r="L89"/>
  <c r="I89"/>
  <c r="F89"/>
  <c r="S83"/>
  <c r="U83" s="1"/>
  <c r="U84" s="1"/>
  <c r="R83"/>
  <c r="R84" s="1"/>
  <c r="O83"/>
  <c r="O84" s="1"/>
  <c r="L83"/>
  <c r="L84" s="1"/>
  <c r="I83"/>
  <c r="I84" s="1"/>
  <c r="F83"/>
  <c r="S81"/>
  <c r="U81" s="1"/>
  <c r="U82" s="1"/>
  <c r="R81"/>
  <c r="R82" s="1"/>
  <c r="O81"/>
  <c r="O82" s="1"/>
  <c r="L81"/>
  <c r="L82" s="1"/>
  <c r="I81"/>
  <c r="I82" s="1"/>
  <c r="F81"/>
  <c r="S79"/>
  <c r="U79" s="1"/>
  <c r="U80" s="1"/>
  <c r="R79"/>
  <c r="R80" s="1"/>
  <c r="O79"/>
  <c r="O80" s="1"/>
  <c r="L79"/>
  <c r="L80" s="1"/>
  <c r="I79"/>
  <c r="I80" s="1"/>
  <c r="F79"/>
  <c r="S77"/>
  <c r="U77" s="1"/>
  <c r="R77"/>
  <c r="O77"/>
  <c r="L77"/>
  <c r="I77"/>
  <c r="F77"/>
  <c r="S75"/>
  <c r="U75" s="1"/>
  <c r="R75"/>
  <c r="R78" s="1"/>
  <c r="O75"/>
  <c r="O78" s="1"/>
  <c r="L75"/>
  <c r="L78" s="1"/>
  <c r="I75"/>
  <c r="I78" s="1"/>
  <c r="F75"/>
  <c r="S72"/>
  <c r="U72" s="1"/>
  <c r="U74" s="1"/>
  <c r="R72"/>
  <c r="R74" s="1"/>
  <c r="O72"/>
  <c r="O74" s="1"/>
  <c r="L72"/>
  <c r="L74" s="1"/>
  <c r="I72"/>
  <c r="I74" s="1"/>
  <c r="F72"/>
  <c r="F74" s="1"/>
  <c r="S201"/>
  <c r="U201" s="1"/>
  <c r="U202" s="1"/>
  <c r="R201"/>
  <c r="R202" s="1"/>
  <c r="O201"/>
  <c r="O202" s="1"/>
  <c r="L201"/>
  <c r="L202" s="1"/>
  <c r="I201"/>
  <c r="I202" s="1"/>
  <c r="F201"/>
  <c r="S69"/>
  <c r="R69"/>
  <c r="R71" s="1"/>
  <c r="O69"/>
  <c r="O71" s="1"/>
  <c r="L69"/>
  <c r="L71" s="1"/>
  <c r="I69"/>
  <c r="I71" s="1"/>
  <c r="F69"/>
  <c r="F71" s="1"/>
  <c r="S64"/>
  <c r="R64"/>
  <c r="R68" s="1"/>
  <c r="O64"/>
  <c r="O68" s="1"/>
  <c r="L64"/>
  <c r="L68" s="1"/>
  <c r="I64"/>
  <c r="I68" s="1"/>
  <c r="F64"/>
  <c r="F68" s="1"/>
  <c r="S60"/>
  <c r="R60"/>
  <c r="R63" s="1"/>
  <c r="O60"/>
  <c r="O63" s="1"/>
  <c r="L60"/>
  <c r="L63" s="1"/>
  <c r="I60"/>
  <c r="I63" s="1"/>
  <c r="F60"/>
  <c r="F63" s="1"/>
  <c r="S58"/>
  <c r="U58" s="1"/>
  <c r="U59" s="1"/>
  <c r="R58"/>
  <c r="R59" s="1"/>
  <c r="O58"/>
  <c r="O59" s="1"/>
  <c r="L58"/>
  <c r="L59" s="1"/>
  <c r="I58"/>
  <c r="I59" s="1"/>
  <c r="F58"/>
  <c r="S56"/>
  <c r="U56" s="1"/>
  <c r="R56"/>
  <c r="O56"/>
  <c r="L56"/>
  <c r="I56"/>
  <c r="F56"/>
  <c r="S54"/>
  <c r="U54" s="1"/>
  <c r="R54"/>
  <c r="R57" s="1"/>
  <c r="O54"/>
  <c r="O57" s="1"/>
  <c r="L54"/>
  <c r="L57" s="1"/>
  <c r="I54"/>
  <c r="I57" s="1"/>
  <c r="F54"/>
  <c r="S52"/>
  <c r="U52" s="1"/>
  <c r="U53" s="1"/>
  <c r="R52"/>
  <c r="R53" s="1"/>
  <c r="O52"/>
  <c r="O53" s="1"/>
  <c r="L52"/>
  <c r="L53" s="1"/>
  <c r="I52"/>
  <c r="I53" s="1"/>
  <c r="F52"/>
  <c r="S50"/>
  <c r="U50" s="1"/>
  <c r="R50"/>
  <c r="O50"/>
  <c r="L50"/>
  <c r="I50"/>
  <c r="F50"/>
  <c r="S49"/>
  <c r="U49" s="1"/>
  <c r="R49"/>
  <c r="R51" s="1"/>
  <c r="O49"/>
  <c r="O51" s="1"/>
  <c r="L49"/>
  <c r="L51" s="1"/>
  <c r="I49"/>
  <c r="I51" s="1"/>
  <c r="F49"/>
  <c r="S47"/>
  <c r="U47" s="1"/>
  <c r="R47"/>
  <c r="O47"/>
  <c r="L47"/>
  <c r="I47"/>
  <c r="F47"/>
  <c r="S46"/>
  <c r="U46" s="1"/>
  <c r="R46"/>
  <c r="R48" s="1"/>
  <c r="O46"/>
  <c r="L46"/>
  <c r="L48" s="1"/>
  <c r="I46"/>
  <c r="F46"/>
  <c r="S44"/>
  <c r="U44" s="1"/>
  <c r="U45" s="1"/>
  <c r="R44"/>
  <c r="R45" s="1"/>
  <c r="O44"/>
  <c r="O45" s="1"/>
  <c r="L44"/>
  <c r="L45" s="1"/>
  <c r="I44"/>
  <c r="I45" s="1"/>
  <c r="F44"/>
  <c r="S42"/>
  <c r="U42" s="1"/>
  <c r="U43" s="1"/>
  <c r="R42"/>
  <c r="R43" s="1"/>
  <c r="O42"/>
  <c r="O43" s="1"/>
  <c r="L42"/>
  <c r="L43" s="1"/>
  <c r="I42"/>
  <c r="F42"/>
  <c r="S40"/>
  <c r="U40" s="1"/>
  <c r="U41" s="1"/>
  <c r="R40"/>
  <c r="R41" s="1"/>
  <c r="O40"/>
  <c r="O41" s="1"/>
  <c r="L40"/>
  <c r="L41" s="1"/>
  <c r="I40"/>
  <c r="F40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R39" s="1"/>
  <c r="O36"/>
  <c r="O39" s="1"/>
  <c r="L36"/>
  <c r="L39" s="1"/>
  <c r="I36"/>
  <c r="F36"/>
  <c r="S34"/>
  <c r="U34" s="1"/>
  <c r="R34"/>
  <c r="O34"/>
  <c r="L34"/>
  <c r="I34"/>
  <c r="F34"/>
  <c r="S25"/>
  <c r="U25" s="1"/>
  <c r="R25"/>
  <c r="O25"/>
  <c r="L25"/>
  <c r="I25"/>
  <c r="F25"/>
  <c r="S24"/>
  <c r="U24" s="1"/>
  <c r="R24"/>
  <c r="R35" s="1"/>
  <c r="O24"/>
  <c r="O35" s="1"/>
  <c r="L24"/>
  <c r="L35" s="1"/>
  <c r="I24"/>
  <c r="F24"/>
  <c r="S22"/>
  <c r="U22" s="1"/>
  <c r="R22"/>
  <c r="O22"/>
  <c r="L22"/>
  <c r="I22"/>
  <c r="F22"/>
  <c r="S20"/>
  <c r="U20" s="1"/>
  <c r="R20"/>
  <c r="R23" s="1"/>
  <c r="O20"/>
  <c r="O23" s="1"/>
  <c r="L20"/>
  <c r="L23" s="1"/>
  <c r="I20"/>
  <c r="F20"/>
  <c r="S18"/>
  <c r="U18" s="1"/>
  <c r="R18"/>
  <c r="O18"/>
  <c r="L18"/>
  <c r="I18"/>
  <c r="F18"/>
  <c r="S17"/>
  <c r="U17" s="1"/>
  <c r="R17"/>
  <c r="R19" s="1"/>
  <c r="O17"/>
  <c r="O19" s="1"/>
  <c r="L17"/>
  <c r="L19" s="1"/>
  <c r="I17"/>
  <c r="F17"/>
  <c r="S15"/>
  <c r="U15" s="1"/>
  <c r="R15"/>
  <c r="O15"/>
  <c r="L15"/>
  <c r="I15"/>
  <c r="F15"/>
  <c r="S14"/>
  <c r="U14" s="1"/>
  <c r="R14"/>
  <c r="R16" s="1"/>
  <c r="O14"/>
  <c r="L14"/>
  <c r="L16" s="1"/>
  <c r="I14"/>
  <c r="F14"/>
  <c r="S12"/>
  <c r="U12" s="1"/>
  <c r="R12"/>
  <c r="O12"/>
  <c r="L12"/>
  <c r="I12"/>
  <c r="F12"/>
  <c r="S8"/>
  <c r="U8" s="1"/>
  <c r="R8"/>
  <c r="R13" s="1"/>
  <c r="O8"/>
  <c r="L8"/>
  <c r="L13" s="1"/>
  <c r="I8"/>
  <c r="F8"/>
  <c r="S199"/>
  <c r="U199" s="1"/>
  <c r="U200" s="1"/>
  <c r="R199"/>
  <c r="R200" s="1"/>
  <c r="O199"/>
  <c r="O200" s="1"/>
  <c r="L199"/>
  <c r="L200" s="1"/>
  <c r="I199"/>
  <c r="F199"/>
  <c r="S197"/>
  <c r="U197" s="1"/>
  <c r="R197"/>
  <c r="O197"/>
  <c r="L197"/>
  <c r="I197"/>
  <c r="F197"/>
  <c r="S196"/>
  <c r="U196" s="1"/>
  <c r="R196"/>
  <c r="R198" s="1"/>
  <c r="O196"/>
  <c r="O198" s="1"/>
  <c r="L196"/>
  <c r="L198" s="1"/>
  <c r="I196"/>
  <c r="F196"/>
  <c r="S6"/>
  <c r="R6"/>
  <c r="O6"/>
  <c r="L6"/>
  <c r="I6"/>
  <c r="F6"/>
  <c r="S183"/>
  <c r="S171"/>
  <c r="S163"/>
  <c r="S155"/>
  <c r="S111"/>
  <c r="S80"/>
  <c r="S59"/>
  <c r="Q183"/>
  <c r="Q181"/>
  <c r="Q179"/>
  <c r="Q173"/>
  <c r="Q171"/>
  <c r="Q169"/>
  <c r="Q167"/>
  <c r="Q165"/>
  <c r="Q163"/>
  <c r="Q161"/>
  <c r="Q159"/>
  <c r="Q157"/>
  <c r="Q155"/>
  <c r="Q153"/>
  <c r="Q145"/>
  <c r="Q143"/>
  <c r="Q137"/>
  <c r="Q123"/>
  <c r="Q111"/>
  <c r="Q102"/>
  <c r="Q100"/>
  <c r="Q91"/>
  <c r="Q84"/>
  <c r="Q82"/>
  <c r="Q80"/>
  <c r="Q78"/>
  <c r="Q74"/>
  <c r="Q202"/>
  <c r="Q59"/>
  <c r="Q57"/>
  <c r="Q53"/>
  <c r="Q51"/>
  <c r="Q48"/>
  <c r="Q45"/>
  <c r="Q43"/>
  <c r="Q41"/>
  <c r="Q39"/>
  <c r="Q35"/>
  <c r="Q23"/>
  <c r="Q19"/>
  <c r="Q16"/>
  <c r="Q13"/>
  <c r="Q200"/>
  <c r="Q198"/>
  <c r="Q7"/>
  <c r="N183"/>
  <c r="N181"/>
  <c r="N179"/>
  <c r="N173"/>
  <c r="N171"/>
  <c r="N169"/>
  <c r="N167"/>
  <c r="N165"/>
  <c r="N163"/>
  <c r="N161"/>
  <c r="N159"/>
  <c r="N157"/>
  <c r="N155"/>
  <c r="N153"/>
  <c r="N145"/>
  <c r="N143"/>
  <c r="N137"/>
  <c r="N123"/>
  <c r="N111"/>
  <c r="N102"/>
  <c r="N100"/>
  <c r="N91"/>
  <c r="N84"/>
  <c r="N82"/>
  <c r="N80"/>
  <c r="N78"/>
  <c r="N74"/>
  <c r="N202"/>
  <c r="N59"/>
  <c r="N57"/>
  <c r="N53"/>
  <c r="N51"/>
  <c r="N48"/>
  <c r="N45"/>
  <c r="N43"/>
  <c r="N41"/>
  <c r="N39"/>
  <c r="N35"/>
  <c r="N23"/>
  <c r="N19"/>
  <c r="N16"/>
  <c r="N13"/>
  <c r="N200"/>
  <c r="N198"/>
  <c r="N7"/>
  <c r="K183"/>
  <c r="K181"/>
  <c r="K179"/>
  <c r="K173"/>
  <c r="K171"/>
  <c r="K169"/>
  <c r="K167"/>
  <c r="K165"/>
  <c r="K163"/>
  <c r="K161"/>
  <c r="K159"/>
  <c r="K157"/>
  <c r="K155"/>
  <c r="K153"/>
  <c r="K145"/>
  <c r="K143"/>
  <c r="K137"/>
  <c r="K123"/>
  <c r="K111"/>
  <c r="K102"/>
  <c r="K100"/>
  <c r="K91"/>
  <c r="K84"/>
  <c r="K82"/>
  <c r="K80"/>
  <c r="K78"/>
  <c r="K202"/>
  <c r="K59"/>
  <c r="K57"/>
  <c r="K53"/>
  <c r="K51"/>
  <c r="K48"/>
  <c r="K45"/>
  <c r="K43"/>
  <c r="K41"/>
  <c r="K39"/>
  <c r="K35"/>
  <c r="K23"/>
  <c r="K19"/>
  <c r="K16"/>
  <c r="K13"/>
  <c r="K200"/>
  <c r="K198"/>
  <c r="K7"/>
  <c r="I183"/>
  <c r="H183"/>
  <c r="I181"/>
  <c r="H181"/>
  <c r="I179"/>
  <c r="H179"/>
  <c r="I173"/>
  <c r="H173"/>
  <c r="I171"/>
  <c r="H171"/>
  <c r="I169"/>
  <c r="H169"/>
  <c r="I167"/>
  <c r="H167"/>
  <c r="I165"/>
  <c r="H165"/>
  <c r="I163"/>
  <c r="H163"/>
  <c r="I161"/>
  <c r="H161"/>
  <c r="I159"/>
  <c r="H159"/>
  <c r="I157"/>
  <c r="H157"/>
  <c r="I155"/>
  <c r="H155"/>
  <c r="I153"/>
  <c r="H153"/>
  <c r="I145"/>
  <c r="H145"/>
  <c r="I143"/>
  <c r="H143"/>
  <c r="I137"/>
  <c r="H137"/>
  <c r="I123"/>
  <c r="H123"/>
  <c r="I111"/>
  <c r="H111"/>
  <c r="I102"/>
  <c r="H102"/>
  <c r="I100"/>
  <c r="H100"/>
  <c r="H91"/>
  <c r="H84"/>
  <c r="H82"/>
  <c r="H80"/>
  <c r="H78"/>
  <c r="H202"/>
  <c r="H59"/>
  <c r="H57"/>
  <c r="H53"/>
  <c r="H51"/>
  <c r="H48"/>
  <c r="H45"/>
  <c r="I43"/>
  <c r="H43"/>
  <c r="I41"/>
  <c r="H41"/>
  <c r="I39"/>
  <c r="H39"/>
  <c r="H35"/>
  <c r="H23"/>
  <c r="H19"/>
  <c r="H16"/>
  <c r="H13"/>
  <c r="H200"/>
  <c r="H198"/>
  <c r="H7"/>
  <c r="F183"/>
  <c r="E183"/>
  <c r="F181"/>
  <c r="E181"/>
  <c r="F179"/>
  <c r="E179"/>
  <c r="F173"/>
  <c r="E173"/>
  <c r="F171"/>
  <c r="E171"/>
  <c r="F169"/>
  <c r="E169"/>
  <c r="F167"/>
  <c r="E167"/>
  <c r="F165"/>
  <c r="E165"/>
  <c r="F163"/>
  <c r="E163"/>
  <c r="F161"/>
  <c r="E161"/>
  <c r="F159"/>
  <c r="E159"/>
  <c r="F157"/>
  <c r="E157"/>
  <c r="F155"/>
  <c r="E155"/>
  <c r="F153"/>
  <c r="E153"/>
  <c r="F145"/>
  <c r="E145"/>
  <c r="F143"/>
  <c r="E143"/>
  <c r="F137"/>
  <c r="E137"/>
  <c r="F123"/>
  <c r="E123"/>
  <c r="F111"/>
  <c r="E111"/>
  <c r="F102"/>
  <c r="E102"/>
  <c r="F100"/>
  <c r="E100"/>
  <c r="F91"/>
  <c r="E91"/>
  <c r="F84"/>
  <c r="E84"/>
  <c r="F82"/>
  <c r="E82"/>
  <c r="F80"/>
  <c r="E80"/>
  <c r="F78"/>
  <c r="E78"/>
  <c r="F202"/>
  <c r="E202"/>
  <c r="F59"/>
  <c r="E59"/>
  <c r="F57"/>
  <c r="E57"/>
  <c r="F53"/>
  <c r="E53"/>
  <c r="F51"/>
  <c r="E51"/>
  <c r="F48"/>
  <c r="E48"/>
  <c r="F45"/>
  <c r="E45"/>
  <c r="F43"/>
  <c r="E43"/>
  <c r="F41"/>
  <c r="E41"/>
  <c r="F39"/>
  <c r="E39"/>
  <c r="F35"/>
  <c r="E35"/>
  <c r="F23"/>
  <c r="E23"/>
  <c r="F19"/>
  <c r="E19"/>
  <c r="F16"/>
  <c r="E16"/>
  <c r="F13"/>
  <c r="E13"/>
  <c r="F200"/>
  <c r="E200"/>
  <c r="F198"/>
  <c r="E198"/>
  <c r="F7"/>
  <c r="E7"/>
  <c r="E191" s="1"/>
  <c r="U96" l="1"/>
  <c r="U98" s="1"/>
  <c r="S98"/>
  <c r="S74"/>
  <c r="S143"/>
  <c r="S159"/>
  <c r="S167"/>
  <c r="S179"/>
  <c r="Q191"/>
  <c r="O7"/>
  <c r="U6"/>
  <c r="L7"/>
  <c r="L191" s="1"/>
  <c r="R7"/>
  <c r="R191" s="1"/>
  <c r="H191"/>
  <c r="K191"/>
  <c r="N191"/>
  <c r="F191"/>
  <c r="U69"/>
  <c r="U71" s="1"/>
  <c r="S71"/>
  <c r="U92"/>
  <c r="U95" s="1"/>
  <c r="S95"/>
  <c r="U184"/>
  <c r="U186" s="1"/>
  <c r="S186"/>
  <c r="U60"/>
  <c r="U63" s="1"/>
  <c r="S63"/>
  <c r="U64"/>
  <c r="U68" s="1"/>
  <c r="S68"/>
  <c r="U146"/>
  <c r="U150" s="1"/>
  <c r="S150"/>
  <c r="U24" i="84"/>
  <c r="S78" i="83"/>
  <c r="S84"/>
  <c r="S100"/>
  <c r="S123"/>
  <c r="S145"/>
  <c r="S153"/>
  <c r="S157"/>
  <c r="S161"/>
  <c r="S165"/>
  <c r="S169"/>
  <c r="S173"/>
  <c r="S181"/>
  <c r="I24" i="84"/>
  <c r="T24"/>
  <c r="T6" i="83"/>
  <c r="T196"/>
  <c r="V196" s="1"/>
  <c r="T197"/>
  <c r="T199"/>
  <c r="T200" s="1"/>
  <c r="T8"/>
  <c r="T12"/>
  <c r="V12" s="1"/>
  <c r="T14"/>
  <c r="T15"/>
  <c r="V15" s="1"/>
  <c r="T17"/>
  <c r="T18"/>
  <c r="V18" s="1"/>
  <c r="T20"/>
  <c r="T22"/>
  <c r="V22" s="1"/>
  <c r="T24"/>
  <c r="T25"/>
  <c r="V25" s="1"/>
  <c r="T34"/>
  <c r="T36"/>
  <c r="V36" s="1"/>
  <c r="T37"/>
  <c r="T38"/>
  <c r="V38" s="1"/>
  <c r="T40"/>
  <c r="T41" s="1"/>
  <c r="T42"/>
  <c r="T43" s="1"/>
  <c r="T44"/>
  <c r="T45" s="1"/>
  <c r="T46"/>
  <c r="V46" s="1"/>
  <c r="T47"/>
  <c r="V47" s="1"/>
  <c r="T49"/>
  <c r="V49" s="1"/>
  <c r="T52"/>
  <c r="T53" s="1"/>
  <c r="T54"/>
  <c r="T56"/>
  <c r="T58"/>
  <c r="T59" s="1"/>
  <c r="T60"/>
  <c r="T63" s="1"/>
  <c r="T64"/>
  <c r="T68" s="1"/>
  <c r="T69"/>
  <c r="T71" s="1"/>
  <c r="T201"/>
  <c r="T202" s="1"/>
  <c r="T72"/>
  <c r="T74" s="1"/>
  <c r="T75"/>
  <c r="V75" s="1"/>
  <c r="T77"/>
  <c r="T79"/>
  <c r="T80" s="1"/>
  <c r="T81"/>
  <c r="T82" s="1"/>
  <c r="T83"/>
  <c r="T84" s="1"/>
  <c r="T89"/>
  <c r="T90"/>
  <c r="T91" s="1"/>
  <c r="T92"/>
  <c r="T95" s="1"/>
  <c r="T96"/>
  <c r="T98" s="1"/>
  <c r="T99"/>
  <c r="T100" s="1"/>
  <c r="T101"/>
  <c r="T102" s="1"/>
  <c r="T103"/>
  <c r="T110"/>
  <c r="V110" s="1"/>
  <c r="T112"/>
  <c r="T113"/>
  <c r="V113" s="1"/>
  <c r="T122"/>
  <c r="T124"/>
  <c r="V124" s="1"/>
  <c r="T125"/>
  <c r="T136"/>
  <c r="V136" s="1"/>
  <c r="T138"/>
  <c r="T142"/>
  <c r="V142" s="1"/>
  <c r="V14" i="84"/>
  <c r="V16" s="1"/>
  <c r="V20"/>
  <c r="V21" s="1"/>
  <c r="V9"/>
  <c r="V11" s="1"/>
  <c r="O13" i="83"/>
  <c r="O16"/>
  <c r="O48"/>
  <c r="T144"/>
  <c r="T145" s="1"/>
  <c r="T146"/>
  <c r="T150" s="1"/>
  <c r="T151"/>
  <c r="V151" s="1"/>
  <c r="T152"/>
  <c r="V152" s="1"/>
  <c r="T154"/>
  <c r="T155" s="1"/>
  <c r="T156"/>
  <c r="T157" s="1"/>
  <c r="T158"/>
  <c r="T159" s="1"/>
  <c r="T160"/>
  <c r="T161" s="1"/>
  <c r="T162"/>
  <c r="T163" s="1"/>
  <c r="T164"/>
  <c r="T165" s="1"/>
  <c r="T166"/>
  <c r="T167" s="1"/>
  <c r="T168"/>
  <c r="T169" s="1"/>
  <c r="T170"/>
  <c r="T171" s="1"/>
  <c r="T172"/>
  <c r="T173" s="1"/>
  <c r="T174"/>
  <c r="V174" s="1"/>
  <c r="T180"/>
  <c r="T181" s="1"/>
  <c r="T182"/>
  <c r="T183" s="1"/>
  <c r="T184"/>
  <c r="T186" s="1"/>
  <c r="T178"/>
  <c r="V178" s="1"/>
  <c r="T3" i="84"/>
  <c r="V3" s="1"/>
  <c r="S24"/>
  <c r="V22"/>
  <c r="V23" s="1"/>
  <c r="V17"/>
  <c r="V19" s="1"/>
  <c r="V12"/>
  <c r="V13" s="1"/>
  <c r="V6"/>
  <c r="V8" s="1"/>
  <c r="I7" i="83"/>
  <c r="I198"/>
  <c r="I200"/>
  <c r="I13"/>
  <c r="I16"/>
  <c r="I19"/>
  <c r="I23"/>
  <c r="S7"/>
  <c r="V6"/>
  <c r="V197"/>
  <c r="V8"/>
  <c r="V13" s="1"/>
  <c r="V14"/>
  <c r="V16" s="1"/>
  <c r="V17"/>
  <c r="V19" s="1"/>
  <c r="V20"/>
  <c r="V23" s="1"/>
  <c r="V24"/>
  <c r="V34"/>
  <c r="V37"/>
  <c r="V40"/>
  <c r="V41" s="1"/>
  <c r="T50"/>
  <c r="V50" s="1"/>
  <c r="V52"/>
  <c r="V53" s="1"/>
  <c r="V54"/>
  <c r="V56"/>
  <c r="V58"/>
  <c r="V59" s="1"/>
  <c r="V60"/>
  <c r="V63" s="1"/>
  <c r="V64"/>
  <c r="V68" s="1"/>
  <c r="V69"/>
  <c r="V71" s="1"/>
  <c r="V201"/>
  <c r="V202" s="1"/>
  <c r="V77"/>
  <c r="V81"/>
  <c r="V82" s="1"/>
  <c r="V89"/>
  <c r="V92"/>
  <c r="V95" s="1"/>
  <c r="V99"/>
  <c r="V100" s="1"/>
  <c r="V103"/>
  <c r="V112"/>
  <c r="V122"/>
  <c r="V125"/>
  <c r="V138"/>
  <c r="U179"/>
  <c r="U153"/>
  <c r="U143"/>
  <c r="U137"/>
  <c r="S137"/>
  <c r="T123"/>
  <c r="U123"/>
  <c r="U111"/>
  <c r="S102"/>
  <c r="S91"/>
  <c r="S82"/>
  <c r="U78"/>
  <c r="S202"/>
  <c r="U57"/>
  <c r="S57"/>
  <c r="S53"/>
  <c r="U51"/>
  <c r="S51"/>
  <c r="U48"/>
  <c r="I48"/>
  <c r="S48"/>
  <c r="S45"/>
  <c r="S43"/>
  <c r="S41"/>
  <c r="U39"/>
  <c r="S39"/>
  <c r="I35"/>
  <c r="U35"/>
  <c r="S35"/>
  <c r="T23"/>
  <c r="U23"/>
  <c r="S23"/>
  <c r="U19"/>
  <c r="S19"/>
  <c r="U16"/>
  <c r="S16"/>
  <c r="U13"/>
  <c r="S13"/>
  <c r="S200"/>
  <c r="U198"/>
  <c r="S198"/>
  <c r="V101" l="1"/>
  <c r="V102" s="1"/>
  <c r="V96"/>
  <c r="V98" s="1"/>
  <c r="V90"/>
  <c r="V91" s="1"/>
  <c r="V83"/>
  <c r="V84" s="1"/>
  <c r="V79"/>
  <c r="V80" s="1"/>
  <c r="V72"/>
  <c r="V74" s="1"/>
  <c r="S191"/>
  <c r="O191"/>
  <c r="I191"/>
  <c r="V48"/>
  <c r="T7"/>
  <c r="U7"/>
  <c r="U191" s="1"/>
  <c r="V44"/>
  <c r="V45" s="1"/>
  <c r="V7"/>
  <c r="V35"/>
  <c r="V39"/>
  <c r="V42"/>
  <c r="V43" s="1"/>
  <c r="V158"/>
  <c r="V159" s="1"/>
  <c r="V166"/>
  <c r="V167" s="1"/>
  <c r="T16"/>
  <c r="T137"/>
  <c r="T13"/>
  <c r="T19"/>
  <c r="T35"/>
  <c r="T48"/>
  <c r="V182"/>
  <c r="V183" s="1"/>
  <c r="V170"/>
  <c r="V171" s="1"/>
  <c r="V162"/>
  <c r="V163" s="1"/>
  <c r="V154"/>
  <c r="V155" s="1"/>
  <c r="V144"/>
  <c r="V145" s="1"/>
  <c r="V123"/>
  <c r="V111"/>
  <c r="V78"/>
  <c r="V57"/>
  <c r="T111"/>
  <c r="T78"/>
  <c r="T57"/>
  <c r="T153"/>
  <c r="V184"/>
  <c r="V186" s="1"/>
  <c r="V180"/>
  <c r="V181" s="1"/>
  <c r="V172"/>
  <c r="V173" s="1"/>
  <c r="V168"/>
  <c r="V169" s="1"/>
  <c r="V164"/>
  <c r="V165" s="1"/>
  <c r="V160"/>
  <c r="V161" s="1"/>
  <c r="V156"/>
  <c r="V157" s="1"/>
  <c r="V146"/>
  <c r="V150" s="1"/>
  <c r="V153"/>
  <c r="T179"/>
  <c r="V179"/>
  <c r="V137"/>
  <c r="V143"/>
  <c r="V198"/>
  <c r="T198"/>
  <c r="T39"/>
  <c r="T51"/>
  <c r="T143"/>
  <c r="V199"/>
  <c r="V200" s="1"/>
  <c r="V51"/>
  <c r="V24" i="84"/>
  <c r="T191" i="83" l="1"/>
  <c r="V191"/>
  <c r="S3"/>
  <c r="U3" s="1"/>
  <c r="R3"/>
  <c r="O3"/>
  <c r="L3"/>
  <c r="I3"/>
  <c r="F3"/>
  <c r="P1"/>
  <c r="U2" s="1"/>
  <c r="C1"/>
  <c r="S86" i="82"/>
  <c r="U86" s="1"/>
  <c r="R86"/>
  <c r="O86"/>
  <c r="L86"/>
  <c r="I86"/>
  <c r="F86"/>
  <c r="S82"/>
  <c r="U82" s="1"/>
  <c r="R82"/>
  <c r="O82"/>
  <c r="L82"/>
  <c r="I82"/>
  <c r="F82"/>
  <c r="S81"/>
  <c r="U81" s="1"/>
  <c r="R81"/>
  <c r="O81"/>
  <c r="L81"/>
  <c r="I81"/>
  <c r="F81"/>
  <c r="S80"/>
  <c r="U80" s="1"/>
  <c r="R80"/>
  <c r="O80"/>
  <c r="L80"/>
  <c r="I80"/>
  <c r="F80"/>
  <c r="R67"/>
  <c r="R79" s="1"/>
  <c r="O67"/>
  <c r="O79" s="1"/>
  <c r="L67"/>
  <c r="L79" s="1"/>
  <c r="I67"/>
  <c r="I79" s="1"/>
  <c r="F67"/>
  <c r="F79" s="1"/>
  <c r="S65"/>
  <c r="U65" s="1"/>
  <c r="R65"/>
  <c r="O65"/>
  <c r="L65"/>
  <c r="I65"/>
  <c r="F65"/>
  <c r="S61"/>
  <c r="U61" s="1"/>
  <c r="R61"/>
  <c r="O61"/>
  <c r="L61"/>
  <c r="I61"/>
  <c r="F61"/>
  <c r="S60"/>
  <c r="U60" s="1"/>
  <c r="U66" s="1"/>
  <c r="R60"/>
  <c r="R66" s="1"/>
  <c r="O60"/>
  <c r="O66" s="1"/>
  <c r="L60"/>
  <c r="I60"/>
  <c r="I66" s="1"/>
  <c r="F60"/>
  <c r="F66" s="1"/>
  <c r="S58"/>
  <c r="U58" s="1"/>
  <c r="R58"/>
  <c r="O58"/>
  <c r="L58"/>
  <c r="I58"/>
  <c r="F58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U59" s="1"/>
  <c r="R47"/>
  <c r="R59" s="1"/>
  <c r="O47"/>
  <c r="L47"/>
  <c r="I47"/>
  <c r="I59" s="1"/>
  <c r="F47"/>
  <c r="S39"/>
  <c r="R39"/>
  <c r="R46" s="1"/>
  <c r="O39"/>
  <c r="O46" s="1"/>
  <c r="L39"/>
  <c r="L46" s="1"/>
  <c r="I39"/>
  <c r="I46" s="1"/>
  <c r="F39"/>
  <c r="F46" s="1"/>
  <c r="S37"/>
  <c r="U37" s="1"/>
  <c r="U38" s="1"/>
  <c r="R37"/>
  <c r="R38" s="1"/>
  <c r="O37"/>
  <c r="L37"/>
  <c r="L38" s="1"/>
  <c r="I37"/>
  <c r="F37"/>
  <c r="F38" s="1"/>
  <c r="S35"/>
  <c r="U35" s="1"/>
  <c r="R35"/>
  <c r="O35"/>
  <c r="L35"/>
  <c r="I35"/>
  <c r="F35"/>
  <c r="S30"/>
  <c r="U30" s="1"/>
  <c r="R30"/>
  <c r="R36" s="1"/>
  <c r="O30"/>
  <c r="L30"/>
  <c r="L36" s="1"/>
  <c r="I30"/>
  <c r="F30"/>
  <c r="S92"/>
  <c r="U92" s="1"/>
  <c r="U93" s="1"/>
  <c r="R92"/>
  <c r="R93" s="1"/>
  <c r="O92"/>
  <c r="L92"/>
  <c r="L93" s="1"/>
  <c r="I92"/>
  <c r="F92"/>
  <c r="F93" s="1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R29" s="1"/>
  <c r="O26"/>
  <c r="L26"/>
  <c r="L29" s="1"/>
  <c r="I26"/>
  <c r="F26"/>
  <c r="F29" s="1"/>
  <c r="S23"/>
  <c r="R23"/>
  <c r="R25" s="1"/>
  <c r="O23"/>
  <c r="O25" s="1"/>
  <c r="L23"/>
  <c r="L25" s="1"/>
  <c r="I23"/>
  <c r="I25" s="1"/>
  <c r="F23"/>
  <c r="F25" s="1"/>
  <c r="S20"/>
  <c r="R20"/>
  <c r="R22" s="1"/>
  <c r="O20"/>
  <c r="O22" s="1"/>
  <c r="L20"/>
  <c r="L22" s="1"/>
  <c r="I20"/>
  <c r="I22" s="1"/>
  <c r="F20"/>
  <c r="F22" s="1"/>
  <c r="S18"/>
  <c r="U18" s="1"/>
  <c r="R18"/>
  <c r="O18"/>
  <c r="L18"/>
  <c r="I18"/>
  <c r="F18"/>
  <c r="S10"/>
  <c r="U10" s="1"/>
  <c r="R10"/>
  <c r="R19" s="1"/>
  <c r="O10"/>
  <c r="L10"/>
  <c r="L19" s="1"/>
  <c r="I10"/>
  <c r="F10"/>
  <c r="F19" s="1"/>
  <c r="S8"/>
  <c r="U8" s="1"/>
  <c r="U9" s="1"/>
  <c r="R8"/>
  <c r="R9" s="1"/>
  <c r="O8"/>
  <c r="L8"/>
  <c r="L9" s="1"/>
  <c r="I8"/>
  <c r="F8"/>
  <c r="F9" s="1"/>
  <c r="S6"/>
  <c r="U6" s="1"/>
  <c r="U7" s="1"/>
  <c r="R6"/>
  <c r="R7" s="1"/>
  <c r="O6"/>
  <c r="L6"/>
  <c r="L7" s="1"/>
  <c r="I6"/>
  <c r="I7" s="1"/>
  <c r="F6"/>
  <c r="F7" s="1"/>
  <c r="Q87"/>
  <c r="Q66"/>
  <c r="Q59"/>
  <c r="Q38"/>
  <c r="Q36"/>
  <c r="Q93"/>
  <c r="Q29"/>
  <c r="Q19"/>
  <c r="Q9"/>
  <c r="Q7"/>
  <c r="O87"/>
  <c r="N87"/>
  <c r="N66"/>
  <c r="N59"/>
  <c r="O38"/>
  <c r="N38"/>
  <c r="O36"/>
  <c r="N36"/>
  <c r="O93"/>
  <c r="N93"/>
  <c r="O29"/>
  <c r="N29"/>
  <c r="O19"/>
  <c r="N19"/>
  <c r="O9"/>
  <c r="N9"/>
  <c r="O7"/>
  <c r="N7"/>
  <c r="K87"/>
  <c r="L66"/>
  <c r="K66"/>
  <c r="K59"/>
  <c r="K38"/>
  <c r="K36"/>
  <c r="K93"/>
  <c r="K29"/>
  <c r="K19"/>
  <c r="K9"/>
  <c r="K7"/>
  <c r="I87"/>
  <c r="H87"/>
  <c r="H59"/>
  <c r="H38"/>
  <c r="H93"/>
  <c r="H29"/>
  <c r="H19"/>
  <c r="H9"/>
  <c r="H7"/>
  <c r="F87"/>
  <c r="E87"/>
  <c r="E59"/>
  <c r="E38"/>
  <c r="E93"/>
  <c r="E29"/>
  <c r="E19"/>
  <c r="E9"/>
  <c r="E7"/>
  <c r="S3"/>
  <c r="U3" s="1"/>
  <c r="R3"/>
  <c r="O3"/>
  <c r="L3"/>
  <c r="I3"/>
  <c r="F3"/>
  <c r="P1"/>
  <c r="U2" s="1"/>
  <c r="C1"/>
  <c r="S39" i="81"/>
  <c r="U39" s="1"/>
  <c r="U40" s="1"/>
  <c r="R39"/>
  <c r="O39"/>
  <c r="O40" s="1"/>
  <c r="L39"/>
  <c r="I39"/>
  <c r="F39"/>
  <c r="S37"/>
  <c r="S38" s="1"/>
  <c r="R37"/>
  <c r="O37"/>
  <c r="O38" s="1"/>
  <c r="L37"/>
  <c r="I37"/>
  <c r="F37"/>
  <c r="S35"/>
  <c r="U35" s="1"/>
  <c r="R35"/>
  <c r="O35"/>
  <c r="L35"/>
  <c r="I35"/>
  <c r="F35"/>
  <c r="S34"/>
  <c r="U34" s="1"/>
  <c r="R34"/>
  <c r="O34"/>
  <c r="O36" s="1"/>
  <c r="L34"/>
  <c r="I34"/>
  <c r="F34"/>
  <c r="S32"/>
  <c r="U32" s="1"/>
  <c r="R32"/>
  <c r="O32"/>
  <c r="L32"/>
  <c r="I32"/>
  <c r="F32"/>
  <c r="S31"/>
  <c r="U31" s="1"/>
  <c r="R31"/>
  <c r="O31"/>
  <c r="O33" s="1"/>
  <c r="L31"/>
  <c r="I31"/>
  <c r="F31"/>
  <c r="F33" s="1"/>
  <c r="S29"/>
  <c r="U29" s="1"/>
  <c r="U30" s="1"/>
  <c r="R29"/>
  <c r="O29"/>
  <c r="O30" s="1"/>
  <c r="L29"/>
  <c r="I29"/>
  <c r="F29"/>
  <c r="S27"/>
  <c r="U27" s="1"/>
  <c r="R27"/>
  <c r="O27"/>
  <c r="L27"/>
  <c r="I27"/>
  <c r="F27"/>
  <c r="S26"/>
  <c r="U26" s="1"/>
  <c r="R26"/>
  <c r="O26"/>
  <c r="L26"/>
  <c r="I26"/>
  <c r="F26"/>
  <c r="S24"/>
  <c r="U24" s="1"/>
  <c r="R24"/>
  <c r="O24"/>
  <c r="L24"/>
  <c r="I24"/>
  <c r="F24"/>
  <c r="S22"/>
  <c r="U22" s="1"/>
  <c r="R22"/>
  <c r="O22"/>
  <c r="L22"/>
  <c r="I22"/>
  <c r="F22"/>
  <c r="S21"/>
  <c r="U21" s="1"/>
  <c r="R21"/>
  <c r="O21"/>
  <c r="O25" s="1"/>
  <c r="L21"/>
  <c r="I21"/>
  <c r="T21" s="1"/>
  <c r="F21"/>
  <c r="S47"/>
  <c r="U47" s="1"/>
  <c r="R47"/>
  <c r="O47"/>
  <c r="L47"/>
  <c r="I47"/>
  <c r="T47" s="1"/>
  <c r="F47"/>
  <c r="S46"/>
  <c r="S48" s="1"/>
  <c r="R46"/>
  <c r="O46"/>
  <c r="O48" s="1"/>
  <c r="L46"/>
  <c r="I46"/>
  <c r="T46" s="1"/>
  <c r="F46"/>
  <c r="S11"/>
  <c r="R11"/>
  <c r="R14" s="1"/>
  <c r="O11"/>
  <c r="O14" s="1"/>
  <c r="L11"/>
  <c r="L14" s="1"/>
  <c r="I11"/>
  <c r="F11"/>
  <c r="F14" s="1"/>
  <c r="S8"/>
  <c r="R8"/>
  <c r="R10" s="1"/>
  <c r="O8"/>
  <c r="O10" s="1"/>
  <c r="L8"/>
  <c r="L10" s="1"/>
  <c r="I8"/>
  <c r="F8"/>
  <c r="F10" s="1"/>
  <c r="S6"/>
  <c r="U6" s="1"/>
  <c r="U7" s="1"/>
  <c r="R6"/>
  <c r="O6"/>
  <c r="O7" s="1"/>
  <c r="L6"/>
  <c r="I6"/>
  <c r="T6" s="1"/>
  <c r="T7" s="1"/>
  <c r="F6"/>
  <c r="S28"/>
  <c r="R40"/>
  <c r="Q40"/>
  <c r="R38"/>
  <c r="Q38"/>
  <c r="R36"/>
  <c r="Q36"/>
  <c r="R33"/>
  <c r="Q33"/>
  <c r="R30"/>
  <c r="Q30"/>
  <c r="R28"/>
  <c r="Q28"/>
  <c r="R25"/>
  <c r="Q25"/>
  <c r="R48"/>
  <c r="Q48"/>
  <c r="R7"/>
  <c r="Q7"/>
  <c r="N40"/>
  <c r="N38"/>
  <c r="N36"/>
  <c r="N33"/>
  <c r="N30"/>
  <c r="N28"/>
  <c r="N25"/>
  <c r="N48"/>
  <c r="N7"/>
  <c r="L40"/>
  <c r="K40"/>
  <c r="L38"/>
  <c r="K38"/>
  <c r="L36"/>
  <c r="K36"/>
  <c r="L33"/>
  <c r="K33"/>
  <c r="L30"/>
  <c r="K30"/>
  <c r="L28"/>
  <c r="K28"/>
  <c r="L25"/>
  <c r="K25"/>
  <c r="L48"/>
  <c r="K48"/>
  <c r="L7"/>
  <c r="K7"/>
  <c r="I40"/>
  <c r="H40"/>
  <c r="H38"/>
  <c r="H36"/>
  <c r="H33"/>
  <c r="H30"/>
  <c r="H28"/>
  <c r="H25"/>
  <c r="H48"/>
  <c r="H7"/>
  <c r="F40"/>
  <c r="E40"/>
  <c r="F38"/>
  <c r="E38"/>
  <c r="F36"/>
  <c r="E36"/>
  <c r="E33"/>
  <c r="F30"/>
  <c r="E30"/>
  <c r="F28"/>
  <c r="E28"/>
  <c r="E25"/>
  <c r="F48"/>
  <c r="E48"/>
  <c r="F7"/>
  <c r="E7"/>
  <c r="S3"/>
  <c r="U3" s="1"/>
  <c r="R3"/>
  <c r="O3"/>
  <c r="L3"/>
  <c r="I3"/>
  <c r="F3"/>
  <c r="P1"/>
  <c r="U2" s="1"/>
  <c r="C1"/>
  <c r="S34" i="80"/>
  <c r="U34" s="1"/>
  <c r="R34"/>
  <c r="O34"/>
  <c r="L34"/>
  <c r="I34"/>
  <c r="F34"/>
  <c r="S33"/>
  <c r="U33" s="1"/>
  <c r="R33"/>
  <c r="O33"/>
  <c r="L33"/>
  <c r="I33"/>
  <c r="F33"/>
  <c r="S32"/>
  <c r="U32" s="1"/>
  <c r="U35" s="1"/>
  <c r="R32"/>
  <c r="O32"/>
  <c r="O35" s="1"/>
  <c r="L32"/>
  <c r="I32"/>
  <c r="F32"/>
  <c r="S30"/>
  <c r="U30" s="1"/>
  <c r="R30"/>
  <c r="O30"/>
  <c r="L30"/>
  <c r="I30"/>
  <c r="F30"/>
  <c r="S21"/>
  <c r="U21" s="1"/>
  <c r="R21"/>
  <c r="O21"/>
  <c r="L21"/>
  <c r="I21"/>
  <c r="F21"/>
  <c r="S20"/>
  <c r="U20" s="1"/>
  <c r="R20"/>
  <c r="O20"/>
  <c r="L20"/>
  <c r="I20"/>
  <c r="F20"/>
  <c r="S19"/>
  <c r="S31" s="1"/>
  <c r="R19"/>
  <c r="O19"/>
  <c r="O31" s="1"/>
  <c r="L19"/>
  <c r="L31" s="1"/>
  <c r="I19"/>
  <c r="F19"/>
  <c r="F31" s="1"/>
  <c r="S17"/>
  <c r="U17" s="1"/>
  <c r="R17"/>
  <c r="O17"/>
  <c r="L17"/>
  <c r="I17"/>
  <c r="F17"/>
  <c r="S16"/>
  <c r="U16" s="1"/>
  <c r="U18" s="1"/>
  <c r="R16"/>
  <c r="O16"/>
  <c r="O18" s="1"/>
  <c r="L16"/>
  <c r="L18" s="1"/>
  <c r="I16"/>
  <c r="F16"/>
  <c r="S11"/>
  <c r="R11"/>
  <c r="R15" s="1"/>
  <c r="O11"/>
  <c r="O15" s="1"/>
  <c r="L11"/>
  <c r="L15" s="1"/>
  <c r="I11"/>
  <c r="I15" s="1"/>
  <c r="F11"/>
  <c r="F15" s="1"/>
  <c r="S6"/>
  <c r="R6"/>
  <c r="R10" s="1"/>
  <c r="O6"/>
  <c r="O10" s="1"/>
  <c r="L6"/>
  <c r="L10" s="1"/>
  <c r="I6"/>
  <c r="I10" s="1"/>
  <c r="F6"/>
  <c r="F10" s="1"/>
  <c r="S40"/>
  <c r="U40" s="1"/>
  <c r="U41" s="1"/>
  <c r="R40"/>
  <c r="O40"/>
  <c r="O41" s="1"/>
  <c r="L40"/>
  <c r="L41" s="1"/>
  <c r="I40"/>
  <c r="F40"/>
  <c r="F41" s="1"/>
  <c r="S18"/>
  <c r="R35"/>
  <c r="Q35"/>
  <c r="R31"/>
  <c r="Q31"/>
  <c r="R18"/>
  <c r="Q18"/>
  <c r="R41"/>
  <c r="Q41"/>
  <c r="N35"/>
  <c r="N31"/>
  <c r="N18"/>
  <c r="N41"/>
  <c r="K35"/>
  <c r="K31"/>
  <c r="K18"/>
  <c r="K41"/>
  <c r="H35"/>
  <c r="H31"/>
  <c r="H18"/>
  <c r="H41"/>
  <c r="E41"/>
  <c r="E35"/>
  <c r="E31"/>
  <c r="E18"/>
  <c r="S3"/>
  <c r="U3" s="1"/>
  <c r="R3"/>
  <c r="O3"/>
  <c r="L3"/>
  <c r="I3"/>
  <c r="F3"/>
  <c r="P1"/>
  <c r="U2" s="1"/>
  <c r="C1"/>
  <c r="S6" i="79"/>
  <c r="S7" s="1"/>
  <c r="R6"/>
  <c r="R7" s="1"/>
  <c r="O6"/>
  <c r="L6"/>
  <c r="L7" s="1"/>
  <c r="I6"/>
  <c r="F6"/>
  <c r="F7" s="1"/>
  <c r="S11"/>
  <c r="S12" s="1"/>
  <c r="R11"/>
  <c r="R12" s="1"/>
  <c r="O11"/>
  <c r="L11"/>
  <c r="L12" s="1"/>
  <c r="I11"/>
  <c r="F11"/>
  <c r="F12" s="1"/>
  <c r="Q7"/>
  <c r="Q12"/>
  <c r="O7"/>
  <c r="N7"/>
  <c r="O12"/>
  <c r="N12"/>
  <c r="K7"/>
  <c r="K12"/>
  <c r="I7"/>
  <c r="H7"/>
  <c r="I12"/>
  <c r="H12"/>
  <c r="E7"/>
  <c r="E12"/>
  <c r="S3"/>
  <c r="U3" s="1"/>
  <c r="R3"/>
  <c r="O3"/>
  <c r="L3"/>
  <c r="I3"/>
  <c r="F3"/>
  <c r="P1"/>
  <c r="U2" s="1"/>
  <c r="C1"/>
  <c r="S19" i="78"/>
  <c r="R19"/>
  <c r="O19"/>
  <c r="L19"/>
  <c r="I19"/>
  <c r="F19"/>
  <c r="U14"/>
  <c r="R14"/>
  <c r="O14"/>
  <c r="L14"/>
  <c r="I14"/>
  <c r="F14"/>
  <c r="U13"/>
  <c r="R13"/>
  <c r="O13"/>
  <c r="L13"/>
  <c r="I13"/>
  <c r="F13"/>
  <c r="U12"/>
  <c r="R12"/>
  <c r="O12"/>
  <c r="L12"/>
  <c r="I12"/>
  <c r="F12"/>
  <c r="U11"/>
  <c r="R11"/>
  <c r="O11"/>
  <c r="L11"/>
  <c r="I11"/>
  <c r="F11"/>
  <c r="U10"/>
  <c r="R10"/>
  <c r="O10"/>
  <c r="L10"/>
  <c r="I10"/>
  <c r="F10"/>
  <c r="R9"/>
  <c r="O9"/>
  <c r="L9"/>
  <c r="I9"/>
  <c r="F9"/>
  <c r="S7"/>
  <c r="U7" s="1"/>
  <c r="R7"/>
  <c r="O7"/>
  <c r="L7"/>
  <c r="I7"/>
  <c r="F7"/>
  <c r="S6"/>
  <c r="S8" s="1"/>
  <c r="R6"/>
  <c r="R8" s="1"/>
  <c r="O6"/>
  <c r="L6"/>
  <c r="L8" s="1"/>
  <c r="I6"/>
  <c r="I8" s="1"/>
  <c r="F6"/>
  <c r="Q8"/>
  <c r="N8"/>
  <c r="K8"/>
  <c r="H8"/>
  <c r="E8"/>
  <c r="E21" s="1"/>
  <c r="S3"/>
  <c r="U3" s="1"/>
  <c r="R3"/>
  <c r="O3"/>
  <c r="L3"/>
  <c r="I3"/>
  <c r="F3"/>
  <c r="P1"/>
  <c r="U2" s="1"/>
  <c r="T22" i="81" l="1"/>
  <c r="T26"/>
  <c r="T27"/>
  <c r="T29"/>
  <c r="T30" s="1"/>
  <c r="T32"/>
  <c r="T34"/>
  <c r="I20" i="78"/>
  <c r="E41" i="81"/>
  <c r="H41"/>
  <c r="K41"/>
  <c r="N41"/>
  <c r="R41"/>
  <c r="U11" i="80"/>
  <c r="U15" s="1"/>
  <c r="S15"/>
  <c r="L41" i="81"/>
  <c r="Q41"/>
  <c r="U20" i="82"/>
  <c r="U22" s="1"/>
  <c r="S22"/>
  <c r="U39"/>
  <c r="U46" s="1"/>
  <c r="S46"/>
  <c r="F36"/>
  <c r="U23"/>
  <c r="U25" s="1"/>
  <c r="S25"/>
  <c r="I36"/>
  <c r="U87"/>
  <c r="R87"/>
  <c r="R88" s="1"/>
  <c r="S87"/>
  <c r="S7"/>
  <c r="U6" i="80"/>
  <c r="U10" s="1"/>
  <c r="S10"/>
  <c r="S59" i="82"/>
  <c r="T8" i="81"/>
  <c r="T10" s="1"/>
  <c r="I10"/>
  <c r="U8"/>
  <c r="U10" s="1"/>
  <c r="S10"/>
  <c r="T11"/>
  <c r="T14" s="1"/>
  <c r="I14"/>
  <c r="U11"/>
  <c r="U14" s="1"/>
  <c r="S14"/>
  <c r="F20" i="78"/>
  <c r="L20"/>
  <c r="O20"/>
  <c r="U19"/>
  <c r="S20"/>
  <c r="R20"/>
  <c r="R21" s="1"/>
  <c r="O8"/>
  <c r="U9"/>
  <c r="U20" s="1"/>
  <c r="I30" i="81"/>
  <c r="T8" i="82"/>
  <c r="T9" s="1"/>
  <c r="T10"/>
  <c r="V10" s="1"/>
  <c r="T18"/>
  <c r="V18" s="1"/>
  <c r="T20"/>
  <c r="T22" s="1"/>
  <c r="T23"/>
  <c r="T25" s="1"/>
  <c r="T26"/>
  <c r="T27"/>
  <c r="V27" s="1"/>
  <c r="T28"/>
  <c r="V28" s="1"/>
  <c r="T92"/>
  <c r="T93" s="1"/>
  <c r="T30"/>
  <c r="V30" s="1"/>
  <c r="T35"/>
  <c r="V35" s="1"/>
  <c r="T37"/>
  <c r="T38" s="1"/>
  <c r="T39"/>
  <c r="T48"/>
  <c r="V48" s="1"/>
  <c r="T50"/>
  <c r="V50" s="1"/>
  <c r="T58"/>
  <c r="V58" s="1"/>
  <c r="T60"/>
  <c r="V60" s="1"/>
  <c r="T65"/>
  <c r="V65" s="1"/>
  <c r="T67"/>
  <c r="T79" s="1"/>
  <c r="T81"/>
  <c r="V81" s="1"/>
  <c r="T86"/>
  <c r="V86" s="1"/>
  <c r="T3" i="83"/>
  <c r="V3" s="1"/>
  <c r="T7" i="78"/>
  <c r="T10"/>
  <c r="V10" s="1"/>
  <c r="T12"/>
  <c r="V12" s="1"/>
  <c r="T35" i="81"/>
  <c r="T36" s="1"/>
  <c r="T37"/>
  <c r="T38" s="1"/>
  <c r="T39"/>
  <c r="T40" s="1"/>
  <c r="T3" i="82"/>
  <c r="V3" s="1"/>
  <c r="T3" i="78"/>
  <c r="V3" s="1"/>
  <c r="T40" i="80"/>
  <c r="T41" s="1"/>
  <c r="T6"/>
  <c r="T10" s="1"/>
  <c r="T11"/>
  <c r="T15" s="1"/>
  <c r="T17"/>
  <c r="V17" s="1"/>
  <c r="T19"/>
  <c r="V19" s="1"/>
  <c r="T21"/>
  <c r="V21" s="1"/>
  <c r="T32"/>
  <c r="V32" s="1"/>
  <c r="T34"/>
  <c r="T3" i="81"/>
  <c r="V3" s="1"/>
  <c r="I7"/>
  <c r="I48"/>
  <c r="E88" i="82"/>
  <c r="I9"/>
  <c r="F8" i="79"/>
  <c r="L8"/>
  <c r="R8"/>
  <c r="V7" i="78"/>
  <c r="E8" i="79"/>
  <c r="H8"/>
  <c r="K8"/>
  <c r="N8"/>
  <c r="Q8"/>
  <c r="O59" i="82"/>
  <c r="O88" s="1"/>
  <c r="F8" i="78"/>
  <c r="T6"/>
  <c r="V6" s="1"/>
  <c r="T9"/>
  <c r="T11"/>
  <c r="V11" s="1"/>
  <c r="T13"/>
  <c r="V13" s="1"/>
  <c r="I8" i="79"/>
  <c r="O8"/>
  <c r="T11"/>
  <c r="T12" s="1"/>
  <c r="T6"/>
  <c r="T7" s="1"/>
  <c r="S8"/>
  <c r="E36" i="80"/>
  <c r="I41"/>
  <c r="I31"/>
  <c r="I35"/>
  <c r="V26" i="82"/>
  <c r="T47"/>
  <c r="V47" s="1"/>
  <c r="T49"/>
  <c r="V49" s="1"/>
  <c r="T51"/>
  <c r="V51" s="1"/>
  <c r="T61"/>
  <c r="V61" s="1"/>
  <c r="V67"/>
  <c r="V79" s="1"/>
  <c r="T80"/>
  <c r="V80" s="1"/>
  <c r="T82"/>
  <c r="V82" s="1"/>
  <c r="L21" i="78"/>
  <c r="T31" i="81"/>
  <c r="V31" s="1"/>
  <c r="F25"/>
  <c r="F41" s="1"/>
  <c r="T24"/>
  <c r="T25" s="1"/>
  <c r="I25"/>
  <c r="T14" i="78"/>
  <c r="T19"/>
  <c r="O28" i="81"/>
  <c r="O41" s="1"/>
  <c r="V6"/>
  <c r="V7" s="1"/>
  <c r="V8"/>
  <c r="V10" s="1"/>
  <c r="V11"/>
  <c r="V14" s="1"/>
  <c r="V46"/>
  <c r="V47"/>
  <c r="V21"/>
  <c r="V22"/>
  <c r="V27"/>
  <c r="V29"/>
  <c r="V30" s="1"/>
  <c r="V32"/>
  <c r="V34"/>
  <c r="V35"/>
  <c r="T3" i="80"/>
  <c r="V3" s="1"/>
  <c r="T20"/>
  <c r="V20" s="1"/>
  <c r="T30"/>
  <c r="V30" s="1"/>
  <c r="T33"/>
  <c r="V33" s="1"/>
  <c r="V34"/>
  <c r="L87" i="82"/>
  <c r="S66"/>
  <c r="F59"/>
  <c r="F88" s="1"/>
  <c r="L59"/>
  <c r="I38"/>
  <c r="S38"/>
  <c r="U36"/>
  <c r="S36"/>
  <c r="I93"/>
  <c r="S93"/>
  <c r="U29"/>
  <c r="I29"/>
  <c r="S29"/>
  <c r="U19"/>
  <c r="I19"/>
  <c r="S19"/>
  <c r="S9"/>
  <c r="H88"/>
  <c r="K88"/>
  <c r="N88"/>
  <c r="Q88"/>
  <c r="T6"/>
  <c r="T7" s="1"/>
  <c r="S40" i="81"/>
  <c r="U37"/>
  <c r="U38" s="1"/>
  <c r="I38"/>
  <c r="I36"/>
  <c r="U36"/>
  <c r="S36"/>
  <c r="U33"/>
  <c r="I33"/>
  <c r="S33"/>
  <c r="S30"/>
  <c r="I28"/>
  <c r="T28"/>
  <c r="U28"/>
  <c r="V26"/>
  <c r="U25"/>
  <c r="S25"/>
  <c r="T48"/>
  <c r="U46"/>
  <c r="U48" s="1"/>
  <c r="S7"/>
  <c r="F35" i="80"/>
  <c r="L35"/>
  <c r="L36" s="1"/>
  <c r="S35"/>
  <c r="U19"/>
  <c r="U31" s="1"/>
  <c r="U36" s="1"/>
  <c r="T16"/>
  <c r="T18" s="1"/>
  <c r="F18"/>
  <c r="I18"/>
  <c r="V6"/>
  <c r="V10" s="1"/>
  <c r="O36"/>
  <c r="R36"/>
  <c r="H36"/>
  <c r="K36"/>
  <c r="N36"/>
  <c r="Q36"/>
  <c r="S41"/>
  <c r="U6" i="79"/>
  <c r="U7" s="1"/>
  <c r="U11"/>
  <c r="U12" s="1"/>
  <c r="T3"/>
  <c r="V3" s="1"/>
  <c r="S21" i="78"/>
  <c r="I21"/>
  <c r="O21"/>
  <c r="U6"/>
  <c r="U8" s="1"/>
  <c r="H21"/>
  <c r="K21"/>
  <c r="N21"/>
  <c r="Q21"/>
  <c r="R166" i="47"/>
  <c r="O166"/>
  <c r="L166"/>
  <c r="S166"/>
  <c r="U166" s="1"/>
  <c r="F166"/>
  <c r="R165"/>
  <c r="O165"/>
  <c r="L165"/>
  <c r="H165"/>
  <c r="S165" s="1"/>
  <c r="U165" s="1"/>
  <c r="F165"/>
  <c r="K11" i="77"/>
  <c r="S11" s="1"/>
  <c r="R11"/>
  <c r="O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R6"/>
  <c r="O6"/>
  <c r="L6"/>
  <c r="I6"/>
  <c r="F6"/>
  <c r="Q12"/>
  <c r="N12"/>
  <c r="H12"/>
  <c r="E12"/>
  <c r="S3"/>
  <c r="U3" s="1"/>
  <c r="R3"/>
  <c r="O3"/>
  <c r="L3"/>
  <c r="I3"/>
  <c r="F3"/>
  <c r="P1"/>
  <c r="U2" s="1"/>
  <c r="U41" i="81" l="1"/>
  <c r="S41"/>
  <c r="I41"/>
  <c r="V37" i="82"/>
  <c r="V38" s="1"/>
  <c r="V39"/>
  <c r="V46" s="1"/>
  <c r="T46"/>
  <c r="V20"/>
  <c r="V22" s="1"/>
  <c r="T19"/>
  <c r="T29"/>
  <c r="T36"/>
  <c r="V39" i="81"/>
  <c r="V40" s="1"/>
  <c r="F21" i="78"/>
  <c r="U21"/>
  <c r="V14"/>
  <c r="T20"/>
  <c r="T35" i="80"/>
  <c r="V11"/>
  <c r="V15" s="1"/>
  <c r="V9" i="78"/>
  <c r="T8"/>
  <c r="R12" i="77"/>
  <c r="T33" i="81"/>
  <c r="T41" s="1"/>
  <c r="V8" i="78"/>
  <c r="V36" i="81"/>
  <c r="K12" i="77"/>
  <c r="T66" i="82"/>
  <c r="V36"/>
  <c r="V29"/>
  <c r="V19"/>
  <c r="T6" i="77"/>
  <c r="V6" s="1"/>
  <c r="T8"/>
  <c r="T10"/>
  <c r="L11"/>
  <c r="T11" s="1"/>
  <c r="V11" s="1"/>
  <c r="U8" i="79"/>
  <c r="I36" i="80"/>
  <c r="V6" i="82"/>
  <c r="V7" s="1"/>
  <c r="V11" i="79"/>
  <c r="V12" s="1"/>
  <c r="V40" i="80"/>
  <c r="V41" s="1"/>
  <c r="V37" i="81"/>
  <c r="V38" s="1"/>
  <c r="V92" i="82"/>
  <c r="V93" s="1"/>
  <c r="V23"/>
  <c r="V25" s="1"/>
  <c r="V8"/>
  <c r="V9" s="1"/>
  <c r="T8" i="79"/>
  <c r="V24" i="81"/>
  <c r="V25" s="1"/>
  <c r="L88" i="82"/>
  <c r="V48" i="81"/>
  <c r="U11" i="77"/>
  <c r="U12" s="1"/>
  <c r="S12"/>
  <c r="T3"/>
  <c r="S36" i="80"/>
  <c r="U88" i="82"/>
  <c r="V6" i="79"/>
  <c r="V7" s="1"/>
  <c r="V33" i="81"/>
  <c r="T87" i="82"/>
  <c r="V66"/>
  <c r="T59"/>
  <c r="V8" i="77"/>
  <c r="V10"/>
  <c r="V87" i="82"/>
  <c r="V59"/>
  <c r="V19" i="78"/>
  <c r="V28" i="81"/>
  <c r="F36" i="80"/>
  <c r="T31"/>
  <c r="T36" s="1"/>
  <c r="V35"/>
  <c r="V31"/>
  <c r="I88" i="82"/>
  <c r="S88"/>
  <c r="V16" i="80"/>
  <c r="V18" s="1"/>
  <c r="I165" i="47"/>
  <c r="T165" s="1"/>
  <c r="V165" s="1"/>
  <c r="I166"/>
  <c r="T166" s="1"/>
  <c r="V166" s="1"/>
  <c r="T7" i="77"/>
  <c r="V7" s="1"/>
  <c r="O12"/>
  <c r="T9"/>
  <c r="V9" s="1"/>
  <c r="F12"/>
  <c r="I12"/>
  <c r="V3"/>
  <c r="V41" i="81" l="1"/>
  <c r="V20" i="78"/>
  <c r="V21" s="1"/>
  <c r="T21"/>
  <c r="L12" i="77"/>
  <c r="V8" i="79"/>
  <c r="T88" i="82"/>
  <c r="V88"/>
  <c r="V36" i="80"/>
  <c r="V12" i="77"/>
  <c r="T12"/>
  <c r="S25" i="39" l="1"/>
  <c r="S141" i="47"/>
  <c r="U141" s="1"/>
  <c r="R141"/>
  <c r="O141"/>
  <c r="L141"/>
  <c r="I141"/>
  <c r="F141"/>
  <c r="S140"/>
  <c r="U140" s="1"/>
  <c r="R140"/>
  <c r="O140"/>
  <c r="L140"/>
  <c r="I140"/>
  <c r="F140"/>
  <c r="S139"/>
  <c r="U139" s="1"/>
  <c r="R139"/>
  <c r="O139"/>
  <c r="L139"/>
  <c r="I139"/>
  <c r="F139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N128"/>
  <c r="N124"/>
  <c r="Q197"/>
  <c r="N197"/>
  <c r="K197"/>
  <c r="H197"/>
  <c r="E197"/>
  <c r="S196"/>
  <c r="U196" s="1"/>
  <c r="R196"/>
  <c r="O196"/>
  <c r="L196"/>
  <c r="I196"/>
  <c r="F196"/>
  <c r="S152"/>
  <c r="U152" s="1"/>
  <c r="R152"/>
  <c r="O152"/>
  <c r="L152"/>
  <c r="I152"/>
  <c r="F152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Q7" i="76"/>
  <c r="Q8" s="1"/>
  <c r="N7"/>
  <c r="N8" s="1"/>
  <c r="K7"/>
  <c r="K8" s="1"/>
  <c r="H7"/>
  <c r="H8" s="1"/>
  <c r="E7"/>
  <c r="E8" s="1"/>
  <c r="S6"/>
  <c r="R6"/>
  <c r="O6"/>
  <c r="L6"/>
  <c r="I6"/>
  <c r="F6"/>
  <c r="S3"/>
  <c r="U3" s="1"/>
  <c r="R3"/>
  <c r="O3"/>
  <c r="L3"/>
  <c r="I3"/>
  <c r="F3"/>
  <c r="P1"/>
  <c r="U2" s="1"/>
  <c r="K71" i="71"/>
  <c r="K65" i="72"/>
  <c r="S186" i="47"/>
  <c r="U186" s="1"/>
  <c r="R186"/>
  <c r="O186"/>
  <c r="L186"/>
  <c r="I186"/>
  <c r="F186"/>
  <c r="S185"/>
  <c r="U185" s="1"/>
  <c r="R185"/>
  <c r="O185"/>
  <c r="L185"/>
  <c r="I185"/>
  <c r="F185"/>
  <c r="S184"/>
  <c r="U184" s="1"/>
  <c r="R184"/>
  <c r="O184"/>
  <c r="L184"/>
  <c r="I184"/>
  <c r="F184"/>
  <c r="S183"/>
  <c r="U183" s="1"/>
  <c r="R183"/>
  <c r="O183"/>
  <c r="L183"/>
  <c r="I183"/>
  <c r="F183"/>
  <c r="S182"/>
  <c r="U182" s="1"/>
  <c r="R182"/>
  <c r="O182"/>
  <c r="L182"/>
  <c r="I182"/>
  <c r="F182"/>
  <c r="S181"/>
  <c r="U181" s="1"/>
  <c r="R181"/>
  <c r="O181"/>
  <c r="L181"/>
  <c r="I181"/>
  <c r="F181"/>
  <c r="S180"/>
  <c r="U180" s="1"/>
  <c r="R180"/>
  <c r="O180"/>
  <c r="L180"/>
  <c r="I180"/>
  <c r="F180"/>
  <c r="S254" i="56"/>
  <c r="U254" s="1"/>
  <c r="R254"/>
  <c r="O254"/>
  <c r="L254"/>
  <c r="I254"/>
  <c r="F254"/>
  <c r="K278"/>
  <c r="N53" i="72"/>
  <c r="K40"/>
  <c r="N55"/>
  <c r="K56"/>
  <c r="K55"/>
  <c r="K54"/>
  <c r="K53"/>
  <c r="K52"/>
  <c r="H275" i="56"/>
  <c r="H272"/>
  <c r="K70" i="54"/>
  <c r="H74"/>
  <c r="S129" i="55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H70" i="54"/>
  <c r="N59"/>
  <c r="K20" i="39"/>
  <c r="Q182" i="56"/>
  <c r="N182"/>
  <c r="K182"/>
  <c r="H182"/>
  <c r="E182"/>
  <c r="S181"/>
  <c r="U181" s="1"/>
  <c r="R181"/>
  <c r="O181"/>
  <c r="L181"/>
  <c r="I181"/>
  <c r="F181"/>
  <c r="S180"/>
  <c r="U180" s="1"/>
  <c r="R180"/>
  <c r="O180"/>
  <c r="L180"/>
  <c r="I180"/>
  <c r="F180"/>
  <c r="S179"/>
  <c r="U179" s="1"/>
  <c r="R179"/>
  <c r="O179"/>
  <c r="L179"/>
  <c r="I179"/>
  <c r="F179"/>
  <c r="S192" i="47"/>
  <c r="U192" s="1"/>
  <c r="R192"/>
  <c r="O192"/>
  <c r="L192"/>
  <c r="I192"/>
  <c r="F192"/>
  <c r="K74" i="54"/>
  <c r="S27"/>
  <c r="U27" s="1"/>
  <c r="R27"/>
  <c r="O27"/>
  <c r="L27"/>
  <c r="I27"/>
  <c r="F27"/>
  <c r="S26"/>
  <c r="U26" s="1"/>
  <c r="R26"/>
  <c r="O26"/>
  <c r="L26"/>
  <c r="I26"/>
  <c r="F26"/>
  <c r="K264" i="56"/>
  <c r="K191" i="47"/>
  <c r="S54" i="54"/>
  <c r="U54" s="1"/>
  <c r="R54"/>
  <c r="O54"/>
  <c r="L54"/>
  <c r="I54"/>
  <c r="F54"/>
  <c r="H48"/>
  <c r="H46"/>
  <c r="K174" i="47"/>
  <c r="N39" i="72"/>
  <c r="N125" i="47"/>
  <c r="K39" i="72"/>
  <c r="S111" i="55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89" i="5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78" i="55"/>
  <c r="U78" s="1"/>
  <c r="R78"/>
  <c r="O78"/>
  <c r="L78"/>
  <c r="I78"/>
  <c r="F78"/>
  <c r="S77"/>
  <c r="U77" s="1"/>
  <c r="R77"/>
  <c r="O77"/>
  <c r="L77"/>
  <c r="I77"/>
  <c r="F77"/>
  <c r="S76"/>
  <c r="U76" s="1"/>
  <c r="R76"/>
  <c r="O76"/>
  <c r="L76"/>
  <c r="I76"/>
  <c r="F76"/>
  <c r="S75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H178"/>
  <c r="S178" s="1"/>
  <c r="U178" s="1"/>
  <c r="S181"/>
  <c r="U181" s="1"/>
  <c r="R181"/>
  <c r="O181"/>
  <c r="L181"/>
  <c r="I181"/>
  <c r="F181"/>
  <c r="S180"/>
  <c r="U180" s="1"/>
  <c r="R180"/>
  <c r="O180"/>
  <c r="L180"/>
  <c r="I180"/>
  <c r="F180"/>
  <c r="S179"/>
  <c r="U179" s="1"/>
  <c r="R179"/>
  <c r="O179"/>
  <c r="L179"/>
  <c r="I179"/>
  <c r="F179"/>
  <c r="R178"/>
  <c r="O178"/>
  <c r="L178"/>
  <c r="F178"/>
  <c r="I178" l="1"/>
  <c r="T192" i="47"/>
  <c r="T127" i="55"/>
  <c r="T131" i="47"/>
  <c r="V131" s="1"/>
  <c r="T181"/>
  <c r="V181" s="1"/>
  <c r="T183"/>
  <c r="V183" s="1"/>
  <c r="T185"/>
  <c r="V185" s="1"/>
  <c r="T152"/>
  <c r="V152" s="1"/>
  <c r="T196"/>
  <c r="V196" s="1"/>
  <c r="T58"/>
  <c r="V58" s="1"/>
  <c r="T71" i="55"/>
  <c r="V71" s="1"/>
  <c r="T26" i="54"/>
  <c r="V26" s="1"/>
  <c r="T27"/>
  <c r="T254" i="56"/>
  <c r="V254" s="1"/>
  <c r="T3" i="76"/>
  <c r="V3" s="1"/>
  <c r="T57" i="47"/>
  <c r="V57" s="1"/>
  <c r="T134"/>
  <c r="V134" s="1"/>
  <c r="T136"/>
  <c r="V136" s="1"/>
  <c r="T137"/>
  <c r="V137" s="1"/>
  <c r="T141"/>
  <c r="V141" s="1"/>
  <c r="V27" i="54"/>
  <c r="V127" i="55"/>
  <c r="T180" i="56"/>
  <c r="V180" s="1"/>
  <c r="T85" i="59"/>
  <c r="V85" s="1"/>
  <c r="T89"/>
  <c r="V89" s="1"/>
  <c r="T139" i="47"/>
  <c r="V139" s="1"/>
  <c r="T138"/>
  <c r="T140"/>
  <c r="V140" s="1"/>
  <c r="V138"/>
  <c r="T135"/>
  <c r="V135" s="1"/>
  <c r="T132"/>
  <c r="V132" s="1"/>
  <c r="T133"/>
  <c r="V133" s="1"/>
  <c r="T59"/>
  <c r="V59" s="1"/>
  <c r="T6" i="76"/>
  <c r="V6" s="1"/>
  <c r="F7"/>
  <c r="F8" s="1"/>
  <c r="I7"/>
  <c r="I8" s="1"/>
  <c r="L7"/>
  <c r="L8" s="1"/>
  <c r="O7"/>
  <c r="O8" s="1"/>
  <c r="R7"/>
  <c r="R8" s="1"/>
  <c r="U6"/>
  <c r="S7"/>
  <c r="S8" s="1"/>
  <c r="T180" i="47"/>
  <c r="V180" s="1"/>
  <c r="T182"/>
  <c r="V182" s="1"/>
  <c r="T184"/>
  <c r="V184" s="1"/>
  <c r="T186"/>
  <c r="V186" s="1"/>
  <c r="T128" i="55"/>
  <c r="V128" s="1"/>
  <c r="T129"/>
  <c r="V129" s="1"/>
  <c r="T179" i="56"/>
  <c r="V179" s="1"/>
  <c r="T181"/>
  <c r="V181" s="1"/>
  <c r="V192" i="47"/>
  <c r="T54" i="54"/>
  <c r="V54" s="1"/>
  <c r="T110" i="55"/>
  <c r="V110" s="1"/>
  <c r="T108"/>
  <c r="V108" s="1"/>
  <c r="T109"/>
  <c r="V109" s="1"/>
  <c r="T111"/>
  <c r="V111" s="1"/>
  <c r="T88" i="59"/>
  <c r="V88" s="1"/>
  <c r="T87"/>
  <c r="V87" s="1"/>
  <c r="T86"/>
  <c r="V86" s="1"/>
  <c r="T77" i="55"/>
  <c r="V77" s="1"/>
  <c r="T75"/>
  <c r="T73"/>
  <c r="V73" s="1"/>
  <c r="T72"/>
  <c r="V72" s="1"/>
  <c r="T74"/>
  <c r="V74" s="1"/>
  <c r="V75"/>
  <c r="T76"/>
  <c r="V76" s="1"/>
  <c r="T78"/>
  <c r="V78" s="1"/>
  <c r="T180"/>
  <c r="V180" s="1"/>
  <c r="T178"/>
  <c r="V178" s="1"/>
  <c r="T179"/>
  <c r="V179" s="1"/>
  <c r="T181"/>
  <c r="V181" s="1"/>
  <c r="T7" i="76" l="1"/>
  <c r="T8" s="1"/>
  <c r="U7"/>
  <c r="U8" s="1"/>
  <c r="V7"/>
  <c r="V8" s="1"/>
  <c r="S46" i="59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K105" i="55"/>
  <c r="S175" i="56"/>
  <c r="U175" s="1"/>
  <c r="R175"/>
  <c r="O175"/>
  <c r="L175"/>
  <c r="I175"/>
  <c r="F175"/>
  <c r="N52" i="71"/>
  <c r="S44" i="35"/>
  <c r="S43"/>
  <c r="U43" s="1"/>
  <c r="S42"/>
  <c r="S41"/>
  <c r="S40"/>
  <c r="S3"/>
  <c r="R3"/>
  <c r="R43"/>
  <c r="O43"/>
  <c r="L43"/>
  <c r="I43"/>
  <c r="F43"/>
  <c r="U42"/>
  <c r="R42"/>
  <c r="O42"/>
  <c r="L42"/>
  <c r="I42"/>
  <c r="F42"/>
  <c r="S40" i="54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120" i="47"/>
  <c r="U120" s="1"/>
  <c r="R120"/>
  <c r="O120"/>
  <c r="L120"/>
  <c r="I120"/>
  <c r="F120"/>
  <c r="S119"/>
  <c r="U119" s="1"/>
  <c r="R119"/>
  <c r="O119"/>
  <c r="L119"/>
  <c r="I119"/>
  <c r="F119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169" i="56"/>
  <c r="U169" s="1"/>
  <c r="R169"/>
  <c r="O169"/>
  <c r="L169"/>
  <c r="I169"/>
  <c r="F169"/>
  <c r="S168"/>
  <c r="U168" s="1"/>
  <c r="R168"/>
  <c r="O168"/>
  <c r="L168"/>
  <c r="I168"/>
  <c r="F168"/>
  <c r="S167"/>
  <c r="U167" s="1"/>
  <c r="R167"/>
  <c r="O167"/>
  <c r="L167"/>
  <c r="I167"/>
  <c r="F167"/>
  <c r="S166"/>
  <c r="U166" s="1"/>
  <c r="R166"/>
  <c r="O166"/>
  <c r="L166"/>
  <c r="I166"/>
  <c r="F166"/>
  <c r="S165"/>
  <c r="U165" s="1"/>
  <c r="R165"/>
  <c r="O165"/>
  <c r="L165"/>
  <c r="I165"/>
  <c r="F165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R162"/>
  <c r="O162"/>
  <c r="L162"/>
  <c r="I162"/>
  <c r="F162"/>
  <c r="S99"/>
  <c r="U99" s="1"/>
  <c r="R99"/>
  <c r="O99"/>
  <c r="L99"/>
  <c r="I99"/>
  <c r="F99"/>
  <c r="S98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T37" i="54" l="1"/>
  <c r="V37" s="1"/>
  <c r="T40"/>
  <c r="T42" i="35"/>
  <c r="V42" s="1"/>
  <c r="T43"/>
  <c r="V43" s="1"/>
  <c r="T46" i="59"/>
  <c r="T46" i="47"/>
  <c r="V46" s="1"/>
  <c r="T48"/>
  <c r="V48" s="1"/>
  <c r="V40" i="54"/>
  <c r="T175" i="56"/>
  <c r="V175" s="1"/>
  <c r="T94"/>
  <c r="V94" s="1"/>
  <c r="T96"/>
  <c r="V96" s="1"/>
  <c r="T98"/>
  <c r="V98" s="1"/>
  <c r="T168"/>
  <c r="V168" s="1"/>
  <c r="T44" i="59"/>
  <c r="V44" s="1"/>
  <c r="V46"/>
  <c r="T119" i="47"/>
  <c r="V119" s="1"/>
  <c r="T45" i="59"/>
  <c r="V45" s="1"/>
  <c r="T39" i="54"/>
  <c r="V39" s="1"/>
  <c r="T38"/>
  <c r="V38" s="1"/>
  <c r="T120" i="47"/>
  <c r="V120" s="1"/>
  <c r="T50"/>
  <c r="V50" s="1"/>
  <c r="T47"/>
  <c r="V47" s="1"/>
  <c r="T49"/>
  <c r="V49" s="1"/>
  <c r="T166" i="56"/>
  <c r="V166" s="1"/>
  <c r="T164"/>
  <c r="V164" s="1"/>
  <c r="T162"/>
  <c r="V162" s="1"/>
  <c r="T163"/>
  <c r="V163" s="1"/>
  <c r="T165"/>
  <c r="V165" s="1"/>
  <c r="T167"/>
  <c r="V167" s="1"/>
  <c r="T169"/>
  <c r="V169" s="1"/>
  <c r="T95"/>
  <c r="V95" s="1"/>
  <c r="T97"/>
  <c r="V97" s="1"/>
  <c r="T99"/>
  <c r="V99" s="1"/>
  <c r="H39" i="72" l="1"/>
  <c r="S70" i="47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S67"/>
  <c r="U67" s="1"/>
  <c r="R67"/>
  <c r="O67"/>
  <c r="L67"/>
  <c r="I67"/>
  <c r="F67"/>
  <c r="S66"/>
  <c r="U66" s="1"/>
  <c r="R66"/>
  <c r="O66"/>
  <c r="L66"/>
  <c r="I66"/>
  <c r="F66"/>
  <c r="R116" i="56"/>
  <c r="O116"/>
  <c r="L116"/>
  <c r="I116"/>
  <c r="F116"/>
  <c r="R115"/>
  <c r="O115"/>
  <c r="L115"/>
  <c r="I115"/>
  <c r="F115"/>
  <c r="R114"/>
  <c r="O114"/>
  <c r="L114"/>
  <c r="I114"/>
  <c r="F114"/>
  <c r="R113"/>
  <c r="O113"/>
  <c r="K113"/>
  <c r="L113" s="1"/>
  <c r="I113"/>
  <c r="F113"/>
  <c r="S39" i="59"/>
  <c r="U39" s="1"/>
  <c r="R39"/>
  <c r="O39"/>
  <c r="L39"/>
  <c r="I39"/>
  <c r="F39"/>
  <c r="E68" i="55"/>
  <c r="H68"/>
  <c r="K68"/>
  <c r="N68"/>
  <c r="S66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T49" l="1"/>
  <c r="T114" i="56"/>
  <c r="V49" i="55"/>
  <c r="T50"/>
  <c r="V50" s="1"/>
  <c r="T52"/>
  <c r="V52" s="1"/>
  <c r="T53"/>
  <c r="V53" s="1"/>
  <c r="T55"/>
  <c r="V55" s="1"/>
  <c r="T62"/>
  <c r="V62" s="1"/>
  <c r="T66"/>
  <c r="V66" s="1"/>
  <c r="T116" i="56"/>
  <c r="T66" i="47"/>
  <c r="V66" s="1"/>
  <c r="T68"/>
  <c r="T70"/>
  <c r="V70" s="1"/>
  <c r="V68"/>
  <c r="T67"/>
  <c r="V67" s="1"/>
  <c r="T69"/>
  <c r="V69" s="1"/>
  <c r="T113" i="56"/>
  <c r="V113" s="1"/>
  <c r="V114"/>
  <c r="T115"/>
  <c r="V115" s="1"/>
  <c r="V116"/>
  <c r="S113"/>
  <c r="U113" s="1"/>
  <c r="S114"/>
  <c r="U114" s="1"/>
  <c r="S115"/>
  <c r="U115" s="1"/>
  <c r="S116"/>
  <c r="U116" s="1"/>
  <c r="T39" i="59"/>
  <c r="V39" s="1"/>
  <c r="T64" i="55"/>
  <c r="V64" s="1"/>
  <c r="T63"/>
  <c r="V63" s="1"/>
  <c r="T65"/>
  <c r="V65" s="1"/>
  <c r="T54"/>
  <c r="V54" s="1"/>
  <c r="T56"/>
  <c r="V56" s="1"/>
  <c r="T51"/>
  <c r="V51" s="1"/>
  <c r="K52" i="71" l="1"/>
  <c r="S192" i="56"/>
  <c r="U192" s="1"/>
  <c r="R192"/>
  <c r="O192"/>
  <c r="L192"/>
  <c r="I192"/>
  <c r="F192"/>
  <c r="S191"/>
  <c r="U191" s="1"/>
  <c r="R191"/>
  <c r="O191"/>
  <c r="L191"/>
  <c r="I191"/>
  <c r="F191"/>
  <c r="S190"/>
  <c r="U190" s="1"/>
  <c r="R190"/>
  <c r="O190"/>
  <c r="L190"/>
  <c r="I190"/>
  <c r="F190"/>
  <c r="S189"/>
  <c r="U189" s="1"/>
  <c r="R189"/>
  <c r="O189"/>
  <c r="L189"/>
  <c r="I189"/>
  <c r="F189"/>
  <c r="R188"/>
  <c r="N188"/>
  <c r="S188" s="1"/>
  <c r="U188" s="1"/>
  <c r="L188"/>
  <c r="I188"/>
  <c r="F188"/>
  <c r="S84" i="59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R33" i="54"/>
  <c r="S53" i="74"/>
  <c r="U53" s="1"/>
  <c r="R53"/>
  <c r="O53"/>
  <c r="L53"/>
  <c r="I53"/>
  <c r="F53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S54" s="1"/>
  <c r="R45"/>
  <c r="O45"/>
  <c r="O54" s="1"/>
  <c r="L45"/>
  <c r="I45"/>
  <c r="I54" s="1"/>
  <c r="F45"/>
  <c r="F54" s="1"/>
  <c r="S43"/>
  <c r="U43" s="1"/>
  <c r="R43"/>
  <c r="O43"/>
  <c r="L43"/>
  <c r="I43"/>
  <c r="F43"/>
  <c r="S42"/>
  <c r="U42" s="1"/>
  <c r="R42"/>
  <c r="O42"/>
  <c r="L42"/>
  <c r="I42"/>
  <c r="F42"/>
  <c r="S41"/>
  <c r="U41" s="1"/>
  <c r="U44" s="1"/>
  <c r="R41"/>
  <c r="O41"/>
  <c r="L41"/>
  <c r="I41"/>
  <c r="F41"/>
  <c r="F44" s="1"/>
  <c r="U39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U40" s="1"/>
  <c r="R34"/>
  <c r="R40" s="1"/>
  <c r="O34"/>
  <c r="L34"/>
  <c r="I34"/>
  <c r="F34"/>
  <c r="F40" s="1"/>
  <c r="S32"/>
  <c r="U32" s="1"/>
  <c r="R32"/>
  <c r="O32"/>
  <c r="L32"/>
  <c r="I32"/>
  <c r="F32"/>
  <c r="S31"/>
  <c r="U31" s="1"/>
  <c r="U33" s="1"/>
  <c r="R31"/>
  <c r="R33" s="1"/>
  <c r="O31"/>
  <c r="L31"/>
  <c r="I31"/>
  <c r="F31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U30" s="1"/>
  <c r="R25"/>
  <c r="O25"/>
  <c r="L25"/>
  <c r="I25"/>
  <c r="F25"/>
  <c r="F30" s="1"/>
  <c r="S23"/>
  <c r="U23" s="1"/>
  <c r="R23"/>
  <c r="O23"/>
  <c r="L23"/>
  <c r="I23"/>
  <c r="F23"/>
  <c r="S22"/>
  <c r="U22" s="1"/>
  <c r="U24" s="1"/>
  <c r="R22"/>
  <c r="R24" s="1"/>
  <c r="O22"/>
  <c r="L22"/>
  <c r="I22"/>
  <c r="F22"/>
  <c r="F24" s="1"/>
  <c r="S20"/>
  <c r="U20" s="1"/>
  <c r="U21" s="1"/>
  <c r="R20"/>
  <c r="R21" s="1"/>
  <c r="O20"/>
  <c r="O21" s="1"/>
  <c r="L20"/>
  <c r="I20"/>
  <c r="F20"/>
  <c r="F21" s="1"/>
  <c r="S18"/>
  <c r="U18" s="1"/>
  <c r="R18"/>
  <c r="O18"/>
  <c r="L18"/>
  <c r="I18"/>
  <c r="F18"/>
  <c r="S17"/>
  <c r="U17" s="1"/>
  <c r="U19" s="1"/>
  <c r="R17"/>
  <c r="R19" s="1"/>
  <c r="O17"/>
  <c r="L17"/>
  <c r="I17"/>
  <c r="F17"/>
  <c r="F19" s="1"/>
  <c r="S15"/>
  <c r="U15" s="1"/>
  <c r="U16" s="1"/>
  <c r="R15"/>
  <c r="R16" s="1"/>
  <c r="O15"/>
  <c r="L15"/>
  <c r="I15"/>
  <c r="F15"/>
  <c r="F16" s="1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U14" s="1"/>
  <c r="R10"/>
  <c r="R14" s="1"/>
  <c r="O10"/>
  <c r="L10"/>
  <c r="L14" s="1"/>
  <c r="I10"/>
  <c r="F10"/>
  <c r="F14" s="1"/>
  <c r="S8"/>
  <c r="U8" s="1"/>
  <c r="R8"/>
  <c r="O8"/>
  <c r="L8"/>
  <c r="I8"/>
  <c r="F8"/>
  <c r="S7"/>
  <c r="U7" s="1"/>
  <c r="R7"/>
  <c r="O7"/>
  <c r="L7"/>
  <c r="I7"/>
  <c r="I9" s="1"/>
  <c r="F7"/>
  <c r="S6"/>
  <c r="U6" s="1"/>
  <c r="U9" s="1"/>
  <c r="R6"/>
  <c r="R9" s="1"/>
  <c r="O6"/>
  <c r="O9" s="1"/>
  <c r="L6"/>
  <c r="L9" s="1"/>
  <c r="I6"/>
  <c r="F6"/>
  <c r="F9" s="1"/>
  <c r="S40"/>
  <c r="S33"/>
  <c r="S24"/>
  <c r="Q54"/>
  <c r="Q44"/>
  <c r="Q40"/>
  <c r="Q33"/>
  <c r="Q30"/>
  <c r="Q24"/>
  <c r="Q21"/>
  <c r="Q19"/>
  <c r="Q16"/>
  <c r="Q14"/>
  <c r="Q9"/>
  <c r="N54"/>
  <c r="O44"/>
  <c r="N44"/>
  <c r="N40"/>
  <c r="O33"/>
  <c r="N33"/>
  <c r="O30"/>
  <c r="N30"/>
  <c r="O24"/>
  <c r="N24"/>
  <c r="N21"/>
  <c r="N19"/>
  <c r="O16"/>
  <c r="N16"/>
  <c r="N14"/>
  <c r="N9"/>
  <c r="K54"/>
  <c r="L44"/>
  <c r="K44"/>
  <c r="L40"/>
  <c r="K40"/>
  <c r="K33"/>
  <c r="K30"/>
  <c r="L24"/>
  <c r="K24"/>
  <c r="L21"/>
  <c r="K21"/>
  <c r="L19"/>
  <c r="K19"/>
  <c r="L16"/>
  <c r="K16"/>
  <c r="K14"/>
  <c r="K9"/>
  <c r="H54"/>
  <c r="I44"/>
  <c r="H44"/>
  <c r="H40"/>
  <c r="H33"/>
  <c r="I30"/>
  <c r="H30"/>
  <c r="I24"/>
  <c r="H24"/>
  <c r="I21"/>
  <c r="H21"/>
  <c r="I16"/>
  <c r="H16"/>
  <c r="H14"/>
  <c r="H9"/>
  <c r="E54"/>
  <c r="E44"/>
  <c r="E40"/>
  <c r="E33"/>
  <c r="E30"/>
  <c r="E24"/>
  <c r="E21"/>
  <c r="E19"/>
  <c r="E16"/>
  <c r="E14"/>
  <c r="E9"/>
  <c r="S3"/>
  <c r="U3" s="1"/>
  <c r="R3"/>
  <c r="O3"/>
  <c r="L3"/>
  <c r="I3"/>
  <c r="F3"/>
  <c r="P1"/>
  <c r="U2" s="1"/>
  <c r="S73" i="73"/>
  <c r="U73" s="1"/>
  <c r="R73"/>
  <c r="O73"/>
  <c r="L73"/>
  <c r="I73"/>
  <c r="F73"/>
  <c r="S72"/>
  <c r="U72" s="1"/>
  <c r="R72"/>
  <c r="O72"/>
  <c r="L72"/>
  <c r="I72"/>
  <c r="F72"/>
  <c r="S71"/>
  <c r="U71" s="1"/>
  <c r="U74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R74" s="1"/>
  <c r="O68"/>
  <c r="O74" s="1"/>
  <c r="L68"/>
  <c r="I68"/>
  <c r="I74" s="1"/>
  <c r="F68"/>
  <c r="S66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60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5"/>
  <c r="U55" s="1"/>
  <c r="R55"/>
  <c r="O55"/>
  <c r="L55"/>
  <c r="I55"/>
  <c r="F55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U56" s="1"/>
  <c r="R49"/>
  <c r="O49"/>
  <c r="O56" s="1"/>
  <c r="L49"/>
  <c r="I49"/>
  <c r="F49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U48" s="1"/>
  <c r="R44"/>
  <c r="R48" s="1"/>
  <c r="O44"/>
  <c r="O48" s="1"/>
  <c r="L44"/>
  <c r="I44"/>
  <c r="I48" s="1"/>
  <c r="F44"/>
  <c r="S42"/>
  <c r="U42" s="1"/>
  <c r="R42"/>
  <c r="O42"/>
  <c r="L42"/>
  <c r="I42"/>
  <c r="F42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U43" s="1"/>
  <c r="R32"/>
  <c r="O32"/>
  <c r="O43" s="1"/>
  <c r="L32"/>
  <c r="I32"/>
  <c r="I43" s="1"/>
  <c r="F32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U31" s="1"/>
  <c r="R27"/>
  <c r="R31" s="1"/>
  <c r="O27"/>
  <c r="O31" s="1"/>
  <c r="L27"/>
  <c r="I27"/>
  <c r="I31" s="1"/>
  <c r="F27"/>
  <c r="S25"/>
  <c r="U25" s="1"/>
  <c r="R25"/>
  <c r="O25"/>
  <c r="L25"/>
  <c r="I25"/>
  <c r="F25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O26" s="1"/>
  <c r="L14"/>
  <c r="I14"/>
  <c r="I26" s="1"/>
  <c r="F14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U13" s="1"/>
  <c r="R8"/>
  <c r="O8"/>
  <c r="L8"/>
  <c r="I8"/>
  <c r="I13" s="1"/>
  <c r="F8"/>
  <c r="S6"/>
  <c r="U6" s="1"/>
  <c r="U7" s="1"/>
  <c r="R6"/>
  <c r="O6"/>
  <c r="O7" s="1"/>
  <c r="L6"/>
  <c r="I6"/>
  <c r="I7" s="1"/>
  <c r="F6"/>
  <c r="S74"/>
  <c r="Q74"/>
  <c r="R67"/>
  <c r="Q67"/>
  <c r="Q56"/>
  <c r="Q48"/>
  <c r="R43"/>
  <c r="Q43"/>
  <c r="Q31"/>
  <c r="R13"/>
  <c r="Q13"/>
  <c r="R7"/>
  <c r="Q7"/>
  <c r="N74"/>
  <c r="N67"/>
  <c r="N56"/>
  <c r="N48"/>
  <c r="N43"/>
  <c r="N31"/>
  <c r="N26"/>
  <c r="N13"/>
  <c r="N7"/>
  <c r="L74"/>
  <c r="K74"/>
  <c r="L67"/>
  <c r="K67"/>
  <c r="K56"/>
  <c r="L48"/>
  <c r="K48"/>
  <c r="L43"/>
  <c r="K43"/>
  <c r="L31"/>
  <c r="K31"/>
  <c r="L26"/>
  <c r="K26"/>
  <c r="L13"/>
  <c r="K13"/>
  <c r="L7"/>
  <c r="K7"/>
  <c r="H74"/>
  <c r="H67"/>
  <c r="H56"/>
  <c r="H48"/>
  <c r="H43"/>
  <c r="H31"/>
  <c r="H26"/>
  <c r="H13"/>
  <c r="H7"/>
  <c r="F74"/>
  <c r="E74"/>
  <c r="E67"/>
  <c r="F56"/>
  <c r="E56"/>
  <c r="F48"/>
  <c r="E48"/>
  <c r="F43"/>
  <c r="E43"/>
  <c r="F31"/>
  <c r="E31"/>
  <c r="F26"/>
  <c r="E26"/>
  <c r="F13"/>
  <c r="E13"/>
  <c r="F7"/>
  <c r="E7"/>
  <c r="S3"/>
  <c r="U3" s="1"/>
  <c r="R3"/>
  <c r="O3"/>
  <c r="L3"/>
  <c r="I3"/>
  <c r="F3"/>
  <c r="P1"/>
  <c r="U2" s="1"/>
  <c r="S50" i="72"/>
  <c r="U50" s="1"/>
  <c r="S71"/>
  <c r="U71" s="1"/>
  <c r="R71"/>
  <c r="O71"/>
  <c r="L71"/>
  <c r="I71"/>
  <c r="F71"/>
  <c r="S69"/>
  <c r="U69" s="1"/>
  <c r="R69"/>
  <c r="O69"/>
  <c r="L69"/>
  <c r="I69"/>
  <c r="F69"/>
  <c r="S68"/>
  <c r="U68" s="1"/>
  <c r="R68"/>
  <c r="O68"/>
  <c r="L68"/>
  <c r="I68"/>
  <c r="F68"/>
  <c r="S67"/>
  <c r="U67" s="1"/>
  <c r="U72" s="1"/>
  <c r="R67"/>
  <c r="R72" s="1"/>
  <c r="O67"/>
  <c r="O72" s="1"/>
  <c r="L67"/>
  <c r="L72" s="1"/>
  <c r="I67"/>
  <c r="F67"/>
  <c r="F72" s="1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R66" s="1"/>
  <c r="O62"/>
  <c r="L62"/>
  <c r="I62"/>
  <c r="I66" s="1"/>
  <c r="F62"/>
  <c r="F66" s="1"/>
  <c r="S60"/>
  <c r="U60" s="1"/>
  <c r="R60"/>
  <c r="O60"/>
  <c r="L60"/>
  <c r="I60"/>
  <c r="F60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R61" s="1"/>
  <c r="O52"/>
  <c r="L52"/>
  <c r="L61" s="1"/>
  <c r="I52"/>
  <c r="F52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S42"/>
  <c r="U42" s="1"/>
  <c r="R42"/>
  <c r="R51" s="1"/>
  <c r="O42"/>
  <c r="L42"/>
  <c r="I42"/>
  <c r="I51" s="1"/>
  <c r="F42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U41" s="1"/>
  <c r="R37"/>
  <c r="R41" s="1"/>
  <c r="O37"/>
  <c r="L37"/>
  <c r="I37"/>
  <c r="I41" s="1"/>
  <c r="F37"/>
  <c r="S35"/>
  <c r="U35" s="1"/>
  <c r="R35"/>
  <c r="O35"/>
  <c r="L35"/>
  <c r="I35"/>
  <c r="F35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R36" s="1"/>
  <c r="O29"/>
  <c r="L29"/>
  <c r="I29"/>
  <c r="F29"/>
  <c r="S27"/>
  <c r="U27" s="1"/>
  <c r="R27"/>
  <c r="O27"/>
  <c r="L27"/>
  <c r="I27"/>
  <c r="F27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U28" s="1"/>
  <c r="R14"/>
  <c r="O14"/>
  <c r="O28" s="1"/>
  <c r="L14"/>
  <c r="L28" s="1"/>
  <c r="I14"/>
  <c r="I28" s="1"/>
  <c r="F14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U13" s="1"/>
  <c r="R8"/>
  <c r="R13" s="1"/>
  <c r="O8"/>
  <c r="O13" s="1"/>
  <c r="L8"/>
  <c r="I8"/>
  <c r="I13" s="1"/>
  <c r="F8"/>
  <c r="F13" s="1"/>
  <c r="S6"/>
  <c r="U6" s="1"/>
  <c r="U7" s="1"/>
  <c r="R6"/>
  <c r="R7" s="1"/>
  <c r="O6"/>
  <c r="O7" s="1"/>
  <c r="L6"/>
  <c r="I6"/>
  <c r="I7" s="1"/>
  <c r="F6"/>
  <c r="F7" s="1"/>
  <c r="S41"/>
  <c r="Q72"/>
  <c r="Q66"/>
  <c r="Q61"/>
  <c r="Q51"/>
  <c r="Q41"/>
  <c r="Q36"/>
  <c r="Q28"/>
  <c r="Q13"/>
  <c r="Q7"/>
  <c r="N72"/>
  <c r="O66"/>
  <c r="N66"/>
  <c r="N61"/>
  <c r="O51"/>
  <c r="N51"/>
  <c r="N41"/>
  <c r="N36"/>
  <c r="N28"/>
  <c r="N13"/>
  <c r="N7"/>
  <c r="K72"/>
  <c r="K66"/>
  <c r="K61"/>
  <c r="L51"/>
  <c r="K51"/>
  <c r="L41"/>
  <c r="K41"/>
  <c r="L36"/>
  <c r="K36"/>
  <c r="K13"/>
  <c r="L7"/>
  <c r="K7"/>
  <c r="I72"/>
  <c r="H72"/>
  <c r="H66"/>
  <c r="H61"/>
  <c r="H51"/>
  <c r="H41"/>
  <c r="H36"/>
  <c r="H28"/>
  <c r="H13"/>
  <c r="H7"/>
  <c r="E72"/>
  <c r="E66"/>
  <c r="E61"/>
  <c r="F51"/>
  <c r="E51"/>
  <c r="F41"/>
  <c r="E41"/>
  <c r="F36"/>
  <c r="E36"/>
  <c r="F28"/>
  <c r="E28"/>
  <c r="E13"/>
  <c r="E7"/>
  <c r="S3"/>
  <c r="U3" s="1"/>
  <c r="R3"/>
  <c r="O3"/>
  <c r="L3"/>
  <c r="I3"/>
  <c r="F3"/>
  <c r="P1"/>
  <c r="U2" s="1"/>
  <c r="O13" i="73" l="1"/>
  <c r="L13" i="72"/>
  <c r="I19" i="74"/>
  <c r="U67" i="73"/>
  <c r="S31"/>
  <c r="R28" i="72"/>
  <c r="R73" s="1"/>
  <c r="O36"/>
  <c r="I36"/>
  <c r="S48" i="73"/>
  <c r="S13" i="72"/>
  <c r="U36"/>
  <c r="S36"/>
  <c r="U26" i="73"/>
  <c r="U75" s="1"/>
  <c r="S61" i="72"/>
  <c r="S43" i="73"/>
  <c r="S67"/>
  <c r="T6" i="74"/>
  <c r="T8"/>
  <c r="T11"/>
  <c r="T13"/>
  <c r="T15"/>
  <c r="T16" s="1"/>
  <c r="T18"/>
  <c r="V18" s="1"/>
  <c r="T20"/>
  <c r="T21" s="1"/>
  <c r="T22"/>
  <c r="T23"/>
  <c r="T25"/>
  <c r="T27"/>
  <c r="T29"/>
  <c r="V29" s="1"/>
  <c r="T32"/>
  <c r="V32" s="1"/>
  <c r="T35"/>
  <c r="V35" s="1"/>
  <c r="T37"/>
  <c r="V37" s="1"/>
  <c r="T39"/>
  <c r="V39" s="1"/>
  <c r="T41"/>
  <c r="V41" s="1"/>
  <c r="T43"/>
  <c r="V43" s="1"/>
  <c r="T45"/>
  <c r="T47"/>
  <c r="E55"/>
  <c r="T49"/>
  <c r="V49" s="1"/>
  <c r="T3" i="72"/>
  <c r="T6"/>
  <c r="T7" s="1"/>
  <c r="T8"/>
  <c r="T9"/>
  <c r="T10"/>
  <c r="T11"/>
  <c r="T12"/>
  <c r="T14"/>
  <c r="T15"/>
  <c r="T16"/>
  <c r="T17"/>
  <c r="T27"/>
  <c r="T29"/>
  <c r="V29" s="1"/>
  <c r="T30"/>
  <c r="V30" s="1"/>
  <c r="T31"/>
  <c r="T32"/>
  <c r="E75" i="73"/>
  <c r="S14" i="74"/>
  <c r="E73" i="72"/>
  <c r="S28"/>
  <c r="T43"/>
  <c r="V43" s="1"/>
  <c r="T49"/>
  <c r="V49" s="1"/>
  <c r="T60"/>
  <c r="V60" s="1"/>
  <c r="T67"/>
  <c r="T68"/>
  <c r="T69"/>
  <c r="T71"/>
  <c r="K75" i="73"/>
  <c r="T9"/>
  <c r="V9" s="1"/>
  <c r="T11"/>
  <c r="V11" s="1"/>
  <c r="T15"/>
  <c r="V15" s="1"/>
  <c r="T17"/>
  <c r="V17" s="1"/>
  <c r="T27"/>
  <c r="V27" s="1"/>
  <c r="T29"/>
  <c r="V29" s="1"/>
  <c r="T44"/>
  <c r="V44" s="1"/>
  <c r="T46"/>
  <c r="T50"/>
  <c r="V50" s="1"/>
  <c r="T52"/>
  <c r="V52" s="1"/>
  <c r="T57"/>
  <c r="V57" s="1"/>
  <c r="T59"/>
  <c r="V59" s="1"/>
  <c r="T61"/>
  <c r="T63"/>
  <c r="V63" s="1"/>
  <c r="T65"/>
  <c r="V65" s="1"/>
  <c r="T68"/>
  <c r="V68" s="1"/>
  <c r="T70"/>
  <c r="V70" s="1"/>
  <c r="T72"/>
  <c r="V72" s="1"/>
  <c r="S19" i="74"/>
  <c r="O41" i="72"/>
  <c r="T51" i="74"/>
  <c r="T47" i="72"/>
  <c r="V47" s="1"/>
  <c r="T45"/>
  <c r="V45" s="1"/>
  <c r="S51"/>
  <c r="O188" i="56"/>
  <c r="U51" i="72"/>
  <c r="T65"/>
  <c r="T63"/>
  <c r="Q73"/>
  <c r="N73"/>
  <c r="K73"/>
  <c r="U66"/>
  <c r="S72"/>
  <c r="U61"/>
  <c r="T54"/>
  <c r="V54" s="1"/>
  <c r="H73"/>
  <c r="S7"/>
  <c r="R56" i="73"/>
  <c r="T7" i="74"/>
  <c r="V7" s="1"/>
  <c r="T12"/>
  <c r="V12" s="1"/>
  <c r="V15"/>
  <c r="V16" s="1"/>
  <c r="T17"/>
  <c r="V20"/>
  <c r="V21" s="1"/>
  <c r="V22"/>
  <c r="V23"/>
  <c r="V25"/>
  <c r="T26"/>
  <c r="V26" s="1"/>
  <c r="R30"/>
  <c r="V27"/>
  <c r="T28"/>
  <c r="V28" s="1"/>
  <c r="T31"/>
  <c r="T33" s="1"/>
  <c r="T34"/>
  <c r="V34" s="1"/>
  <c r="T36"/>
  <c r="V36" s="1"/>
  <c r="T38"/>
  <c r="V38" s="1"/>
  <c r="T42"/>
  <c r="V42" s="1"/>
  <c r="R44"/>
  <c r="L54"/>
  <c r="R54"/>
  <c r="T48"/>
  <c r="V48" s="1"/>
  <c r="T50"/>
  <c r="V50" s="1"/>
  <c r="T53"/>
  <c r="V53" s="1"/>
  <c r="T82" i="59"/>
  <c r="V82" s="1"/>
  <c r="T84"/>
  <c r="V84" s="1"/>
  <c r="T35" i="72"/>
  <c r="T37"/>
  <c r="V37" s="1"/>
  <c r="T38"/>
  <c r="T39"/>
  <c r="V39" s="1"/>
  <c r="T40"/>
  <c r="T42"/>
  <c r="V42" s="1"/>
  <c r="T44"/>
  <c r="T46"/>
  <c r="T48"/>
  <c r="T50"/>
  <c r="T53"/>
  <c r="V53" s="1"/>
  <c r="O61"/>
  <c r="O73" s="1"/>
  <c r="T55"/>
  <c r="V55" s="1"/>
  <c r="T56"/>
  <c r="V56" s="1"/>
  <c r="T62"/>
  <c r="V62" s="1"/>
  <c r="T64"/>
  <c r="V64" s="1"/>
  <c r="T3" i="73"/>
  <c r="V3" s="1"/>
  <c r="T6"/>
  <c r="T7" s="1"/>
  <c r="T8"/>
  <c r="T10"/>
  <c r="V10" s="1"/>
  <c r="T12"/>
  <c r="T14"/>
  <c r="V14" s="1"/>
  <c r="T16"/>
  <c r="T25"/>
  <c r="V25" s="1"/>
  <c r="T28"/>
  <c r="V28" s="1"/>
  <c r="T30"/>
  <c r="V30" s="1"/>
  <c r="T32"/>
  <c r="V32" s="1"/>
  <c r="T33"/>
  <c r="V33" s="1"/>
  <c r="T34"/>
  <c r="V34" s="1"/>
  <c r="T35"/>
  <c r="V35" s="1"/>
  <c r="T36"/>
  <c r="V36" s="1"/>
  <c r="T37"/>
  <c r="V37" s="1"/>
  <c r="T42"/>
  <c r="V42" s="1"/>
  <c r="T45"/>
  <c r="V45" s="1"/>
  <c r="T47"/>
  <c r="V47" s="1"/>
  <c r="T49"/>
  <c r="V49" s="1"/>
  <c r="T51"/>
  <c r="V51" s="1"/>
  <c r="T55"/>
  <c r="V55" s="1"/>
  <c r="T58"/>
  <c r="O67"/>
  <c r="O75" s="1"/>
  <c r="T60"/>
  <c r="V60" s="1"/>
  <c r="T62"/>
  <c r="V62" s="1"/>
  <c r="T64"/>
  <c r="V64" s="1"/>
  <c r="T66"/>
  <c r="V66" s="1"/>
  <c r="T69"/>
  <c r="V69" s="1"/>
  <c r="T71"/>
  <c r="V71" s="1"/>
  <c r="T73"/>
  <c r="V73" s="1"/>
  <c r="T9" i="74"/>
  <c r="O14"/>
  <c r="O19"/>
  <c r="O40"/>
  <c r="T188" i="56"/>
  <c r="T192"/>
  <c r="V192" s="1"/>
  <c r="T190"/>
  <c r="V190" s="1"/>
  <c r="T189"/>
  <c r="T191"/>
  <c r="V191" s="1"/>
  <c r="V189"/>
  <c r="V188"/>
  <c r="T83" i="59"/>
  <c r="V83" s="1"/>
  <c r="V45" i="74"/>
  <c r="V47"/>
  <c r="V51"/>
  <c r="U45"/>
  <c r="U54" s="1"/>
  <c r="T46"/>
  <c r="S44"/>
  <c r="I40"/>
  <c r="F33"/>
  <c r="F55" s="1"/>
  <c r="I33"/>
  <c r="L33"/>
  <c r="L30"/>
  <c r="S30"/>
  <c r="S21"/>
  <c r="H55"/>
  <c r="N55"/>
  <c r="K55"/>
  <c r="Q55"/>
  <c r="S16"/>
  <c r="V11"/>
  <c r="V13"/>
  <c r="T10"/>
  <c r="I14"/>
  <c r="V6"/>
  <c r="V8"/>
  <c r="S9"/>
  <c r="T3"/>
  <c r="V3" s="1"/>
  <c r="V61" i="73"/>
  <c r="F67"/>
  <c r="F75" s="1"/>
  <c r="H75"/>
  <c r="I67"/>
  <c r="N75"/>
  <c r="I56"/>
  <c r="L56"/>
  <c r="L75" s="1"/>
  <c r="S56"/>
  <c r="V46"/>
  <c r="Q75"/>
  <c r="R75"/>
  <c r="V16"/>
  <c r="S26"/>
  <c r="V8"/>
  <c r="V12"/>
  <c r="S13"/>
  <c r="S7"/>
  <c r="V67" i="72"/>
  <c r="V68"/>
  <c r="V69"/>
  <c r="V71"/>
  <c r="V63"/>
  <c r="V65"/>
  <c r="L66"/>
  <c r="L73" s="1"/>
  <c r="S66"/>
  <c r="T52"/>
  <c r="F61"/>
  <c r="F73" s="1"/>
  <c r="I61"/>
  <c r="I73" s="1"/>
  <c r="V44"/>
  <c r="V46"/>
  <c r="V48"/>
  <c r="V50"/>
  <c r="V38"/>
  <c r="V40"/>
  <c r="V31"/>
  <c r="V32"/>
  <c r="V35"/>
  <c r="V14"/>
  <c r="V15"/>
  <c r="V16"/>
  <c r="V17"/>
  <c r="V27"/>
  <c r="V8"/>
  <c r="V9"/>
  <c r="V10"/>
  <c r="V11"/>
  <c r="V12"/>
  <c r="V6"/>
  <c r="V7" s="1"/>
  <c r="V3"/>
  <c r="O63" i="71"/>
  <c r="O64"/>
  <c r="F34"/>
  <c r="S75"/>
  <c r="U75" s="1"/>
  <c r="R75"/>
  <c r="O75"/>
  <c r="L75"/>
  <c r="I75"/>
  <c r="F75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S67"/>
  <c r="U67" s="1"/>
  <c r="U76" s="1"/>
  <c r="R67"/>
  <c r="R76" s="1"/>
  <c r="O67"/>
  <c r="O76" s="1"/>
  <c r="L67"/>
  <c r="I67"/>
  <c r="I76" s="1"/>
  <c r="F67"/>
  <c r="S65"/>
  <c r="U65" s="1"/>
  <c r="R65"/>
  <c r="O65"/>
  <c r="L65"/>
  <c r="I65"/>
  <c r="F65"/>
  <c r="S64"/>
  <c r="U64" s="1"/>
  <c r="R64"/>
  <c r="L64"/>
  <c r="I64"/>
  <c r="F64"/>
  <c r="S63"/>
  <c r="U63" s="1"/>
  <c r="R63"/>
  <c r="L63"/>
  <c r="I63"/>
  <c r="F63"/>
  <c r="S61"/>
  <c r="U61" s="1"/>
  <c r="R61"/>
  <c r="O61"/>
  <c r="L61"/>
  <c r="I61"/>
  <c r="F61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U62" s="1"/>
  <c r="R54"/>
  <c r="O54"/>
  <c r="L54"/>
  <c r="I54"/>
  <c r="F54"/>
  <c r="S52"/>
  <c r="U52" s="1"/>
  <c r="R52"/>
  <c r="O52"/>
  <c r="L52"/>
  <c r="I52"/>
  <c r="F52"/>
  <c r="S51"/>
  <c r="U51" s="1"/>
  <c r="R51"/>
  <c r="O51"/>
  <c r="L51"/>
  <c r="L53" s="1"/>
  <c r="I51"/>
  <c r="F51"/>
  <c r="F53" s="1"/>
  <c r="S49"/>
  <c r="U49" s="1"/>
  <c r="R49"/>
  <c r="O49"/>
  <c r="L49"/>
  <c r="I49"/>
  <c r="F49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U37"/>
  <c r="U50" s="1"/>
  <c r="R37"/>
  <c r="O37"/>
  <c r="O50" s="1"/>
  <c r="L37"/>
  <c r="L50" s="1"/>
  <c r="I37"/>
  <c r="I50" s="1"/>
  <c r="F37"/>
  <c r="F50" s="1"/>
  <c r="S35"/>
  <c r="U35" s="1"/>
  <c r="R35"/>
  <c r="O35"/>
  <c r="L35"/>
  <c r="I35"/>
  <c r="F35"/>
  <c r="S34"/>
  <c r="U34" s="1"/>
  <c r="U36" s="1"/>
  <c r="R34"/>
  <c r="R36" s="1"/>
  <c r="O34"/>
  <c r="O36" s="1"/>
  <c r="L34"/>
  <c r="I34"/>
  <c r="I36" s="1"/>
  <c r="S30"/>
  <c r="U30" s="1"/>
  <c r="U33" s="1"/>
  <c r="R30"/>
  <c r="O30"/>
  <c r="O33" s="1"/>
  <c r="L30"/>
  <c r="L33" s="1"/>
  <c r="I30"/>
  <c r="I33" s="1"/>
  <c r="F30"/>
  <c r="S28"/>
  <c r="U28" s="1"/>
  <c r="R28"/>
  <c r="O28"/>
  <c r="L28"/>
  <c r="I28"/>
  <c r="F28"/>
  <c r="S27"/>
  <c r="U27" s="1"/>
  <c r="R27"/>
  <c r="O27"/>
  <c r="L27"/>
  <c r="I27"/>
  <c r="F27"/>
  <c r="S26"/>
  <c r="U26" s="1"/>
  <c r="U29" s="1"/>
  <c r="R26"/>
  <c r="R29" s="1"/>
  <c r="O26"/>
  <c r="O29" s="1"/>
  <c r="L26"/>
  <c r="L29" s="1"/>
  <c r="I26"/>
  <c r="F26"/>
  <c r="S22"/>
  <c r="R22"/>
  <c r="R25" s="1"/>
  <c r="O22"/>
  <c r="O25" s="1"/>
  <c r="L22"/>
  <c r="L25" s="1"/>
  <c r="I22"/>
  <c r="I25" s="1"/>
  <c r="F22"/>
  <c r="F25" s="1"/>
  <c r="S20"/>
  <c r="U20" s="1"/>
  <c r="R20"/>
  <c r="O20"/>
  <c r="L20"/>
  <c r="I20"/>
  <c r="F20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U21" s="1"/>
  <c r="R10"/>
  <c r="R21" s="1"/>
  <c r="O10"/>
  <c r="L10"/>
  <c r="I10"/>
  <c r="F10"/>
  <c r="S8"/>
  <c r="U8" s="1"/>
  <c r="R8"/>
  <c r="O8"/>
  <c r="L8"/>
  <c r="I8"/>
  <c r="F8"/>
  <c r="S7"/>
  <c r="U7" s="1"/>
  <c r="R7"/>
  <c r="O7"/>
  <c r="L7"/>
  <c r="I7"/>
  <c r="F7"/>
  <c r="S6"/>
  <c r="U6" s="1"/>
  <c r="U9" s="1"/>
  <c r="R6"/>
  <c r="R9" s="1"/>
  <c r="O6"/>
  <c r="O9" s="1"/>
  <c r="L6"/>
  <c r="L9" s="1"/>
  <c r="I6"/>
  <c r="I9" s="1"/>
  <c r="F6"/>
  <c r="F9" s="1"/>
  <c r="S62"/>
  <c r="Q66"/>
  <c r="R62"/>
  <c r="Q62"/>
  <c r="R53"/>
  <c r="Q53"/>
  <c r="R50"/>
  <c r="Q50"/>
  <c r="Q36"/>
  <c r="R33"/>
  <c r="Q33"/>
  <c r="Q21"/>
  <c r="Q9"/>
  <c r="N76"/>
  <c r="N66"/>
  <c r="N62"/>
  <c r="N53"/>
  <c r="N36"/>
  <c r="N33"/>
  <c r="N29"/>
  <c r="N21"/>
  <c r="N9"/>
  <c r="L76"/>
  <c r="K76"/>
  <c r="K66"/>
  <c r="K62"/>
  <c r="K53"/>
  <c r="K36"/>
  <c r="K33"/>
  <c r="K29"/>
  <c r="K21"/>
  <c r="K9"/>
  <c r="H76"/>
  <c r="H66"/>
  <c r="H62"/>
  <c r="H53"/>
  <c r="H36"/>
  <c r="H33"/>
  <c r="H29"/>
  <c r="H21"/>
  <c r="H9"/>
  <c r="F76"/>
  <c r="E76"/>
  <c r="E66"/>
  <c r="E53"/>
  <c r="E36"/>
  <c r="E33"/>
  <c r="E29"/>
  <c r="E21"/>
  <c r="E9"/>
  <c r="S3"/>
  <c r="U3" s="1"/>
  <c r="R3"/>
  <c r="O3"/>
  <c r="L3"/>
  <c r="I3"/>
  <c r="F3"/>
  <c r="P1"/>
  <c r="U2" s="1"/>
  <c r="V74" i="73" l="1"/>
  <c r="T14" i="74"/>
  <c r="R66" i="71"/>
  <c r="S76"/>
  <c r="I55" i="74"/>
  <c r="T30"/>
  <c r="T44"/>
  <c r="U22" i="71"/>
  <c r="U25" s="1"/>
  <c r="S25"/>
  <c r="F62"/>
  <c r="L62"/>
  <c r="I62"/>
  <c r="O62"/>
  <c r="S73" i="72"/>
  <c r="T56" i="73"/>
  <c r="O55" i="74"/>
  <c r="S21" i="71"/>
  <c r="L55" i="74"/>
  <c r="R55"/>
  <c r="T24"/>
  <c r="S50" i="71"/>
  <c r="T48" i="73"/>
  <c r="T54" i="74"/>
  <c r="T36" i="72"/>
  <c r="T19" i="74"/>
  <c r="T13" i="72"/>
  <c r="T28"/>
  <c r="E77" i="71"/>
  <c r="Q77"/>
  <c r="T7"/>
  <c r="V7" s="1"/>
  <c r="T10"/>
  <c r="V10" s="1"/>
  <c r="T12"/>
  <c r="V12" s="1"/>
  <c r="T14"/>
  <c r="V14" s="1"/>
  <c r="T27"/>
  <c r="V27" s="1"/>
  <c r="T34"/>
  <c r="V34" s="1"/>
  <c r="T39"/>
  <c r="V39" s="1"/>
  <c r="T54"/>
  <c r="V54" s="1"/>
  <c r="T56"/>
  <c r="V56" s="1"/>
  <c r="T58"/>
  <c r="V58" s="1"/>
  <c r="F36"/>
  <c r="O66"/>
  <c r="I75" i="73"/>
  <c r="S55" i="74"/>
  <c r="T67" i="73"/>
  <c r="V31"/>
  <c r="V31" i="74"/>
  <c r="V33" s="1"/>
  <c r="V24"/>
  <c r="V17"/>
  <c r="V19" s="1"/>
  <c r="T72" i="72"/>
  <c r="U73"/>
  <c r="T61"/>
  <c r="U66" i="71"/>
  <c r="T73"/>
  <c r="V73" s="1"/>
  <c r="T71"/>
  <c r="V71" s="1"/>
  <c r="T69"/>
  <c r="V69" s="1"/>
  <c r="N77"/>
  <c r="T41"/>
  <c r="V41" s="1"/>
  <c r="T37"/>
  <c r="V37" s="1"/>
  <c r="S36"/>
  <c r="T67"/>
  <c r="V67" s="1"/>
  <c r="T66" i="72"/>
  <c r="V56" i="73"/>
  <c r="V40" i="74"/>
  <c r="T3" i="71"/>
  <c r="V3" s="1"/>
  <c r="H77"/>
  <c r="T6"/>
  <c r="V6" s="1"/>
  <c r="T8"/>
  <c r="V8" s="1"/>
  <c r="T11"/>
  <c r="V11" s="1"/>
  <c r="O21"/>
  <c r="T13"/>
  <c r="V13" s="1"/>
  <c r="T20"/>
  <c r="V20" s="1"/>
  <c r="T22"/>
  <c r="T25" s="1"/>
  <c r="T26"/>
  <c r="V26" s="1"/>
  <c r="T28"/>
  <c r="V28" s="1"/>
  <c r="T30"/>
  <c r="T33" s="1"/>
  <c r="T35"/>
  <c r="V35" s="1"/>
  <c r="V36" s="1"/>
  <c r="T38"/>
  <c r="V38" s="1"/>
  <c r="T40"/>
  <c r="V40" s="1"/>
  <c r="T49"/>
  <c r="V49" s="1"/>
  <c r="O53"/>
  <c r="T55"/>
  <c r="V55" s="1"/>
  <c r="T57"/>
  <c r="V57" s="1"/>
  <c r="T61"/>
  <c r="V61" s="1"/>
  <c r="T63"/>
  <c r="V63" s="1"/>
  <c r="T64"/>
  <c r="V64" s="1"/>
  <c r="T65"/>
  <c r="T68"/>
  <c r="V68" s="1"/>
  <c r="T70"/>
  <c r="T72"/>
  <c r="V72" s="1"/>
  <c r="T75"/>
  <c r="V75" s="1"/>
  <c r="V66" i="72"/>
  <c r="V48" i="73"/>
  <c r="V46" i="74"/>
  <c r="V54" s="1"/>
  <c r="T26" i="73"/>
  <c r="T51" i="72"/>
  <c r="T41"/>
  <c r="T74" i="73"/>
  <c r="V58"/>
  <c r="V67" s="1"/>
  <c r="T31"/>
  <c r="K77" i="71"/>
  <c r="F21"/>
  <c r="F29"/>
  <c r="V9" i="74"/>
  <c r="T43" i="73"/>
  <c r="T13"/>
  <c r="V44" i="74"/>
  <c r="T40"/>
  <c r="V30"/>
  <c r="V6" i="73"/>
  <c r="V7" s="1"/>
  <c r="T52" i="71"/>
  <c r="V52" s="1"/>
  <c r="I53"/>
  <c r="R77"/>
  <c r="S53"/>
  <c r="U53"/>
  <c r="T51"/>
  <c r="U55" i="74"/>
  <c r="V10"/>
  <c r="V14" s="1"/>
  <c r="S75" i="73"/>
  <c r="V43"/>
  <c r="V26"/>
  <c r="V13"/>
  <c r="V72" i="72"/>
  <c r="V52"/>
  <c r="V61" s="1"/>
  <c r="V51"/>
  <c r="V41"/>
  <c r="V36"/>
  <c r="V28"/>
  <c r="V13"/>
  <c r="F33" i="71"/>
  <c r="V65"/>
  <c r="F66"/>
  <c r="I66"/>
  <c r="L66"/>
  <c r="S66"/>
  <c r="L36"/>
  <c r="S33"/>
  <c r="I29"/>
  <c r="S29"/>
  <c r="I21"/>
  <c r="L21"/>
  <c r="S9"/>
  <c r="T36" l="1"/>
  <c r="T55" i="74"/>
  <c r="V22" i="71"/>
  <c r="V25" s="1"/>
  <c r="V62"/>
  <c r="U77"/>
  <c r="T62"/>
  <c r="F77"/>
  <c r="V9"/>
  <c r="T29"/>
  <c r="V21"/>
  <c r="T75" i="73"/>
  <c r="V29" i="71"/>
  <c r="T21"/>
  <c r="T9"/>
  <c r="L77"/>
  <c r="T50"/>
  <c r="V50"/>
  <c r="S77"/>
  <c r="T53"/>
  <c r="V51"/>
  <c r="V53" s="1"/>
  <c r="O77"/>
  <c r="T76"/>
  <c r="T73" i="72"/>
  <c r="V73"/>
  <c r="I77" i="71"/>
  <c r="V66"/>
  <c r="V30"/>
  <c r="V33" s="1"/>
  <c r="V70"/>
  <c r="V76" s="1"/>
  <c r="T66"/>
  <c r="V55" i="74"/>
  <c r="V75" i="73"/>
  <c r="S153" i="70"/>
  <c r="U153" s="1"/>
  <c r="R153"/>
  <c r="O153"/>
  <c r="L153"/>
  <c r="I153"/>
  <c r="F153"/>
  <c r="S152"/>
  <c r="U152" s="1"/>
  <c r="R152"/>
  <c r="O152"/>
  <c r="L152"/>
  <c r="I152"/>
  <c r="F152"/>
  <c r="S151"/>
  <c r="U151" s="1"/>
  <c r="R151"/>
  <c r="O151"/>
  <c r="L151"/>
  <c r="I151"/>
  <c r="F151"/>
  <c r="S150"/>
  <c r="U150" s="1"/>
  <c r="U154" s="1"/>
  <c r="R150"/>
  <c r="R154" s="1"/>
  <c r="O150"/>
  <c r="O154" s="1"/>
  <c r="L150"/>
  <c r="L154" s="1"/>
  <c r="I150"/>
  <c r="I154" s="1"/>
  <c r="F150"/>
  <c r="F154" s="1"/>
  <c r="Q154"/>
  <c r="N154"/>
  <c r="K154"/>
  <c r="H154"/>
  <c r="E154"/>
  <c r="S3"/>
  <c r="U3" s="1"/>
  <c r="R3"/>
  <c r="O3"/>
  <c r="L3"/>
  <c r="I3"/>
  <c r="F3"/>
  <c r="P1"/>
  <c r="U2" s="1"/>
  <c r="T151" l="1"/>
  <c r="T153"/>
  <c r="V153" s="1"/>
  <c r="T3"/>
  <c r="V3" s="1"/>
  <c r="T77" i="71"/>
  <c r="S154" i="70"/>
  <c r="T150"/>
  <c r="V151"/>
  <c r="T152"/>
  <c r="V152" s="1"/>
  <c r="V77" i="71"/>
  <c r="S108" i="69"/>
  <c r="U108" s="1"/>
  <c r="R108"/>
  <c r="O108"/>
  <c r="L108"/>
  <c r="I108"/>
  <c r="F108"/>
  <c r="S107"/>
  <c r="U107" s="1"/>
  <c r="R107"/>
  <c r="R109" s="1"/>
  <c r="O107"/>
  <c r="O109" s="1"/>
  <c r="L107"/>
  <c r="I107"/>
  <c r="F107"/>
  <c r="F109" s="1"/>
  <c r="U109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U125" s="1"/>
  <c r="R118"/>
  <c r="R125" s="1"/>
  <c r="O118"/>
  <c r="O125" s="1"/>
  <c r="L118"/>
  <c r="I118"/>
  <c r="F118"/>
  <c r="F125" s="1"/>
  <c r="S105"/>
  <c r="U105" s="1"/>
  <c r="R105"/>
  <c r="O105"/>
  <c r="L105"/>
  <c r="I105"/>
  <c r="F105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100"/>
  <c r="U100" s="1"/>
  <c r="U106" s="1"/>
  <c r="R100"/>
  <c r="R106" s="1"/>
  <c r="O100"/>
  <c r="O106" s="1"/>
  <c r="L100"/>
  <c r="I100"/>
  <c r="F100"/>
  <c r="F106" s="1"/>
  <c r="S98"/>
  <c r="U98" s="1"/>
  <c r="R98"/>
  <c r="O98"/>
  <c r="L98"/>
  <c r="I98"/>
  <c r="F98"/>
  <c r="S96"/>
  <c r="U96" s="1"/>
  <c r="U99" s="1"/>
  <c r="R96"/>
  <c r="R99" s="1"/>
  <c r="O96"/>
  <c r="O99" s="1"/>
  <c r="L96"/>
  <c r="I96"/>
  <c r="F96"/>
  <c r="F99" s="1"/>
  <c r="S94"/>
  <c r="U94" s="1"/>
  <c r="R94"/>
  <c r="O94"/>
  <c r="L94"/>
  <c r="I94"/>
  <c r="F94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U95" s="1"/>
  <c r="R88"/>
  <c r="R95" s="1"/>
  <c r="O88"/>
  <c r="O95" s="1"/>
  <c r="L88"/>
  <c r="I88"/>
  <c r="F88"/>
  <c r="F95" s="1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U139" s="1"/>
  <c r="R133"/>
  <c r="R139" s="1"/>
  <c r="O133"/>
  <c r="L133"/>
  <c r="I133"/>
  <c r="F133"/>
  <c r="F139" s="1"/>
  <c r="S86"/>
  <c r="U86" s="1"/>
  <c r="R86"/>
  <c r="O86"/>
  <c r="L86"/>
  <c r="I86"/>
  <c r="F86"/>
  <c r="S85"/>
  <c r="U85" s="1"/>
  <c r="R85"/>
  <c r="O85"/>
  <c r="L85"/>
  <c r="I85"/>
  <c r="F85"/>
  <c r="S84"/>
  <c r="U84" s="1"/>
  <c r="U87" s="1"/>
  <c r="R84"/>
  <c r="R87" s="1"/>
  <c r="O84"/>
  <c r="L84"/>
  <c r="I84"/>
  <c r="F84"/>
  <c r="F87" s="1"/>
  <c r="S82"/>
  <c r="U82" s="1"/>
  <c r="R82"/>
  <c r="O82"/>
  <c r="L82"/>
  <c r="I82"/>
  <c r="F82"/>
  <c r="S76"/>
  <c r="R76"/>
  <c r="R83" s="1"/>
  <c r="O76"/>
  <c r="L76"/>
  <c r="I76"/>
  <c r="F76"/>
  <c r="F83" s="1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U132" s="1"/>
  <c r="R126"/>
  <c r="O126"/>
  <c r="O132" s="1"/>
  <c r="L126"/>
  <c r="I126"/>
  <c r="F126"/>
  <c r="S70"/>
  <c r="R70"/>
  <c r="R75" s="1"/>
  <c r="O70"/>
  <c r="O75" s="1"/>
  <c r="L70"/>
  <c r="L75" s="1"/>
  <c r="I70"/>
  <c r="I75" s="1"/>
  <c r="F70"/>
  <c r="F75" s="1"/>
  <c r="S68"/>
  <c r="U68" s="1"/>
  <c r="R68"/>
  <c r="O68"/>
  <c r="L68"/>
  <c r="I68"/>
  <c r="F68"/>
  <c r="S66"/>
  <c r="U66" s="1"/>
  <c r="U69" s="1"/>
  <c r="R66"/>
  <c r="O66"/>
  <c r="O69" s="1"/>
  <c r="L66"/>
  <c r="I66"/>
  <c r="F66"/>
  <c r="F69" s="1"/>
  <c r="S64"/>
  <c r="U64" s="1"/>
  <c r="R64"/>
  <c r="O64"/>
  <c r="L64"/>
  <c r="I64"/>
  <c r="F64"/>
  <c r="S57"/>
  <c r="U57" s="1"/>
  <c r="U65" s="1"/>
  <c r="R57"/>
  <c r="O57"/>
  <c r="L57"/>
  <c r="I57"/>
  <c r="I65" s="1"/>
  <c r="F57"/>
  <c r="F65" s="1"/>
  <c r="S55"/>
  <c r="U55" s="1"/>
  <c r="R55"/>
  <c r="O55"/>
  <c r="L55"/>
  <c r="I55"/>
  <c r="F55"/>
  <c r="S47"/>
  <c r="U47" s="1"/>
  <c r="R47"/>
  <c r="O47"/>
  <c r="L47"/>
  <c r="I47"/>
  <c r="F47"/>
  <c r="S46"/>
  <c r="U46" s="1"/>
  <c r="U56" s="1"/>
  <c r="R46"/>
  <c r="O46"/>
  <c r="L46"/>
  <c r="I46"/>
  <c r="I56" s="1"/>
  <c r="F46"/>
  <c r="F56" s="1"/>
  <c r="S149"/>
  <c r="U149" s="1"/>
  <c r="R149"/>
  <c r="O149"/>
  <c r="L149"/>
  <c r="I149"/>
  <c r="F149"/>
  <c r="S148"/>
  <c r="U148" s="1"/>
  <c r="R148"/>
  <c r="O148"/>
  <c r="L148"/>
  <c r="I148"/>
  <c r="F148"/>
  <c r="S147"/>
  <c r="U147" s="1"/>
  <c r="U150" s="1"/>
  <c r="R147"/>
  <c r="O147"/>
  <c r="O150" s="1"/>
  <c r="L147"/>
  <c r="I147"/>
  <c r="I150" s="1"/>
  <c r="F147"/>
  <c r="F150" s="1"/>
  <c r="S145"/>
  <c r="U145" s="1"/>
  <c r="U146" s="1"/>
  <c r="R145"/>
  <c r="O145"/>
  <c r="O146" s="1"/>
  <c r="L145"/>
  <c r="I145"/>
  <c r="I146" s="1"/>
  <c r="F145"/>
  <c r="F146" s="1"/>
  <c r="S44"/>
  <c r="U44" s="1"/>
  <c r="R44"/>
  <c r="O44"/>
  <c r="O45" s="1"/>
  <c r="L44"/>
  <c r="I44"/>
  <c r="I45" s="1"/>
  <c r="F44"/>
  <c r="F45" s="1"/>
  <c r="U45"/>
  <c r="S42"/>
  <c r="U42" s="1"/>
  <c r="R42"/>
  <c r="O42"/>
  <c r="L42"/>
  <c r="I42"/>
  <c r="F42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U43" s="1"/>
  <c r="R28"/>
  <c r="O28"/>
  <c r="O43" s="1"/>
  <c r="L28"/>
  <c r="I28"/>
  <c r="F28"/>
  <c r="S26"/>
  <c r="U26" s="1"/>
  <c r="R26"/>
  <c r="O26"/>
  <c r="L26"/>
  <c r="I26"/>
  <c r="F26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U27" s="1"/>
  <c r="R12"/>
  <c r="R27" s="1"/>
  <c r="O12"/>
  <c r="L12"/>
  <c r="I12"/>
  <c r="I27" s="1"/>
  <c r="F12"/>
  <c r="F27" s="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R6"/>
  <c r="R11" s="1"/>
  <c r="O6"/>
  <c r="O11" s="1"/>
  <c r="L6"/>
  <c r="I6"/>
  <c r="F6"/>
  <c r="F11" s="1"/>
  <c r="U11"/>
  <c r="S3"/>
  <c r="U3" s="1"/>
  <c r="S109"/>
  <c r="S125"/>
  <c r="S99"/>
  <c r="S139"/>
  <c r="S132"/>
  <c r="S56"/>
  <c r="S43"/>
  <c r="Q109"/>
  <c r="Q125"/>
  <c r="Q106"/>
  <c r="Q99"/>
  <c r="Q95"/>
  <c r="Q139"/>
  <c r="Q87"/>
  <c r="Q83"/>
  <c r="R132"/>
  <c r="Q132"/>
  <c r="Q69"/>
  <c r="R65"/>
  <c r="Q65"/>
  <c r="R56"/>
  <c r="Q56"/>
  <c r="R150"/>
  <c r="Q150"/>
  <c r="R146"/>
  <c r="Q146"/>
  <c r="R45"/>
  <c r="Q45"/>
  <c r="Q43"/>
  <c r="Q27"/>
  <c r="Q11"/>
  <c r="N109"/>
  <c r="N125"/>
  <c r="N106"/>
  <c r="N99"/>
  <c r="N95"/>
  <c r="O139"/>
  <c r="N139"/>
  <c r="O87"/>
  <c r="N87"/>
  <c r="N83"/>
  <c r="N132"/>
  <c r="N69"/>
  <c r="O65"/>
  <c r="N65"/>
  <c r="O56"/>
  <c r="N56"/>
  <c r="N150"/>
  <c r="N146"/>
  <c r="N45"/>
  <c r="N43"/>
  <c r="N27"/>
  <c r="N11"/>
  <c r="L109"/>
  <c r="K109"/>
  <c r="L125"/>
  <c r="K125"/>
  <c r="L106"/>
  <c r="K106"/>
  <c r="L99"/>
  <c r="K99"/>
  <c r="L95"/>
  <c r="K95"/>
  <c r="L139"/>
  <c r="K139"/>
  <c r="L87"/>
  <c r="K87"/>
  <c r="L83"/>
  <c r="K83"/>
  <c r="L132"/>
  <c r="K132"/>
  <c r="L69"/>
  <c r="K69"/>
  <c r="L65"/>
  <c r="K65"/>
  <c r="L56"/>
  <c r="K56"/>
  <c r="L150"/>
  <c r="K150"/>
  <c r="L146"/>
  <c r="K146"/>
  <c r="L45"/>
  <c r="K45"/>
  <c r="L43"/>
  <c r="K43"/>
  <c r="L27"/>
  <c r="K27"/>
  <c r="L11"/>
  <c r="K11"/>
  <c r="I109"/>
  <c r="H109"/>
  <c r="I125"/>
  <c r="H125"/>
  <c r="I106"/>
  <c r="H106"/>
  <c r="I99"/>
  <c r="H99"/>
  <c r="I95"/>
  <c r="H95"/>
  <c r="I139"/>
  <c r="H139"/>
  <c r="I87"/>
  <c r="H87"/>
  <c r="I83"/>
  <c r="H83"/>
  <c r="I132"/>
  <c r="H132"/>
  <c r="H69"/>
  <c r="H56"/>
  <c r="H150"/>
  <c r="H146"/>
  <c r="H45"/>
  <c r="H43"/>
  <c r="H27"/>
  <c r="H11"/>
  <c r="E109"/>
  <c r="E125"/>
  <c r="E106"/>
  <c r="E99"/>
  <c r="E95"/>
  <c r="E139"/>
  <c r="E87"/>
  <c r="E83"/>
  <c r="F132"/>
  <c r="E132"/>
  <c r="E69"/>
  <c r="E65"/>
  <c r="E56"/>
  <c r="E150"/>
  <c r="E146"/>
  <c r="E45"/>
  <c r="E43"/>
  <c r="E27"/>
  <c r="E11"/>
  <c r="R3"/>
  <c r="O3"/>
  <c r="L3"/>
  <c r="I3"/>
  <c r="F3"/>
  <c r="P1"/>
  <c r="U2" s="1"/>
  <c r="S146" l="1"/>
  <c r="S69"/>
  <c r="S87"/>
  <c r="S95"/>
  <c r="S106"/>
  <c r="O27"/>
  <c r="U70"/>
  <c r="U75" s="1"/>
  <c r="S75"/>
  <c r="T44"/>
  <c r="T45" s="1"/>
  <c r="T147"/>
  <c r="V147" s="1"/>
  <c r="T149"/>
  <c r="V149" s="1"/>
  <c r="T46"/>
  <c r="V46" s="1"/>
  <c r="T47"/>
  <c r="V47" s="1"/>
  <c r="T55"/>
  <c r="V55" s="1"/>
  <c r="T57"/>
  <c r="V57" s="1"/>
  <c r="T64"/>
  <c r="V64" s="1"/>
  <c r="T66"/>
  <c r="V66" s="1"/>
  <c r="T68"/>
  <c r="T126"/>
  <c r="V126" s="1"/>
  <c r="T128"/>
  <c r="V128" s="1"/>
  <c r="T130"/>
  <c r="V130" s="1"/>
  <c r="T76"/>
  <c r="V76" s="1"/>
  <c r="T85"/>
  <c r="V85" s="1"/>
  <c r="T133"/>
  <c r="V133" s="1"/>
  <c r="T134"/>
  <c r="V134" s="1"/>
  <c r="T135"/>
  <c r="V135" s="1"/>
  <c r="T136"/>
  <c r="V136" s="1"/>
  <c r="T137"/>
  <c r="V137" s="1"/>
  <c r="T138"/>
  <c r="V138" s="1"/>
  <c r="T88"/>
  <c r="V88" s="1"/>
  <c r="T90"/>
  <c r="V90" s="1"/>
  <c r="S45"/>
  <c r="S150"/>
  <c r="S65"/>
  <c r="T107"/>
  <c r="V107" s="1"/>
  <c r="T108"/>
  <c r="V108" s="1"/>
  <c r="T154" i="70"/>
  <c r="T6" i="69"/>
  <c r="V6" s="1"/>
  <c r="T8"/>
  <c r="V8" s="1"/>
  <c r="T9"/>
  <c r="V9" s="1"/>
  <c r="T10"/>
  <c r="V10" s="1"/>
  <c r="T12"/>
  <c r="V12" s="1"/>
  <c r="T13"/>
  <c r="V13" s="1"/>
  <c r="T14"/>
  <c r="V14" s="1"/>
  <c r="T15"/>
  <c r="V15" s="1"/>
  <c r="T16"/>
  <c r="V16" s="1"/>
  <c r="T94"/>
  <c r="V94" s="1"/>
  <c r="T96"/>
  <c r="V96" s="1"/>
  <c r="T98"/>
  <c r="V98" s="1"/>
  <c r="T100"/>
  <c r="V100" s="1"/>
  <c r="T101"/>
  <c r="V101" s="1"/>
  <c r="T102"/>
  <c r="V102" s="1"/>
  <c r="T103"/>
  <c r="V103" s="1"/>
  <c r="T104"/>
  <c r="V104" s="1"/>
  <c r="T105"/>
  <c r="V105" s="1"/>
  <c r="T118"/>
  <c r="V118" s="1"/>
  <c r="T119"/>
  <c r="V119" s="1"/>
  <c r="T120"/>
  <c r="V120" s="1"/>
  <c r="T121"/>
  <c r="V121" s="1"/>
  <c r="T122"/>
  <c r="V122" s="1"/>
  <c r="T123"/>
  <c r="V123" s="1"/>
  <c r="T124"/>
  <c r="V124" s="1"/>
  <c r="T17"/>
  <c r="V17" s="1"/>
  <c r="T18"/>
  <c r="V18" s="1"/>
  <c r="T19"/>
  <c r="V19" s="1"/>
  <c r="T20"/>
  <c r="V20" s="1"/>
  <c r="T26"/>
  <c r="V26" s="1"/>
  <c r="T28"/>
  <c r="V28" s="1"/>
  <c r="T30"/>
  <c r="V30" s="1"/>
  <c r="T32"/>
  <c r="V32" s="1"/>
  <c r="T34"/>
  <c r="V34" s="1"/>
  <c r="T3"/>
  <c r="V3" s="1"/>
  <c r="S27"/>
  <c r="I11"/>
  <c r="S11"/>
  <c r="T7"/>
  <c r="V7" s="1"/>
  <c r="T29"/>
  <c r="V29" s="1"/>
  <c r="R43"/>
  <c r="T31"/>
  <c r="V31" s="1"/>
  <c r="T33"/>
  <c r="V33" s="1"/>
  <c r="T42"/>
  <c r="V42" s="1"/>
  <c r="T145"/>
  <c r="T146" s="1"/>
  <c r="T148"/>
  <c r="V148" s="1"/>
  <c r="R69"/>
  <c r="T70"/>
  <c r="T75" s="1"/>
  <c r="T127"/>
  <c r="V127" s="1"/>
  <c r="T129"/>
  <c r="V129" s="1"/>
  <c r="T131"/>
  <c r="V131" s="1"/>
  <c r="T82"/>
  <c r="V82" s="1"/>
  <c r="T84"/>
  <c r="V84" s="1"/>
  <c r="T86"/>
  <c r="V86" s="1"/>
  <c r="T89"/>
  <c r="V89" s="1"/>
  <c r="T91"/>
  <c r="V91" s="1"/>
  <c r="V150" i="70"/>
  <c r="V154" s="1"/>
  <c r="O83" i="69"/>
  <c r="S83"/>
  <c r="U76"/>
  <c r="U83" s="1"/>
  <c r="I69"/>
  <c r="V44"/>
  <c r="F43"/>
  <c r="I43"/>
  <c r="T69" l="1"/>
  <c r="T11"/>
  <c r="V68"/>
  <c r="V70"/>
  <c r="V75" s="1"/>
  <c r="T65"/>
  <c r="T139"/>
  <c r="T56"/>
  <c r="T109"/>
  <c r="T43"/>
  <c r="V109"/>
  <c r="T27"/>
  <c r="T125"/>
  <c r="T106"/>
  <c r="T132"/>
  <c r="T95"/>
  <c r="T99"/>
  <c r="T150"/>
  <c r="V145"/>
  <c r="V146" s="1"/>
  <c r="V43"/>
  <c r="V125"/>
  <c r="V95"/>
  <c r="T87"/>
  <c r="T83"/>
  <c r="V132"/>
  <c r="V56"/>
  <c r="V11"/>
  <c r="V99"/>
  <c r="V87"/>
  <c r="V83"/>
  <c r="V65"/>
  <c r="V106"/>
  <c r="V139"/>
  <c r="V69"/>
  <c r="V150"/>
  <c r="V45"/>
  <c r="V27"/>
  <c r="Q8" i="68" l="1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S8" s="1"/>
  <c r="S9" s="1"/>
  <c r="R6"/>
  <c r="R8" s="1"/>
  <c r="R9" s="1"/>
  <c r="O6"/>
  <c r="O8" s="1"/>
  <c r="O9" s="1"/>
  <c r="L6"/>
  <c r="L8" s="1"/>
  <c r="L9" s="1"/>
  <c r="I6"/>
  <c r="F6"/>
  <c r="S3"/>
  <c r="U3" s="1"/>
  <c r="R3"/>
  <c r="O3"/>
  <c r="L3"/>
  <c r="I3"/>
  <c r="F3"/>
  <c r="P1"/>
  <c r="U2" s="1"/>
  <c r="T3" l="1"/>
  <c r="T7"/>
  <c r="V7" s="1"/>
  <c r="V3"/>
  <c r="T6"/>
  <c r="T8" s="1"/>
  <c r="T9" s="1"/>
  <c r="U6"/>
  <c r="U8" s="1"/>
  <c r="U9" s="1"/>
  <c r="F8"/>
  <c r="F9" s="1"/>
  <c r="I8"/>
  <c r="I9" s="1"/>
  <c r="Q30" i="61"/>
  <c r="N30"/>
  <c r="K30"/>
  <c r="H30"/>
  <c r="E30"/>
  <c r="S29"/>
  <c r="U29" s="1"/>
  <c r="R29"/>
  <c r="O29"/>
  <c r="L29"/>
  <c r="I29"/>
  <c r="F29"/>
  <c r="S28"/>
  <c r="S30" s="1"/>
  <c r="R28"/>
  <c r="R30" s="1"/>
  <c r="O28"/>
  <c r="O30" s="1"/>
  <c r="L28"/>
  <c r="L30" s="1"/>
  <c r="I28"/>
  <c r="F28"/>
  <c r="Q23"/>
  <c r="N23"/>
  <c r="K23"/>
  <c r="H23"/>
  <c r="E23"/>
  <c r="S22"/>
  <c r="U22" s="1"/>
  <c r="R22"/>
  <c r="O22"/>
  <c r="L22"/>
  <c r="I22"/>
  <c r="F22"/>
  <c r="S21"/>
  <c r="U21" s="1"/>
  <c r="R21"/>
  <c r="O21"/>
  <c r="L21"/>
  <c r="I21"/>
  <c r="F21"/>
  <c r="S20"/>
  <c r="S23" s="1"/>
  <c r="R20"/>
  <c r="R23" s="1"/>
  <c r="O20"/>
  <c r="L20"/>
  <c r="L23" s="1"/>
  <c r="I20"/>
  <c r="F20"/>
  <c r="F23" s="1"/>
  <c r="T28" l="1"/>
  <c r="T29"/>
  <c r="T21"/>
  <c r="V21" s="1"/>
  <c r="V6" i="68"/>
  <c r="V8" s="1"/>
  <c r="V9" s="1"/>
  <c r="V28" i="61"/>
  <c r="V29"/>
  <c r="U28"/>
  <c r="U30" s="1"/>
  <c r="F30"/>
  <c r="I30"/>
  <c r="O23"/>
  <c r="T22"/>
  <c r="V22" s="1"/>
  <c r="T20"/>
  <c r="I23"/>
  <c r="U20"/>
  <c r="U23" s="1"/>
  <c r="Q115" i="47"/>
  <c r="N115"/>
  <c r="K115"/>
  <c r="H115"/>
  <c r="E115"/>
  <c r="S114"/>
  <c r="U114" s="1"/>
  <c r="R114"/>
  <c r="O114"/>
  <c r="L114"/>
  <c r="I114"/>
  <c r="F114"/>
  <c r="S113"/>
  <c r="U113" s="1"/>
  <c r="R113"/>
  <c r="O113"/>
  <c r="L113"/>
  <c r="I113"/>
  <c r="F113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87" i="55"/>
  <c r="U87" s="1"/>
  <c r="R87"/>
  <c r="O87"/>
  <c r="L87"/>
  <c r="I87"/>
  <c r="F87"/>
  <c r="S86"/>
  <c r="U86" s="1"/>
  <c r="R86"/>
  <c r="O86"/>
  <c r="L86"/>
  <c r="I86"/>
  <c r="F86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5"/>
  <c r="U85" s="1"/>
  <c r="R85"/>
  <c r="O85"/>
  <c r="L85"/>
  <c r="I85"/>
  <c r="F85"/>
  <c r="H81"/>
  <c r="K154" i="47"/>
  <c r="S151"/>
  <c r="U151" s="1"/>
  <c r="R151"/>
  <c r="O151"/>
  <c r="L151"/>
  <c r="I151"/>
  <c r="F151"/>
  <c r="S123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K125"/>
  <c r="K124"/>
  <c r="H125"/>
  <c r="H124"/>
  <c r="S38" i="59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81"/>
  <c r="U81" s="1"/>
  <c r="R81"/>
  <c r="O81"/>
  <c r="L81"/>
  <c r="I81"/>
  <c r="F81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S76"/>
  <c r="U76" s="1"/>
  <c r="R76"/>
  <c r="O76"/>
  <c r="L76"/>
  <c r="I76"/>
  <c r="F76"/>
  <c r="S75"/>
  <c r="U75" s="1"/>
  <c r="R75"/>
  <c r="O75"/>
  <c r="L75"/>
  <c r="I75"/>
  <c r="F75"/>
  <c r="S26" i="35"/>
  <c r="U26" s="1"/>
  <c r="R26"/>
  <c r="O26"/>
  <c r="L26"/>
  <c r="I26"/>
  <c r="F26"/>
  <c r="S25"/>
  <c r="U25" s="1"/>
  <c r="R25"/>
  <c r="O25"/>
  <c r="L25"/>
  <c r="I25"/>
  <c r="F25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48" i="55"/>
  <c r="U48" s="1"/>
  <c r="R48"/>
  <c r="O48"/>
  <c r="L48"/>
  <c r="I48"/>
  <c r="F48"/>
  <c r="S47"/>
  <c r="U47" s="1"/>
  <c r="R47"/>
  <c r="O47"/>
  <c r="L47"/>
  <c r="I47"/>
  <c r="F47"/>
  <c r="S43" i="59"/>
  <c r="U43" s="1"/>
  <c r="R43"/>
  <c r="O43"/>
  <c r="L43"/>
  <c r="I43"/>
  <c r="F43"/>
  <c r="S209" i="56"/>
  <c r="U209" s="1"/>
  <c r="R209"/>
  <c r="O209"/>
  <c r="L209"/>
  <c r="I209"/>
  <c r="F209"/>
  <c r="S208"/>
  <c r="U208" s="1"/>
  <c r="R208"/>
  <c r="O208"/>
  <c r="L208"/>
  <c r="I208"/>
  <c r="F208"/>
  <c r="S207"/>
  <c r="U207" s="1"/>
  <c r="R207"/>
  <c r="O207"/>
  <c r="L207"/>
  <c r="I207"/>
  <c r="F207"/>
  <c r="S144"/>
  <c r="U144" s="1"/>
  <c r="R144"/>
  <c r="O144"/>
  <c r="L144"/>
  <c r="I144"/>
  <c r="F144"/>
  <c r="S143"/>
  <c r="U143" s="1"/>
  <c r="R143"/>
  <c r="O143"/>
  <c r="L143"/>
  <c r="I143"/>
  <c r="F143"/>
  <c r="S142"/>
  <c r="U142" s="1"/>
  <c r="R142"/>
  <c r="O142"/>
  <c r="L142"/>
  <c r="I142"/>
  <c r="F142"/>
  <c r="S141"/>
  <c r="U141" s="1"/>
  <c r="R141"/>
  <c r="O141"/>
  <c r="L141"/>
  <c r="I141"/>
  <c r="F141"/>
  <c r="S140"/>
  <c r="U140" s="1"/>
  <c r="R140"/>
  <c r="O140"/>
  <c r="L140"/>
  <c r="I140"/>
  <c r="F140"/>
  <c r="S218"/>
  <c r="U218" s="1"/>
  <c r="R218"/>
  <c r="O218"/>
  <c r="L218"/>
  <c r="I218"/>
  <c r="F218"/>
  <c r="S217"/>
  <c r="U217" s="1"/>
  <c r="R217"/>
  <c r="O217"/>
  <c r="L217"/>
  <c r="I217"/>
  <c r="F217"/>
  <c r="T30" i="61" l="1"/>
  <c r="T217" i="56"/>
  <c r="T140"/>
  <c r="T23" i="61"/>
  <c r="T47" i="55"/>
  <c r="T127" i="47"/>
  <c r="V127" s="1"/>
  <c r="T85" i="55"/>
  <c r="V85" s="1"/>
  <c r="T209" i="56"/>
  <c r="V209" s="1"/>
  <c r="T218"/>
  <c r="V218" s="1"/>
  <c r="T208"/>
  <c r="V208" s="1"/>
  <c r="V47" i="55"/>
  <c r="T48"/>
  <c r="V48" s="1"/>
  <c r="T32" i="35"/>
  <c r="V32" s="1"/>
  <c r="T34"/>
  <c r="V34" s="1"/>
  <c r="T36"/>
  <c r="V36" s="1"/>
  <c r="T25"/>
  <c r="V25" s="1"/>
  <c r="T76" i="59"/>
  <c r="V76" s="1"/>
  <c r="T78"/>
  <c r="V78" s="1"/>
  <c r="T80"/>
  <c r="V80" s="1"/>
  <c r="T35"/>
  <c r="V35" s="1"/>
  <c r="T37"/>
  <c r="T151" i="47"/>
  <c r="V151" s="1"/>
  <c r="T89" i="55"/>
  <c r="V89" s="1"/>
  <c r="T109" i="47"/>
  <c r="V109" s="1"/>
  <c r="T113"/>
  <c r="V113" s="1"/>
  <c r="T43" i="59"/>
  <c r="V43" s="1"/>
  <c r="V30" i="61"/>
  <c r="V20"/>
  <c r="V23" s="1"/>
  <c r="T111" i="47"/>
  <c r="V111" s="1"/>
  <c r="T110"/>
  <c r="V110" s="1"/>
  <c r="T112"/>
  <c r="T114"/>
  <c r="V114" s="1"/>
  <c r="V112"/>
  <c r="T87" i="55"/>
  <c r="V87" s="1"/>
  <c r="T86"/>
  <c r="V86" s="1"/>
  <c r="T88"/>
  <c r="V88" s="1"/>
  <c r="T90"/>
  <c r="V90" s="1"/>
  <c r="T129" i="47"/>
  <c r="V129" s="1"/>
  <c r="T128"/>
  <c r="V128" s="1"/>
  <c r="T130"/>
  <c r="V130" s="1"/>
  <c r="V37" i="59"/>
  <c r="T36"/>
  <c r="V36" s="1"/>
  <c r="T38"/>
  <c r="V38" s="1"/>
  <c r="T75"/>
  <c r="V75" s="1"/>
  <c r="T81"/>
  <c r="V81" s="1"/>
  <c r="T77"/>
  <c r="V77" s="1"/>
  <c r="T79"/>
  <c r="V79" s="1"/>
  <c r="T26" i="35"/>
  <c r="V26" s="1"/>
  <c r="T33"/>
  <c r="V33" s="1"/>
  <c r="T35"/>
  <c r="V35" s="1"/>
  <c r="T37"/>
  <c r="V37" s="1"/>
  <c r="T207" i="56"/>
  <c r="V207" s="1"/>
  <c r="T141"/>
  <c r="V141" s="1"/>
  <c r="T142"/>
  <c r="V142" s="1"/>
  <c r="T143"/>
  <c r="V143" s="1"/>
  <c r="T144"/>
  <c r="V144" s="1"/>
  <c r="V140"/>
  <c r="V217"/>
  <c r="H150" i="47" l="1"/>
  <c r="H149"/>
  <c r="H148"/>
  <c r="S158" i="56"/>
  <c r="U158" s="1"/>
  <c r="R158"/>
  <c r="O158"/>
  <c r="L158"/>
  <c r="I158"/>
  <c r="F158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R155"/>
  <c r="O155"/>
  <c r="L155"/>
  <c r="I155"/>
  <c r="F155"/>
  <c r="S129" i="5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74" i="55"/>
  <c r="U174" s="1"/>
  <c r="R174"/>
  <c r="O174"/>
  <c r="L174"/>
  <c r="I174"/>
  <c r="F174"/>
  <c r="S173"/>
  <c r="U173" s="1"/>
  <c r="R173"/>
  <c r="O173"/>
  <c r="L173"/>
  <c r="I173"/>
  <c r="F173"/>
  <c r="S172"/>
  <c r="U172" s="1"/>
  <c r="R172"/>
  <c r="O172"/>
  <c r="L172"/>
  <c r="I172"/>
  <c r="F172"/>
  <c r="S171"/>
  <c r="U171" s="1"/>
  <c r="R171"/>
  <c r="O171"/>
  <c r="L171"/>
  <c r="I171"/>
  <c r="F171"/>
  <c r="Q145"/>
  <c r="N145"/>
  <c r="K145"/>
  <c r="H145"/>
  <c r="E145"/>
  <c r="S142"/>
  <c r="U142" s="1"/>
  <c r="R142"/>
  <c r="O142"/>
  <c r="L142"/>
  <c r="I142"/>
  <c r="F142"/>
  <c r="S144"/>
  <c r="U144" s="1"/>
  <c r="R144"/>
  <c r="O144"/>
  <c r="L144"/>
  <c r="I144"/>
  <c r="F144"/>
  <c r="S143"/>
  <c r="U143" s="1"/>
  <c r="R143"/>
  <c r="O143"/>
  <c r="L143"/>
  <c r="I143"/>
  <c r="F143"/>
  <c r="S141"/>
  <c r="U141" s="1"/>
  <c r="R141"/>
  <c r="O141"/>
  <c r="L141"/>
  <c r="I141"/>
  <c r="F141"/>
  <c r="S12" i="47"/>
  <c r="U12" s="1"/>
  <c r="R12"/>
  <c r="O12"/>
  <c r="L12"/>
  <c r="I12"/>
  <c r="F12"/>
  <c r="S11"/>
  <c r="U11" s="1"/>
  <c r="R11"/>
  <c r="O11"/>
  <c r="L11"/>
  <c r="I11"/>
  <c r="F11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Q43" i="49"/>
  <c r="N43"/>
  <c r="K43"/>
  <c r="H43"/>
  <c r="E43"/>
  <c r="S42"/>
  <c r="U42" s="1"/>
  <c r="R42"/>
  <c r="O42"/>
  <c r="L42"/>
  <c r="I42"/>
  <c r="F42"/>
  <c r="S126" i="47"/>
  <c r="U126" s="1"/>
  <c r="R126"/>
  <c r="O126"/>
  <c r="L126"/>
  <c r="I126"/>
  <c r="F126"/>
  <c r="K113" i="55"/>
  <c r="S82" i="47"/>
  <c r="U82" s="1"/>
  <c r="R82"/>
  <c r="O82"/>
  <c r="L82"/>
  <c r="I82"/>
  <c r="F82"/>
  <c r="H183" i="56"/>
  <c r="S206"/>
  <c r="U206" s="1"/>
  <c r="R206"/>
  <c r="O206"/>
  <c r="L206"/>
  <c r="I206"/>
  <c r="F206"/>
  <c r="S205"/>
  <c r="U205" s="1"/>
  <c r="R205"/>
  <c r="O205"/>
  <c r="L205"/>
  <c r="I205"/>
  <c r="F205"/>
  <c r="S226"/>
  <c r="U226" s="1"/>
  <c r="R226"/>
  <c r="O226"/>
  <c r="L226"/>
  <c r="I226"/>
  <c r="F226"/>
  <c r="S156" i="47"/>
  <c r="U156" s="1"/>
  <c r="R156"/>
  <c r="O156"/>
  <c r="L156"/>
  <c r="I156"/>
  <c r="F156"/>
  <c r="S53" i="54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K46"/>
  <c r="S129" i="56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R125"/>
  <c r="O125"/>
  <c r="L125"/>
  <c r="H125"/>
  <c r="S125" s="1"/>
  <c r="U125" s="1"/>
  <c r="F125"/>
  <c r="K74" i="47"/>
  <c r="N35" i="54"/>
  <c r="O34"/>
  <c r="O33"/>
  <c r="T33" s="1"/>
  <c r="T34"/>
  <c r="S34"/>
  <c r="U34" s="1"/>
  <c r="S33"/>
  <c r="U33" s="1"/>
  <c r="Q35"/>
  <c r="H35"/>
  <c r="E35"/>
  <c r="F34"/>
  <c r="F33"/>
  <c r="S154" i="56"/>
  <c r="U154" s="1"/>
  <c r="R154"/>
  <c r="O154"/>
  <c r="L154"/>
  <c r="I154"/>
  <c r="T154" s="1"/>
  <c r="F154"/>
  <c r="S98" i="47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9"/>
  <c r="U99" s="1"/>
  <c r="R99"/>
  <c r="O99"/>
  <c r="L99"/>
  <c r="I99"/>
  <c r="F99"/>
  <c r="S94"/>
  <c r="U94" s="1"/>
  <c r="R94"/>
  <c r="O94"/>
  <c r="L94"/>
  <c r="I94"/>
  <c r="F94"/>
  <c r="H77"/>
  <c r="Q20" i="46"/>
  <c r="N20"/>
  <c r="K20"/>
  <c r="H20"/>
  <c r="E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Q23"/>
  <c r="N23"/>
  <c r="K23"/>
  <c r="H23"/>
  <c r="E23"/>
  <c r="S22"/>
  <c r="U22" s="1"/>
  <c r="R22"/>
  <c r="O22"/>
  <c r="L22"/>
  <c r="I22"/>
  <c r="F22"/>
  <c r="Q295" i="56"/>
  <c r="N295"/>
  <c r="K295"/>
  <c r="H295"/>
  <c r="E295"/>
  <c r="S294"/>
  <c r="U294" s="1"/>
  <c r="R294"/>
  <c r="O294"/>
  <c r="L294"/>
  <c r="I294"/>
  <c r="F294"/>
  <c r="K32" i="54"/>
  <c r="K35" s="1"/>
  <c r="S9" i="45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Q27" i="46"/>
  <c r="N27"/>
  <c r="K27"/>
  <c r="H27"/>
  <c r="E27"/>
  <c r="S26"/>
  <c r="U26" s="1"/>
  <c r="R26"/>
  <c r="O26"/>
  <c r="L26"/>
  <c r="I26"/>
  <c r="F26"/>
  <c r="S25"/>
  <c r="U25" s="1"/>
  <c r="R25"/>
  <c r="O25"/>
  <c r="L25"/>
  <c r="I25"/>
  <c r="F25"/>
  <c r="H31"/>
  <c r="E31"/>
  <c r="S30"/>
  <c r="U30" s="1"/>
  <c r="R30"/>
  <c r="O30"/>
  <c r="L30"/>
  <c r="I30"/>
  <c r="F30"/>
  <c r="S29"/>
  <c r="U29" s="1"/>
  <c r="R29"/>
  <c r="O29"/>
  <c r="L29"/>
  <c r="I29"/>
  <c r="F29"/>
  <c r="S7" i="66"/>
  <c r="U7" s="1"/>
  <c r="R7"/>
  <c r="O7"/>
  <c r="L7"/>
  <c r="I7"/>
  <c r="T7" s="1"/>
  <c r="F7"/>
  <c r="S6"/>
  <c r="U6" s="1"/>
  <c r="U8" s="1"/>
  <c r="R6"/>
  <c r="O6"/>
  <c r="O8" s="1"/>
  <c r="L6"/>
  <c r="I6"/>
  <c r="T6" s="1"/>
  <c r="T8" s="1"/>
  <c r="F6"/>
  <c r="S8"/>
  <c r="R8"/>
  <c r="Q8"/>
  <c r="Q9" s="1"/>
  <c r="N8"/>
  <c r="L8"/>
  <c r="K8"/>
  <c r="K9" s="1"/>
  <c r="H8"/>
  <c r="F8"/>
  <c r="E8"/>
  <c r="E9" s="1"/>
  <c r="S3"/>
  <c r="U3" s="1"/>
  <c r="R3"/>
  <c r="O3"/>
  <c r="L3"/>
  <c r="I3"/>
  <c r="F3"/>
  <c r="P1"/>
  <c r="U2" s="1"/>
  <c r="Q18" i="65"/>
  <c r="Q19" s="1"/>
  <c r="N18"/>
  <c r="N19" s="1"/>
  <c r="K18"/>
  <c r="K19" s="1"/>
  <c r="H18"/>
  <c r="H19" s="1"/>
  <c r="E18"/>
  <c r="E19" s="1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S18" s="1"/>
  <c r="S19" s="1"/>
  <c r="R13"/>
  <c r="R18" s="1"/>
  <c r="R19" s="1"/>
  <c r="O13"/>
  <c r="O18" s="1"/>
  <c r="O19" s="1"/>
  <c r="L13"/>
  <c r="L18" s="1"/>
  <c r="L19" s="1"/>
  <c r="I13"/>
  <c r="I18" s="1"/>
  <c r="I19" s="1"/>
  <c r="F13"/>
  <c r="F18" s="1"/>
  <c r="F19" s="1"/>
  <c r="Q31"/>
  <c r="N31"/>
  <c r="K31"/>
  <c r="H31"/>
  <c r="E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U31" s="1"/>
  <c r="R25"/>
  <c r="R31" s="1"/>
  <c r="O25"/>
  <c r="O31" s="1"/>
  <c r="L25"/>
  <c r="L31" s="1"/>
  <c r="I25"/>
  <c r="I31" s="1"/>
  <c r="F25"/>
  <c r="F31" s="1"/>
  <c r="S3"/>
  <c r="U3" s="1"/>
  <c r="R3"/>
  <c r="O3"/>
  <c r="L3"/>
  <c r="I3"/>
  <c r="F3"/>
  <c r="P1"/>
  <c r="U2" s="1"/>
  <c r="Q8" i="64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S8" s="1"/>
  <c r="S9" s="1"/>
  <c r="R6"/>
  <c r="R8" s="1"/>
  <c r="R9" s="1"/>
  <c r="O6"/>
  <c r="O8" s="1"/>
  <c r="O9" s="1"/>
  <c r="L6"/>
  <c r="L8" s="1"/>
  <c r="L9" s="1"/>
  <c r="I6"/>
  <c r="F6"/>
  <c r="S3"/>
  <c r="U3" s="1"/>
  <c r="R3"/>
  <c r="O3"/>
  <c r="L3"/>
  <c r="I3"/>
  <c r="F3"/>
  <c r="P1"/>
  <c r="U2" s="1"/>
  <c r="S29" i="63"/>
  <c r="R29"/>
  <c r="R32" s="1"/>
  <c r="O29"/>
  <c r="O32" s="1"/>
  <c r="L29"/>
  <c r="L32" s="1"/>
  <c r="I29"/>
  <c r="I32" s="1"/>
  <c r="F29"/>
  <c r="F32" s="1"/>
  <c r="S26"/>
  <c r="U26" s="1"/>
  <c r="U28" s="1"/>
  <c r="R26"/>
  <c r="O26"/>
  <c r="O28" s="1"/>
  <c r="L26"/>
  <c r="I26"/>
  <c r="I28" s="1"/>
  <c r="F26"/>
  <c r="F28" s="1"/>
  <c r="S24"/>
  <c r="U24" s="1"/>
  <c r="U25" s="1"/>
  <c r="R24"/>
  <c r="O24"/>
  <c r="O25" s="1"/>
  <c r="L24"/>
  <c r="I24"/>
  <c r="F24"/>
  <c r="F25" s="1"/>
  <c r="S22"/>
  <c r="U22" s="1"/>
  <c r="U23" s="1"/>
  <c r="R22"/>
  <c r="O22"/>
  <c r="O23" s="1"/>
  <c r="L22"/>
  <c r="I22"/>
  <c r="I23" s="1"/>
  <c r="F22"/>
  <c r="F23" s="1"/>
  <c r="S20"/>
  <c r="U20" s="1"/>
  <c r="U21" s="1"/>
  <c r="R20"/>
  <c r="O20"/>
  <c r="O21" s="1"/>
  <c r="L20"/>
  <c r="I20"/>
  <c r="F20"/>
  <c r="F21" s="1"/>
  <c r="S18"/>
  <c r="U18" s="1"/>
  <c r="U19" s="1"/>
  <c r="R18"/>
  <c r="O18"/>
  <c r="O19" s="1"/>
  <c r="L18"/>
  <c r="I18"/>
  <c r="I19" s="1"/>
  <c r="F18"/>
  <c r="F19" s="1"/>
  <c r="S15"/>
  <c r="R15"/>
  <c r="R17" s="1"/>
  <c r="O15"/>
  <c r="O17" s="1"/>
  <c r="L15"/>
  <c r="L17" s="1"/>
  <c r="I15"/>
  <c r="I17" s="1"/>
  <c r="F15"/>
  <c r="F17" s="1"/>
  <c r="S12"/>
  <c r="R12"/>
  <c r="R14" s="1"/>
  <c r="O12"/>
  <c r="O14" s="1"/>
  <c r="L12"/>
  <c r="L14" s="1"/>
  <c r="I12"/>
  <c r="I14" s="1"/>
  <c r="F12"/>
  <c r="F14" s="1"/>
  <c r="S6"/>
  <c r="R6"/>
  <c r="R11" s="1"/>
  <c r="O6"/>
  <c r="O11" s="1"/>
  <c r="L6"/>
  <c r="L11" s="1"/>
  <c r="I6"/>
  <c r="I11" s="1"/>
  <c r="F6"/>
  <c r="F11" s="1"/>
  <c r="S36"/>
  <c r="U36" s="1"/>
  <c r="U37" s="1"/>
  <c r="R36"/>
  <c r="O36"/>
  <c r="O37" s="1"/>
  <c r="L36"/>
  <c r="I36"/>
  <c r="F36"/>
  <c r="F37" s="1"/>
  <c r="F33" s="1"/>
  <c r="R28"/>
  <c r="Q28"/>
  <c r="R25"/>
  <c r="Q25"/>
  <c r="R23"/>
  <c r="Q23"/>
  <c r="R21"/>
  <c r="Q21"/>
  <c r="R19"/>
  <c r="Q19"/>
  <c r="R37"/>
  <c r="Q37"/>
  <c r="Q33" s="1"/>
  <c r="N28"/>
  <c r="N25"/>
  <c r="N23"/>
  <c r="N21"/>
  <c r="N19"/>
  <c r="N37"/>
  <c r="L28"/>
  <c r="K28"/>
  <c r="L25"/>
  <c r="K25"/>
  <c r="L23"/>
  <c r="K23"/>
  <c r="L21"/>
  <c r="K21"/>
  <c r="L19"/>
  <c r="K19"/>
  <c r="L37"/>
  <c r="L33" s="1"/>
  <c r="K37"/>
  <c r="K33" s="1"/>
  <c r="H25"/>
  <c r="H23"/>
  <c r="H21"/>
  <c r="H19"/>
  <c r="H37"/>
  <c r="E25"/>
  <c r="E23"/>
  <c r="E21"/>
  <c r="E19"/>
  <c r="E37"/>
  <c r="S3"/>
  <c r="U3" s="1"/>
  <c r="R3"/>
  <c r="O3"/>
  <c r="L3"/>
  <c r="I3"/>
  <c r="F3"/>
  <c r="P1"/>
  <c r="U2" s="1"/>
  <c r="S3" i="62"/>
  <c r="U3" s="1"/>
  <c r="Q8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S8" s="1"/>
  <c r="S9" s="1"/>
  <c r="R6"/>
  <c r="R8" s="1"/>
  <c r="R9" s="1"/>
  <c r="O6"/>
  <c r="O8" s="1"/>
  <c r="O9" s="1"/>
  <c r="L6"/>
  <c r="L8" s="1"/>
  <c r="L9" s="1"/>
  <c r="I6"/>
  <c r="F6"/>
  <c r="R3"/>
  <c r="O3"/>
  <c r="L3"/>
  <c r="I3"/>
  <c r="F3"/>
  <c r="P1"/>
  <c r="U2" s="1"/>
  <c r="S3" i="61"/>
  <c r="S3" i="59"/>
  <c r="S3" i="58"/>
  <c r="S3" i="57"/>
  <c r="S3" i="56"/>
  <c r="S3" i="47"/>
  <c r="S87"/>
  <c r="S3" i="46"/>
  <c r="S3" i="55"/>
  <c r="R3"/>
  <c r="S14" i="54"/>
  <c r="S3"/>
  <c r="S3" i="45"/>
  <c r="S37" i="61"/>
  <c r="R37"/>
  <c r="R41" s="1"/>
  <c r="O37"/>
  <c r="O41" s="1"/>
  <c r="L37"/>
  <c r="L41" s="1"/>
  <c r="I37"/>
  <c r="I41" s="1"/>
  <c r="F37"/>
  <c r="F41" s="1"/>
  <c r="S34"/>
  <c r="R34"/>
  <c r="R36" s="1"/>
  <c r="O34"/>
  <c r="O36" s="1"/>
  <c r="L34"/>
  <c r="L36" s="1"/>
  <c r="I34"/>
  <c r="I36" s="1"/>
  <c r="F34"/>
  <c r="F36" s="1"/>
  <c r="S32"/>
  <c r="U32" s="1"/>
  <c r="R32"/>
  <c r="O32"/>
  <c r="L32"/>
  <c r="I32"/>
  <c r="F32"/>
  <c r="S31"/>
  <c r="U31" s="1"/>
  <c r="U33" s="1"/>
  <c r="R31"/>
  <c r="R33" s="1"/>
  <c r="O31"/>
  <c r="O33" s="1"/>
  <c r="L31"/>
  <c r="L33" s="1"/>
  <c r="I31"/>
  <c r="F31"/>
  <c r="F33" s="1"/>
  <c r="S26"/>
  <c r="U26" s="1"/>
  <c r="R26"/>
  <c r="O26"/>
  <c r="L26"/>
  <c r="I26"/>
  <c r="F26"/>
  <c r="S25"/>
  <c r="U25" s="1"/>
  <c r="R25"/>
  <c r="O25"/>
  <c r="L25"/>
  <c r="I25"/>
  <c r="F25"/>
  <c r="S24"/>
  <c r="U24" s="1"/>
  <c r="U27" s="1"/>
  <c r="R24"/>
  <c r="R27" s="1"/>
  <c r="O24"/>
  <c r="O27" s="1"/>
  <c r="L24"/>
  <c r="L27" s="1"/>
  <c r="I24"/>
  <c r="F24"/>
  <c r="F27" s="1"/>
  <c r="S18"/>
  <c r="S19" s="1"/>
  <c r="R18"/>
  <c r="R19" s="1"/>
  <c r="O18"/>
  <c r="O19" s="1"/>
  <c r="L18"/>
  <c r="L19" s="1"/>
  <c r="I18"/>
  <c r="F18"/>
  <c r="F19" s="1"/>
  <c r="S16"/>
  <c r="S17" s="1"/>
  <c r="R16"/>
  <c r="R17" s="1"/>
  <c r="O16"/>
  <c r="O17" s="1"/>
  <c r="L16"/>
  <c r="L17" s="1"/>
  <c r="I16"/>
  <c r="I17" s="1"/>
  <c r="F16"/>
  <c r="F17" s="1"/>
  <c r="S14"/>
  <c r="U14" s="1"/>
  <c r="R14"/>
  <c r="O14"/>
  <c r="L14"/>
  <c r="I14"/>
  <c r="F14"/>
  <c r="S13"/>
  <c r="S15" s="1"/>
  <c r="R13"/>
  <c r="R15" s="1"/>
  <c r="O13"/>
  <c r="O15" s="1"/>
  <c r="L13"/>
  <c r="L15" s="1"/>
  <c r="I13"/>
  <c r="F13"/>
  <c r="F15" s="1"/>
  <c r="S11"/>
  <c r="U11" s="1"/>
  <c r="U12" s="1"/>
  <c r="R11"/>
  <c r="R12" s="1"/>
  <c r="O11"/>
  <c r="L11"/>
  <c r="L12" s="1"/>
  <c r="I11"/>
  <c r="F11"/>
  <c r="F12" s="1"/>
  <c r="S9"/>
  <c r="U9" s="1"/>
  <c r="R9"/>
  <c r="O9"/>
  <c r="L9"/>
  <c r="I9"/>
  <c r="F9"/>
  <c r="S8"/>
  <c r="U8" s="1"/>
  <c r="U10" s="1"/>
  <c r="R8"/>
  <c r="R10" s="1"/>
  <c r="O8"/>
  <c r="L8"/>
  <c r="L10" s="1"/>
  <c r="I8"/>
  <c r="F8"/>
  <c r="F10" s="1"/>
  <c r="S6"/>
  <c r="S7" s="1"/>
  <c r="R6"/>
  <c r="O6"/>
  <c r="O7" s="1"/>
  <c r="L6"/>
  <c r="I6"/>
  <c r="I7" s="1"/>
  <c r="F6"/>
  <c r="S27"/>
  <c r="Q33"/>
  <c r="Q27"/>
  <c r="Q19"/>
  <c r="Q17"/>
  <c r="Q15"/>
  <c r="Q12"/>
  <c r="Q10"/>
  <c r="R7"/>
  <c r="Q7"/>
  <c r="N33"/>
  <c r="N27"/>
  <c r="N19"/>
  <c r="N17"/>
  <c r="N15"/>
  <c r="O12"/>
  <c r="N12"/>
  <c r="N10"/>
  <c r="N7"/>
  <c r="K33"/>
  <c r="K27"/>
  <c r="K19"/>
  <c r="K17"/>
  <c r="K15"/>
  <c r="K12"/>
  <c r="K10"/>
  <c r="L7"/>
  <c r="K7"/>
  <c r="H33"/>
  <c r="I27"/>
  <c r="H27"/>
  <c r="H19"/>
  <c r="H17"/>
  <c r="H15"/>
  <c r="I12"/>
  <c r="H12"/>
  <c r="H10"/>
  <c r="H7"/>
  <c r="E33"/>
  <c r="E27"/>
  <c r="E19"/>
  <c r="E17"/>
  <c r="E15"/>
  <c r="E12"/>
  <c r="E10"/>
  <c r="F7"/>
  <c r="E7"/>
  <c r="U3"/>
  <c r="R3"/>
  <c r="O3"/>
  <c r="L3"/>
  <c r="I3"/>
  <c r="F3"/>
  <c r="P1"/>
  <c r="U2" s="1"/>
  <c r="H105" i="47"/>
  <c r="K19" i="35"/>
  <c r="U34" i="61" l="1"/>
  <c r="U36" s="1"/>
  <c r="S36"/>
  <c r="U37"/>
  <c r="U41" s="1"/>
  <c r="S41"/>
  <c r="U6" i="63"/>
  <c r="U11" s="1"/>
  <c r="S11"/>
  <c r="U12"/>
  <c r="U14" s="1"/>
  <c r="S14"/>
  <c r="U15"/>
  <c r="U17" s="1"/>
  <c r="S17"/>
  <c r="U29"/>
  <c r="U32" s="1"/>
  <c r="S32"/>
  <c r="E33"/>
  <c r="R33"/>
  <c r="T36"/>
  <c r="T37" s="1"/>
  <c r="T6"/>
  <c r="T11" s="1"/>
  <c r="T12"/>
  <c r="T14" s="1"/>
  <c r="T15"/>
  <c r="T17" s="1"/>
  <c r="T18"/>
  <c r="T19" s="1"/>
  <c r="T20"/>
  <c r="T21" s="1"/>
  <c r="S10" i="61"/>
  <c r="S12"/>
  <c r="T156" i="47"/>
  <c r="T14" i="65"/>
  <c r="U18" i="61"/>
  <c r="U19" s="1"/>
  <c r="T24"/>
  <c r="T22" i="63"/>
  <c r="T23" s="1"/>
  <c r="T24"/>
  <c r="T25" s="1"/>
  <c r="T15" i="65"/>
  <c r="T16"/>
  <c r="T26" i="63"/>
  <c r="T28" s="1"/>
  <c r="T3" i="61"/>
  <c r="T17" i="65"/>
  <c r="H42" i="61"/>
  <c r="N42"/>
  <c r="T25"/>
  <c r="T26"/>
  <c r="T32"/>
  <c r="V32" s="1"/>
  <c r="T34"/>
  <c r="T36" s="1"/>
  <c r="T37"/>
  <c r="T41" s="1"/>
  <c r="T3" i="62"/>
  <c r="K42" i="61"/>
  <c r="Q42"/>
  <c r="T6"/>
  <c r="T7" s="1"/>
  <c r="T9"/>
  <c r="T3" i="64"/>
  <c r="V3" s="1"/>
  <c r="T3" i="65"/>
  <c r="V3" s="1"/>
  <c r="V156" i="47"/>
  <c r="T82"/>
  <c r="T11"/>
  <c r="V11" s="1"/>
  <c r="T3" i="63"/>
  <c r="V3" s="1"/>
  <c r="I37"/>
  <c r="S37"/>
  <c r="I8" i="66"/>
  <c r="I9" s="1"/>
  <c r="O10" i="61"/>
  <c r="T11"/>
  <c r="T12" s="1"/>
  <c r="T13"/>
  <c r="T14"/>
  <c r="V14" s="1"/>
  <c r="T16"/>
  <c r="T17" s="1"/>
  <c r="T18"/>
  <c r="T19" s="1"/>
  <c r="V34"/>
  <c r="V36" s="1"/>
  <c r="V36" i="63"/>
  <c r="V37" s="1"/>
  <c r="V15"/>
  <c r="V17" s="1"/>
  <c r="V18"/>
  <c r="V19" s="1"/>
  <c r="V20"/>
  <c r="V21" s="1"/>
  <c r="V22"/>
  <c r="V23" s="1"/>
  <c r="V24"/>
  <c r="V25" s="1"/>
  <c r="V26"/>
  <c r="V28" s="1"/>
  <c r="T7" i="45"/>
  <c r="V7" s="1"/>
  <c r="S32" i="54"/>
  <c r="S35" s="1"/>
  <c r="T128" i="56"/>
  <c r="T226"/>
  <c r="V226" s="1"/>
  <c r="T83" i="47"/>
  <c r="V83" s="1"/>
  <c r="T85"/>
  <c r="V85" s="1"/>
  <c r="T12"/>
  <c r="V12" s="1"/>
  <c r="T143" i="55"/>
  <c r="V143" s="1"/>
  <c r="T171"/>
  <c r="V171" s="1"/>
  <c r="T173"/>
  <c r="V173" s="1"/>
  <c r="T122" i="59"/>
  <c r="V122" s="1"/>
  <c r="T124"/>
  <c r="V124" s="1"/>
  <c r="T126"/>
  <c r="V126" s="1"/>
  <c r="T155" i="56"/>
  <c r="V155" s="1"/>
  <c r="T157"/>
  <c r="V157" s="1"/>
  <c r="E42" i="61"/>
  <c r="V6"/>
  <c r="V7" s="1"/>
  <c r="V9"/>
  <c r="V13"/>
  <c r="T29" i="63"/>
  <c r="T32" s="1"/>
  <c r="T3" i="66"/>
  <c r="V3" s="1"/>
  <c r="H9"/>
  <c r="N9"/>
  <c r="S9"/>
  <c r="T96" i="47"/>
  <c r="V96" s="1"/>
  <c r="T98"/>
  <c r="V98" s="1"/>
  <c r="V34" i="54"/>
  <c r="T49"/>
  <c r="V49" s="1"/>
  <c r="T51"/>
  <c r="V51" s="1"/>
  <c r="T53"/>
  <c r="V53" s="1"/>
  <c r="F42" i="61"/>
  <c r="L42"/>
  <c r="O42"/>
  <c r="R42"/>
  <c r="T31"/>
  <c r="T126" i="47"/>
  <c r="V126" s="1"/>
  <c r="T205" i="56"/>
  <c r="V205" s="1"/>
  <c r="T156"/>
  <c r="T158"/>
  <c r="V156"/>
  <c r="V158"/>
  <c r="T129" i="59"/>
  <c r="V129" s="1"/>
  <c r="T128"/>
  <c r="V128" s="1"/>
  <c r="T123"/>
  <c r="V123" s="1"/>
  <c r="T125"/>
  <c r="V125" s="1"/>
  <c r="T127"/>
  <c r="V127" s="1"/>
  <c r="T172" i="55"/>
  <c r="T174"/>
  <c r="V174" s="1"/>
  <c r="V172"/>
  <c r="T141"/>
  <c r="V141" s="1"/>
  <c r="T144"/>
  <c r="V144" s="1"/>
  <c r="T142"/>
  <c r="V142" s="1"/>
  <c r="V82" i="47"/>
  <c r="T84"/>
  <c r="T86"/>
  <c r="V84"/>
  <c r="V86"/>
  <c r="T42" i="49"/>
  <c r="T206" i="56"/>
  <c r="V206" s="1"/>
  <c r="T50" i="54"/>
  <c r="T52"/>
  <c r="V50"/>
  <c r="V52"/>
  <c r="T129" i="56"/>
  <c r="V129" s="1"/>
  <c r="V128"/>
  <c r="I125"/>
  <c r="T125" s="1"/>
  <c r="V125" s="1"/>
  <c r="T126"/>
  <c r="V126" s="1"/>
  <c r="T127"/>
  <c r="V127" s="1"/>
  <c r="V33" i="54"/>
  <c r="V154" i="56"/>
  <c r="T95" i="47"/>
  <c r="V95" s="1"/>
  <c r="T94"/>
  <c r="T97"/>
  <c r="V97" s="1"/>
  <c r="V94"/>
  <c r="T99"/>
  <c r="V99" s="1"/>
  <c r="T18" i="46"/>
  <c r="V18" s="1"/>
  <c r="T16"/>
  <c r="V16" s="1"/>
  <c r="T14"/>
  <c r="V14" s="1"/>
  <c r="T15"/>
  <c r="V15" s="1"/>
  <c r="T17"/>
  <c r="V17" s="1"/>
  <c r="T19"/>
  <c r="V19" s="1"/>
  <c r="T22"/>
  <c r="V22" s="1"/>
  <c r="T294" i="56"/>
  <c r="V294" s="1"/>
  <c r="T9" i="45"/>
  <c r="V9" s="1"/>
  <c r="T8"/>
  <c r="V8" s="1"/>
  <c r="T25" i="46"/>
  <c r="V25" s="1"/>
  <c r="T26"/>
  <c r="V26" s="1"/>
  <c r="T29"/>
  <c r="V29" s="1"/>
  <c r="T30"/>
  <c r="V30" s="1"/>
  <c r="V6" i="66"/>
  <c r="V7"/>
  <c r="U9"/>
  <c r="O9"/>
  <c r="R9"/>
  <c r="F9"/>
  <c r="L9"/>
  <c r="T26" i="65"/>
  <c r="T27"/>
  <c r="T29"/>
  <c r="V29" s="1"/>
  <c r="T30"/>
  <c r="V26"/>
  <c r="V30"/>
  <c r="T28"/>
  <c r="V28" s="1"/>
  <c r="V27"/>
  <c r="V14"/>
  <c r="V15"/>
  <c r="V16"/>
  <c r="V17"/>
  <c r="T25"/>
  <c r="S31"/>
  <c r="T13"/>
  <c r="U13"/>
  <c r="U18" s="1"/>
  <c r="U19" s="1"/>
  <c r="T6" i="64"/>
  <c r="V6" s="1"/>
  <c r="T7"/>
  <c r="V7" s="1"/>
  <c r="U6"/>
  <c r="U8" s="1"/>
  <c r="U9" s="1"/>
  <c r="F8"/>
  <c r="F9" s="1"/>
  <c r="I8"/>
  <c r="I9" s="1"/>
  <c r="S28" i="63"/>
  <c r="I25"/>
  <c r="S25"/>
  <c r="S23"/>
  <c r="H33"/>
  <c r="I21"/>
  <c r="S21"/>
  <c r="N33"/>
  <c r="S19"/>
  <c r="O33"/>
  <c r="V12"/>
  <c r="V14" s="1"/>
  <c r="U33"/>
  <c r="V3" i="62"/>
  <c r="T6"/>
  <c r="T7"/>
  <c r="V7" s="1"/>
  <c r="V6"/>
  <c r="U6"/>
  <c r="U8" s="1"/>
  <c r="U9" s="1"/>
  <c r="F8"/>
  <c r="F9" s="1"/>
  <c r="I8"/>
  <c r="I9" s="1"/>
  <c r="I33" i="61"/>
  <c r="S33"/>
  <c r="S42" s="1"/>
  <c r="V24"/>
  <c r="V25"/>
  <c r="V26"/>
  <c r="V18"/>
  <c r="V19" s="1"/>
  <c r="I19"/>
  <c r="U16"/>
  <c r="U17" s="1"/>
  <c r="T15"/>
  <c r="U13"/>
  <c r="U15" s="1"/>
  <c r="I15"/>
  <c r="T8"/>
  <c r="T10" s="1"/>
  <c r="I10"/>
  <c r="U6"/>
  <c r="U7" s="1"/>
  <c r="V3"/>
  <c r="S27" i="39"/>
  <c r="U27" s="1"/>
  <c r="R27"/>
  <c r="O27"/>
  <c r="L27"/>
  <c r="I27"/>
  <c r="F27"/>
  <c r="R10" i="35"/>
  <c r="O10"/>
  <c r="L10"/>
  <c r="H10"/>
  <c r="S10" s="1"/>
  <c r="U10" s="1"/>
  <c r="F10"/>
  <c r="H36" i="54"/>
  <c r="H166" i="55"/>
  <c r="E166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R162"/>
  <c r="O162"/>
  <c r="L162"/>
  <c r="I162"/>
  <c r="F162"/>
  <c r="S161"/>
  <c r="U161" s="1"/>
  <c r="R161"/>
  <c r="O161"/>
  <c r="L161"/>
  <c r="I161"/>
  <c r="F161"/>
  <c r="S160"/>
  <c r="U160" s="1"/>
  <c r="R160"/>
  <c r="O160"/>
  <c r="L160"/>
  <c r="I160"/>
  <c r="F160"/>
  <c r="S159"/>
  <c r="U159" s="1"/>
  <c r="R159"/>
  <c r="O159"/>
  <c r="L159"/>
  <c r="I159"/>
  <c r="F159"/>
  <c r="Q176"/>
  <c r="N176"/>
  <c r="K176"/>
  <c r="E176"/>
  <c r="H167"/>
  <c r="H176" s="1"/>
  <c r="S175"/>
  <c r="U175" s="1"/>
  <c r="R175"/>
  <c r="O175"/>
  <c r="L175"/>
  <c r="I175"/>
  <c r="F175"/>
  <c r="S170"/>
  <c r="U170" s="1"/>
  <c r="R170"/>
  <c r="O170"/>
  <c r="L170"/>
  <c r="I170"/>
  <c r="F170"/>
  <c r="S169"/>
  <c r="U169" s="1"/>
  <c r="R169"/>
  <c r="O169"/>
  <c r="L169"/>
  <c r="I169"/>
  <c r="F169"/>
  <c r="S168"/>
  <c r="U168" s="1"/>
  <c r="R168"/>
  <c r="O168"/>
  <c r="L168"/>
  <c r="I168"/>
  <c r="F168"/>
  <c r="Q8" i="58"/>
  <c r="N8"/>
  <c r="K8"/>
  <c r="H8"/>
  <c r="E8"/>
  <c r="S7"/>
  <c r="U7" s="1"/>
  <c r="R7"/>
  <c r="O7"/>
  <c r="L7"/>
  <c r="I7"/>
  <c r="F7"/>
  <c r="F217" i="47"/>
  <c r="F216"/>
  <c r="F215"/>
  <c r="F214"/>
  <c r="F213"/>
  <c r="F212"/>
  <c r="F211"/>
  <c r="F210"/>
  <c r="F209"/>
  <c r="F208"/>
  <c r="F207"/>
  <c r="F206"/>
  <c r="F205"/>
  <c r="F218"/>
  <c r="F219"/>
  <c r="F220"/>
  <c r="E221"/>
  <c r="F204"/>
  <c r="F203"/>
  <c r="Q10" i="46"/>
  <c r="N10"/>
  <c r="K10"/>
  <c r="H10"/>
  <c r="E10"/>
  <c r="S9"/>
  <c r="U9" s="1"/>
  <c r="R9"/>
  <c r="O9"/>
  <c r="L9"/>
  <c r="I9"/>
  <c r="F9"/>
  <c r="S154" i="55"/>
  <c r="U154" s="1"/>
  <c r="R154"/>
  <c r="O154"/>
  <c r="L154"/>
  <c r="I154"/>
  <c r="F154"/>
  <c r="S153"/>
  <c r="U153" s="1"/>
  <c r="R153"/>
  <c r="O153"/>
  <c r="L153"/>
  <c r="I153"/>
  <c r="F153"/>
  <c r="S152"/>
  <c r="U152" s="1"/>
  <c r="R152"/>
  <c r="O152"/>
  <c r="L152"/>
  <c r="I152"/>
  <c r="F152"/>
  <c r="H149"/>
  <c r="Q137" i="59"/>
  <c r="N137"/>
  <c r="K137"/>
  <c r="H137"/>
  <c r="E137"/>
  <c r="S136"/>
  <c r="U136" s="1"/>
  <c r="R136"/>
  <c r="O136"/>
  <c r="L136"/>
  <c r="I136"/>
  <c r="F136"/>
  <c r="Q298" i="56"/>
  <c r="N298"/>
  <c r="K298"/>
  <c r="H298"/>
  <c r="E298"/>
  <c r="S297"/>
  <c r="U297" s="1"/>
  <c r="R297"/>
  <c r="O297"/>
  <c r="L297"/>
  <c r="I297"/>
  <c r="F297"/>
  <c r="S75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10" i="47"/>
  <c r="U10" s="1"/>
  <c r="R10"/>
  <c r="O10"/>
  <c r="L10"/>
  <c r="I10"/>
  <c r="F10"/>
  <c r="K64" i="56"/>
  <c r="V6" i="63" l="1"/>
  <c r="V11" s="1"/>
  <c r="T18" i="65"/>
  <c r="T19" s="1"/>
  <c r="V16" i="61"/>
  <c r="V17" s="1"/>
  <c r="V37"/>
  <c r="V41" s="1"/>
  <c r="T27"/>
  <c r="V15"/>
  <c r="T75" i="56"/>
  <c r="V75" s="1"/>
  <c r="V11" i="61"/>
  <c r="V12" s="1"/>
  <c r="T153" i="55"/>
  <c r="V153" s="1"/>
  <c r="T164"/>
  <c r="V164" s="1"/>
  <c r="T33" i="63"/>
  <c r="T72" i="56"/>
  <c r="V72" s="1"/>
  <c r="T74"/>
  <c r="V74" s="1"/>
  <c r="T152" i="55"/>
  <c r="V152" s="1"/>
  <c r="I10" i="35"/>
  <c r="T10" s="1"/>
  <c r="V10" s="1"/>
  <c r="T27" i="39"/>
  <c r="V27" s="1"/>
  <c r="I42" i="61"/>
  <c r="I33" i="63"/>
  <c r="T31" i="65"/>
  <c r="U42" i="61"/>
  <c r="T9" i="66"/>
  <c r="V29" i="63"/>
  <c r="V32" s="1"/>
  <c r="T33" i="61"/>
  <c r="T42" s="1"/>
  <c r="V31"/>
  <c r="T168" i="55"/>
  <c r="V168" s="1"/>
  <c r="V42" i="49"/>
  <c r="T159" i="55"/>
  <c r="V159" s="1"/>
  <c r="V8" i="66"/>
  <c r="V9" s="1"/>
  <c r="V13" i="65"/>
  <c r="V18" s="1"/>
  <c r="V19" s="1"/>
  <c r="V25"/>
  <c r="V31" s="1"/>
  <c r="V8" i="64"/>
  <c r="V9" s="1"/>
  <c r="T8"/>
  <c r="T9" s="1"/>
  <c r="S33" i="63"/>
  <c r="T8" i="62"/>
  <c r="T9" s="1"/>
  <c r="V8"/>
  <c r="V9" s="1"/>
  <c r="V27" i="61"/>
  <c r="V8"/>
  <c r="V10" s="1"/>
  <c r="T163" i="55"/>
  <c r="V163" s="1"/>
  <c r="T160"/>
  <c r="V160" s="1"/>
  <c r="T161"/>
  <c r="V161" s="1"/>
  <c r="T162"/>
  <c r="V162" s="1"/>
  <c r="T170"/>
  <c r="V170" s="1"/>
  <c r="T169"/>
  <c r="V169" s="1"/>
  <c r="T175"/>
  <c r="V175" s="1"/>
  <c r="T7" i="58"/>
  <c r="F221" i="47"/>
  <c r="H221" s="1"/>
  <c r="T10"/>
  <c r="V10" s="1"/>
  <c r="T9" i="46"/>
  <c r="V9" s="1"/>
  <c r="T154" i="55"/>
  <c r="V154" s="1"/>
  <c r="T136" i="59"/>
  <c r="V136" s="1"/>
  <c r="T297" i="56"/>
  <c r="V297" s="1"/>
  <c r="T73"/>
  <c r="V73" s="1"/>
  <c r="V33" i="63" l="1"/>
  <c r="V33" i="61"/>
  <c r="V42" s="1"/>
  <c r="V7" i="58"/>
  <c r="Q61" i="56"/>
  <c r="N61"/>
  <c r="K61"/>
  <c r="H61"/>
  <c r="E61"/>
  <c r="S60"/>
  <c r="U60" s="1"/>
  <c r="R60"/>
  <c r="O60"/>
  <c r="L60"/>
  <c r="I60"/>
  <c r="F60"/>
  <c r="E118"/>
  <c r="E108"/>
  <c r="E101"/>
  <c r="E88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H67"/>
  <c r="H65"/>
  <c r="H64"/>
  <c r="H16" i="4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98" i="29"/>
  <c r="U98" s="1"/>
  <c r="R98"/>
  <c r="O98"/>
  <c r="L98"/>
  <c r="I98"/>
  <c r="F98"/>
  <c r="Q16" i="41"/>
  <c r="N16"/>
  <c r="K16"/>
  <c r="H16"/>
  <c r="E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Q25" i="38"/>
  <c r="N25"/>
  <c r="K25"/>
  <c r="H25"/>
  <c r="E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H35" i="47"/>
  <c r="H31"/>
  <c r="S14" i="55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Q292" i="56"/>
  <c r="N292"/>
  <c r="K292"/>
  <c r="E292"/>
  <c r="S291"/>
  <c r="U291" s="1"/>
  <c r="R291"/>
  <c r="O291"/>
  <c r="L291"/>
  <c r="I291"/>
  <c r="F29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K10" i="55"/>
  <c r="S40" i="56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Q134" i="59"/>
  <c r="N134"/>
  <c r="K134"/>
  <c r="H134"/>
  <c r="E134"/>
  <c r="S133"/>
  <c r="U133" s="1"/>
  <c r="R133"/>
  <c r="O133"/>
  <c r="L133"/>
  <c r="I133"/>
  <c r="F133"/>
  <c r="Q8" i="42"/>
  <c r="N8"/>
  <c r="K8"/>
  <c r="H8"/>
  <c r="E8"/>
  <c r="S7"/>
  <c r="U7" s="1"/>
  <c r="R7"/>
  <c r="O7"/>
  <c r="L7"/>
  <c r="I7"/>
  <c r="F7"/>
  <c r="S22" i="54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N17"/>
  <c r="N15"/>
  <c r="Q47" i="43"/>
  <c r="S42"/>
  <c r="U42" s="1"/>
  <c r="R42"/>
  <c r="O42"/>
  <c r="L42"/>
  <c r="I42"/>
  <c r="F42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T39" l="1"/>
  <c r="T11" i="55"/>
  <c r="V11" s="1"/>
  <c r="T98" i="29"/>
  <c r="H77" i="56"/>
  <c r="T14" i="55"/>
  <c r="V14" s="1"/>
  <c r="T60" i="56"/>
  <c r="V60" s="1"/>
  <c r="T18" i="54"/>
  <c r="V18" s="1"/>
  <c r="T20"/>
  <c r="V20" s="1"/>
  <c r="T22"/>
  <c r="V22" s="1"/>
  <c r="V39" i="43"/>
  <c r="T12" i="55"/>
  <c r="T17" i="38"/>
  <c r="V17" s="1"/>
  <c r="T19"/>
  <c r="T21"/>
  <c r="V21" s="1"/>
  <c r="T23"/>
  <c r="V23" s="1"/>
  <c r="T10" i="41"/>
  <c r="V10" s="1"/>
  <c r="T12"/>
  <c r="V12" s="1"/>
  <c r="T14"/>
  <c r="V14" s="1"/>
  <c r="V98" i="29"/>
  <c r="T24" i="47"/>
  <c r="V24" s="1"/>
  <c r="T26"/>
  <c r="V26" s="1"/>
  <c r="T23"/>
  <c r="V23" s="1"/>
  <c r="T38" i="56"/>
  <c r="V38" s="1"/>
  <c r="T21"/>
  <c r="V21" s="1"/>
  <c r="T68"/>
  <c r="V68" s="1"/>
  <c r="T70"/>
  <c r="V70" s="1"/>
  <c r="T69"/>
  <c r="T71"/>
  <c r="V71" s="1"/>
  <c r="V69"/>
  <c r="T25" i="47"/>
  <c r="V25" s="1"/>
  <c r="T9" i="41"/>
  <c r="V9" s="1"/>
  <c r="T11"/>
  <c r="V11" s="1"/>
  <c r="T13"/>
  <c r="V13" s="1"/>
  <c r="T15"/>
  <c r="V15" s="1"/>
  <c r="V19" i="38"/>
  <c r="T16"/>
  <c r="V16" s="1"/>
  <c r="T18"/>
  <c r="V18" s="1"/>
  <c r="T20"/>
  <c r="V20" s="1"/>
  <c r="T22"/>
  <c r="V22" s="1"/>
  <c r="T24"/>
  <c r="V24" s="1"/>
  <c r="V12" i="55"/>
  <c r="T13"/>
  <c r="V13" s="1"/>
  <c r="T291" i="56"/>
  <c r="V291" s="1"/>
  <c r="T39"/>
  <c r="V39" s="1"/>
  <c r="T22"/>
  <c r="V22" s="1"/>
  <c r="T24"/>
  <c r="V24" s="1"/>
  <c r="T26"/>
  <c r="V26" s="1"/>
  <c r="T28"/>
  <c r="V28" s="1"/>
  <c r="T30"/>
  <c r="V30" s="1"/>
  <c r="T23"/>
  <c r="V23" s="1"/>
  <c r="T25"/>
  <c r="V25" s="1"/>
  <c r="T27"/>
  <c r="V27" s="1"/>
  <c r="T29"/>
  <c r="V29" s="1"/>
  <c r="T40"/>
  <c r="V40" s="1"/>
  <c r="T133" i="59"/>
  <c r="V133" s="1"/>
  <c r="T7" i="42"/>
  <c r="V7" s="1"/>
  <c r="T19" i="54"/>
  <c r="V19" s="1"/>
  <c r="T21"/>
  <c r="V21" s="1"/>
  <c r="T40" i="43"/>
  <c r="V40" s="1"/>
  <c r="T42"/>
  <c r="V42" s="1"/>
  <c r="T41"/>
  <c r="V41" s="1"/>
  <c r="Q12" i="38"/>
  <c r="N12"/>
  <c r="K12"/>
  <c r="H12"/>
  <c r="E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45" i="43"/>
  <c r="S6"/>
  <c r="T8" i="38" l="1"/>
  <c r="V8" s="1"/>
  <c r="T10"/>
  <c r="V10" s="1"/>
  <c r="T7"/>
  <c r="V7" s="1"/>
  <c r="T9"/>
  <c r="V9" s="1"/>
  <c r="T11"/>
  <c r="V11" s="1"/>
  <c r="K32" i="56"/>
  <c r="H32"/>
  <c r="N32"/>
  <c r="Q32"/>
  <c r="H290"/>
  <c r="H292" s="1"/>
  <c r="Q8" i="48"/>
  <c r="N8"/>
  <c r="K8"/>
  <c r="H8"/>
  <c r="E8"/>
  <c r="S7"/>
  <c r="U7" s="1"/>
  <c r="R7"/>
  <c r="O7"/>
  <c r="L7"/>
  <c r="I7"/>
  <c r="F7"/>
  <c r="N47" i="43"/>
  <c r="T7" i="48" l="1"/>
  <c r="V7" s="1"/>
  <c r="K16" i="43"/>
  <c r="S7" i="54"/>
  <c r="U7" s="1"/>
  <c r="R7"/>
  <c r="O7"/>
  <c r="L7"/>
  <c r="I7"/>
  <c r="F7"/>
  <c r="F8"/>
  <c r="I8"/>
  <c r="L8"/>
  <c r="O8"/>
  <c r="R8"/>
  <c r="S8"/>
  <c r="U8" s="1"/>
  <c r="S26" i="43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T23" l="1"/>
  <c r="V23" s="1"/>
  <c r="T7" i="54"/>
  <c r="V7" s="1"/>
  <c r="T8"/>
  <c r="V8" s="1"/>
  <c r="T26" i="43"/>
  <c r="V26" s="1"/>
  <c r="T24"/>
  <c r="V24" s="1"/>
  <c r="T25"/>
  <c r="V25" s="1"/>
  <c r="S21" i="49" l="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71" i="43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R16" i="54"/>
  <c r="U45" i="43"/>
  <c r="S138" i="59"/>
  <c r="U138" s="1"/>
  <c r="S135"/>
  <c r="S132"/>
  <c r="S130"/>
  <c r="U130" s="1"/>
  <c r="S121"/>
  <c r="U121" s="1"/>
  <c r="S119"/>
  <c r="U119" s="1"/>
  <c r="S118"/>
  <c r="U118" s="1"/>
  <c r="S116"/>
  <c r="U116" s="1"/>
  <c r="S113"/>
  <c r="U113" s="1"/>
  <c r="S111"/>
  <c r="U111" s="1"/>
  <c r="S109"/>
  <c r="U109" s="1"/>
  <c r="S108"/>
  <c r="U108" s="1"/>
  <c r="S107"/>
  <c r="U107" s="1"/>
  <c r="S105"/>
  <c r="U105" s="1"/>
  <c r="S102"/>
  <c r="U102" s="1"/>
  <c r="S101"/>
  <c r="U101" s="1"/>
  <c r="S100"/>
  <c r="U100" s="1"/>
  <c r="S99"/>
  <c r="U99" s="1"/>
  <c r="S98"/>
  <c r="U98" s="1"/>
  <c r="S97"/>
  <c r="U97" s="1"/>
  <c r="S96"/>
  <c r="U96" s="1"/>
  <c r="S94"/>
  <c r="U94" s="1"/>
  <c r="S93"/>
  <c r="U93" s="1"/>
  <c r="S92"/>
  <c r="U92" s="1"/>
  <c r="S90"/>
  <c r="U90" s="1"/>
  <c r="S74"/>
  <c r="U74" s="1"/>
  <c r="S73"/>
  <c r="U73" s="1"/>
  <c r="S72"/>
  <c r="U72" s="1"/>
  <c r="S71"/>
  <c r="U71" s="1"/>
  <c r="S69"/>
  <c r="U69" s="1"/>
  <c r="S68"/>
  <c r="U68" s="1"/>
  <c r="S67"/>
  <c r="U67" s="1"/>
  <c r="S66"/>
  <c r="U66" s="1"/>
  <c r="S65"/>
  <c r="U65" s="1"/>
  <c r="S63"/>
  <c r="U63" s="1"/>
  <c r="S62"/>
  <c r="U62" s="1"/>
  <c r="S61"/>
  <c r="U61" s="1"/>
  <c r="S60"/>
  <c r="U60" s="1"/>
  <c r="S59"/>
  <c r="U59" s="1"/>
  <c r="S58"/>
  <c r="U58" s="1"/>
  <c r="S57"/>
  <c r="U57" s="1"/>
  <c r="S56"/>
  <c r="U56" s="1"/>
  <c r="S54"/>
  <c r="U54" s="1"/>
  <c r="S52"/>
  <c r="U52" s="1"/>
  <c r="S50"/>
  <c r="U50" s="1"/>
  <c r="S49"/>
  <c r="U49" s="1"/>
  <c r="S47"/>
  <c r="U47" s="1"/>
  <c r="S42"/>
  <c r="U42" s="1"/>
  <c r="S40"/>
  <c r="U40" s="1"/>
  <c r="S34"/>
  <c r="U34" s="1"/>
  <c r="S33"/>
  <c r="U33" s="1"/>
  <c r="S32"/>
  <c r="U32" s="1"/>
  <c r="S31"/>
  <c r="U31" s="1"/>
  <c r="S30"/>
  <c r="U30" s="1"/>
  <c r="S29"/>
  <c r="U29" s="1"/>
  <c r="S28"/>
  <c r="U28" s="1"/>
  <c r="S26"/>
  <c r="U26" s="1"/>
  <c r="S24"/>
  <c r="U24" s="1"/>
  <c r="S23"/>
  <c r="U23" s="1"/>
  <c r="S22"/>
  <c r="U22" s="1"/>
  <c r="S21"/>
  <c r="U21" s="1"/>
  <c r="S20"/>
  <c r="U20" s="1"/>
  <c r="S19"/>
  <c r="U19" s="1"/>
  <c r="S17"/>
  <c r="U17" s="1"/>
  <c r="S9"/>
  <c r="U9" s="1"/>
  <c r="S8"/>
  <c r="U8" s="1"/>
  <c r="S7"/>
  <c r="U7" s="1"/>
  <c r="S6"/>
  <c r="U6" s="1"/>
  <c r="S158"/>
  <c r="U158" s="1"/>
  <c r="S157"/>
  <c r="U157" s="1"/>
  <c r="S156"/>
  <c r="U156" s="1"/>
  <c r="S155"/>
  <c r="U155" s="1"/>
  <c r="S154"/>
  <c r="U154" s="1"/>
  <c r="S152"/>
  <c r="U152" s="1"/>
  <c r="S151"/>
  <c r="U151" s="1"/>
  <c r="S150"/>
  <c r="U150" s="1"/>
  <c r="S149"/>
  <c r="U149" s="1"/>
  <c r="S148"/>
  <c r="U148" s="1"/>
  <c r="S147"/>
  <c r="U147" s="1"/>
  <c r="S145"/>
  <c r="U145" s="1"/>
  <c r="S16" i="58"/>
  <c r="U16" s="1"/>
  <c r="S15"/>
  <c r="U15" s="1"/>
  <c r="S13"/>
  <c r="U13" s="1"/>
  <c r="S12"/>
  <c r="U12" s="1"/>
  <c r="S10"/>
  <c r="U10" s="1"/>
  <c r="S9"/>
  <c r="U9" s="1"/>
  <c r="S6"/>
  <c r="S7" i="57"/>
  <c r="U7" s="1"/>
  <c r="S6"/>
  <c r="U6" s="1"/>
  <c r="S317" i="56"/>
  <c r="U317" s="1"/>
  <c r="S315"/>
  <c r="U315" s="1"/>
  <c r="S306"/>
  <c r="S304"/>
  <c r="U304" s="1"/>
  <c r="S301"/>
  <c r="S299"/>
  <c r="U299" s="1"/>
  <c r="S296"/>
  <c r="S293"/>
  <c r="S290"/>
  <c r="S288"/>
  <c r="U288" s="1"/>
  <c r="S283"/>
  <c r="U283" s="1"/>
  <c r="S282"/>
  <c r="U282" s="1"/>
  <c r="S281"/>
  <c r="U281" s="1"/>
  <c r="S280"/>
  <c r="U280" s="1"/>
  <c r="S278"/>
  <c r="U278" s="1"/>
  <c r="S277"/>
  <c r="U277" s="1"/>
  <c r="S276"/>
  <c r="U276" s="1"/>
  <c r="S275"/>
  <c r="U275" s="1"/>
  <c r="S274"/>
  <c r="U274" s="1"/>
  <c r="S273"/>
  <c r="U273" s="1"/>
  <c r="S272"/>
  <c r="U272" s="1"/>
  <c r="S271"/>
  <c r="U271" s="1"/>
  <c r="S270"/>
  <c r="U270" s="1"/>
  <c r="S269"/>
  <c r="U269" s="1"/>
  <c r="S267"/>
  <c r="U267" s="1"/>
  <c r="S266"/>
  <c r="U266" s="1"/>
  <c r="S264"/>
  <c r="U264" s="1"/>
  <c r="S263"/>
  <c r="U263" s="1"/>
  <c r="S262"/>
  <c r="U262" s="1"/>
  <c r="S261"/>
  <c r="U261" s="1"/>
  <c r="S260"/>
  <c r="U260" s="1"/>
  <c r="S259"/>
  <c r="U259" s="1"/>
  <c r="S258"/>
  <c r="U258" s="1"/>
  <c r="S257"/>
  <c r="U257" s="1"/>
  <c r="S255"/>
  <c r="U255" s="1"/>
  <c r="S253"/>
  <c r="U253" s="1"/>
  <c r="S251"/>
  <c r="U251" s="1"/>
  <c r="S250"/>
  <c r="U250" s="1"/>
  <c r="S249"/>
  <c r="U249" s="1"/>
  <c r="S248"/>
  <c r="U248" s="1"/>
  <c r="S247"/>
  <c r="U247" s="1"/>
  <c r="S246"/>
  <c r="U246" s="1"/>
  <c r="S245"/>
  <c r="U245" s="1"/>
  <c r="S243"/>
  <c r="U243" s="1"/>
  <c r="S235"/>
  <c r="U235" s="1"/>
  <c r="S234"/>
  <c r="U234" s="1"/>
  <c r="S233"/>
  <c r="U233" s="1"/>
  <c r="S232"/>
  <c r="U232" s="1"/>
  <c r="S231"/>
  <c r="U231" s="1"/>
  <c r="S229"/>
  <c r="U229" s="1"/>
  <c r="S227"/>
  <c r="U227" s="1"/>
  <c r="S225"/>
  <c r="U225" s="1"/>
  <c r="S223"/>
  <c r="U223" s="1"/>
  <c r="S216"/>
  <c r="U216" s="1"/>
  <c r="S215"/>
  <c r="U215" s="1"/>
  <c r="S214"/>
  <c r="U214" s="1"/>
  <c r="S213"/>
  <c r="U213" s="1"/>
  <c r="S212"/>
  <c r="U212" s="1"/>
  <c r="S210"/>
  <c r="U210" s="1"/>
  <c r="S204"/>
  <c r="U204" s="1"/>
  <c r="S203"/>
  <c r="U203" s="1"/>
  <c r="S202"/>
  <c r="U202" s="1"/>
  <c r="S201"/>
  <c r="U201" s="1"/>
  <c r="S200"/>
  <c r="U200" s="1"/>
  <c r="S199"/>
  <c r="U199" s="1"/>
  <c r="S198"/>
  <c r="U198" s="1"/>
  <c r="S197"/>
  <c r="U197" s="1"/>
  <c r="S196"/>
  <c r="U196" s="1"/>
  <c r="S195"/>
  <c r="U195" s="1"/>
  <c r="S193"/>
  <c r="U193" s="1"/>
  <c r="S187"/>
  <c r="U187" s="1"/>
  <c r="S186"/>
  <c r="U186" s="1"/>
  <c r="S185"/>
  <c r="U185" s="1"/>
  <c r="S184"/>
  <c r="U184" s="1"/>
  <c r="S183"/>
  <c r="U183" s="1"/>
  <c r="S178"/>
  <c r="S176"/>
  <c r="U176" s="1"/>
  <c r="S174"/>
  <c r="U174" s="1"/>
  <c r="S173"/>
  <c r="U173" s="1"/>
  <c r="S172"/>
  <c r="U172" s="1"/>
  <c r="S170"/>
  <c r="U170" s="1"/>
  <c r="S161"/>
  <c r="U161" s="1"/>
  <c r="S159"/>
  <c r="U159" s="1"/>
  <c r="S153"/>
  <c r="U153" s="1"/>
  <c r="S152"/>
  <c r="U152" s="1"/>
  <c r="S151"/>
  <c r="U151" s="1"/>
  <c r="S149"/>
  <c r="U149" s="1"/>
  <c r="S148"/>
  <c r="U148" s="1"/>
  <c r="S147"/>
  <c r="U147" s="1"/>
  <c r="S145"/>
  <c r="U145" s="1"/>
  <c r="S139"/>
  <c r="U139" s="1"/>
  <c r="S138"/>
  <c r="U138" s="1"/>
  <c r="S137"/>
  <c r="U137" s="1"/>
  <c r="S136"/>
  <c r="U136" s="1"/>
  <c r="S135"/>
  <c r="U135" s="1"/>
  <c r="S134"/>
  <c r="U134" s="1"/>
  <c r="S132"/>
  <c r="U132" s="1"/>
  <c r="S130"/>
  <c r="U130" s="1"/>
  <c r="S124"/>
  <c r="U124" s="1"/>
  <c r="S123"/>
  <c r="U123" s="1"/>
  <c r="S122"/>
  <c r="U122" s="1"/>
  <c r="S121"/>
  <c r="U121" s="1"/>
  <c r="S120"/>
  <c r="U120" s="1"/>
  <c r="S119"/>
  <c r="U119" s="1"/>
  <c r="S117"/>
  <c r="U117" s="1"/>
  <c r="S112"/>
  <c r="U112" s="1"/>
  <c r="S111"/>
  <c r="U111" s="1"/>
  <c r="S110"/>
  <c r="U110" s="1"/>
  <c r="S109"/>
  <c r="U109" s="1"/>
  <c r="S107"/>
  <c r="U107" s="1"/>
  <c r="S106"/>
  <c r="U106" s="1"/>
  <c r="S105"/>
  <c r="U105" s="1"/>
  <c r="S104"/>
  <c r="U104" s="1"/>
  <c r="S103"/>
  <c r="U103" s="1"/>
  <c r="S102"/>
  <c r="U102" s="1"/>
  <c r="S100"/>
  <c r="U100" s="1"/>
  <c r="S93"/>
  <c r="U93" s="1"/>
  <c r="S92"/>
  <c r="U92" s="1"/>
  <c r="S91"/>
  <c r="U91" s="1"/>
  <c r="S90"/>
  <c r="U90" s="1"/>
  <c r="S89"/>
  <c r="U89" s="1"/>
  <c r="S87"/>
  <c r="U87" s="1"/>
  <c r="S84"/>
  <c r="U84" s="1"/>
  <c r="S83"/>
  <c r="U83" s="1"/>
  <c r="S82"/>
  <c r="U82" s="1"/>
  <c r="S81"/>
  <c r="U81" s="1"/>
  <c r="S80"/>
  <c r="U80" s="1"/>
  <c r="S79"/>
  <c r="U79" s="1"/>
  <c r="S78"/>
  <c r="U78" s="1"/>
  <c r="S76"/>
  <c r="U76" s="1"/>
  <c r="S67"/>
  <c r="U67" s="1"/>
  <c r="S66"/>
  <c r="U66" s="1"/>
  <c r="S65"/>
  <c r="U65" s="1"/>
  <c r="S64"/>
  <c r="U64" s="1"/>
  <c r="S63"/>
  <c r="U63" s="1"/>
  <c r="S62"/>
  <c r="U62" s="1"/>
  <c r="S59"/>
  <c r="S57"/>
  <c r="U57" s="1"/>
  <c r="S50"/>
  <c r="U50" s="1"/>
  <c r="S49"/>
  <c r="U49" s="1"/>
  <c r="S48"/>
  <c r="U48" s="1"/>
  <c r="S47"/>
  <c r="U47" s="1"/>
  <c r="S46"/>
  <c r="U46" s="1"/>
  <c r="S45"/>
  <c r="U45" s="1"/>
  <c r="S44"/>
  <c r="U44" s="1"/>
  <c r="S43"/>
  <c r="U43" s="1"/>
  <c r="S41"/>
  <c r="U41" s="1"/>
  <c r="S37"/>
  <c r="U37" s="1"/>
  <c r="S36"/>
  <c r="U36" s="1"/>
  <c r="S35"/>
  <c r="U35" s="1"/>
  <c r="S34"/>
  <c r="U34" s="1"/>
  <c r="S33"/>
  <c r="U33" s="1"/>
  <c r="S336"/>
  <c r="U336" s="1"/>
  <c r="S335"/>
  <c r="U335" s="1"/>
  <c r="S334"/>
  <c r="U334" s="1"/>
  <c r="S333"/>
  <c r="U333" s="1"/>
  <c r="S332"/>
  <c r="U332" s="1"/>
  <c r="S331"/>
  <c r="U331" s="1"/>
  <c r="S330"/>
  <c r="U330" s="1"/>
  <c r="S329"/>
  <c r="U329" s="1"/>
  <c r="S328"/>
  <c r="U328" s="1"/>
  <c r="S327"/>
  <c r="U327" s="1"/>
  <c r="S326"/>
  <c r="U326" s="1"/>
  <c r="S31"/>
  <c r="U31" s="1"/>
  <c r="S20"/>
  <c r="U20" s="1"/>
  <c r="S19"/>
  <c r="U19" s="1"/>
  <c r="S18"/>
  <c r="U18" s="1"/>
  <c r="S17"/>
  <c r="U17" s="1"/>
  <c r="S16"/>
  <c r="U16" s="1"/>
  <c r="S15"/>
  <c r="U15" s="1"/>
  <c r="S14"/>
  <c r="U14" s="1"/>
  <c r="S13"/>
  <c r="U13" s="1"/>
  <c r="S12"/>
  <c r="S10"/>
  <c r="U10" s="1"/>
  <c r="S9"/>
  <c r="U9" s="1"/>
  <c r="S8"/>
  <c r="U8" s="1"/>
  <c r="S7"/>
  <c r="U7" s="1"/>
  <c r="S6"/>
  <c r="U6" s="1"/>
  <c r="S195" i="47"/>
  <c r="S193"/>
  <c r="U193" s="1"/>
  <c r="S191"/>
  <c r="U191" s="1"/>
  <c r="S190"/>
  <c r="U190" s="1"/>
  <c r="S189"/>
  <c r="U189" s="1"/>
  <c r="S187"/>
  <c r="U187" s="1"/>
  <c r="S179"/>
  <c r="U179" s="1"/>
  <c r="S178"/>
  <c r="U178" s="1"/>
  <c r="S176"/>
  <c r="U176" s="1"/>
  <c r="S175"/>
  <c r="U175" s="1"/>
  <c r="S174"/>
  <c r="U174" s="1"/>
  <c r="S173"/>
  <c r="U173" s="1"/>
  <c r="S172"/>
  <c r="U172" s="1"/>
  <c r="S171"/>
  <c r="U171" s="1"/>
  <c r="S170"/>
  <c r="U170" s="1"/>
  <c r="S169"/>
  <c r="U169" s="1"/>
  <c r="S167"/>
  <c r="U167" s="1"/>
  <c r="S164"/>
  <c r="U164" s="1"/>
  <c r="S163"/>
  <c r="U163" s="1"/>
  <c r="S162"/>
  <c r="U162" s="1"/>
  <c r="S161"/>
  <c r="U161" s="1"/>
  <c r="S159"/>
  <c r="U159" s="1"/>
  <c r="S157"/>
  <c r="U157" s="1"/>
  <c r="S155"/>
  <c r="U155" s="1"/>
  <c r="S153"/>
  <c r="U153" s="1"/>
  <c r="S150"/>
  <c r="U150" s="1"/>
  <c r="S149"/>
  <c r="U149" s="1"/>
  <c r="S148"/>
  <c r="U148" s="1"/>
  <c r="S146"/>
  <c r="U146" s="1"/>
  <c r="S145"/>
  <c r="U145" s="1"/>
  <c r="S144"/>
  <c r="U144" s="1"/>
  <c r="S142"/>
  <c r="U142" s="1"/>
  <c r="S125"/>
  <c r="U125" s="1"/>
  <c r="S124"/>
  <c r="U124" s="1"/>
  <c r="U123"/>
  <c r="S121"/>
  <c r="U121" s="1"/>
  <c r="S118"/>
  <c r="U118" s="1"/>
  <c r="S117"/>
  <c r="U117" s="1"/>
  <c r="S116"/>
  <c r="U116" s="1"/>
  <c r="S108"/>
  <c r="S106"/>
  <c r="U106" s="1"/>
  <c r="S105"/>
  <c r="U105" s="1"/>
  <c r="S104"/>
  <c r="U104" s="1"/>
  <c r="S103"/>
  <c r="U103" s="1"/>
  <c r="S102"/>
  <c r="U102" s="1"/>
  <c r="S100"/>
  <c r="U100" s="1"/>
  <c r="S93"/>
  <c r="U93" s="1"/>
  <c r="S92"/>
  <c r="U92" s="1"/>
  <c r="S90"/>
  <c r="U90" s="1"/>
  <c r="S89"/>
  <c r="U89" s="1"/>
  <c r="U87"/>
  <c r="S81"/>
  <c r="U81" s="1"/>
  <c r="S80"/>
  <c r="U80" s="1"/>
  <c r="S78"/>
  <c r="U78" s="1"/>
  <c r="S77"/>
  <c r="U77" s="1"/>
  <c r="S76"/>
  <c r="U76" s="1"/>
  <c r="S75"/>
  <c r="U75" s="1"/>
  <c r="S74"/>
  <c r="U74" s="1"/>
  <c r="S73"/>
  <c r="U73" s="1"/>
  <c r="S71"/>
  <c r="U71" s="1"/>
  <c r="S65"/>
  <c r="U65" s="1"/>
  <c r="S64"/>
  <c r="U64" s="1"/>
  <c r="S63"/>
  <c r="U63" s="1"/>
  <c r="S62"/>
  <c r="U62" s="1"/>
  <c r="S60"/>
  <c r="U60" s="1"/>
  <c r="S56"/>
  <c r="U56" s="1"/>
  <c r="S55"/>
  <c r="U55" s="1"/>
  <c r="S54"/>
  <c r="U54" s="1"/>
  <c r="S53"/>
  <c r="U53" s="1"/>
  <c r="S51"/>
  <c r="U51" s="1"/>
  <c r="S45"/>
  <c r="U45" s="1"/>
  <c r="S44"/>
  <c r="U44" s="1"/>
  <c r="S43"/>
  <c r="U43" s="1"/>
  <c r="S42"/>
  <c r="U42" s="1"/>
  <c r="S41"/>
  <c r="U41" s="1"/>
  <c r="S40"/>
  <c r="U40" s="1"/>
  <c r="S39"/>
  <c r="U39" s="1"/>
  <c r="S37"/>
  <c r="U37" s="1"/>
  <c r="S35"/>
  <c r="U35" s="1"/>
  <c r="S34"/>
  <c r="U34" s="1"/>
  <c r="S33"/>
  <c r="U33" s="1"/>
  <c r="S32"/>
  <c r="U32" s="1"/>
  <c r="S31"/>
  <c r="U31" s="1"/>
  <c r="S30"/>
  <c r="U30" s="1"/>
  <c r="S29"/>
  <c r="U29" s="1"/>
  <c r="S27"/>
  <c r="U27" s="1"/>
  <c r="S22"/>
  <c r="U22" s="1"/>
  <c r="S21"/>
  <c r="U21" s="1"/>
  <c r="S20"/>
  <c r="U20" s="1"/>
  <c r="S19"/>
  <c r="U19" s="1"/>
  <c r="S18"/>
  <c r="U18" s="1"/>
  <c r="S17"/>
  <c r="U17" s="1"/>
  <c r="S16"/>
  <c r="U16" s="1"/>
  <c r="S15"/>
  <c r="U15" s="1"/>
  <c r="S13"/>
  <c r="U13" s="1"/>
  <c r="S9"/>
  <c r="U9" s="1"/>
  <c r="S8"/>
  <c r="U8" s="1"/>
  <c r="S7"/>
  <c r="U7" s="1"/>
  <c r="S6"/>
  <c r="U6" s="1"/>
  <c r="S32" i="46"/>
  <c r="U32" s="1"/>
  <c r="S28"/>
  <c r="U28" s="1"/>
  <c r="S24"/>
  <c r="S21"/>
  <c r="S13"/>
  <c r="S11"/>
  <c r="U11" s="1"/>
  <c r="S8"/>
  <c r="S6"/>
  <c r="U6" s="1"/>
  <c r="S182" i="55"/>
  <c r="U182" s="1"/>
  <c r="S177"/>
  <c r="U177" s="1"/>
  <c r="S167"/>
  <c r="S165"/>
  <c r="U165" s="1"/>
  <c r="S158"/>
  <c r="U158" s="1"/>
  <c r="S157"/>
  <c r="U157" s="1"/>
  <c r="S155"/>
  <c r="U155" s="1"/>
  <c r="S151"/>
  <c r="U151" s="1"/>
  <c r="S150"/>
  <c r="U150" s="1"/>
  <c r="S148"/>
  <c r="U148" s="1"/>
  <c r="S146"/>
  <c r="U146" s="1"/>
  <c r="S140"/>
  <c r="S138"/>
  <c r="U138" s="1"/>
  <c r="S137"/>
  <c r="U137" s="1"/>
  <c r="S136"/>
  <c r="U136" s="1"/>
  <c r="S135"/>
  <c r="U135" s="1"/>
  <c r="S133"/>
  <c r="U133" s="1"/>
  <c r="S126"/>
  <c r="U126" s="1"/>
  <c r="S125"/>
  <c r="U125" s="1"/>
  <c r="S124"/>
  <c r="U124" s="1"/>
  <c r="S123"/>
  <c r="U123" s="1"/>
  <c r="S121"/>
  <c r="U121" s="1"/>
  <c r="S120"/>
  <c r="U120" s="1"/>
  <c r="S119"/>
  <c r="U119" s="1"/>
  <c r="S118"/>
  <c r="U118" s="1"/>
  <c r="S117"/>
  <c r="U117" s="1"/>
  <c r="S115"/>
  <c r="U115" s="1"/>
  <c r="S114"/>
  <c r="U114" s="1"/>
  <c r="S112"/>
  <c r="U112" s="1"/>
  <c r="S107"/>
  <c r="U107" s="1"/>
  <c r="S106"/>
  <c r="U106" s="1"/>
  <c r="S104"/>
  <c r="U104" s="1"/>
  <c r="S101"/>
  <c r="U101" s="1"/>
  <c r="S99"/>
  <c r="U99" s="1"/>
  <c r="S84"/>
  <c r="U84" s="1"/>
  <c r="S83"/>
  <c r="U83" s="1"/>
  <c r="S82"/>
  <c r="U82" s="1"/>
  <c r="S81"/>
  <c r="U81" s="1"/>
  <c r="S79"/>
  <c r="U79" s="1"/>
  <c r="S70"/>
  <c r="U70" s="1"/>
  <c r="S69"/>
  <c r="U69" s="1"/>
  <c r="S67"/>
  <c r="U67" s="1"/>
  <c r="S61"/>
  <c r="U61" s="1"/>
  <c r="S60"/>
  <c r="U60" s="1"/>
  <c r="S59"/>
  <c r="U59" s="1"/>
  <c r="S57"/>
  <c r="U57" s="1"/>
  <c r="S46"/>
  <c r="U46" s="1"/>
  <c r="S45"/>
  <c r="U45" s="1"/>
  <c r="S44"/>
  <c r="U44" s="1"/>
  <c r="S43"/>
  <c r="U43" s="1"/>
  <c r="S42"/>
  <c r="U42" s="1"/>
  <c r="S40"/>
  <c r="U40" s="1"/>
  <c r="S32"/>
  <c r="U32" s="1"/>
  <c r="S31"/>
  <c r="U31" s="1"/>
  <c r="S30"/>
  <c r="U30" s="1"/>
  <c r="S29"/>
  <c r="U29" s="1"/>
  <c r="S28"/>
  <c r="U28" s="1"/>
  <c r="S27"/>
  <c r="U27" s="1"/>
  <c r="S26"/>
  <c r="U26" s="1"/>
  <c r="S24"/>
  <c r="U24" s="1"/>
  <c r="S23"/>
  <c r="U23" s="1"/>
  <c r="S22"/>
  <c r="U22" s="1"/>
  <c r="S21"/>
  <c r="U21" s="1"/>
  <c r="S20"/>
  <c r="U20" s="1"/>
  <c r="S19"/>
  <c r="U19" s="1"/>
  <c r="S18"/>
  <c r="U18" s="1"/>
  <c r="S17"/>
  <c r="U17" s="1"/>
  <c r="S15"/>
  <c r="U15" s="1"/>
  <c r="S10"/>
  <c r="U10" s="1"/>
  <c r="S9"/>
  <c r="U9" s="1"/>
  <c r="S8"/>
  <c r="U8" s="1"/>
  <c r="S7"/>
  <c r="U7" s="1"/>
  <c r="S6"/>
  <c r="U6" s="1"/>
  <c r="S202"/>
  <c r="U202" s="1"/>
  <c r="S201"/>
  <c r="U201" s="1"/>
  <c r="S200"/>
  <c r="U200" s="1"/>
  <c r="S199"/>
  <c r="U199" s="1"/>
  <c r="S198"/>
  <c r="U198" s="1"/>
  <c r="S197"/>
  <c r="U197" s="1"/>
  <c r="S196"/>
  <c r="U196" s="1"/>
  <c r="S195"/>
  <c r="U195" s="1"/>
  <c r="S194"/>
  <c r="U194" s="1"/>
  <c r="S192"/>
  <c r="U192" s="1"/>
  <c r="S191"/>
  <c r="U191" s="1"/>
  <c r="S190"/>
  <c r="U190" s="1"/>
  <c r="S189"/>
  <c r="U189" s="1"/>
  <c r="S90" i="54"/>
  <c r="U90" s="1"/>
  <c r="S79"/>
  <c r="U79" s="1"/>
  <c r="S78"/>
  <c r="U78" s="1"/>
  <c r="S77"/>
  <c r="U77" s="1"/>
  <c r="S76"/>
  <c r="U76" s="1"/>
  <c r="S75"/>
  <c r="U75" s="1"/>
  <c r="S74"/>
  <c r="U74" s="1"/>
  <c r="S72"/>
  <c r="U72" s="1"/>
  <c r="S70"/>
  <c r="U70" s="1"/>
  <c r="S69"/>
  <c r="U69" s="1"/>
  <c r="S67"/>
  <c r="U67" s="1"/>
  <c r="S60"/>
  <c r="U60" s="1"/>
  <c r="S59"/>
  <c r="U59" s="1"/>
  <c r="S57"/>
  <c r="U57" s="1"/>
  <c r="S55"/>
  <c r="U55" s="1"/>
  <c r="S48"/>
  <c r="U48" s="1"/>
  <c r="S47"/>
  <c r="U47" s="1"/>
  <c r="S46"/>
  <c r="U46" s="1"/>
  <c r="S45"/>
  <c r="U45" s="1"/>
  <c r="S44"/>
  <c r="U44" s="1"/>
  <c r="S43"/>
  <c r="U43" s="1"/>
  <c r="S41"/>
  <c r="U41" s="1"/>
  <c r="S36"/>
  <c r="U36" s="1"/>
  <c r="U32"/>
  <c r="U35" s="1"/>
  <c r="S30"/>
  <c r="U30" s="1"/>
  <c r="S28"/>
  <c r="U28" s="1"/>
  <c r="S25"/>
  <c r="U25" s="1"/>
  <c r="S23"/>
  <c r="U23" s="1"/>
  <c r="S16"/>
  <c r="U16" s="1"/>
  <c r="S15"/>
  <c r="U15" s="1"/>
  <c r="U14"/>
  <c r="S12"/>
  <c r="U12" s="1"/>
  <c r="S11"/>
  <c r="U11" s="1"/>
  <c r="S10"/>
  <c r="U10" s="1"/>
  <c r="S6"/>
  <c r="U6" s="1"/>
  <c r="S11" i="45"/>
  <c r="U11" s="1"/>
  <c r="S10"/>
  <c r="U10" s="1"/>
  <c r="S6"/>
  <c r="U6" s="1"/>
  <c r="S14" i="44"/>
  <c r="U14" s="1"/>
  <c r="S12"/>
  <c r="U12" s="1"/>
  <c r="S10"/>
  <c r="U10" s="1"/>
  <c r="S8"/>
  <c r="U8" s="1"/>
  <c r="S6"/>
  <c r="U6" s="1"/>
  <c r="S74" i="43"/>
  <c r="U74" s="1"/>
  <c r="S72"/>
  <c r="U72" s="1"/>
  <c r="S68"/>
  <c r="U68" s="1"/>
  <c r="S67"/>
  <c r="U67" s="1"/>
  <c r="S66"/>
  <c r="U66" s="1"/>
  <c r="S65"/>
  <c r="U65" s="1"/>
  <c r="S63"/>
  <c r="U63" s="1"/>
  <c r="S62"/>
  <c r="U62" s="1"/>
  <c r="S61"/>
  <c r="U61" s="1"/>
  <c r="S60"/>
  <c r="U60" s="1"/>
  <c r="S59"/>
  <c r="U59" s="1"/>
  <c r="S58"/>
  <c r="U58" s="1"/>
  <c r="S56"/>
  <c r="U56" s="1"/>
  <c r="S54"/>
  <c r="U54" s="1"/>
  <c r="S53"/>
  <c r="U53" s="1"/>
  <c r="S50"/>
  <c r="U50" s="1"/>
  <c r="S48"/>
  <c r="U48" s="1"/>
  <c r="S47"/>
  <c r="U47" s="1"/>
  <c r="S46"/>
  <c r="U46" s="1"/>
  <c r="S43"/>
  <c r="U43" s="1"/>
  <c r="S38"/>
  <c r="U38" s="1"/>
  <c r="S37"/>
  <c r="U37" s="1"/>
  <c r="S36"/>
  <c r="U36" s="1"/>
  <c r="S35"/>
  <c r="U35" s="1"/>
  <c r="S34"/>
  <c r="U34" s="1"/>
  <c r="S33"/>
  <c r="U33" s="1"/>
  <c r="S32"/>
  <c r="U32" s="1"/>
  <c r="S31"/>
  <c r="U31" s="1"/>
  <c r="S30"/>
  <c r="U30" s="1"/>
  <c r="S29"/>
  <c r="U29" s="1"/>
  <c r="S27"/>
  <c r="U27" s="1"/>
  <c r="S22"/>
  <c r="U22" s="1"/>
  <c r="S21"/>
  <c r="U21" s="1"/>
  <c r="S20"/>
  <c r="U20" s="1"/>
  <c r="S19"/>
  <c r="U19" s="1"/>
  <c r="S18"/>
  <c r="U18" s="1"/>
  <c r="S17"/>
  <c r="U17" s="1"/>
  <c r="S16"/>
  <c r="U16" s="1"/>
  <c r="S15"/>
  <c r="U15" s="1"/>
  <c r="S13"/>
  <c r="U13" s="1"/>
  <c r="S12"/>
  <c r="U12" s="1"/>
  <c r="S11"/>
  <c r="U11" s="1"/>
  <c r="S9"/>
  <c r="U9" s="1"/>
  <c r="S7"/>
  <c r="U7" s="1"/>
  <c r="U6"/>
  <c r="S13" i="42"/>
  <c r="U13" s="1"/>
  <c r="S12"/>
  <c r="U12" s="1"/>
  <c r="S10"/>
  <c r="U10" s="1"/>
  <c r="S9"/>
  <c r="U9" s="1"/>
  <c r="S6"/>
  <c r="S8" i="41"/>
  <c r="S16" s="1"/>
  <c r="S6"/>
  <c r="U6" s="1"/>
  <c r="S8" i="53"/>
  <c r="U8" s="1"/>
  <c r="S7"/>
  <c r="U7" s="1"/>
  <c r="S6"/>
  <c r="U6" s="1"/>
  <c r="S19" i="40"/>
  <c r="U19" s="1"/>
  <c r="S18"/>
  <c r="U18" s="1"/>
  <c r="S17"/>
  <c r="U17" s="1"/>
  <c r="S15"/>
  <c r="U15" s="1"/>
  <c r="S14"/>
  <c r="U14" s="1"/>
  <c r="S13"/>
  <c r="U13" s="1"/>
  <c r="S12"/>
  <c r="U12" s="1"/>
  <c r="S11"/>
  <c r="U11" s="1"/>
  <c r="S10"/>
  <c r="U10" s="1"/>
  <c r="S8"/>
  <c r="U8" s="1"/>
  <c r="S6"/>
  <c r="S6" i="39"/>
  <c r="R6"/>
  <c r="R6" i="46"/>
  <c r="S10" i="48"/>
  <c r="U10" s="1"/>
  <c r="R10"/>
  <c r="O10"/>
  <c r="L10"/>
  <c r="I10"/>
  <c r="F10"/>
  <c r="R14" i="40"/>
  <c r="O14"/>
  <c r="L14"/>
  <c r="I14"/>
  <c r="F14"/>
  <c r="R13"/>
  <c r="O13"/>
  <c r="L13"/>
  <c r="I13"/>
  <c r="T13" s="1"/>
  <c r="V13" s="1"/>
  <c r="F13"/>
  <c r="R12"/>
  <c r="O12"/>
  <c r="L12"/>
  <c r="I12"/>
  <c r="F12"/>
  <c r="R11"/>
  <c r="O11"/>
  <c r="L11"/>
  <c r="I11"/>
  <c r="T11" s="1"/>
  <c r="V11" s="1"/>
  <c r="F11"/>
  <c r="K17" i="54"/>
  <c r="R18" i="40"/>
  <c r="O18"/>
  <c r="L18"/>
  <c r="I18"/>
  <c r="T18" s="1"/>
  <c r="V18" s="1"/>
  <c r="F18"/>
  <c r="K17" i="48"/>
  <c r="H17"/>
  <c r="H17" i="54"/>
  <c r="T10" i="48" l="1"/>
  <c r="U8" i="41"/>
  <c r="U16" s="1"/>
  <c r="U195" i="47"/>
  <c r="U197" s="1"/>
  <c r="S197"/>
  <c r="U301" i="56"/>
  <c r="U303" s="1"/>
  <c r="S303"/>
  <c r="U306"/>
  <c r="U314" s="1"/>
  <c r="S314"/>
  <c r="T12" i="40"/>
  <c r="V12" s="1"/>
  <c r="T14"/>
  <c r="V14" s="1"/>
  <c r="T14" i="49"/>
  <c r="V14" s="1"/>
  <c r="T16"/>
  <c r="V16" s="1"/>
  <c r="T18"/>
  <c r="V18" s="1"/>
  <c r="T20"/>
  <c r="V20" s="1"/>
  <c r="U178" i="56"/>
  <c r="U182" s="1"/>
  <c r="S182"/>
  <c r="U296"/>
  <c r="U298" s="1"/>
  <c r="S298"/>
  <c r="U6" i="58"/>
  <c r="U8" s="1"/>
  <c r="S8"/>
  <c r="U132" i="59"/>
  <c r="U134" s="1"/>
  <c r="S134"/>
  <c r="U135"/>
  <c r="U137" s="1"/>
  <c r="S137"/>
  <c r="T69" i="43"/>
  <c r="V69" s="1"/>
  <c r="U6" i="42"/>
  <c r="U8" s="1"/>
  <c r="S8"/>
  <c r="U140" i="55"/>
  <c r="U145" s="1"/>
  <c r="S145"/>
  <c r="U167"/>
  <c r="U176" s="1"/>
  <c r="S176"/>
  <c r="U8" i="46"/>
  <c r="U10" s="1"/>
  <c r="S10"/>
  <c r="U13"/>
  <c r="U20" s="1"/>
  <c r="S20"/>
  <c r="U21"/>
  <c r="U23" s="1"/>
  <c r="S23"/>
  <c r="U24"/>
  <c r="U27" s="1"/>
  <c r="S27"/>
  <c r="U59" i="56"/>
  <c r="U61" s="1"/>
  <c r="S61"/>
  <c r="U293"/>
  <c r="U295" s="1"/>
  <c r="S295"/>
  <c r="S17" i="54"/>
  <c r="U17" s="1"/>
  <c r="U108" i="47"/>
  <c r="U115" s="1"/>
  <c r="S115"/>
  <c r="U290" i="56"/>
  <c r="U292" s="1"/>
  <c r="S292"/>
  <c r="U12"/>
  <c r="U32" s="1"/>
  <c r="S32"/>
  <c r="V10" i="48"/>
  <c r="T15" i="49"/>
  <c r="T17"/>
  <c r="T19"/>
  <c r="T21"/>
  <c r="V15"/>
  <c r="V17"/>
  <c r="V19"/>
  <c r="V21"/>
  <c r="T71" i="43"/>
  <c r="V71" s="1"/>
  <c r="T70"/>
  <c r="V70" s="1"/>
  <c r="Q16" i="40"/>
  <c r="N16"/>
  <c r="K16"/>
  <c r="H16"/>
  <c r="E16"/>
  <c r="R15"/>
  <c r="O15"/>
  <c r="L15"/>
  <c r="I15"/>
  <c r="F15"/>
  <c r="S13" i="49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6" i="48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R12" i="43"/>
  <c r="O12"/>
  <c r="L12"/>
  <c r="I12"/>
  <c r="F12"/>
  <c r="R11"/>
  <c r="O11"/>
  <c r="L11"/>
  <c r="I11"/>
  <c r="F11"/>
  <c r="K8"/>
  <c r="S8" s="1"/>
  <c r="U8" s="1"/>
  <c r="S8" i="60"/>
  <c r="U8" s="1"/>
  <c r="R8"/>
  <c r="O8"/>
  <c r="L8"/>
  <c r="I8"/>
  <c r="F8"/>
  <c r="S7"/>
  <c r="U7" s="1"/>
  <c r="R7"/>
  <c r="O7"/>
  <c r="L7"/>
  <c r="I7"/>
  <c r="F7"/>
  <c r="Q10"/>
  <c r="Q11" s="1"/>
  <c r="N10"/>
  <c r="N11" s="1"/>
  <c r="K10"/>
  <c r="K11" s="1"/>
  <c r="H10"/>
  <c r="H11" s="1"/>
  <c r="E10"/>
  <c r="E11" s="1"/>
  <c r="S9"/>
  <c r="U9" s="1"/>
  <c r="R9"/>
  <c r="O9"/>
  <c r="L9"/>
  <c r="I9"/>
  <c r="F9"/>
  <c r="S6"/>
  <c r="R6"/>
  <c r="O6"/>
  <c r="L6"/>
  <c r="I6"/>
  <c r="F6"/>
  <c r="S3"/>
  <c r="U3" s="1"/>
  <c r="R3"/>
  <c r="O3"/>
  <c r="L3"/>
  <c r="I3"/>
  <c r="F3"/>
  <c r="P1"/>
  <c r="U2" s="1"/>
  <c r="R62" i="43"/>
  <c r="O62"/>
  <c r="L62"/>
  <c r="I62"/>
  <c r="F62"/>
  <c r="R61"/>
  <c r="O61"/>
  <c r="L61"/>
  <c r="I61"/>
  <c r="F61"/>
  <c r="R60"/>
  <c r="O60"/>
  <c r="L60"/>
  <c r="I60"/>
  <c r="F60"/>
  <c r="R59"/>
  <c r="O59"/>
  <c r="L59"/>
  <c r="I59"/>
  <c r="F59"/>
  <c r="R58"/>
  <c r="O58"/>
  <c r="L58"/>
  <c r="I58"/>
  <c r="F58"/>
  <c r="R57"/>
  <c r="O57"/>
  <c r="K57"/>
  <c r="S57" s="1"/>
  <c r="U57" s="1"/>
  <c r="I57"/>
  <c r="F57"/>
  <c r="K55"/>
  <c r="S55" s="1"/>
  <c r="U55" s="1"/>
  <c r="K52"/>
  <c r="S52" s="1"/>
  <c r="U52" s="1"/>
  <c r="H10"/>
  <c r="S10" s="1"/>
  <c r="U10" s="1"/>
  <c r="S35" i="39"/>
  <c r="S34"/>
  <c r="S33"/>
  <c r="S31"/>
  <c r="S30"/>
  <c r="S29"/>
  <c r="S28"/>
  <c r="S26"/>
  <c r="S23"/>
  <c r="S22"/>
  <c r="S21"/>
  <c r="S20"/>
  <c r="S18"/>
  <c r="S17"/>
  <c r="S16"/>
  <c r="S15"/>
  <c r="S14"/>
  <c r="S12"/>
  <c r="S11"/>
  <c r="S10"/>
  <c r="S9"/>
  <c r="S8"/>
  <c r="S7"/>
  <c r="S75" i="49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T62" l="1"/>
  <c r="T64"/>
  <c r="V64" s="1"/>
  <c r="T73"/>
  <c r="T75"/>
  <c r="V75" s="1"/>
  <c r="L57" i="43"/>
  <c r="T57" s="1"/>
  <c r="V57" s="1"/>
  <c r="T58"/>
  <c r="V58" s="1"/>
  <c r="T60"/>
  <c r="V60" s="1"/>
  <c r="T62"/>
  <c r="V62" s="1"/>
  <c r="T6" i="60"/>
  <c r="V6" s="1"/>
  <c r="T11" i="43"/>
  <c r="V11" s="1"/>
  <c r="T14" i="48"/>
  <c r="T16"/>
  <c r="T11" i="49"/>
  <c r="V11" s="1"/>
  <c r="T15" i="40"/>
  <c r="V15" s="1"/>
  <c r="T70" i="49"/>
  <c r="V70" s="1"/>
  <c r="T61"/>
  <c r="V61" s="1"/>
  <c r="V62"/>
  <c r="T63"/>
  <c r="V63" s="1"/>
  <c r="T72"/>
  <c r="V72" s="1"/>
  <c r="V73"/>
  <c r="T74"/>
  <c r="V74" s="1"/>
  <c r="T59" i="43"/>
  <c r="V59" s="1"/>
  <c r="T61"/>
  <c r="V61" s="1"/>
  <c r="T12"/>
  <c r="V12" s="1"/>
  <c r="T12" i="49"/>
  <c r="V12" s="1"/>
  <c r="T7" i="60"/>
  <c r="V7" s="1"/>
  <c r="T13" i="49"/>
  <c r="V13" s="1"/>
  <c r="T15" i="48"/>
  <c r="V15" s="1"/>
  <c r="V14"/>
  <c r="V16"/>
  <c r="T3" i="60"/>
  <c r="V3" s="1"/>
  <c r="T8"/>
  <c r="V8" s="1"/>
  <c r="T9"/>
  <c r="V9" s="1"/>
  <c r="U6"/>
  <c r="F10"/>
  <c r="I10"/>
  <c r="I11" s="1"/>
  <c r="L10"/>
  <c r="L11" s="1"/>
  <c r="O10"/>
  <c r="O11" s="1"/>
  <c r="R10"/>
  <c r="R11" s="1"/>
  <c r="S10"/>
  <c r="S11" s="1"/>
  <c r="T69" i="49"/>
  <c r="V69" s="1"/>
  <c r="T71"/>
  <c r="V71" s="1"/>
  <c r="N31" i="52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60" i="49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Q61" i="28"/>
  <c r="N61"/>
  <c r="K61"/>
  <c r="H61"/>
  <c r="E61"/>
  <c r="S60"/>
  <c r="U60" s="1"/>
  <c r="R60"/>
  <c r="O60"/>
  <c r="L60"/>
  <c r="I60"/>
  <c r="F60"/>
  <c r="S59"/>
  <c r="U59" s="1"/>
  <c r="R59"/>
  <c r="O59"/>
  <c r="L59"/>
  <c r="I59"/>
  <c r="F59"/>
  <c r="Q20" i="40"/>
  <c r="N20"/>
  <c r="K20"/>
  <c r="H20"/>
  <c r="E20"/>
  <c r="R19"/>
  <c r="O19"/>
  <c r="L19"/>
  <c r="I19"/>
  <c r="F19"/>
  <c r="U34" i="39"/>
  <c r="R34"/>
  <c r="O34"/>
  <c r="L34"/>
  <c r="I34"/>
  <c r="F34"/>
  <c r="H32"/>
  <c r="I33"/>
  <c r="U30"/>
  <c r="R30"/>
  <c r="O30"/>
  <c r="L30"/>
  <c r="I30"/>
  <c r="F30"/>
  <c r="U29"/>
  <c r="R29"/>
  <c r="O29"/>
  <c r="L29"/>
  <c r="I29"/>
  <c r="F29"/>
  <c r="U28"/>
  <c r="R28"/>
  <c r="O28"/>
  <c r="L28"/>
  <c r="I28"/>
  <c r="F28"/>
  <c r="N13"/>
  <c r="S13" s="1"/>
  <c r="S26" i="52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H23"/>
  <c r="H9" i="49"/>
  <c r="T24" i="52" l="1"/>
  <c r="T34" i="39"/>
  <c r="T19" i="40"/>
  <c r="V19" s="1"/>
  <c r="T25" i="52"/>
  <c r="V25" s="1"/>
  <c r="T28" i="39"/>
  <c r="T29"/>
  <c r="V29" s="1"/>
  <c r="T30"/>
  <c r="T58" i="49"/>
  <c r="V58" s="1"/>
  <c r="T60"/>
  <c r="V60" s="1"/>
  <c r="T27" i="52"/>
  <c r="V27" s="1"/>
  <c r="T29"/>
  <c r="V29" s="1"/>
  <c r="F11" i="60"/>
  <c r="T10"/>
  <c r="T11" s="1"/>
  <c r="U10"/>
  <c r="U11" s="1"/>
  <c r="V10"/>
  <c r="V11" s="1"/>
  <c r="T28" i="52"/>
  <c r="V28" s="1"/>
  <c r="T56" i="49"/>
  <c r="V56" s="1"/>
  <c r="T57"/>
  <c r="V57" s="1"/>
  <c r="T59"/>
  <c r="V59" s="1"/>
  <c r="V24" i="52"/>
  <c r="T60" i="28"/>
  <c r="T59"/>
  <c r="V59" s="1"/>
  <c r="V60"/>
  <c r="V34" i="39"/>
  <c r="V28"/>
  <c r="V30"/>
  <c r="T26" i="52"/>
  <c r="V26" s="1"/>
  <c r="S97" i="29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3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346" i="28"/>
  <c r="U346" s="1"/>
  <c r="R346"/>
  <c r="O346"/>
  <c r="L346"/>
  <c r="I346"/>
  <c r="F346"/>
  <c r="S259"/>
  <c r="U259" s="1"/>
  <c r="R259"/>
  <c r="O259"/>
  <c r="L259"/>
  <c r="I259"/>
  <c r="F259"/>
  <c r="S258"/>
  <c r="U258" s="1"/>
  <c r="R258"/>
  <c r="O258"/>
  <c r="L258"/>
  <c r="I258"/>
  <c r="F258"/>
  <c r="R257"/>
  <c r="N257"/>
  <c r="S257" s="1"/>
  <c r="U257" s="1"/>
  <c r="L257"/>
  <c r="I257"/>
  <c r="F257"/>
  <c r="S25" i="49"/>
  <c r="U25" s="1"/>
  <c r="R25"/>
  <c r="O25"/>
  <c r="L25"/>
  <c r="I25"/>
  <c r="F25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116" i="28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13"/>
  <c r="U113" s="1"/>
  <c r="R113"/>
  <c r="O113"/>
  <c r="L113"/>
  <c r="I113"/>
  <c r="F113"/>
  <c r="Q111"/>
  <c r="R8" i="53"/>
  <c r="O8"/>
  <c r="L8"/>
  <c r="I8"/>
  <c r="T8" s="1"/>
  <c r="F8"/>
  <c r="R7"/>
  <c r="O7"/>
  <c r="L7"/>
  <c r="I7"/>
  <c r="F7"/>
  <c r="S18" i="52"/>
  <c r="U18" s="1"/>
  <c r="R18"/>
  <c r="O18"/>
  <c r="L18"/>
  <c r="I18"/>
  <c r="F18"/>
  <c r="H6"/>
  <c r="H20" s="1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T12" s="1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F49" i="49"/>
  <c r="S50"/>
  <c r="U50" s="1"/>
  <c r="R50"/>
  <c r="O50"/>
  <c r="L50"/>
  <c r="I50"/>
  <c r="F50"/>
  <c r="S49"/>
  <c r="U49" s="1"/>
  <c r="R49"/>
  <c r="O49"/>
  <c r="L49"/>
  <c r="I49"/>
  <c r="S48"/>
  <c r="U48" s="1"/>
  <c r="R48"/>
  <c r="O48"/>
  <c r="L48"/>
  <c r="I48"/>
  <c r="F48"/>
  <c r="S47"/>
  <c r="U47" s="1"/>
  <c r="R47"/>
  <c r="O47"/>
  <c r="L47"/>
  <c r="I47"/>
  <c r="F47"/>
  <c r="U17" i="39"/>
  <c r="R17"/>
  <c r="O17"/>
  <c r="L17"/>
  <c r="I17"/>
  <c r="T17" s="1"/>
  <c r="F17"/>
  <c r="U16"/>
  <c r="R16"/>
  <c r="O16"/>
  <c r="L16"/>
  <c r="I16"/>
  <c r="T16" s="1"/>
  <c r="F16"/>
  <c r="U15"/>
  <c r="R15"/>
  <c r="O15"/>
  <c r="L15"/>
  <c r="I15"/>
  <c r="T15" s="1"/>
  <c r="F15"/>
  <c r="U14"/>
  <c r="R14"/>
  <c r="O14"/>
  <c r="L14"/>
  <c r="I14"/>
  <c r="T14" s="1"/>
  <c r="F14"/>
  <c r="U13"/>
  <c r="R13"/>
  <c r="O13"/>
  <c r="L13"/>
  <c r="I13"/>
  <c r="T13" s="1"/>
  <c r="F13"/>
  <c r="S51" i="29"/>
  <c r="U51" s="1"/>
  <c r="R51"/>
  <c r="O51"/>
  <c r="L51"/>
  <c r="I51"/>
  <c r="T51" s="1"/>
  <c r="F51"/>
  <c r="Q49"/>
  <c r="N49"/>
  <c r="K49"/>
  <c r="H49"/>
  <c r="E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Q190" i="28"/>
  <c r="Q188"/>
  <c r="S200"/>
  <c r="U200" s="1"/>
  <c r="R200"/>
  <c r="O200"/>
  <c r="L200"/>
  <c r="I200"/>
  <c r="F200"/>
  <c r="S199"/>
  <c r="U199" s="1"/>
  <c r="R199"/>
  <c r="O199"/>
  <c r="L199"/>
  <c r="I199"/>
  <c r="F199"/>
  <c r="S198"/>
  <c r="U198" s="1"/>
  <c r="R198"/>
  <c r="O198"/>
  <c r="L198"/>
  <c r="I198"/>
  <c r="F198"/>
  <c r="S197"/>
  <c r="U197" s="1"/>
  <c r="R197"/>
  <c r="O197"/>
  <c r="L197"/>
  <c r="I197"/>
  <c r="F197"/>
  <c r="S196"/>
  <c r="U196" s="1"/>
  <c r="R196"/>
  <c r="O196"/>
  <c r="L196"/>
  <c r="I196"/>
  <c r="F196"/>
  <c r="S195"/>
  <c r="U195" s="1"/>
  <c r="R195"/>
  <c r="O195"/>
  <c r="L195"/>
  <c r="I195"/>
  <c r="F195"/>
  <c r="S169"/>
  <c r="U169" s="1"/>
  <c r="R169"/>
  <c r="O169"/>
  <c r="L169"/>
  <c r="I169"/>
  <c r="F169"/>
  <c r="R170"/>
  <c r="O170"/>
  <c r="L170"/>
  <c r="S170"/>
  <c r="U170" s="1"/>
  <c r="F170"/>
  <c r="R168"/>
  <c r="O168"/>
  <c r="L168"/>
  <c r="H168"/>
  <c r="S168" s="1"/>
  <c r="U168" s="1"/>
  <c r="F168"/>
  <c r="Q136"/>
  <c r="Q146"/>
  <c r="Q144"/>
  <c r="Q132"/>
  <c r="Q130"/>
  <c r="Q128"/>
  <c r="Q69" i="35"/>
  <c r="N69"/>
  <c r="K69"/>
  <c r="H69"/>
  <c r="E69"/>
  <c r="S68"/>
  <c r="R68"/>
  <c r="O68"/>
  <c r="L68"/>
  <c r="I68"/>
  <c r="F68"/>
  <c r="S67"/>
  <c r="U67" s="1"/>
  <c r="R67"/>
  <c r="R69" s="1"/>
  <c r="O67"/>
  <c r="O69" s="1"/>
  <c r="L67"/>
  <c r="I67"/>
  <c r="I69" s="1"/>
  <c r="F67"/>
  <c r="Q66"/>
  <c r="N66"/>
  <c r="K66"/>
  <c r="H66"/>
  <c r="E66"/>
  <c r="S65"/>
  <c r="S66" s="1"/>
  <c r="R65"/>
  <c r="R66" s="1"/>
  <c r="O65"/>
  <c r="O66" s="1"/>
  <c r="L65"/>
  <c r="L66" s="1"/>
  <c r="I65"/>
  <c r="I66" s="1"/>
  <c r="F65"/>
  <c r="F66" s="1"/>
  <c r="Q64"/>
  <c r="N64"/>
  <c r="K64"/>
  <c r="H64"/>
  <c r="E6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60"/>
  <c r="U60" s="1"/>
  <c r="R60"/>
  <c r="O60"/>
  <c r="L60"/>
  <c r="I60"/>
  <c r="F60"/>
  <c r="S59"/>
  <c r="S64" s="1"/>
  <c r="R59"/>
  <c r="R64" s="1"/>
  <c r="O59"/>
  <c r="O64" s="1"/>
  <c r="L59"/>
  <c r="L64" s="1"/>
  <c r="I59"/>
  <c r="I64" s="1"/>
  <c r="F59"/>
  <c r="F64" s="1"/>
  <c r="Q58"/>
  <c r="N58"/>
  <c r="K58"/>
  <c r="H58"/>
  <c r="E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U58" s="1"/>
  <c r="R52"/>
  <c r="O52"/>
  <c r="O58" s="1"/>
  <c r="L52"/>
  <c r="I52"/>
  <c r="I58" s="1"/>
  <c r="F52"/>
  <c r="E153" i="59"/>
  <c r="E146"/>
  <c r="U139"/>
  <c r="R138"/>
  <c r="R139" s="1"/>
  <c r="O138"/>
  <c r="L138"/>
  <c r="I138"/>
  <c r="F138"/>
  <c r="R135"/>
  <c r="R137" s="1"/>
  <c r="O135"/>
  <c r="O137" s="1"/>
  <c r="L135"/>
  <c r="L137" s="1"/>
  <c r="I135"/>
  <c r="F135"/>
  <c r="F137" s="1"/>
  <c r="R132"/>
  <c r="R134" s="1"/>
  <c r="O132"/>
  <c r="O134" s="1"/>
  <c r="L132"/>
  <c r="L134" s="1"/>
  <c r="I132"/>
  <c r="F132"/>
  <c r="F134" s="1"/>
  <c r="R130"/>
  <c r="O130"/>
  <c r="L130"/>
  <c r="I130"/>
  <c r="F130"/>
  <c r="U131"/>
  <c r="R121"/>
  <c r="O121"/>
  <c r="O131" s="1"/>
  <c r="L121"/>
  <c r="I121"/>
  <c r="F121"/>
  <c r="R119"/>
  <c r="O119"/>
  <c r="L119"/>
  <c r="I119"/>
  <c r="F119"/>
  <c r="U120"/>
  <c r="R118"/>
  <c r="R120" s="1"/>
  <c r="O118"/>
  <c r="L118"/>
  <c r="I118"/>
  <c r="F118"/>
  <c r="R116"/>
  <c r="O116"/>
  <c r="L116"/>
  <c r="I116"/>
  <c r="F116"/>
  <c r="U117"/>
  <c r="R113"/>
  <c r="O113"/>
  <c r="O117" s="1"/>
  <c r="L113"/>
  <c r="I113"/>
  <c r="F113"/>
  <c r="R111"/>
  <c r="O111"/>
  <c r="L111"/>
  <c r="I111"/>
  <c r="F111"/>
  <c r="R109"/>
  <c r="O109"/>
  <c r="L109"/>
  <c r="I109"/>
  <c r="F109"/>
  <c r="R108"/>
  <c r="O108"/>
  <c r="L108"/>
  <c r="I108"/>
  <c r="F108"/>
  <c r="U112"/>
  <c r="R107"/>
  <c r="O107"/>
  <c r="L107"/>
  <c r="I107"/>
  <c r="F107"/>
  <c r="R105"/>
  <c r="O105"/>
  <c r="L105"/>
  <c r="I105"/>
  <c r="F105"/>
  <c r="R102"/>
  <c r="O102"/>
  <c r="L102"/>
  <c r="I102"/>
  <c r="F102"/>
  <c r="R101"/>
  <c r="O101"/>
  <c r="L101"/>
  <c r="I101"/>
  <c r="F101"/>
  <c r="R100"/>
  <c r="O100"/>
  <c r="L100"/>
  <c r="I100"/>
  <c r="F100"/>
  <c r="R99"/>
  <c r="O99"/>
  <c r="L99"/>
  <c r="I99"/>
  <c r="F99"/>
  <c r="R98"/>
  <c r="O98"/>
  <c r="L98"/>
  <c r="I98"/>
  <c r="F98"/>
  <c r="R97"/>
  <c r="O97"/>
  <c r="L97"/>
  <c r="I97"/>
  <c r="F97"/>
  <c r="U106"/>
  <c r="R96"/>
  <c r="O96"/>
  <c r="L96"/>
  <c r="I96"/>
  <c r="F96"/>
  <c r="R94"/>
  <c r="O94"/>
  <c r="L94"/>
  <c r="I94"/>
  <c r="F94"/>
  <c r="R93"/>
  <c r="O93"/>
  <c r="L93"/>
  <c r="I93"/>
  <c r="F93"/>
  <c r="U95"/>
  <c r="R92"/>
  <c r="O92"/>
  <c r="L92"/>
  <c r="I92"/>
  <c r="F92"/>
  <c r="R90"/>
  <c r="O90"/>
  <c r="L90"/>
  <c r="I90"/>
  <c r="F90"/>
  <c r="R74"/>
  <c r="O74"/>
  <c r="L74"/>
  <c r="I74"/>
  <c r="F74"/>
  <c r="R73"/>
  <c r="O73"/>
  <c r="L73"/>
  <c r="I73"/>
  <c r="F73"/>
  <c r="R72"/>
  <c r="O72"/>
  <c r="L72"/>
  <c r="I72"/>
  <c r="F72"/>
  <c r="U91"/>
  <c r="R71"/>
  <c r="O71"/>
  <c r="L71"/>
  <c r="I71"/>
  <c r="F71"/>
  <c r="R69"/>
  <c r="O69"/>
  <c r="L69"/>
  <c r="I69"/>
  <c r="F69"/>
  <c r="R68"/>
  <c r="O68"/>
  <c r="L68"/>
  <c r="I68"/>
  <c r="F68"/>
  <c r="R67"/>
  <c r="O67"/>
  <c r="L67"/>
  <c r="I67"/>
  <c r="F67"/>
  <c r="R66"/>
  <c r="O66"/>
  <c r="L66"/>
  <c r="I66"/>
  <c r="F66"/>
  <c r="U70"/>
  <c r="R65"/>
  <c r="O65"/>
  <c r="L65"/>
  <c r="I65"/>
  <c r="F65"/>
  <c r="R63"/>
  <c r="O63"/>
  <c r="L63"/>
  <c r="I63"/>
  <c r="F63"/>
  <c r="R62"/>
  <c r="O62"/>
  <c r="L62"/>
  <c r="I62"/>
  <c r="F62"/>
  <c r="R61"/>
  <c r="O61"/>
  <c r="L61"/>
  <c r="I61"/>
  <c r="F61"/>
  <c r="R60"/>
  <c r="O60"/>
  <c r="L60"/>
  <c r="I60"/>
  <c r="F60"/>
  <c r="R59"/>
  <c r="O59"/>
  <c r="L59"/>
  <c r="I59"/>
  <c r="F59"/>
  <c r="R58"/>
  <c r="O58"/>
  <c r="L58"/>
  <c r="I58"/>
  <c r="F58"/>
  <c r="R57"/>
  <c r="O57"/>
  <c r="L57"/>
  <c r="I57"/>
  <c r="F57"/>
  <c r="U64"/>
  <c r="R56"/>
  <c r="O56"/>
  <c r="L56"/>
  <c r="I56"/>
  <c r="F56"/>
  <c r="R54"/>
  <c r="O54"/>
  <c r="L54"/>
  <c r="I54"/>
  <c r="F54"/>
  <c r="R52"/>
  <c r="O52"/>
  <c r="L52"/>
  <c r="I52"/>
  <c r="F52"/>
  <c r="R50"/>
  <c r="O50"/>
  <c r="L50"/>
  <c r="I50"/>
  <c r="F50"/>
  <c r="U51"/>
  <c r="R49"/>
  <c r="O49"/>
  <c r="L49"/>
  <c r="I49"/>
  <c r="F49"/>
  <c r="R47"/>
  <c r="O47"/>
  <c r="L47"/>
  <c r="I47"/>
  <c r="F47"/>
  <c r="U48"/>
  <c r="R42"/>
  <c r="R48" s="1"/>
  <c r="O42"/>
  <c r="L42"/>
  <c r="I42"/>
  <c r="F42"/>
  <c r="R40"/>
  <c r="O40"/>
  <c r="L40"/>
  <c r="I40"/>
  <c r="F40"/>
  <c r="R34"/>
  <c r="O34"/>
  <c r="L34"/>
  <c r="I34"/>
  <c r="F34"/>
  <c r="R33"/>
  <c r="O33"/>
  <c r="L33"/>
  <c r="I33"/>
  <c r="F33"/>
  <c r="R32"/>
  <c r="O32"/>
  <c r="L32"/>
  <c r="I32"/>
  <c r="F32"/>
  <c r="R31"/>
  <c r="O31"/>
  <c r="L31"/>
  <c r="I31"/>
  <c r="F31"/>
  <c r="R30"/>
  <c r="O30"/>
  <c r="L30"/>
  <c r="I30"/>
  <c r="F30"/>
  <c r="R29"/>
  <c r="O29"/>
  <c r="L29"/>
  <c r="I29"/>
  <c r="F29"/>
  <c r="U41"/>
  <c r="R28"/>
  <c r="O28"/>
  <c r="L28"/>
  <c r="I28"/>
  <c r="F28"/>
  <c r="R26"/>
  <c r="O26"/>
  <c r="L26"/>
  <c r="I26"/>
  <c r="F26"/>
  <c r="R24"/>
  <c r="O24"/>
  <c r="L24"/>
  <c r="I24"/>
  <c r="F24"/>
  <c r="R23"/>
  <c r="O23"/>
  <c r="L23"/>
  <c r="I23"/>
  <c r="F23"/>
  <c r="R22"/>
  <c r="O22"/>
  <c r="L22"/>
  <c r="I22"/>
  <c r="F22"/>
  <c r="R21"/>
  <c r="O21"/>
  <c r="L21"/>
  <c r="I21"/>
  <c r="F21"/>
  <c r="R20"/>
  <c r="O20"/>
  <c r="L20"/>
  <c r="I20"/>
  <c r="F20"/>
  <c r="U27"/>
  <c r="R19"/>
  <c r="O19"/>
  <c r="L19"/>
  <c r="I19"/>
  <c r="F19"/>
  <c r="R17"/>
  <c r="O17"/>
  <c r="L17"/>
  <c r="I17"/>
  <c r="F17"/>
  <c r="R9"/>
  <c r="O9"/>
  <c r="L9"/>
  <c r="I9"/>
  <c r="F9"/>
  <c r="R8"/>
  <c r="O8"/>
  <c r="L8"/>
  <c r="I8"/>
  <c r="F8"/>
  <c r="R7"/>
  <c r="O7"/>
  <c r="L7"/>
  <c r="I7"/>
  <c r="F7"/>
  <c r="U18"/>
  <c r="R6"/>
  <c r="O6"/>
  <c r="L6"/>
  <c r="I6"/>
  <c r="F6"/>
  <c r="R158"/>
  <c r="O158"/>
  <c r="L158"/>
  <c r="I158"/>
  <c r="F158"/>
  <c r="R157"/>
  <c r="O157"/>
  <c r="L157"/>
  <c r="I157"/>
  <c r="F157"/>
  <c r="R156"/>
  <c r="O156"/>
  <c r="L156"/>
  <c r="I156"/>
  <c r="F156"/>
  <c r="R155"/>
  <c r="O155"/>
  <c r="L155"/>
  <c r="I155"/>
  <c r="F155"/>
  <c r="U159"/>
  <c r="R154"/>
  <c r="O154"/>
  <c r="L154"/>
  <c r="I154"/>
  <c r="F154"/>
  <c r="R152"/>
  <c r="O152"/>
  <c r="L152"/>
  <c r="I152"/>
  <c r="F152"/>
  <c r="R151"/>
  <c r="O151"/>
  <c r="L151"/>
  <c r="I151"/>
  <c r="F151"/>
  <c r="R150"/>
  <c r="O150"/>
  <c r="L150"/>
  <c r="I150"/>
  <c r="F150"/>
  <c r="R149"/>
  <c r="O149"/>
  <c r="L149"/>
  <c r="I149"/>
  <c r="F149"/>
  <c r="R148"/>
  <c r="O148"/>
  <c r="L148"/>
  <c r="I148"/>
  <c r="F148"/>
  <c r="U153"/>
  <c r="R147"/>
  <c r="O147"/>
  <c r="L147"/>
  <c r="I147"/>
  <c r="F147"/>
  <c r="U146"/>
  <c r="R145"/>
  <c r="R146" s="1"/>
  <c r="O145"/>
  <c r="L145"/>
  <c r="L146" s="1"/>
  <c r="I145"/>
  <c r="F145"/>
  <c r="S139"/>
  <c r="S131"/>
  <c r="S120"/>
  <c r="S117"/>
  <c r="S112"/>
  <c r="S106"/>
  <c r="S70"/>
  <c r="S64"/>
  <c r="S51"/>
  <c r="S48"/>
  <c r="S41"/>
  <c r="S153"/>
  <c r="Q139"/>
  <c r="R131"/>
  <c r="Q131"/>
  <c r="Q120"/>
  <c r="R117"/>
  <c r="Q117"/>
  <c r="Q112"/>
  <c r="Q106"/>
  <c r="Q95"/>
  <c r="Q91"/>
  <c r="Q70"/>
  <c r="Q64"/>
  <c r="Q55"/>
  <c r="R51"/>
  <c r="Q51"/>
  <c r="Q48"/>
  <c r="Q41"/>
  <c r="Q27"/>
  <c r="Q18"/>
  <c r="Q159"/>
  <c r="Q153"/>
  <c r="Q146"/>
  <c r="O139"/>
  <c r="N139"/>
  <c r="N131"/>
  <c r="O120"/>
  <c r="N120"/>
  <c r="N117"/>
  <c r="N112"/>
  <c r="N106"/>
  <c r="N95"/>
  <c r="N91"/>
  <c r="N70"/>
  <c r="N64"/>
  <c r="N55"/>
  <c r="O51"/>
  <c r="N51"/>
  <c r="N48"/>
  <c r="N41"/>
  <c r="O27"/>
  <c r="N27"/>
  <c r="N18"/>
  <c r="N159"/>
  <c r="N153"/>
  <c r="O146"/>
  <c r="N146"/>
  <c r="L139"/>
  <c r="K139"/>
  <c r="L131"/>
  <c r="K131"/>
  <c r="L120"/>
  <c r="K120"/>
  <c r="L117"/>
  <c r="K117"/>
  <c r="L112"/>
  <c r="K112"/>
  <c r="L106"/>
  <c r="K106"/>
  <c r="L95"/>
  <c r="K95"/>
  <c r="L91"/>
  <c r="K91"/>
  <c r="L70"/>
  <c r="K70"/>
  <c r="L64"/>
  <c r="K64"/>
  <c r="L55"/>
  <c r="K55"/>
  <c r="L51"/>
  <c r="K51"/>
  <c r="K48"/>
  <c r="K41"/>
  <c r="L27"/>
  <c r="K27"/>
  <c r="K159"/>
  <c r="K153"/>
  <c r="K146"/>
  <c r="I139"/>
  <c r="H139"/>
  <c r="I131"/>
  <c r="H131"/>
  <c r="I120"/>
  <c r="H120"/>
  <c r="I117"/>
  <c r="H117"/>
  <c r="I112"/>
  <c r="H112"/>
  <c r="H106"/>
  <c r="H95"/>
  <c r="H91"/>
  <c r="H70"/>
  <c r="H64"/>
  <c r="H55"/>
  <c r="I51"/>
  <c r="H51"/>
  <c r="H48"/>
  <c r="H41"/>
  <c r="I27"/>
  <c r="H27"/>
  <c r="I18"/>
  <c r="H18"/>
  <c r="I159"/>
  <c r="H159"/>
  <c r="H153"/>
  <c r="I146"/>
  <c r="H146"/>
  <c r="F139"/>
  <c r="E139"/>
  <c r="F131"/>
  <c r="E131"/>
  <c r="F120"/>
  <c r="E120"/>
  <c r="F117"/>
  <c r="E117"/>
  <c r="F112"/>
  <c r="E112"/>
  <c r="F106"/>
  <c r="E106"/>
  <c r="E95"/>
  <c r="E91"/>
  <c r="E70"/>
  <c r="E64"/>
  <c r="E55"/>
  <c r="F51"/>
  <c r="E51"/>
  <c r="F48"/>
  <c r="E48"/>
  <c r="F41"/>
  <c r="E41"/>
  <c r="F27"/>
  <c r="E27"/>
  <c r="F18"/>
  <c r="E18"/>
  <c r="F159"/>
  <c r="E159"/>
  <c r="F3"/>
  <c r="U3"/>
  <c r="R3"/>
  <c r="O3"/>
  <c r="L3"/>
  <c r="I3"/>
  <c r="P1"/>
  <c r="U2" s="1"/>
  <c r="R16" i="58"/>
  <c r="O16"/>
  <c r="L16"/>
  <c r="I16"/>
  <c r="F16"/>
  <c r="R15"/>
  <c r="O15"/>
  <c r="L15"/>
  <c r="L17" s="1"/>
  <c r="I15"/>
  <c r="F15"/>
  <c r="R13"/>
  <c r="O13"/>
  <c r="L13"/>
  <c r="I13"/>
  <c r="F13"/>
  <c r="R12"/>
  <c r="O12"/>
  <c r="L12"/>
  <c r="I12"/>
  <c r="F12"/>
  <c r="R10"/>
  <c r="O10"/>
  <c r="L10"/>
  <c r="I10"/>
  <c r="F10"/>
  <c r="R9"/>
  <c r="O9"/>
  <c r="L9"/>
  <c r="I9"/>
  <c r="F9"/>
  <c r="R6"/>
  <c r="R8" s="1"/>
  <c r="O6"/>
  <c r="O8" s="1"/>
  <c r="L6"/>
  <c r="L8" s="1"/>
  <c r="I6"/>
  <c r="F6"/>
  <c r="F8" s="1"/>
  <c r="F3"/>
  <c r="Q17"/>
  <c r="R17"/>
  <c r="Q14"/>
  <c r="Q11"/>
  <c r="N17"/>
  <c r="N14"/>
  <c r="N11"/>
  <c r="K17"/>
  <c r="K14"/>
  <c r="K11"/>
  <c r="H17"/>
  <c r="H14"/>
  <c r="H11"/>
  <c r="E14"/>
  <c r="E17"/>
  <c r="E11"/>
  <c r="U3"/>
  <c r="R3"/>
  <c r="O3"/>
  <c r="L3"/>
  <c r="I3"/>
  <c r="P1"/>
  <c r="U2" s="1"/>
  <c r="Q8" i="57"/>
  <c r="Q9" s="1"/>
  <c r="N8"/>
  <c r="N9" s="1"/>
  <c r="K8"/>
  <c r="K9" s="1"/>
  <c r="H8"/>
  <c r="H9" s="1"/>
  <c r="E8"/>
  <c r="E9" s="1"/>
  <c r="R7"/>
  <c r="O7"/>
  <c r="L7"/>
  <c r="I7"/>
  <c r="F7"/>
  <c r="S8"/>
  <c r="R6"/>
  <c r="R8" s="1"/>
  <c r="O6"/>
  <c r="O8" s="1"/>
  <c r="L6"/>
  <c r="L8" s="1"/>
  <c r="I6"/>
  <c r="F6"/>
  <c r="U3"/>
  <c r="R3"/>
  <c r="O3"/>
  <c r="L3"/>
  <c r="I3"/>
  <c r="F3"/>
  <c r="P1"/>
  <c r="U2" s="1"/>
  <c r="E58" i="56"/>
  <c r="U318"/>
  <c r="R317"/>
  <c r="O317"/>
  <c r="L317"/>
  <c r="I317"/>
  <c r="F317"/>
  <c r="U316"/>
  <c r="R315"/>
  <c r="O315"/>
  <c r="L315"/>
  <c r="I315"/>
  <c r="F315"/>
  <c r="R306"/>
  <c r="R314" s="1"/>
  <c r="O306"/>
  <c r="O314" s="1"/>
  <c r="L306"/>
  <c r="L314" s="1"/>
  <c r="I306"/>
  <c r="F306"/>
  <c r="F314" s="1"/>
  <c r="U305"/>
  <c r="R304"/>
  <c r="O304"/>
  <c r="L304"/>
  <c r="I304"/>
  <c r="F304"/>
  <c r="R301"/>
  <c r="R303" s="1"/>
  <c r="O301"/>
  <c r="O303" s="1"/>
  <c r="L301"/>
  <c r="L303" s="1"/>
  <c r="I301"/>
  <c r="F301"/>
  <c r="F303" s="1"/>
  <c r="U300"/>
  <c r="R299"/>
  <c r="O299"/>
  <c r="L299"/>
  <c r="I299"/>
  <c r="F299"/>
  <c r="R296"/>
  <c r="R298" s="1"/>
  <c r="O296"/>
  <c r="O298" s="1"/>
  <c r="L296"/>
  <c r="L298" s="1"/>
  <c r="I296"/>
  <c r="F296"/>
  <c r="F298" s="1"/>
  <c r="R293"/>
  <c r="R295" s="1"/>
  <c r="O293"/>
  <c r="O295" s="1"/>
  <c r="L293"/>
  <c r="L295" s="1"/>
  <c r="I293"/>
  <c r="F293"/>
  <c r="F295" s="1"/>
  <c r="R290"/>
  <c r="R292" s="1"/>
  <c r="O290"/>
  <c r="O292" s="1"/>
  <c r="L290"/>
  <c r="L292" s="1"/>
  <c r="I290"/>
  <c r="F290"/>
  <c r="F292" s="1"/>
  <c r="R288"/>
  <c r="O288"/>
  <c r="L288"/>
  <c r="I288"/>
  <c r="F288"/>
  <c r="R283"/>
  <c r="O283"/>
  <c r="L283"/>
  <c r="I283"/>
  <c r="F283"/>
  <c r="R282"/>
  <c r="O282"/>
  <c r="L282"/>
  <c r="I282"/>
  <c r="F282"/>
  <c r="R281"/>
  <c r="O281"/>
  <c r="L281"/>
  <c r="I281"/>
  <c r="F281"/>
  <c r="U289"/>
  <c r="R280"/>
  <c r="O280"/>
  <c r="L280"/>
  <c r="I280"/>
  <c r="F280"/>
  <c r="R278"/>
  <c r="O278"/>
  <c r="L278"/>
  <c r="I278"/>
  <c r="F278"/>
  <c r="R277"/>
  <c r="O277"/>
  <c r="L277"/>
  <c r="I277"/>
  <c r="F277"/>
  <c r="R276"/>
  <c r="O276"/>
  <c r="L276"/>
  <c r="I276"/>
  <c r="F276"/>
  <c r="R275"/>
  <c r="O275"/>
  <c r="L275"/>
  <c r="I275"/>
  <c r="F275"/>
  <c r="R274"/>
  <c r="O274"/>
  <c r="L274"/>
  <c r="I274"/>
  <c r="F274"/>
  <c r="R273"/>
  <c r="O273"/>
  <c r="L273"/>
  <c r="I273"/>
  <c r="F273"/>
  <c r="R272"/>
  <c r="O272"/>
  <c r="L272"/>
  <c r="I272"/>
  <c r="F272"/>
  <c r="R271"/>
  <c r="O271"/>
  <c r="L271"/>
  <c r="I271"/>
  <c r="F271"/>
  <c r="R270"/>
  <c r="O270"/>
  <c r="L270"/>
  <c r="I270"/>
  <c r="F270"/>
  <c r="U279"/>
  <c r="R269"/>
  <c r="O269"/>
  <c r="L269"/>
  <c r="I269"/>
  <c r="F269"/>
  <c r="R267"/>
  <c r="O267"/>
  <c r="L267"/>
  <c r="I267"/>
  <c r="F267"/>
  <c r="U268"/>
  <c r="R266"/>
  <c r="O266"/>
  <c r="L266"/>
  <c r="I266"/>
  <c r="F266"/>
  <c r="R264"/>
  <c r="O264"/>
  <c r="L264"/>
  <c r="I264"/>
  <c r="F264"/>
  <c r="R263"/>
  <c r="O263"/>
  <c r="L263"/>
  <c r="I263"/>
  <c r="F263"/>
  <c r="R262"/>
  <c r="O262"/>
  <c r="L262"/>
  <c r="I262"/>
  <c r="F262"/>
  <c r="R261"/>
  <c r="O261"/>
  <c r="L261"/>
  <c r="I261"/>
  <c r="F261"/>
  <c r="R260"/>
  <c r="O260"/>
  <c r="L260"/>
  <c r="I260"/>
  <c r="F260"/>
  <c r="R259"/>
  <c r="O259"/>
  <c r="L259"/>
  <c r="I259"/>
  <c r="F259"/>
  <c r="R258"/>
  <c r="O258"/>
  <c r="L258"/>
  <c r="I258"/>
  <c r="F258"/>
  <c r="U265"/>
  <c r="R257"/>
  <c r="O257"/>
  <c r="L257"/>
  <c r="I257"/>
  <c r="F257"/>
  <c r="R255"/>
  <c r="O255"/>
  <c r="L255"/>
  <c r="I255"/>
  <c r="F255"/>
  <c r="U256"/>
  <c r="R253"/>
  <c r="O253"/>
  <c r="L253"/>
  <c r="I253"/>
  <c r="F253"/>
  <c r="R251"/>
  <c r="O251"/>
  <c r="L251"/>
  <c r="I251"/>
  <c r="F251"/>
  <c r="R250"/>
  <c r="O250"/>
  <c r="L250"/>
  <c r="I250"/>
  <c r="F250"/>
  <c r="R249"/>
  <c r="O249"/>
  <c r="L249"/>
  <c r="I249"/>
  <c r="F249"/>
  <c r="R248"/>
  <c r="O248"/>
  <c r="L248"/>
  <c r="I248"/>
  <c r="F248"/>
  <c r="R247"/>
  <c r="O247"/>
  <c r="L247"/>
  <c r="I247"/>
  <c r="F247"/>
  <c r="R246"/>
  <c r="O246"/>
  <c r="L246"/>
  <c r="I246"/>
  <c r="F246"/>
  <c r="U252"/>
  <c r="R245"/>
  <c r="O245"/>
  <c r="L245"/>
  <c r="I245"/>
  <c r="F245"/>
  <c r="R243"/>
  <c r="O243"/>
  <c r="L243"/>
  <c r="I243"/>
  <c r="F243"/>
  <c r="O235"/>
  <c r="L235"/>
  <c r="I235"/>
  <c r="F235"/>
  <c r="R234"/>
  <c r="O234"/>
  <c r="L234"/>
  <c r="I234"/>
  <c r="F234"/>
  <c r="R233"/>
  <c r="O233"/>
  <c r="L233"/>
  <c r="I233"/>
  <c r="F233"/>
  <c r="R232"/>
  <c r="O232"/>
  <c r="L232"/>
  <c r="I232"/>
  <c r="F232"/>
  <c r="U244"/>
  <c r="R231"/>
  <c r="O231"/>
  <c r="L231"/>
  <c r="I231"/>
  <c r="F231"/>
  <c r="U230"/>
  <c r="R229"/>
  <c r="O229"/>
  <c r="L229"/>
  <c r="I229"/>
  <c r="F229"/>
  <c r="R227"/>
  <c r="O227"/>
  <c r="L227"/>
  <c r="I227"/>
  <c r="F227"/>
  <c r="U228"/>
  <c r="R225"/>
  <c r="O225"/>
  <c r="L225"/>
  <c r="I225"/>
  <c r="F225"/>
  <c r="R223"/>
  <c r="O223"/>
  <c r="L223"/>
  <c r="I223"/>
  <c r="F223"/>
  <c r="R216"/>
  <c r="O216"/>
  <c r="L216"/>
  <c r="I216"/>
  <c r="F216"/>
  <c r="R215"/>
  <c r="O215"/>
  <c r="L215"/>
  <c r="I215"/>
  <c r="F215"/>
  <c r="R214"/>
  <c r="O214"/>
  <c r="L214"/>
  <c r="I214"/>
  <c r="F214"/>
  <c r="R213"/>
  <c r="O213"/>
  <c r="L213"/>
  <c r="I213"/>
  <c r="F213"/>
  <c r="U224"/>
  <c r="R212"/>
  <c r="O212"/>
  <c r="L212"/>
  <c r="I212"/>
  <c r="F212"/>
  <c r="R210"/>
  <c r="O210"/>
  <c r="L210"/>
  <c r="I210"/>
  <c r="F210"/>
  <c r="R204"/>
  <c r="O204"/>
  <c r="L204"/>
  <c r="I204"/>
  <c r="F204"/>
  <c r="R203"/>
  <c r="O203"/>
  <c r="L203"/>
  <c r="I203"/>
  <c r="F203"/>
  <c r="R202"/>
  <c r="O202"/>
  <c r="L202"/>
  <c r="I202"/>
  <c r="F202"/>
  <c r="R201"/>
  <c r="O201"/>
  <c r="L201"/>
  <c r="I201"/>
  <c r="F201"/>
  <c r="R200"/>
  <c r="O200"/>
  <c r="L200"/>
  <c r="I200"/>
  <c r="F200"/>
  <c r="R199"/>
  <c r="O199"/>
  <c r="L199"/>
  <c r="I199"/>
  <c r="F199"/>
  <c r="R198"/>
  <c r="O198"/>
  <c r="L198"/>
  <c r="I198"/>
  <c r="F198"/>
  <c r="R197"/>
  <c r="O197"/>
  <c r="L197"/>
  <c r="I197"/>
  <c r="F197"/>
  <c r="R196"/>
  <c r="O196"/>
  <c r="L196"/>
  <c r="I196"/>
  <c r="F196"/>
  <c r="U211"/>
  <c r="R195"/>
  <c r="O195"/>
  <c r="L195"/>
  <c r="I195"/>
  <c r="F195"/>
  <c r="R193"/>
  <c r="O193"/>
  <c r="L193"/>
  <c r="I193"/>
  <c r="F193"/>
  <c r="R187"/>
  <c r="O187"/>
  <c r="L187"/>
  <c r="I187"/>
  <c r="F187"/>
  <c r="R186"/>
  <c r="O186"/>
  <c r="L186"/>
  <c r="I186"/>
  <c r="F186"/>
  <c r="R185"/>
  <c r="O185"/>
  <c r="L185"/>
  <c r="I185"/>
  <c r="F185"/>
  <c r="R184"/>
  <c r="O184"/>
  <c r="L184"/>
  <c r="I184"/>
  <c r="F184"/>
  <c r="U194"/>
  <c r="R183"/>
  <c r="O183"/>
  <c r="L183"/>
  <c r="I183"/>
  <c r="F183"/>
  <c r="R178"/>
  <c r="R182" s="1"/>
  <c r="O178"/>
  <c r="O182" s="1"/>
  <c r="L178"/>
  <c r="L182" s="1"/>
  <c r="I178"/>
  <c r="I182" s="1"/>
  <c r="F178"/>
  <c r="F182" s="1"/>
  <c r="R176"/>
  <c r="O176"/>
  <c r="L176"/>
  <c r="I176"/>
  <c r="F176"/>
  <c r="R174"/>
  <c r="O174"/>
  <c r="L174"/>
  <c r="I174"/>
  <c r="F174"/>
  <c r="R173"/>
  <c r="O173"/>
  <c r="L173"/>
  <c r="I173"/>
  <c r="F173"/>
  <c r="U177"/>
  <c r="R172"/>
  <c r="O172"/>
  <c r="L172"/>
  <c r="I172"/>
  <c r="F172"/>
  <c r="R170"/>
  <c r="O170"/>
  <c r="L170"/>
  <c r="I170"/>
  <c r="F170"/>
  <c r="U171"/>
  <c r="R161"/>
  <c r="O161"/>
  <c r="L161"/>
  <c r="I161"/>
  <c r="F161"/>
  <c r="R159"/>
  <c r="O159"/>
  <c r="L159"/>
  <c r="I159"/>
  <c r="F159"/>
  <c r="R153"/>
  <c r="O153"/>
  <c r="L153"/>
  <c r="I153"/>
  <c r="F153"/>
  <c r="R152"/>
  <c r="O152"/>
  <c r="L152"/>
  <c r="I152"/>
  <c r="F152"/>
  <c r="R151"/>
  <c r="O151"/>
  <c r="L151"/>
  <c r="I151"/>
  <c r="F151"/>
  <c r="R149"/>
  <c r="O149"/>
  <c r="L149"/>
  <c r="I149"/>
  <c r="F149"/>
  <c r="R148"/>
  <c r="O148"/>
  <c r="L148"/>
  <c r="I148"/>
  <c r="F148"/>
  <c r="U150"/>
  <c r="R147"/>
  <c r="O147"/>
  <c r="L147"/>
  <c r="I147"/>
  <c r="F147"/>
  <c r="R145"/>
  <c r="O145"/>
  <c r="L145"/>
  <c r="I145"/>
  <c r="F145"/>
  <c r="R139"/>
  <c r="O139"/>
  <c r="L139"/>
  <c r="I139"/>
  <c r="F139"/>
  <c r="R138"/>
  <c r="O138"/>
  <c r="L138"/>
  <c r="I138"/>
  <c r="F138"/>
  <c r="R137"/>
  <c r="O137"/>
  <c r="L137"/>
  <c r="I137"/>
  <c r="F137"/>
  <c r="R136"/>
  <c r="O136"/>
  <c r="L136"/>
  <c r="I136"/>
  <c r="F136"/>
  <c r="R135"/>
  <c r="O135"/>
  <c r="L135"/>
  <c r="I135"/>
  <c r="F135"/>
  <c r="U146"/>
  <c r="R134"/>
  <c r="O134"/>
  <c r="L134"/>
  <c r="I134"/>
  <c r="F134"/>
  <c r="U133"/>
  <c r="R132"/>
  <c r="O132"/>
  <c r="L132"/>
  <c r="L133" s="1"/>
  <c r="I132"/>
  <c r="F132"/>
  <c r="R130"/>
  <c r="O130"/>
  <c r="L130"/>
  <c r="I130"/>
  <c r="F130"/>
  <c r="R124"/>
  <c r="O124"/>
  <c r="L124"/>
  <c r="I124"/>
  <c r="F124"/>
  <c r="R123"/>
  <c r="O123"/>
  <c r="L123"/>
  <c r="I123"/>
  <c r="F123"/>
  <c r="R122"/>
  <c r="O122"/>
  <c r="L122"/>
  <c r="I122"/>
  <c r="F122"/>
  <c r="R121"/>
  <c r="O121"/>
  <c r="L121"/>
  <c r="I121"/>
  <c r="F121"/>
  <c r="R120"/>
  <c r="O120"/>
  <c r="L120"/>
  <c r="I120"/>
  <c r="F120"/>
  <c r="U131"/>
  <c r="R119"/>
  <c r="O119"/>
  <c r="L119"/>
  <c r="I119"/>
  <c r="F119"/>
  <c r="R117"/>
  <c r="O117"/>
  <c r="L117"/>
  <c r="I117"/>
  <c r="F117"/>
  <c r="R112"/>
  <c r="O112"/>
  <c r="L112"/>
  <c r="I112"/>
  <c r="F112"/>
  <c r="R111"/>
  <c r="O111"/>
  <c r="L111"/>
  <c r="I111"/>
  <c r="F111"/>
  <c r="R110"/>
  <c r="O110"/>
  <c r="L110"/>
  <c r="I110"/>
  <c r="F110"/>
  <c r="U118"/>
  <c r="R109"/>
  <c r="O109"/>
  <c r="L109"/>
  <c r="I109"/>
  <c r="F109"/>
  <c r="R107"/>
  <c r="O107"/>
  <c r="L107"/>
  <c r="I107"/>
  <c r="F107"/>
  <c r="R106"/>
  <c r="O106"/>
  <c r="L106"/>
  <c r="I106"/>
  <c r="F106"/>
  <c r="R105"/>
  <c r="O105"/>
  <c r="L105"/>
  <c r="I105"/>
  <c r="F105"/>
  <c r="R104"/>
  <c r="O104"/>
  <c r="L104"/>
  <c r="I104"/>
  <c r="F104"/>
  <c r="R103"/>
  <c r="O103"/>
  <c r="L103"/>
  <c r="I103"/>
  <c r="F103"/>
  <c r="U108"/>
  <c r="R102"/>
  <c r="O102"/>
  <c r="L102"/>
  <c r="I102"/>
  <c r="F102"/>
  <c r="R100"/>
  <c r="O100"/>
  <c r="L100"/>
  <c r="I100"/>
  <c r="F100"/>
  <c r="R93"/>
  <c r="O93"/>
  <c r="L93"/>
  <c r="I93"/>
  <c r="F93"/>
  <c r="R92"/>
  <c r="O92"/>
  <c r="L92"/>
  <c r="I92"/>
  <c r="F92"/>
  <c r="R91"/>
  <c r="O91"/>
  <c r="L91"/>
  <c r="I91"/>
  <c r="F91"/>
  <c r="R90"/>
  <c r="O90"/>
  <c r="L90"/>
  <c r="I90"/>
  <c r="F90"/>
  <c r="U101"/>
  <c r="R89"/>
  <c r="O89"/>
  <c r="L89"/>
  <c r="I89"/>
  <c r="F89"/>
  <c r="R87"/>
  <c r="O87"/>
  <c r="L87"/>
  <c r="I87"/>
  <c r="F87"/>
  <c r="R84"/>
  <c r="O84"/>
  <c r="L84"/>
  <c r="I84"/>
  <c r="F84"/>
  <c r="R83"/>
  <c r="O83"/>
  <c r="L83"/>
  <c r="I83"/>
  <c r="F83"/>
  <c r="R82"/>
  <c r="O82"/>
  <c r="L82"/>
  <c r="I82"/>
  <c r="F82"/>
  <c r="R81"/>
  <c r="O81"/>
  <c r="L81"/>
  <c r="I81"/>
  <c r="F81"/>
  <c r="R80"/>
  <c r="O80"/>
  <c r="L80"/>
  <c r="I80"/>
  <c r="F80"/>
  <c r="R79"/>
  <c r="O79"/>
  <c r="L79"/>
  <c r="I79"/>
  <c r="F79"/>
  <c r="U88"/>
  <c r="R78"/>
  <c r="O78"/>
  <c r="L78"/>
  <c r="I78"/>
  <c r="F78"/>
  <c r="R76"/>
  <c r="O76"/>
  <c r="L76"/>
  <c r="I76"/>
  <c r="F76"/>
  <c r="R67"/>
  <c r="O67"/>
  <c r="L67"/>
  <c r="I67"/>
  <c r="F67"/>
  <c r="R66"/>
  <c r="O66"/>
  <c r="L66"/>
  <c r="I66"/>
  <c r="F66"/>
  <c r="R65"/>
  <c r="O65"/>
  <c r="L65"/>
  <c r="I65"/>
  <c r="F65"/>
  <c r="R64"/>
  <c r="O64"/>
  <c r="L64"/>
  <c r="I64"/>
  <c r="F64"/>
  <c r="R63"/>
  <c r="O63"/>
  <c r="L63"/>
  <c r="I63"/>
  <c r="F63"/>
  <c r="U77"/>
  <c r="R62"/>
  <c r="O62"/>
  <c r="L62"/>
  <c r="I62"/>
  <c r="F62"/>
  <c r="R59"/>
  <c r="R61" s="1"/>
  <c r="O59"/>
  <c r="O61" s="1"/>
  <c r="L59"/>
  <c r="L61" s="1"/>
  <c r="I59"/>
  <c r="F59"/>
  <c r="F61" s="1"/>
  <c r="R57"/>
  <c r="O57"/>
  <c r="L57"/>
  <c r="I57"/>
  <c r="F57"/>
  <c r="R50"/>
  <c r="O50"/>
  <c r="L50"/>
  <c r="I50"/>
  <c r="F50"/>
  <c r="R49"/>
  <c r="O49"/>
  <c r="L49"/>
  <c r="I49"/>
  <c r="F49"/>
  <c r="R48"/>
  <c r="O48"/>
  <c r="L48"/>
  <c r="I48"/>
  <c r="F48"/>
  <c r="R47"/>
  <c r="O47"/>
  <c r="L47"/>
  <c r="I47"/>
  <c r="F47"/>
  <c r="R46"/>
  <c r="O46"/>
  <c r="L46"/>
  <c r="I46"/>
  <c r="F46"/>
  <c r="R45"/>
  <c r="O45"/>
  <c r="L45"/>
  <c r="I45"/>
  <c r="F45"/>
  <c r="R44"/>
  <c r="O44"/>
  <c r="L44"/>
  <c r="I44"/>
  <c r="F44"/>
  <c r="U58"/>
  <c r="R43"/>
  <c r="O43"/>
  <c r="L43"/>
  <c r="I43"/>
  <c r="F43"/>
  <c r="R41"/>
  <c r="O41"/>
  <c r="L41"/>
  <c r="I41"/>
  <c r="F41"/>
  <c r="R37"/>
  <c r="O37"/>
  <c r="L37"/>
  <c r="I37"/>
  <c r="F37"/>
  <c r="R36"/>
  <c r="O36"/>
  <c r="L36"/>
  <c r="I36"/>
  <c r="F36"/>
  <c r="R35"/>
  <c r="O35"/>
  <c r="L35"/>
  <c r="I35"/>
  <c r="F35"/>
  <c r="R34"/>
  <c r="O34"/>
  <c r="L34"/>
  <c r="I34"/>
  <c r="F34"/>
  <c r="U42"/>
  <c r="R33"/>
  <c r="O33"/>
  <c r="L33"/>
  <c r="I33"/>
  <c r="F33"/>
  <c r="R336"/>
  <c r="O336"/>
  <c r="L336"/>
  <c r="I336"/>
  <c r="F336"/>
  <c r="R335"/>
  <c r="O335"/>
  <c r="L335"/>
  <c r="I335"/>
  <c r="F335"/>
  <c r="R334"/>
  <c r="O334"/>
  <c r="L334"/>
  <c r="I334"/>
  <c r="F334"/>
  <c r="R333"/>
  <c r="O333"/>
  <c r="L333"/>
  <c r="I333"/>
  <c r="F333"/>
  <c r="R332"/>
  <c r="O332"/>
  <c r="L332"/>
  <c r="I332"/>
  <c r="F332"/>
  <c r="R331"/>
  <c r="O331"/>
  <c r="L331"/>
  <c r="I331"/>
  <c r="F331"/>
  <c r="R330"/>
  <c r="O330"/>
  <c r="L330"/>
  <c r="I330"/>
  <c r="F330"/>
  <c r="R329"/>
  <c r="O329"/>
  <c r="L329"/>
  <c r="I329"/>
  <c r="F329"/>
  <c r="R328"/>
  <c r="O328"/>
  <c r="L328"/>
  <c r="I328"/>
  <c r="F328"/>
  <c r="R327"/>
  <c r="O327"/>
  <c r="L327"/>
  <c r="I327"/>
  <c r="F327"/>
  <c r="U337"/>
  <c r="R326"/>
  <c r="O326"/>
  <c r="L326"/>
  <c r="I326"/>
  <c r="F326"/>
  <c r="R31"/>
  <c r="O31"/>
  <c r="L31"/>
  <c r="I31"/>
  <c r="F31"/>
  <c r="R20"/>
  <c r="O20"/>
  <c r="L20"/>
  <c r="I20"/>
  <c r="F20"/>
  <c r="R19"/>
  <c r="O19"/>
  <c r="L19"/>
  <c r="I19"/>
  <c r="F19"/>
  <c r="R18"/>
  <c r="O18"/>
  <c r="L18"/>
  <c r="I18"/>
  <c r="F18"/>
  <c r="R17"/>
  <c r="O17"/>
  <c r="L17"/>
  <c r="I17"/>
  <c r="F17"/>
  <c r="R16"/>
  <c r="O16"/>
  <c r="L16"/>
  <c r="I16"/>
  <c r="F16"/>
  <c r="R15"/>
  <c r="O15"/>
  <c r="L15"/>
  <c r="I15"/>
  <c r="F15"/>
  <c r="R14"/>
  <c r="O14"/>
  <c r="L14"/>
  <c r="I14"/>
  <c r="F14"/>
  <c r="R13"/>
  <c r="O13"/>
  <c r="L13"/>
  <c r="I13"/>
  <c r="F13"/>
  <c r="R12"/>
  <c r="O12"/>
  <c r="L12"/>
  <c r="I12"/>
  <c r="F12"/>
  <c r="R10"/>
  <c r="O10"/>
  <c r="L10"/>
  <c r="I10"/>
  <c r="F10"/>
  <c r="R9"/>
  <c r="O9"/>
  <c r="L9"/>
  <c r="I9"/>
  <c r="F9"/>
  <c r="R8"/>
  <c r="O8"/>
  <c r="L8"/>
  <c r="I8"/>
  <c r="F8"/>
  <c r="R7"/>
  <c r="O7"/>
  <c r="L7"/>
  <c r="I7"/>
  <c r="F7"/>
  <c r="U11"/>
  <c r="R6"/>
  <c r="O6"/>
  <c r="L6"/>
  <c r="I6"/>
  <c r="F6"/>
  <c r="S318"/>
  <c r="S316"/>
  <c r="S305"/>
  <c r="S300"/>
  <c r="S289"/>
  <c r="S279"/>
  <c r="S268"/>
  <c r="S265"/>
  <c r="S256"/>
  <c r="S252"/>
  <c r="S244"/>
  <c r="S230"/>
  <c r="S228"/>
  <c r="S224"/>
  <c r="S211"/>
  <c r="S194"/>
  <c r="S177"/>
  <c r="S171"/>
  <c r="S150"/>
  <c r="S146"/>
  <c r="S133"/>
  <c r="S131"/>
  <c r="S118"/>
  <c r="S108"/>
  <c r="S101"/>
  <c r="S88"/>
  <c r="S58"/>
  <c r="S337"/>
  <c r="Q318"/>
  <c r="R318"/>
  <c r="Q316"/>
  <c r="R316"/>
  <c r="Q305"/>
  <c r="R305"/>
  <c r="Q300"/>
  <c r="R300"/>
  <c r="Q289"/>
  <c r="R289"/>
  <c r="Q279"/>
  <c r="R279"/>
  <c r="Q268"/>
  <c r="R268"/>
  <c r="Q265"/>
  <c r="R265"/>
  <c r="Q256"/>
  <c r="R256"/>
  <c r="Q252"/>
  <c r="R252"/>
  <c r="Q244"/>
  <c r="R244"/>
  <c r="Q230"/>
  <c r="R230"/>
  <c r="Q228"/>
  <c r="R228"/>
  <c r="Q224"/>
  <c r="R224"/>
  <c r="Q211"/>
  <c r="R211"/>
  <c r="Q194"/>
  <c r="R194"/>
  <c r="Q177"/>
  <c r="R177"/>
  <c r="Q171"/>
  <c r="R171"/>
  <c r="Q160"/>
  <c r="R160"/>
  <c r="Q150"/>
  <c r="R150"/>
  <c r="Q146"/>
  <c r="R146"/>
  <c r="Q133"/>
  <c r="R133"/>
  <c r="Q131"/>
  <c r="R131"/>
  <c r="Q118"/>
  <c r="R118"/>
  <c r="Q108"/>
  <c r="R108"/>
  <c r="Q101"/>
  <c r="R101"/>
  <c r="Q88"/>
  <c r="R88"/>
  <c r="Q77"/>
  <c r="R77"/>
  <c r="Q58"/>
  <c r="R58"/>
  <c r="Q42"/>
  <c r="Q337"/>
  <c r="Q11"/>
  <c r="N318"/>
  <c r="O318"/>
  <c r="N316"/>
  <c r="O316"/>
  <c r="N305"/>
  <c r="O305"/>
  <c r="N300"/>
  <c r="O300"/>
  <c r="N289"/>
  <c r="O289"/>
  <c r="N279"/>
  <c r="O279"/>
  <c r="N268"/>
  <c r="O268"/>
  <c r="N265"/>
  <c r="O265"/>
  <c r="N256"/>
  <c r="O256"/>
  <c r="N252"/>
  <c r="O252"/>
  <c r="N244"/>
  <c r="O244"/>
  <c r="N230"/>
  <c r="O230"/>
  <c r="N228"/>
  <c r="O228"/>
  <c r="N224"/>
  <c r="N211"/>
  <c r="N194"/>
  <c r="N177"/>
  <c r="O177"/>
  <c r="N171"/>
  <c r="O171"/>
  <c r="N160"/>
  <c r="O160"/>
  <c r="N150"/>
  <c r="O150"/>
  <c r="N146"/>
  <c r="N133"/>
  <c r="O133"/>
  <c r="N131"/>
  <c r="O131"/>
  <c r="N118"/>
  <c r="O118"/>
  <c r="N108"/>
  <c r="O108"/>
  <c r="N101"/>
  <c r="O101"/>
  <c r="N88"/>
  <c r="O88"/>
  <c r="N77"/>
  <c r="O77"/>
  <c r="N58"/>
  <c r="N42"/>
  <c r="O42"/>
  <c r="N337"/>
  <c r="O337"/>
  <c r="N11"/>
  <c r="K318"/>
  <c r="L318"/>
  <c r="K316"/>
  <c r="L316"/>
  <c r="K305"/>
  <c r="L305"/>
  <c r="K300"/>
  <c r="L300"/>
  <c r="K289"/>
  <c r="L289"/>
  <c r="K279"/>
  <c r="L279"/>
  <c r="K268"/>
  <c r="L268"/>
  <c r="K265"/>
  <c r="L265"/>
  <c r="K256"/>
  <c r="L256"/>
  <c r="K252"/>
  <c r="K244"/>
  <c r="L244"/>
  <c r="K230"/>
  <c r="L230"/>
  <c r="K228"/>
  <c r="L228"/>
  <c r="K224"/>
  <c r="L224"/>
  <c r="K211"/>
  <c r="L211"/>
  <c r="K194"/>
  <c r="L194"/>
  <c r="K177"/>
  <c r="L177"/>
  <c r="K171"/>
  <c r="L171"/>
  <c r="K160"/>
  <c r="K150"/>
  <c r="K146"/>
  <c r="K133"/>
  <c r="K131"/>
  <c r="K118"/>
  <c r="K108"/>
  <c r="K101"/>
  <c r="K88"/>
  <c r="K77"/>
  <c r="K58"/>
  <c r="K42"/>
  <c r="K337"/>
  <c r="K11"/>
  <c r="H318"/>
  <c r="I318"/>
  <c r="H316"/>
  <c r="I316"/>
  <c r="H305"/>
  <c r="I305"/>
  <c r="H300"/>
  <c r="I300"/>
  <c r="H289"/>
  <c r="I289"/>
  <c r="H279"/>
  <c r="I279"/>
  <c r="H268"/>
  <c r="I268"/>
  <c r="H265"/>
  <c r="I265"/>
  <c r="H256"/>
  <c r="I256"/>
  <c r="H252"/>
  <c r="I252"/>
  <c r="H244"/>
  <c r="I244"/>
  <c r="H230"/>
  <c r="I230"/>
  <c r="H228"/>
  <c r="I228"/>
  <c r="H224"/>
  <c r="I224"/>
  <c r="H211"/>
  <c r="I211"/>
  <c r="H194"/>
  <c r="I194"/>
  <c r="H177"/>
  <c r="H171"/>
  <c r="I171"/>
  <c r="H160"/>
  <c r="H150"/>
  <c r="I150"/>
  <c r="H146"/>
  <c r="I146"/>
  <c r="H133"/>
  <c r="I133"/>
  <c r="H131"/>
  <c r="H118"/>
  <c r="I118"/>
  <c r="H108"/>
  <c r="H101"/>
  <c r="I101"/>
  <c r="H88"/>
  <c r="I88"/>
  <c r="H58"/>
  <c r="I58"/>
  <c r="H42"/>
  <c r="I42"/>
  <c r="H337"/>
  <c r="I337"/>
  <c r="H11"/>
  <c r="I11"/>
  <c r="F211"/>
  <c r="F177"/>
  <c r="F318"/>
  <c r="E318"/>
  <c r="F316"/>
  <c r="E316"/>
  <c r="F305"/>
  <c r="E305"/>
  <c r="F300"/>
  <c r="E300"/>
  <c r="F289"/>
  <c r="E289"/>
  <c r="F279"/>
  <c r="E279"/>
  <c r="F268"/>
  <c r="E268"/>
  <c r="F265"/>
  <c r="E265"/>
  <c r="F256"/>
  <c r="E256"/>
  <c r="E252"/>
  <c r="F244"/>
  <c r="E244"/>
  <c r="F230"/>
  <c r="E230"/>
  <c r="E228"/>
  <c r="F224"/>
  <c r="E224"/>
  <c r="E211"/>
  <c r="F194"/>
  <c r="E194"/>
  <c r="E177"/>
  <c r="F171"/>
  <c r="E171"/>
  <c r="F160"/>
  <c r="E160"/>
  <c r="F150"/>
  <c r="E150"/>
  <c r="F146"/>
  <c r="E146"/>
  <c r="F133"/>
  <c r="E133"/>
  <c r="F131"/>
  <c r="E131"/>
  <c r="F77"/>
  <c r="E77"/>
  <c r="F42"/>
  <c r="E42"/>
  <c r="F337"/>
  <c r="E337"/>
  <c r="E32"/>
  <c r="E11"/>
  <c r="U3"/>
  <c r="R3"/>
  <c r="O3"/>
  <c r="L3"/>
  <c r="I3"/>
  <c r="F3"/>
  <c r="P1"/>
  <c r="U2" s="1"/>
  <c r="R182" i="55"/>
  <c r="O182"/>
  <c r="L182"/>
  <c r="I182"/>
  <c r="F182"/>
  <c r="U183"/>
  <c r="R177"/>
  <c r="O177"/>
  <c r="L177"/>
  <c r="I177"/>
  <c r="F177"/>
  <c r="R167"/>
  <c r="R176" s="1"/>
  <c r="O167"/>
  <c r="O176" s="1"/>
  <c r="L167"/>
  <c r="L176" s="1"/>
  <c r="I167"/>
  <c r="I176" s="1"/>
  <c r="F167"/>
  <c r="F176" s="1"/>
  <c r="R165"/>
  <c r="O165"/>
  <c r="L165"/>
  <c r="I165"/>
  <c r="F165"/>
  <c r="R158"/>
  <c r="O158"/>
  <c r="L158"/>
  <c r="I158"/>
  <c r="F158"/>
  <c r="U166"/>
  <c r="R157"/>
  <c r="O157"/>
  <c r="L157"/>
  <c r="I157"/>
  <c r="F157"/>
  <c r="R155"/>
  <c r="O155"/>
  <c r="L155"/>
  <c r="I155"/>
  <c r="F155"/>
  <c r="R151"/>
  <c r="O151"/>
  <c r="L151"/>
  <c r="I151"/>
  <c r="F151"/>
  <c r="R150"/>
  <c r="O150"/>
  <c r="L150"/>
  <c r="I150"/>
  <c r="F150"/>
  <c r="U149"/>
  <c r="R148"/>
  <c r="O148"/>
  <c r="L148"/>
  <c r="I148"/>
  <c r="F148"/>
  <c r="U147"/>
  <c r="R146"/>
  <c r="O146"/>
  <c r="L146"/>
  <c r="I146"/>
  <c r="F146"/>
  <c r="R140"/>
  <c r="R145" s="1"/>
  <c r="O140"/>
  <c r="O145" s="1"/>
  <c r="L140"/>
  <c r="L145" s="1"/>
  <c r="I140"/>
  <c r="I145" s="1"/>
  <c r="F140"/>
  <c r="F145" s="1"/>
  <c r="R138"/>
  <c r="O138"/>
  <c r="L138"/>
  <c r="I138"/>
  <c r="F138"/>
  <c r="R137"/>
  <c r="O137"/>
  <c r="L137"/>
  <c r="I137"/>
  <c r="F137"/>
  <c r="R136"/>
  <c r="O136"/>
  <c r="L136"/>
  <c r="I136"/>
  <c r="F136"/>
  <c r="U139"/>
  <c r="R135"/>
  <c r="O135"/>
  <c r="L135"/>
  <c r="I135"/>
  <c r="F135"/>
  <c r="R133"/>
  <c r="O133"/>
  <c r="L133"/>
  <c r="I133"/>
  <c r="F133"/>
  <c r="R126"/>
  <c r="O126"/>
  <c r="L126"/>
  <c r="I126"/>
  <c r="F126"/>
  <c r="R125"/>
  <c r="O125"/>
  <c r="L125"/>
  <c r="I125"/>
  <c r="F125"/>
  <c r="R124"/>
  <c r="O124"/>
  <c r="L124"/>
  <c r="I124"/>
  <c r="F124"/>
  <c r="U134"/>
  <c r="R123"/>
  <c r="O123"/>
  <c r="L123"/>
  <c r="I123"/>
  <c r="F123"/>
  <c r="R121"/>
  <c r="O121"/>
  <c r="L121"/>
  <c r="I121"/>
  <c r="F121"/>
  <c r="R120"/>
  <c r="O120"/>
  <c r="L120"/>
  <c r="I120"/>
  <c r="F120"/>
  <c r="R119"/>
  <c r="O119"/>
  <c r="L119"/>
  <c r="I119"/>
  <c r="F119"/>
  <c r="R118"/>
  <c r="O118"/>
  <c r="L118"/>
  <c r="I118"/>
  <c r="F118"/>
  <c r="U122"/>
  <c r="R117"/>
  <c r="O117"/>
  <c r="L117"/>
  <c r="I117"/>
  <c r="F117"/>
  <c r="R115"/>
  <c r="O115"/>
  <c r="L115"/>
  <c r="I115"/>
  <c r="F115"/>
  <c r="U116"/>
  <c r="R114"/>
  <c r="O114"/>
  <c r="O116" s="1"/>
  <c r="L114"/>
  <c r="I114"/>
  <c r="F114"/>
  <c r="R112"/>
  <c r="O112"/>
  <c r="L112"/>
  <c r="I112"/>
  <c r="F112"/>
  <c r="R107"/>
  <c r="O107"/>
  <c r="L107"/>
  <c r="I107"/>
  <c r="F107"/>
  <c r="U113"/>
  <c r="R106"/>
  <c r="O106"/>
  <c r="L106"/>
  <c r="I106"/>
  <c r="F106"/>
  <c r="R104"/>
  <c r="O104"/>
  <c r="L104"/>
  <c r="I104"/>
  <c r="F104"/>
  <c r="U105"/>
  <c r="R101"/>
  <c r="O101"/>
  <c r="L101"/>
  <c r="L105" s="1"/>
  <c r="I101"/>
  <c r="F101"/>
  <c r="R99"/>
  <c r="O99"/>
  <c r="L99"/>
  <c r="I99"/>
  <c r="F99"/>
  <c r="R84"/>
  <c r="O84"/>
  <c r="L84"/>
  <c r="I84"/>
  <c r="F84"/>
  <c r="R83"/>
  <c r="O83"/>
  <c r="L83"/>
  <c r="I83"/>
  <c r="F83"/>
  <c r="R82"/>
  <c r="O82"/>
  <c r="L82"/>
  <c r="I82"/>
  <c r="F82"/>
  <c r="U100"/>
  <c r="R81"/>
  <c r="O81"/>
  <c r="L81"/>
  <c r="I81"/>
  <c r="F81"/>
  <c r="R79"/>
  <c r="O79"/>
  <c r="L79"/>
  <c r="I79"/>
  <c r="F79"/>
  <c r="R70"/>
  <c r="O70"/>
  <c r="L70"/>
  <c r="I70"/>
  <c r="F70"/>
  <c r="U80"/>
  <c r="R69"/>
  <c r="O69"/>
  <c r="L69"/>
  <c r="I69"/>
  <c r="F69"/>
  <c r="R67"/>
  <c r="O67"/>
  <c r="L67"/>
  <c r="I67"/>
  <c r="F67"/>
  <c r="R61"/>
  <c r="O61"/>
  <c r="L61"/>
  <c r="I61"/>
  <c r="F61"/>
  <c r="R60"/>
  <c r="O60"/>
  <c r="L60"/>
  <c r="I60"/>
  <c r="F60"/>
  <c r="U68"/>
  <c r="R59"/>
  <c r="O59"/>
  <c r="L59"/>
  <c r="I59"/>
  <c r="F59"/>
  <c r="R57"/>
  <c r="O57"/>
  <c r="L57"/>
  <c r="I57"/>
  <c r="F57"/>
  <c r="R46"/>
  <c r="O46"/>
  <c r="L46"/>
  <c r="I46"/>
  <c r="F46"/>
  <c r="R45"/>
  <c r="O45"/>
  <c r="L45"/>
  <c r="I45"/>
  <c r="F45"/>
  <c r="R44"/>
  <c r="O44"/>
  <c r="L44"/>
  <c r="I44"/>
  <c r="F44"/>
  <c r="R43"/>
  <c r="O43"/>
  <c r="L43"/>
  <c r="I43"/>
  <c r="F43"/>
  <c r="U58"/>
  <c r="R42"/>
  <c r="O42"/>
  <c r="L42"/>
  <c r="I42"/>
  <c r="F42"/>
  <c r="R40"/>
  <c r="O40"/>
  <c r="L40"/>
  <c r="I40"/>
  <c r="F40"/>
  <c r="R32"/>
  <c r="O32"/>
  <c r="L32"/>
  <c r="I32"/>
  <c r="F32"/>
  <c r="R31"/>
  <c r="O31"/>
  <c r="L31"/>
  <c r="I31"/>
  <c r="F31"/>
  <c r="R30"/>
  <c r="O30"/>
  <c r="L30"/>
  <c r="I30"/>
  <c r="F30"/>
  <c r="R29"/>
  <c r="O29"/>
  <c r="L29"/>
  <c r="I29"/>
  <c r="F29"/>
  <c r="R28"/>
  <c r="O28"/>
  <c r="L28"/>
  <c r="I28"/>
  <c r="F28"/>
  <c r="R27"/>
  <c r="O27"/>
  <c r="L27"/>
  <c r="I27"/>
  <c r="F27"/>
  <c r="U41"/>
  <c r="R26"/>
  <c r="O26"/>
  <c r="L26"/>
  <c r="I26"/>
  <c r="F26"/>
  <c r="R24"/>
  <c r="O24"/>
  <c r="L24"/>
  <c r="I24"/>
  <c r="F24"/>
  <c r="R23"/>
  <c r="O23"/>
  <c r="L23"/>
  <c r="I23"/>
  <c r="F23"/>
  <c r="R22"/>
  <c r="O22"/>
  <c r="L22"/>
  <c r="I22"/>
  <c r="F22"/>
  <c r="R21"/>
  <c r="O21"/>
  <c r="L21"/>
  <c r="I21"/>
  <c r="F21"/>
  <c r="R20"/>
  <c r="O20"/>
  <c r="L20"/>
  <c r="I20"/>
  <c r="F20"/>
  <c r="R19"/>
  <c r="O19"/>
  <c r="L19"/>
  <c r="I19"/>
  <c r="F19"/>
  <c r="R18"/>
  <c r="O18"/>
  <c r="L18"/>
  <c r="I18"/>
  <c r="F18"/>
  <c r="U25"/>
  <c r="R17"/>
  <c r="O17"/>
  <c r="L17"/>
  <c r="I17"/>
  <c r="F17"/>
  <c r="R15"/>
  <c r="O15"/>
  <c r="L15"/>
  <c r="I15"/>
  <c r="F15"/>
  <c r="R10"/>
  <c r="O10"/>
  <c r="L10"/>
  <c r="I10"/>
  <c r="F10"/>
  <c r="R9"/>
  <c r="O9"/>
  <c r="L9"/>
  <c r="I9"/>
  <c r="F9"/>
  <c r="R8"/>
  <c r="O8"/>
  <c r="L8"/>
  <c r="I8"/>
  <c r="F8"/>
  <c r="R7"/>
  <c r="O7"/>
  <c r="L7"/>
  <c r="I7"/>
  <c r="F7"/>
  <c r="U16"/>
  <c r="R6"/>
  <c r="O6"/>
  <c r="L6"/>
  <c r="I6"/>
  <c r="F6"/>
  <c r="R202"/>
  <c r="O202"/>
  <c r="L202"/>
  <c r="I202"/>
  <c r="F202"/>
  <c r="R201"/>
  <c r="O201"/>
  <c r="L201"/>
  <c r="I201"/>
  <c r="F201"/>
  <c r="R200"/>
  <c r="O200"/>
  <c r="L200"/>
  <c r="I200"/>
  <c r="F200"/>
  <c r="R199"/>
  <c r="O199"/>
  <c r="L199"/>
  <c r="I199"/>
  <c r="F199"/>
  <c r="R198"/>
  <c r="O198"/>
  <c r="L198"/>
  <c r="I198"/>
  <c r="F198"/>
  <c r="R197"/>
  <c r="O197"/>
  <c r="L197"/>
  <c r="I197"/>
  <c r="F197"/>
  <c r="R196"/>
  <c r="O196"/>
  <c r="L196"/>
  <c r="I196"/>
  <c r="F196"/>
  <c r="R195"/>
  <c r="O195"/>
  <c r="L195"/>
  <c r="I195"/>
  <c r="F195"/>
  <c r="U203"/>
  <c r="R194"/>
  <c r="O194"/>
  <c r="L194"/>
  <c r="I194"/>
  <c r="F194"/>
  <c r="R192"/>
  <c r="O192"/>
  <c r="L192"/>
  <c r="I192"/>
  <c r="F192"/>
  <c r="R191"/>
  <c r="O191"/>
  <c r="L191"/>
  <c r="I191"/>
  <c r="F191"/>
  <c r="R190"/>
  <c r="O190"/>
  <c r="L190"/>
  <c r="I190"/>
  <c r="F190"/>
  <c r="U193"/>
  <c r="R189"/>
  <c r="O189"/>
  <c r="L189"/>
  <c r="I189"/>
  <c r="F189"/>
  <c r="F3"/>
  <c r="S183"/>
  <c r="S166"/>
  <c r="S156"/>
  <c r="S149"/>
  <c r="S147"/>
  <c r="S139"/>
  <c r="S134"/>
  <c r="S122"/>
  <c r="S116"/>
  <c r="S113"/>
  <c r="S105"/>
  <c r="S100"/>
  <c r="S80"/>
  <c r="S203"/>
  <c r="R183"/>
  <c r="Q183"/>
  <c r="R166"/>
  <c r="Q166"/>
  <c r="R156"/>
  <c r="Q156"/>
  <c r="R149"/>
  <c r="Q149"/>
  <c r="R147"/>
  <c r="Q147"/>
  <c r="R139"/>
  <c r="Q139"/>
  <c r="R134"/>
  <c r="Q134"/>
  <c r="R122"/>
  <c r="Q122"/>
  <c r="R116"/>
  <c r="Q116"/>
  <c r="R113"/>
  <c r="Q113"/>
  <c r="R105"/>
  <c r="Q105"/>
  <c r="Q100"/>
  <c r="R80"/>
  <c r="Q80"/>
  <c r="Q68"/>
  <c r="Q58"/>
  <c r="Q41"/>
  <c r="Q25"/>
  <c r="Q16"/>
  <c r="Q203"/>
  <c r="Q193"/>
  <c r="O183"/>
  <c r="N183"/>
  <c r="N166"/>
  <c r="O156"/>
  <c r="N156"/>
  <c r="O149"/>
  <c r="N149"/>
  <c r="O147"/>
  <c r="N147"/>
  <c r="O139"/>
  <c r="N139"/>
  <c r="O134"/>
  <c r="N134"/>
  <c r="O122"/>
  <c r="N122"/>
  <c r="N116"/>
  <c r="N113"/>
  <c r="O105"/>
  <c r="N105"/>
  <c r="O100"/>
  <c r="N100"/>
  <c r="O80"/>
  <c r="N80"/>
  <c r="O58"/>
  <c r="N58"/>
  <c r="O41"/>
  <c r="N41"/>
  <c r="O25"/>
  <c r="N25"/>
  <c r="O16"/>
  <c r="N16"/>
  <c r="N203"/>
  <c r="N193"/>
  <c r="L183"/>
  <c r="K183"/>
  <c r="L166"/>
  <c r="K166"/>
  <c r="L156"/>
  <c r="K156"/>
  <c r="L149"/>
  <c r="K149"/>
  <c r="L147"/>
  <c r="K147"/>
  <c r="L139"/>
  <c r="K139"/>
  <c r="L134"/>
  <c r="K134"/>
  <c r="K122"/>
  <c r="L116"/>
  <c r="K116"/>
  <c r="L113"/>
  <c r="K100"/>
  <c r="L80"/>
  <c r="K80"/>
  <c r="K58"/>
  <c r="L41"/>
  <c r="K41"/>
  <c r="K25"/>
  <c r="K16"/>
  <c r="K203"/>
  <c r="L193"/>
  <c r="K193"/>
  <c r="I183"/>
  <c r="H183"/>
  <c r="I166"/>
  <c r="I156"/>
  <c r="H156"/>
  <c r="I149"/>
  <c r="I147"/>
  <c r="H147"/>
  <c r="I139"/>
  <c r="H139"/>
  <c r="I134"/>
  <c r="H134"/>
  <c r="I122"/>
  <c r="H122"/>
  <c r="I116"/>
  <c r="H116"/>
  <c r="I113"/>
  <c r="H113"/>
  <c r="I105"/>
  <c r="H105"/>
  <c r="H100"/>
  <c r="I80"/>
  <c r="H80"/>
  <c r="H58"/>
  <c r="I41"/>
  <c r="H41"/>
  <c r="I25"/>
  <c r="H25"/>
  <c r="I16"/>
  <c r="H16"/>
  <c r="H203"/>
  <c r="I193"/>
  <c r="H193"/>
  <c r="N184"/>
  <c r="E147"/>
  <c r="F147"/>
  <c r="E183"/>
  <c r="F183"/>
  <c r="E156"/>
  <c r="F156"/>
  <c r="E149"/>
  <c r="F149"/>
  <c r="E139"/>
  <c r="F139"/>
  <c r="E134"/>
  <c r="F134"/>
  <c r="E122"/>
  <c r="F122"/>
  <c r="E116"/>
  <c r="E113"/>
  <c r="E105"/>
  <c r="E100"/>
  <c r="E80"/>
  <c r="E58"/>
  <c r="E41"/>
  <c r="E25"/>
  <c r="E16"/>
  <c r="E203"/>
  <c r="E193"/>
  <c r="F116"/>
  <c r="F113"/>
  <c r="F105"/>
  <c r="F100"/>
  <c r="F80"/>
  <c r="F58"/>
  <c r="F41"/>
  <c r="F25"/>
  <c r="F16"/>
  <c r="F203"/>
  <c r="F193"/>
  <c r="U3"/>
  <c r="O3"/>
  <c r="L3"/>
  <c r="I3"/>
  <c r="P1"/>
  <c r="U2" s="1"/>
  <c r="R90" i="54"/>
  <c r="O90"/>
  <c r="L90"/>
  <c r="I90"/>
  <c r="F90"/>
  <c r="R79"/>
  <c r="O79"/>
  <c r="L79"/>
  <c r="I79"/>
  <c r="F79"/>
  <c r="R78"/>
  <c r="O78"/>
  <c r="L78"/>
  <c r="I78"/>
  <c r="F78"/>
  <c r="R77"/>
  <c r="O77"/>
  <c r="L77"/>
  <c r="I77"/>
  <c r="F77"/>
  <c r="R76"/>
  <c r="O76"/>
  <c r="L76"/>
  <c r="I76"/>
  <c r="F76"/>
  <c r="R75"/>
  <c r="O75"/>
  <c r="L75"/>
  <c r="I75"/>
  <c r="F75"/>
  <c r="U91"/>
  <c r="R74"/>
  <c r="O74"/>
  <c r="L74"/>
  <c r="I74"/>
  <c r="F74"/>
  <c r="R72"/>
  <c r="O72"/>
  <c r="L72"/>
  <c r="I72"/>
  <c r="F72"/>
  <c r="R70"/>
  <c r="O70"/>
  <c r="L70"/>
  <c r="I70"/>
  <c r="F70"/>
  <c r="U73"/>
  <c r="R69"/>
  <c r="O69"/>
  <c r="L69"/>
  <c r="I69"/>
  <c r="F69"/>
  <c r="R67"/>
  <c r="O67"/>
  <c r="L67"/>
  <c r="I67"/>
  <c r="F67"/>
  <c r="R60"/>
  <c r="O60"/>
  <c r="L60"/>
  <c r="I60"/>
  <c r="F60"/>
  <c r="U68"/>
  <c r="R59"/>
  <c r="O59"/>
  <c r="L59"/>
  <c r="I59"/>
  <c r="F59"/>
  <c r="U58"/>
  <c r="R57"/>
  <c r="O57"/>
  <c r="L57"/>
  <c r="I57"/>
  <c r="F57"/>
  <c r="R55"/>
  <c r="O55"/>
  <c r="L55"/>
  <c r="I55"/>
  <c r="F55"/>
  <c r="R48"/>
  <c r="O48"/>
  <c r="L48"/>
  <c r="I48"/>
  <c r="F48"/>
  <c r="R47"/>
  <c r="O47"/>
  <c r="L47"/>
  <c r="I47"/>
  <c r="F47"/>
  <c r="R46"/>
  <c r="O46"/>
  <c r="L46"/>
  <c r="I46"/>
  <c r="F46"/>
  <c r="R45"/>
  <c r="O45"/>
  <c r="L45"/>
  <c r="I45"/>
  <c r="F45"/>
  <c r="R44"/>
  <c r="O44"/>
  <c r="L44"/>
  <c r="I44"/>
  <c r="F44"/>
  <c r="U56"/>
  <c r="R43"/>
  <c r="O43"/>
  <c r="L43"/>
  <c r="I43"/>
  <c r="F43"/>
  <c r="R41"/>
  <c r="O41"/>
  <c r="L41"/>
  <c r="I41"/>
  <c r="F41"/>
  <c r="U42"/>
  <c r="R36"/>
  <c r="R42" s="1"/>
  <c r="O36"/>
  <c r="L36"/>
  <c r="I36"/>
  <c r="F36"/>
  <c r="R32"/>
  <c r="R35" s="1"/>
  <c r="O32"/>
  <c r="O35" s="1"/>
  <c r="L32"/>
  <c r="L35" s="1"/>
  <c r="I32"/>
  <c r="I35" s="1"/>
  <c r="F32"/>
  <c r="F35" s="1"/>
  <c r="U31"/>
  <c r="R30"/>
  <c r="O30"/>
  <c r="O31" s="1"/>
  <c r="L30"/>
  <c r="I30"/>
  <c r="F30"/>
  <c r="R28"/>
  <c r="O28"/>
  <c r="L28"/>
  <c r="I28"/>
  <c r="F28"/>
  <c r="U29"/>
  <c r="R25"/>
  <c r="O25"/>
  <c r="L25"/>
  <c r="I25"/>
  <c r="F25"/>
  <c r="R23"/>
  <c r="O23"/>
  <c r="L23"/>
  <c r="I23"/>
  <c r="F23"/>
  <c r="R17"/>
  <c r="O17"/>
  <c r="L17"/>
  <c r="I17"/>
  <c r="F17"/>
  <c r="O16"/>
  <c r="L16"/>
  <c r="I16"/>
  <c r="F16"/>
  <c r="R15"/>
  <c r="O15"/>
  <c r="L15"/>
  <c r="I15"/>
  <c r="F15"/>
  <c r="U24"/>
  <c r="R14"/>
  <c r="O14"/>
  <c r="L14"/>
  <c r="I14"/>
  <c r="F14"/>
  <c r="R12"/>
  <c r="O12"/>
  <c r="L12"/>
  <c r="I12"/>
  <c r="F12"/>
  <c r="R11"/>
  <c r="O11"/>
  <c r="L11"/>
  <c r="I11"/>
  <c r="F11"/>
  <c r="U13"/>
  <c r="R10"/>
  <c r="O10"/>
  <c r="L10"/>
  <c r="I10"/>
  <c r="F10"/>
  <c r="U9"/>
  <c r="R6"/>
  <c r="R9" s="1"/>
  <c r="O6"/>
  <c r="O9" s="1"/>
  <c r="L6"/>
  <c r="I6"/>
  <c r="F6"/>
  <c r="S68"/>
  <c r="S42"/>
  <c r="S29"/>
  <c r="R91"/>
  <c r="Q91"/>
  <c r="R73"/>
  <c r="Q73"/>
  <c r="R68"/>
  <c r="Q68"/>
  <c r="R58"/>
  <c r="Q58"/>
  <c r="Q56"/>
  <c r="Q42"/>
  <c r="R31"/>
  <c r="Q31"/>
  <c r="R29"/>
  <c r="Q29"/>
  <c r="Q24"/>
  <c r="Q13"/>
  <c r="Q9"/>
  <c r="N91"/>
  <c r="N73"/>
  <c r="O68"/>
  <c r="N68"/>
  <c r="O58"/>
  <c r="N58"/>
  <c r="N56"/>
  <c r="O42"/>
  <c r="N42"/>
  <c r="N31"/>
  <c r="N29"/>
  <c r="N24"/>
  <c r="N13"/>
  <c r="N9"/>
  <c r="L91"/>
  <c r="K91"/>
  <c r="K73"/>
  <c r="L68"/>
  <c r="K68"/>
  <c r="L58"/>
  <c r="K58"/>
  <c r="L56"/>
  <c r="K56"/>
  <c r="K42"/>
  <c r="L31"/>
  <c r="K31"/>
  <c r="K29"/>
  <c r="L24"/>
  <c r="K24"/>
  <c r="K13"/>
  <c r="K9"/>
  <c r="H91"/>
  <c r="H73"/>
  <c r="I68"/>
  <c r="H68"/>
  <c r="I58"/>
  <c r="H58"/>
  <c r="H56"/>
  <c r="I42"/>
  <c r="H42"/>
  <c r="H31"/>
  <c r="H29"/>
  <c r="I24"/>
  <c r="H24"/>
  <c r="I13"/>
  <c r="H13"/>
  <c r="H9"/>
  <c r="F91"/>
  <c r="E91"/>
  <c r="F73"/>
  <c r="E73"/>
  <c r="F68"/>
  <c r="E68"/>
  <c r="F58"/>
  <c r="E58"/>
  <c r="F56"/>
  <c r="E56"/>
  <c r="F42"/>
  <c r="E42"/>
  <c r="F31"/>
  <c r="E31"/>
  <c r="F29"/>
  <c r="E29"/>
  <c r="E24"/>
  <c r="F13"/>
  <c r="E13"/>
  <c r="E9"/>
  <c r="U3"/>
  <c r="R3"/>
  <c r="O3"/>
  <c r="L3"/>
  <c r="I3"/>
  <c r="F3"/>
  <c r="P1"/>
  <c r="U2" s="1"/>
  <c r="S80" i="49"/>
  <c r="U80" s="1"/>
  <c r="U81" s="1"/>
  <c r="R80"/>
  <c r="O80"/>
  <c r="L80"/>
  <c r="I80"/>
  <c r="F80"/>
  <c r="S78"/>
  <c r="U78" s="1"/>
  <c r="U79" s="1"/>
  <c r="R78"/>
  <c r="O78"/>
  <c r="L78"/>
  <c r="I78"/>
  <c r="F78"/>
  <c r="S76"/>
  <c r="U76" s="1"/>
  <c r="R76"/>
  <c r="O76"/>
  <c r="L76"/>
  <c r="I76"/>
  <c r="F76"/>
  <c r="S68"/>
  <c r="U68" s="1"/>
  <c r="R68"/>
  <c r="O68"/>
  <c r="L68"/>
  <c r="I68"/>
  <c r="F68"/>
  <c r="S67"/>
  <c r="U67" s="1"/>
  <c r="U77" s="1"/>
  <c r="R67"/>
  <c r="O67"/>
  <c r="O77" s="1"/>
  <c r="L67"/>
  <c r="I67"/>
  <c r="F67"/>
  <c r="S65"/>
  <c r="U65" s="1"/>
  <c r="R65"/>
  <c r="O65"/>
  <c r="L65"/>
  <c r="I65"/>
  <c r="F65"/>
  <c r="S55"/>
  <c r="U55" s="1"/>
  <c r="R55"/>
  <c r="O55"/>
  <c r="L55"/>
  <c r="I55"/>
  <c r="F55"/>
  <c r="S54"/>
  <c r="U54" s="1"/>
  <c r="R54"/>
  <c r="O54"/>
  <c r="L54"/>
  <c r="I54"/>
  <c r="F54"/>
  <c r="S53"/>
  <c r="U53" s="1"/>
  <c r="U66" s="1"/>
  <c r="R53"/>
  <c r="O53"/>
  <c r="O66" s="1"/>
  <c r="L53"/>
  <c r="I53"/>
  <c r="F53"/>
  <c r="S51"/>
  <c r="U51" s="1"/>
  <c r="R51"/>
  <c r="O51"/>
  <c r="L51"/>
  <c r="I51"/>
  <c r="F51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R52" s="1"/>
  <c r="O44"/>
  <c r="O52" s="1"/>
  <c r="L44"/>
  <c r="I44"/>
  <c r="I52" s="1"/>
  <c r="F44"/>
  <c r="F52" s="1"/>
  <c r="S41"/>
  <c r="R41"/>
  <c r="R43" s="1"/>
  <c r="O41"/>
  <c r="O43" s="1"/>
  <c r="L41"/>
  <c r="L43" s="1"/>
  <c r="I41"/>
  <c r="F41"/>
  <c r="S39"/>
  <c r="U39" s="1"/>
  <c r="R39"/>
  <c r="O39"/>
  <c r="L39"/>
  <c r="I39"/>
  <c r="F39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R40" s="1"/>
  <c r="O28"/>
  <c r="O40" s="1"/>
  <c r="L28"/>
  <c r="I28"/>
  <c r="F28"/>
  <c r="S26"/>
  <c r="U26" s="1"/>
  <c r="R26"/>
  <c r="O26"/>
  <c r="L26"/>
  <c r="I26"/>
  <c r="F26"/>
  <c r="S24"/>
  <c r="U24" s="1"/>
  <c r="R24"/>
  <c r="R27" s="1"/>
  <c r="O24"/>
  <c r="L24"/>
  <c r="L27" s="1"/>
  <c r="I24"/>
  <c r="F24"/>
  <c r="S22"/>
  <c r="U22" s="1"/>
  <c r="R22"/>
  <c r="O22"/>
  <c r="L22"/>
  <c r="I22"/>
  <c r="F22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23" s="1"/>
  <c r="R6"/>
  <c r="R23" s="1"/>
  <c r="O6"/>
  <c r="L6"/>
  <c r="I6"/>
  <c r="F6"/>
  <c r="S66"/>
  <c r="R81"/>
  <c r="Q81"/>
  <c r="R79"/>
  <c r="Q79"/>
  <c r="R77"/>
  <c r="Q77"/>
  <c r="R66"/>
  <c r="Q66"/>
  <c r="Q52"/>
  <c r="Q40"/>
  <c r="Q27"/>
  <c r="Q23"/>
  <c r="O81"/>
  <c r="N81"/>
  <c r="O79"/>
  <c r="N79"/>
  <c r="N77"/>
  <c r="N66"/>
  <c r="N52"/>
  <c r="N40"/>
  <c r="N27"/>
  <c r="N23"/>
  <c r="L81"/>
  <c r="K81"/>
  <c r="L79"/>
  <c r="K79"/>
  <c r="L77"/>
  <c r="K77"/>
  <c r="L66"/>
  <c r="K66"/>
  <c r="L52"/>
  <c r="K52"/>
  <c r="K40"/>
  <c r="K27"/>
  <c r="K23"/>
  <c r="I81"/>
  <c r="H81"/>
  <c r="I79"/>
  <c r="H79"/>
  <c r="H77"/>
  <c r="H66"/>
  <c r="H52"/>
  <c r="I40"/>
  <c r="H40"/>
  <c r="H27"/>
  <c r="H23"/>
  <c r="F81"/>
  <c r="E81"/>
  <c r="F79"/>
  <c r="E79"/>
  <c r="F77"/>
  <c r="E77"/>
  <c r="F66"/>
  <c r="E66"/>
  <c r="E52"/>
  <c r="E40"/>
  <c r="E27"/>
  <c r="E23"/>
  <c r="Q9" i="53"/>
  <c r="Q10" s="1"/>
  <c r="N9"/>
  <c r="N10" s="1"/>
  <c r="K9"/>
  <c r="K10" s="1"/>
  <c r="H9"/>
  <c r="H10" s="1"/>
  <c r="E9"/>
  <c r="E10" s="1"/>
  <c r="S9"/>
  <c r="S10" s="1"/>
  <c r="R6"/>
  <c r="O6"/>
  <c r="O9" s="1"/>
  <c r="O10" s="1"/>
  <c r="L6"/>
  <c r="I6"/>
  <c r="F6"/>
  <c r="S3"/>
  <c r="U3" s="1"/>
  <c r="R3"/>
  <c r="O3"/>
  <c r="L3"/>
  <c r="I3"/>
  <c r="F3"/>
  <c r="P1"/>
  <c r="U2" s="1"/>
  <c r="Q35" i="52"/>
  <c r="N35"/>
  <c r="K35"/>
  <c r="H35"/>
  <c r="E35"/>
  <c r="S34"/>
  <c r="U34" s="1"/>
  <c r="R34"/>
  <c r="O34"/>
  <c r="L34"/>
  <c r="I34"/>
  <c r="F34"/>
  <c r="S33"/>
  <c r="U33" s="1"/>
  <c r="R33"/>
  <c r="O33"/>
  <c r="L33"/>
  <c r="I33"/>
  <c r="F33"/>
  <c r="S32"/>
  <c r="S35" s="1"/>
  <c r="R32"/>
  <c r="R35" s="1"/>
  <c r="O32"/>
  <c r="O35" s="1"/>
  <c r="L32"/>
  <c r="L35" s="1"/>
  <c r="I32"/>
  <c r="I35" s="1"/>
  <c r="F32"/>
  <c r="F35" s="1"/>
  <c r="Q31"/>
  <c r="K31"/>
  <c r="H31"/>
  <c r="E31"/>
  <c r="S30"/>
  <c r="U30" s="1"/>
  <c r="R30"/>
  <c r="O30"/>
  <c r="L30"/>
  <c r="I30"/>
  <c r="F30"/>
  <c r="S23"/>
  <c r="U23" s="1"/>
  <c r="R23"/>
  <c r="O23"/>
  <c r="L23"/>
  <c r="I23"/>
  <c r="F23"/>
  <c r="S22"/>
  <c r="U22" s="1"/>
  <c r="R22"/>
  <c r="O22"/>
  <c r="L22"/>
  <c r="I22"/>
  <c r="F22"/>
  <c r="S21"/>
  <c r="U21" s="1"/>
  <c r="U31" s="1"/>
  <c r="R21"/>
  <c r="R31" s="1"/>
  <c r="O21"/>
  <c r="O31" s="1"/>
  <c r="L21"/>
  <c r="L31" s="1"/>
  <c r="I21"/>
  <c r="I31" s="1"/>
  <c r="F21"/>
  <c r="F31" s="1"/>
  <c r="Q20"/>
  <c r="N20"/>
  <c r="K20"/>
  <c r="E20"/>
  <c r="E36" s="1"/>
  <c r="S19"/>
  <c r="U19" s="1"/>
  <c r="R19"/>
  <c r="O19"/>
  <c r="L19"/>
  <c r="I19"/>
  <c r="F19"/>
  <c r="S7"/>
  <c r="U7" s="1"/>
  <c r="R7"/>
  <c r="O7"/>
  <c r="L7"/>
  <c r="I7"/>
  <c r="F7"/>
  <c r="S6"/>
  <c r="U6" s="1"/>
  <c r="R6"/>
  <c r="R20" s="1"/>
  <c r="R36" s="1"/>
  <c r="O6"/>
  <c r="O20" s="1"/>
  <c r="L6"/>
  <c r="L20" s="1"/>
  <c r="L36" s="1"/>
  <c r="I6"/>
  <c r="I20" s="1"/>
  <c r="F6"/>
  <c r="F20" s="1"/>
  <c r="F36" s="1"/>
  <c r="S3"/>
  <c r="U3" s="1"/>
  <c r="R3"/>
  <c r="O3"/>
  <c r="L3"/>
  <c r="I3"/>
  <c r="F3"/>
  <c r="P1"/>
  <c r="U2" s="1"/>
  <c r="S3" i="49"/>
  <c r="U3" s="1"/>
  <c r="R3"/>
  <c r="O3"/>
  <c r="L3"/>
  <c r="I3"/>
  <c r="F3"/>
  <c r="P1"/>
  <c r="U2" s="1"/>
  <c r="U35" i="39"/>
  <c r="R35"/>
  <c r="O35"/>
  <c r="L35"/>
  <c r="I35"/>
  <c r="F35"/>
  <c r="U33"/>
  <c r="U36" s="1"/>
  <c r="R33"/>
  <c r="R36" s="1"/>
  <c r="O33"/>
  <c r="L33"/>
  <c r="F33"/>
  <c r="U31"/>
  <c r="R31"/>
  <c r="O31"/>
  <c r="L31"/>
  <c r="I31"/>
  <c r="F31"/>
  <c r="U26"/>
  <c r="R26"/>
  <c r="O26"/>
  <c r="L26"/>
  <c r="I26"/>
  <c r="F26"/>
  <c r="U25"/>
  <c r="U32" s="1"/>
  <c r="R25"/>
  <c r="R32" s="1"/>
  <c r="O25"/>
  <c r="O32" s="1"/>
  <c r="L25"/>
  <c r="I25"/>
  <c r="F25"/>
  <c r="F32" s="1"/>
  <c r="U23"/>
  <c r="R23"/>
  <c r="O23"/>
  <c r="L23"/>
  <c r="I23"/>
  <c r="F23"/>
  <c r="U22"/>
  <c r="R22"/>
  <c r="O22"/>
  <c r="L22"/>
  <c r="I22"/>
  <c r="F22"/>
  <c r="U21"/>
  <c r="R21"/>
  <c r="O21"/>
  <c r="L21"/>
  <c r="I21"/>
  <c r="F21"/>
  <c r="U20"/>
  <c r="U24" s="1"/>
  <c r="R20"/>
  <c r="R24" s="1"/>
  <c r="O20"/>
  <c r="L20"/>
  <c r="L24" s="1"/>
  <c r="I20"/>
  <c r="F20"/>
  <c r="U18"/>
  <c r="R18"/>
  <c r="O18"/>
  <c r="L18"/>
  <c r="I18"/>
  <c r="F18"/>
  <c r="U12"/>
  <c r="R12"/>
  <c r="O12"/>
  <c r="L12"/>
  <c r="I12"/>
  <c r="F12"/>
  <c r="U11"/>
  <c r="R11"/>
  <c r="O11"/>
  <c r="L11"/>
  <c r="I11"/>
  <c r="F11"/>
  <c r="U10"/>
  <c r="R10"/>
  <c r="O10"/>
  <c r="L10"/>
  <c r="I10"/>
  <c r="F10"/>
  <c r="U9"/>
  <c r="R9"/>
  <c r="O9"/>
  <c r="L9"/>
  <c r="I9"/>
  <c r="F9"/>
  <c r="U8"/>
  <c r="R8"/>
  <c r="O8"/>
  <c r="L8"/>
  <c r="I8"/>
  <c r="F8"/>
  <c r="U7"/>
  <c r="R7"/>
  <c r="O7"/>
  <c r="L7"/>
  <c r="I7"/>
  <c r="F7"/>
  <c r="U6"/>
  <c r="R19"/>
  <c r="O6"/>
  <c r="L6"/>
  <c r="I6"/>
  <c r="F6"/>
  <c r="S36"/>
  <c r="S24"/>
  <c r="S19"/>
  <c r="Q36"/>
  <c r="Q32"/>
  <c r="Q24"/>
  <c r="Q19"/>
  <c r="O36"/>
  <c r="N36"/>
  <c r="N32"/>
  <c r="N24"/>
  <c r="N19"/>
  <c r="K36"/>
  <c r="K32"/>
  <c r="K24"/>
  <c r="K19"/>
  <c r="H36"/>
  <c r="H24"/>
  <c r="H19"/>
  <c r="F36"/>
  <c r="E36"/>
  <c r="E32"/>
  <c r="E24"/>
  <c r="E19"/>
  <c r="Q17" i="48"/>
  <c r="N17"/>
  <c r="E17"/>
  <c r="S13"/>
  <c r="S17" s="1"/>
  <c r="R13"/>
  <c r="R17" s="1"/>
  <c r="O13"/>
  <c r="O17" s="1"/>
  <c r="L13"/>
  <c r="L17" s="1"/>
  <c r="I13"/>
  <c r="I17" s="1"/>
  <c r="F13"/>
  <c r="F17" s="1"/>
  <c r="Q12"/>
  <c r="N12"/>
  <c r="K12"/>
  <c r="K18" s="1"/>
  <c r="H12"/>
  <c r="H18" s="1"/>
  <c r="E12"/>
  <c r="S11"/>
  <c r="U11" s="1"/>
  <c r="R11"/>
  <c r="O11"/>
  <c r="L11"/>
  <c r="I11"/>
  <c r="F11"/>
  <c r="S9"/>
  <c r="S12" s="1"/>
  <c r="R9"/>
  <c r="O9"/>
  <c r="O12" s="1"/>
  <c r="L9"/>
  <c r="I9"/>
  <c r="F9"/>
  <c r="S6"/>
  <c r="S8" s="1"/>
  <c r="R6"/>
  <c r="R8" s="1"/>
  <c r="O6"/>
  <c r="O8" s="1"/>
  <c r="L6"/>
  <c r="L8" s="1"/>
  <c r="I6"/>
  <c r="I8" s="1"/>
  <c r="F6"/>
  <c r="F8" s="1"/>
  <c r="S3"/>
  <c r="U3" s="1"/>
  <c r="R3"/>
  <c r="O3"/>
  <c r="L3"/>
  <c r="I3"/>
  <c r="F3"/>
  <c r="P1"/>
  <c r="U2" s="1"/>
  <c r="L113" i="29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13"/>
  <c r="U113" s="1"/>
  <c r="R113"/>
  <c r="O113"/>
  <c r="I113"/>
  <c r="F113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93" i="28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98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297"/>
  <c r="U297" s="1"/>
  <c r="R297"/>
  <c r="O297"/>
  <c r="L297"/>
  <c r="I297"/>
  <c r="F297"/>
  <c r="S296"/>
  <c r="U296" s="1"/>
  <c r="R296"/>
  <c r="O296"/>
  <c r="L296"/>
  <c r="I296"/>
  <c r="F296"/>
  <c r="S295"/>
  <c r="U295" s="1"/>
  <c r="R295"/>
  <c r="O295"/>
  <c r="L295"/>
  <c r="I295"/>
  <c r="F295"/>
  <c r="S294"/>
  <c r="U294" s="1"/>
  <c r="R294"/>
  <c r="O294"/>
  <c r="L294"/>
  <c r="I294"/>
  <c r="F294"/>
  <c r="S293"/>
  <c r="U293" s="1"/>
  <c r="R293"/>
  <c r="O293"/>
  <c r="L293"/>
  <c r="I293"/>
  <c r="F293"/>
  <c r="S292"/>
  <c r="U292" s="1"/>
  <c r="R292"/>
  <c r="O292"/>
  <c r="L292"/>
  <c r="I292"/>
  <c r="F292"/>
  <c r="S291"/>
  <c r="U291" s="1"/>
  <c r="R291"/>
  <c r="O291"/>
  <c r="L291"/>
  <c r="I291"/>
  <c r="F291"/>
  <c r="S290"/>
  <c r="U290" s="1"/>
  <c r="R290"/>
  <c r="O290"/>
  <c r="L290"/>
  <c r="I290"/>
  <c r="F290"/>
  <c r="S289"/>
  <c r="U289" s="1"/>
  <c r="R289"/>
  <c r="O289"/>
  <c r="L289"/>
  <c r="I289"/>
  <c r="F289"/>
  <c r="S288"/>
  <c r="U288" s="1"/>
  <c r="R288"/>
  <c r="O288"/>
  <c r="L288"/>
  <c r="I288"/>
  <c r="F288"/>
  <c r="S287"/>
  <c r="U287" s="1"/>
  <c r="R287"/>
  <c r="O287"/>
  <c r="L287"/>
  <c r="I287"/>
  <c r="F287"/>
  <c r="S286"/>
  <c r="U286" s="1"/>
  <c r="R286"/>
  <c r="O286"/>
  <c r="L286"/>
  <c r="I286"/>
  <c r="F286"/>
  <c r="S285"/>
  <c r="U285" s="1"/>
  <c r="R285"/>
  <c r="O285"/>
  <c r="L285"/>
  <c r="I285"/>
  <c r="F285"/>
  <c r="S284"/>
  <c r="U284" s="1"/>
  <c r="R284"/>
  <c r="O284"/>
  <c r="L284"/>
  <c r="I284"/>
  <c r="F284"/>
  <c r="S283"/>
  <c r="U283" s="1"/>
  <c r="R283"/>
  <c r="O283"/>
  <c r="L283"/>
  <c r="I283"/>
  <c r="F283"/>
  <c r="S282"/>
  <c r="U282" s="1"/>
  <c r="R282"/>
  <c r="O282"/>
  <c r="L282"/>
  <c r="I282"/>
  <c r="F282"/>
  <c r="S281"/>
  <c r="U281" s="1"/>
  <c r="R281"/>
  <c r="O281"/>
  <c r="L281"/>
  <c r="I281"/>
  <c r="F281"/>
  <c r="S280"/>
  <c r="U280" s="1"/>
  <c r="R280"/>
  <c r="O280"/>
  <c r="L280"/>
  <c r="I280"/>
  <c r="F280"/>
  <c r="S279"/>
  <c r="U279" s="1"/>
  <c r="R279"/>
  <c r="O279"/>
  <c r="L279"/>
  <c r="I279"/>
  <c r="F279"/>
  <c r="S278"/>
  <c r="U278" s="1"/>
  <c r="R278"/>
  <c r="O278"/>
  <c r="L278"/>
  <c r="I278"/>
  <c r="F278"/>
  <c r="S277"/>
  <c r="U277" s="1"/>
  <c r="R277"/>
  <c r="O277"/>
  <c r="L277"/>
  <c r="I277"/>
  <c r="F277"/>
  <c r="S276"/>
  <c r="U276" s="1"/>
  <c r="R276"/>
  <c r="O276"/>
  <c r="L276"/>
  <c r="I276"/>
  <c r="F276"/>
  <c r="S275"/>
  <c r="U275" s="1"/>
  <c r="R275"/>
  <c r="O275"/>
  <c r="L275"/>
  <c r="I275"/>
  <c r="F275"/>
  <c r="S274"/>
  <c r="U274" s="1"/>
  <c r="R274"/>
  <c r="O274"/>
  <c r="L274"/>
  <c r="I274"/>
  <c r="F274"/>
  <c r="S273"/>
  <c r="U273" s="1"/>
  <c r="R273"/>
  <c r="O273"/>
  <c r="L273"/>
  <c r="I273"/>
  <c r="F273"/>
  <c r="S152"/>
  <c r="U152" s="1"/>
  <c r="R152"/>
  <c r="O152"/>
  <c r="L152"/>
  <c r="I152"/>
  <c r="F152"/>
  <c r="S151"/>
  <c r="U151" s="1"/>
  <c r="R151"/>
  <c r="O151"/>
  <c r="L151"/>
  <c r="I151"/>
  <c r="F151"/>
  <c r="S150"/>
  <c r="U150" s="1"/>
  <c r="R150"/>
  <c r="O150"/>
  <c r="L150"/>
  <c r="I150"/>
  <c r="F150"/>
  <c r="S149"/>
  <c r="U149" s="1"/>
  <c r="R149"/>
  <c r="O149"/>
  <c r="L149"/>
  <c r="I149"/>
  <c r="F149"/>
  <c r="S148"/>
  <c r="U148" s="1"/>
  <c r="R148"/>
  <c r="O148"/>
  <c r="L148"/>
  <c r="I148"/>
  <c r="F148"/>
  <c r="S147"/>
  <c r="U147" s="1"/>
  <c r="R147"/>
  <c r="O147"/>
  <c r="L147"/>
  <c r="I147"/>
  <c r="F147"/>
  <c r="S146"/>
  <c r="U146" s="1"/>
  <c r="R146"/>
  <c r="O146"/>
  <c r="L146"/>
  <c r="I146"/>
  <c r="F146"/>
  <c r="S145"/>
  <c r="U145" s="1"/>
  <c r="R145"/>
  <c r="O145"/>
  <c r="L145"/>
  <c r="I145"/>
  <c r="F145"/>
  <c r="S144"/>
  <c r="U144" s="1"/>
  <c r="R144"/>
  <c r="O144"/>
  <c r="L144"/>
  <c r="I144"/>
  <c r="F144"/>
  <c r="S143"/>
  <c r="U143" s="1"/>
  <c r="R143"/>
  <c r="O143"/>
  <c r="L143"/>
  <c r="I143"/>
  <c r="F143"/>
  <c r="S142"/>
  <c r="U142" s="1"/>
  <c r="R142"/>
  <c r="O142"/>
  <c r="L142"/>
  <c r="I142"/>
  <c r="F142"/>
  <c r="S141"/>
  <c r="U141" s="1"/>
  <c r="R141"/>
  <c r="O141"/>
  <c r="L141"/>
  <c r="I141"/>
  <c r="F141"/>
  <c r="S140"/>
  <c r="U140" s="1"/>
  <c r="R140"/>
  <c r="O140"/>
  <c r="L140"/>
  <c r="I140"/>
  <c r="F140"/>
  <c r="S139"/>
  <c r="U139" s="1"/>
  <c r="R139"/>
  <c r="O139"/>
  <c r="L139"/>
  <c r="I139"/>
  <c r="F139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Q57"/>
  <c r="K57"/>
  <c r="H57"/>
  <c r="E57"/>
  <c r="T14" i="52" l="1"/>
  <c r="L25" i="55"/>
  <c r="L14" i="58"/>
  <c r="T346" i="28"/>
  <c r="V346" s="1"/>
  <c r="T45" i="49"/>
  <c r="T51"/>
  <c r="T34"/>
  <c r="V34" s="1"/>
  <c r="T9" i="58"/>
  <c r="V9" s="1"/>
  <c r="L11"/>
  <c r="R11"/>
  <c r="T12"/>
  <c r="V12" s="1"/>
  <c r="O159" i="59"/>
  <c r="F64"/>
  <c r="O64"/>
  <c r="I70"/>
  <c r="O70"/>
  <c r="F70"/>
  <c r="R70"/>
  <c r="I91"/>
  <c r="O91"/>
  <c r="I95"/>
  <c r="O95"/>
  <c r="R112"/>
  <c r="R14" i="58"/>
  <c r="T15"/>
  <c r="V15" s="1"/>
  <c r="F17"/>
  <c r="T16" i="52"/>
  <c r="T54" i="49"/>
  <c r="T65"/>
  <c r="T10" i="54"/>
  <c r="V10" s="1"/>
  <c r="O13"/>
  <c r="T12"/>
  <c r="V12" s="1"/>
  <c r="T14"/>
  <c r="V14" s="1"/>
  <c r="O24"/>
  <c r="F24"/>
  <c r="T195" i="56"/>
  <c r="V195" s="1"/>
  <c r="T212"/>
  <c r="V212" s="1"/>
  <c r="T213"/>
  <c r="V213" s="1"/>
  <c r="T215"/>
  <c r="V215" s="1"/>
  <c r="T223"/>
  <c r="V223" s="1"/>
  <c r="T231"/>
  <c r="V231" s="1"/>
  <c r="T304"/>
  <c r="V304" s="1"/>
  <c r="Q82" i="49"/>
  <c r="T136" i="28"/>
  <c r="V136" s="1"/>
  <c r="T287"/>
  <c r="V287" s="1"/>
  <c r="T289"/>
  <c r="V289" s="1"/>
  <c r="T291"/>
  <c r="T293"/>
  <c r="V293" s="1"/>
  <c r="T295"/>
  <c r="V295" s="1"/>
  <c r="T297"/>
  <c r="T93"/>
  <c r="T3" i="48"/>
  <c r="V3" s="1"/>
  <c r="Q36" i="52"/>
  <c r="T7" i="49"/>
  <c r="T9"/>
  <c r="T22"/>
  <c r="T26"/>
  <c r="T28"/>
  <c r="T30"/>
  <c r="T32"/>
  <c r="V32" s="1"/>
  <c r="T39"/>
  <c r="V39" s="1"/>
  <c r="F91" i="59"/>
  <c r="R91"/>
  <c r="T121"/>
  <c r="T25" i="49"/>
  <c r="T301" i="56"/>
  <c r="I303"/>
  <c r="T92" i="28"/>
  <c r="V92" s="1"/>
  <c r="T110" i="29"/>
  <c r="V110" s="1"/>
  <c r="T67" i="49"/>
  <c r="T76"/>
  <c r="V76" s="1"/>
  <c r="T78"/>
  <c r="T79" s="1"/>
  <c r="T80"/>
  <c r="T81" s="1"/>
  <c r="O193" i="55"/>
  <c r="T251" i="56"/>
  <c r="V251" s="1"/>
  <c r="T258"/>
  <c r="V258" s="1"/>
  <c r="T269"/>
  <c r="V269" s="1"/>
  <c r="T270"/>
  <c r="V270" s="1"/>
  <c r="T272"/>
  <c r="V272" s="1"/>
  <c r="T274"/>
  <c r="V274" s="1"/>
  <c r="T276"/>
  <c r="V276" s="1"/>
  <c r="T299"/>
  <c r="V299" s="1"/>
  <c r="T315"/>
  <c r="V315" s="1"/>
  <c r="T3" i="57"/>
  <c r="T7"/>
  <c r="V7" s="1"/>
  <c r="T3" i="58"/>
  <c r="E18"/>
  <c r="T18" i="52"/>
  <c r="V18" s="1"/>
  <c r="T306" i="56"/>
  <c r="I314"/>
  <c r="T6" i="39"/>
  <c r="T10"/>
  <c r="T12"/>
  <c r="V12" s="1"/>
  <c r="T18"/>
  <c r="T20"/>
  <c r="V20" s="1"/>
  <c r="T33"/>
  <c r="S23" i="49"/>
  <c r="F95" i="59"/>
  <c r="R95"/>
  <c r="O112"/>
  <c r="T91" i="29"/>
  <c r="V91" s="1"/>
  <c r="T93"/>
  <c r="V93" s="1"/>
  <c r="T95"/>
  <c r="V95" s="1"/>
  <c r="R193" i="55"/>
  <c r="T191"/>
  <c r="V191" s="1"/>
  <c r="T194"/>
  <c r="V194" s="1"/>
  <c r="O203"/>
  <c r="T195"/>
  <c r="V195" s="1"/>
  <c r="T197"/>
  <c r="V197" s="1"/>
  <c r="T199"/>
  <c r="V199" s="1"/>
  <c r="T201"/>
  <c r="V201" s="1"/>
  <c r="T6"/>
  <c r="V6" s="1"/>
  <c r="T7"/>
  <c r="V7" s="1"/>
  <c r="T10"/>
  <c r="V10" s="1"/>
  <c r="R25"/>
  <c r="T19"/>
  <c r="V19" s="1"/>
  <c r="T21"/>
  <c r="V21" s="1"/>
  <c r="T23"/>
  <c r="V23" s="1"/>
  <c r="T26"/>
  <c r="V26" s="1"/>
  <c r="T27"/>
  <c r="V27" s="1"/>
  <c r="T29"/>
  <c r="V29" s="1"/>
  <c r="T31"/>
  <c r="V31" s="1"/>
  <c r="T40"/>
  <c r="V40" s="1"/>
  <c r="I68"/>
  <c r="O68"/>
  <c r="T83"/>
  <c r="V83" s="1"/>
  <c r="T106"/>
  <c r="V106" s="1"/>
  <c r="T107"/>
  <c r="V107" s="1"/>
  <c r="T151"/>
  <c r="V151" s="1"/>
  <c r="T157"/>
  <c r="V157" s="1"/>
  <c r="T158"/>
  <c r="V158" s="1"/>
  <c r="I64" i="59"/>
  <c r="R106"/>
  <c r="O106"/>
  <c r="I106"/>
  <c r="T232" i="56"/>
  <c r="V232" s="1"/>
  <c r="T243"/>
  <c r="V243" s="1"/>
  <c r="T288"/>
  <c r="V288" s="1"/>
  <c r="T282"/>
  <c r="V282" s="1"/>
  <c r="T65"/>
  <c r="V65" s="1"/>
  <c r="T67"/>
  <c r="V67" s="1"/>
  <c r="T78"/>
  <c r="V78" s="1"/>
  <c r="T79"/>
  <c r="V79" s="1"/>
  <c r="T81"/>
  <c r="V81" s="1"/>
  <c r="T83"/>
  <c r="V83" s="1"/>
  <c r="T87"/>
  <c r="V87" s="1"/>
  <c r="F101"/>
  <c r="T105"/>
  <c r="V105" s="1"/>
  <c r="F118"/>
  <c r="L118"/>
  <c r="T111"/>
  <c r="V111" s="1"/>
  <c r="L131"/>
  <c r="T121"/>
  <c r="V121" s="1"/>
  <c r="T123"/>
  <c r="V123" s="1"/>
  <c r="T130"/>
  <c r="V130" s="1"/>
  <c r="T136"/>
  <c r="V136" s="1"/>
  <c r="T138"/>
  <c r="V138" s="1"/>
  <c r="L150"/>
  <c r="T149"/>
  <c r="V149" s="1"/>
  <c r="L160"/>
  <c r="T152"/>
  <c r="V152" s="1"/>
  <c r="T172"/>
  <c r="V172" s="1"/>
  <c r="T173"/>
  <c r="V173" s="1"/>
  <c r="T317"/>
  <c r="V317" s="1"/>
  <c r="T3" i="59"/>
  <c r="T147"/>
  <c r="V147" s="1"/>
  <c r="T148"/>
  <c r="V148" s="1"/>
  <c r="T150"/>
  <c r="V150" s="1"/>
  <c r="T152"/>
  <c r="V152" s="1"/>
  <c r="T156"/>
  <c r="V156" s="1"/>
  <c r="T158"/>
  <c r="V158" s="1"/>
  <c r="L18"/>
  <c r="T8"/>
  <c r="V8" s="1"/>
  <c r="T17"/>
  <c r="V17" s="1"/>
  <c r="T21"/>
  <c r="V21" s="1"/>
  <c r="T23"/>
  <c r="V23" s="1"/>
  <c r="T26"/>
  <c r="V26" s="1"/>
  <c r="T42"/>
  <c r="V42" s="1"/>
  <c r="T47"/>
  <c r="T52"/>
  <c r="V52" s="1"/>
  <c r="O55"/>
  <c r="T56"/>
  <c r="V56" s="1"/>
  <c r="T57"/>
  <c r="V57" s="1"/>
  <c r="T59"/>
  <c r="V59" s="1"/>
  <c r="T61"/>
  <c r="V61" s="1"/>
  <c r="T63"/>
  <c r="V63" s="1"/>
  <c r="T67"/>
  <c r="V67" s="1"/>
  <c r="T69"/>
  <c r="V69" s="1"/>
  <c r="T90"/>
  <c r="V90" s="1"/>
  <c r="T94"/>
  <c r="V94" s="1"/>
  <c r="T98"/>
  <c r="V98" s="1"/>
  <c r="T100"/>
  <c r="V100" s="1"/>
  <c r="T102"/>
  <c r="V102" s="1"/>
  <c r="T107"/>
  <c r="V107" s="1"/>
  <c r="T108"/>
  <c r="V108" s="1"/>
  <c r="T111"/>
  <c r="V111" s="1"/>
  <c r="T118"/>
  <c r="V118" s="1"/>
  <c r="T119"/>
  <c r="V119" s="1"/>
  <c r="T31" i="39"/>
  <c r="T113" i="59"/>
  <c r="V113" s="1"/>
  <c r="R58" i="55"/>
  <c r="T278" i="56"/>
  <c r="V278" s="1"/>
  <c r="T125" i="55"/>
  <c r="V125" s="1"/>
  <c r="T137"/>
  <c r="V137" s="1"/>
  <c r="T133"/>
  <c r="V133" s="1"/>
  <c r="T26" i="39"/>
  <c r="T23"/>
  <c r="T22"/>
  <c r="T21"/>
  <c r="T257" i="56"/>
  <c r="V257" s="1"/>
  <c r="T229"/>
  <c r="V229" s="1"/>
  <c r="T249"/>
  <c r="V249" s="1"/>
  <c r="T247"/>
  <c r="V247" s="1"/>
  <c r="T79" i="55"/>
  <c r="V79" s="1"/>
  <c r="V47" i="59"/>
  <c r="T176" i="56"/>
  <c r="V176" s="1"/>
  <c r="T93"/>
  <c r="V93" s="1"/>
  <c r="T234"/>
  <c r="V234" s="1"/>
  <c r="T121" i="55"/>
  <c r="V121" s="1"/>
  <c r="L122"/>
  <c r="T119"/>
  <c r="V119" s="1"/>
  <c r="T262" i="56"/>
  <c r="V262" s="1"/>
  <c r="T264"/>
  <c r="V264" s="1"/>
  <c r="T260"/>
  <c r="V260" s="1"/>
  <c r="T25" i="39"/>
  <c r="V25" s="1"/>
  <c r="I32"/>
  <c r="T41" i="49"/>
  <c r="T43" s="1"/>
  <c r="I43"/>
  <c r="U41"/>
  <c r="U43" s="1"/>
  <c r="S43"/>
  <c r="T293" i="56"/>
  <c r="I295"/>
  <c r="T145" i="59"/>
  <c r="V145" s="1"/>
  <c r="V146" s="1"/>
  <c r="I134"/>
  <c r="T132"/>
  <c r="T274" i="28"/>
  <c r="T276"/>
  <c r="T280"/>
  <c r="V280" s="1"/>
  <c r="T282"/>
  <c r="T284"/>
  <c r="V284" s="1"/>
  <c r="T286"/>
  <c r="V286" s="1"/>
  <c r="T288"/>
  <c r="V288" s="1"/>
  <c r="T290"/>
  <c r="V290" s="1"/>
  <c r="V291"/>
  <c r="T292"/>
  <c r="V292" s="1"/>
  <c r="T294"/>
  <c r="V294" s="1"/>
  <c r="T296"/>
  <c r="V296" s="1"/>
  <c r="V297"/>
  <c r="T88"/>
  <c r="V88" s="1"/>
  <c r="T108" i="29"/>
  <c r="V108" s="1"/>
  <c r="T114"/>
  <c r="V114" s="1"/>
  <c r="T116"/>
  <c r="V116" s="1"/>
  <c r="T118"/>
  <c r="V118" s="1"/>
  <c r="O24" i="39"/>
  <c r="K36" i="52"/>
  <c r="O23" i="49"/>
  <c r="O27"/>
  <c r="E184" i="55"/>
  <c r="L58"/>
  <c r="T115"/>
  <c r="V115" s="1"/>
  <c r="O224" i="56"/>
  <c r="F228"/>
  <c r="N18" i="58"/>
  <c r="O153" i="59"/>
  <c r="R159"/>
  <c r="R27"/>
  <c r="O41"/>
  <c r="L41"/>
  <c r="R41"/>
  <c r="O48"/>
  <c r="T7" i="53"/>
  <c r="V7" s="1"/>
  <c r="T113" i="28"/>
  <c r="V113" s="1"/>
  <c r="T115"/>
  <c r="V115" s="1"/>
  <c r="V25" i="49"/>
  <c r="O257" i="28"/>
  <c r="T97" i="29"/>
  <c r="V97" s="1"/>
  <c r="F43" i="49"/>
  <c r="T3" i="55"/>
  <c r="V3" s="1"/>
  <c r="T59" i="56"/>
  <c r="I61"/>
  <c r="T296"/>
  <c r="I298"/>
  <c r="I8" i="58"/>
  <c r="T6"/>
  <c r="I137" i="59"/>
  <c r="T135"/>
  <c r="T91" i="28"/>
  <c r="V91" s="1"/>
  <c r="T112" i="29"/>
  <c r="T121"/>
  <c r="V121" s="1"/>
  <c r="T123"/>
  <c r="T125"/>
  <c r="V125" s="1"/>
  <c r="T127"/>
  <c r="T129"/>
  <c r="V129" s="1"/>
  <c r="T7" i="39"/>
  <c r="T8"/>
  <c r="V8" s="1"/>
  <c r="T9"/>
  <c r="V10"/>
  <c r="T11"/>
  <c r="V21"/>
  <c r="V22"/>
  <c r="V23"/>
  <c r="T35"/>
  <c r="V35" s="1"/>
  <c r="O36" i="52"/>
  <c r="H36"/>
  <c r="T3" i="53"/>
  <c r="T6"/>
  <c r="V6" s="1"/>
  <c r="S27" i="49"/>
  <c r="T29"/>
  <c r="V29" s="1"/>
  <c r="V30"/>
  <c r="T31"/>
  <c r="V31" s="1"/>
  <c r="T33"/>
  <c r="V33" s="1"/>
  <c r="V78"/>
  <c r="V79" s="1"/>
  <c r="T3" i="54"/>
  <c r="T36"/>
  <c r="V36" s="1"/>
  <c r="T41"/>
  <c r="V41" s="1"/>
  <c r="T55"/>
  <c r="V55" s="1"/>
  <c r="T67"/>
  <c r="V67" s="1"/>
  <c r="T72"/>
  <c r="V72" s="1"/>
  <c r="T76"/>
  <c r="V76" s="1"/>
  <c r="T78"/>
  <c r="V78" s="1"/>
  <c r="T90"/>
  <c r="V90" s="1"/>
  <c r="T189" i="55"/>
  <c r="V189" s="1"/>
  <c r="T190"/>
  <c r="V190" s="1"/>
  <c r="T192"/>
  <c r="V192" s="1"/>
  <c r="R203"/>
  <c r="T196"/>
  <c r="V196" s="1"/>
  <c r="T198"/>
  <c r="V198" s="1"/>
  <c r="T200"/>
  <c r="V200" s="1"/>
  <c r="T202"/>
  <c r="V202" s="1"/>
  <c r="R16"/>
  <c r="T17"/>
  <c r="V17" s="1"/>
  <c r="T18"/>
  <c r="V18" s="1"/>
  <c r="T20"/>
  <c r="V20" s="1"/>
  <c r="T22"/>
  <c r="V22" s="1"/>
  <c r="T24"/>
  <c r="V24" s="1"/>
  <c r="R41"/>
  <c r="T28"/>
  <c r="V28" s="1"/>
  <c r="T30"/>
  <c r="V30" s="1"/>
  <c r="T32"/>
  <c r="V32" s="1"/>
  <c r="T42"/>
  <c r="V42" s="1"/>
  <c r="T45"/>
  <c r="V45" s="1"/>
  <c r="I58"/>
  <c r="F68"/>
  <c r="L68"/>
  <c r="R68"/>
  <c r="T69"/>
  <c r="V69" s="1"/>
  <c r="T70"/>
  <c r="V70" s="1"/>
  <c r="T81"/>
  <c r="V81" s="1"/>
  <c r="T82"/>
  <c r="V82" s="1"/>
  <c r="T84"/>
  <c r="V84" s="1"/>
  <c r="L100"/>
  <c r="R100"/>
  <c r="T101"/>
  <c r="V101" s="1"/>
  <c r="T104"/>
  <c r="V104" s="1"/>
  <c r="O113"/>
  <c r="T117"/>
  <c r="V117" s="1"/>
  <c r="T118"/>
  <c r="V118" s="1"/>
  <c r="T120"/>
  <c r="V120" s="1"/>
  <c r="T123"/>
  <c r="V123" s="1"/>
  <c r="T124"/>
  <c r="V124" s="1"/>
  <c r="T126"/>
  <c r="V126" s="1"/>
  <c r="T135"/>
  <c r="V135" s="1"/>
  <c r="T136"/>
  <c r="V136" s="1"/>
  <c r="T138"/>
  <c r="V138" s="1"/>
  <c r="T150"/>
  <c r="V150" s="1"/>
  <c r="T155"/>
  <c r="V155" s="1"/>
  <c r="F166"/>
  <c r="F184" s="1"/>
  <c r="O166"/>
  <c r="T177"/>
  <c r="V177" s="1"/>
  <c r="T182"/>
  <c r="V182" s="1"/>
  <c r="T3" i="56"/>
  <c r="V3" s="1"/>
  <c r="L11"/>
  <c r="R11"/>
  <c r="T8"/>
  <c r="V8" s="1"/>
  <c r="T10"/>
  <c r="V10" s="1"/>
  <c r="L32"/>
  <c r="R32"/>
  <c r="T15"/>
  <c r="V15" s="1"/>
  <c r="T18"/>
  <c r="T19"/>
  <c r="V19" s="1"/>
  <c r="L337"/>
  <c r="R337"/>
  <c r="T328"/>
  <c r="V328" s="1"/>
  <c r="T330"/>
  <c r="V330" s="1"/>
  <c r="T332"/>
  <c r="V332" s="1"/>
  <c r="T334"/>
  <c r="V334" s="1"/>
  <c r="T336"/>
  <c r="V336" s="1"/>
  <c r="T33"/>
  <c r="R42"/>
  <c r="T43"/>
  <c r="V43" s="1"/>
  <c r="O58"/>
  <c r="T44"/>
  <c r="V44" s="1"/>
  <c r="T46"/>
  <c r="V46" s="1"/>
  <c r="T48"/>
  <c r="V48" s="1"/>
  <c r="T50"/>
  <c r="V50" s="1"/>
  <c r="O211"/>
  <c r="T10" i="58"/>
  <c r="V10" s="1"/>
  <c r="O11"/>
  <c r="T13"/>
  <c r="V13" s="1"/>
  <c r="O14"/>
  <c r="T16"/>
  <c r="V16" s="1"/>
  <c r="O17"/>
  <c r="R153" i="59"/>
  <c r="T149"/>
  <c r="V149" s="1"/>
  <c r="T151"/>
  <c r="V151" s="1"/>
  <c r="T154"/>
  <c r="V154" s="1"/>
  <c r="T155"/>
  <c r="V155" s="1"/>
  <c r="T157"/>
  <c r="V157" s="1"/>
  <c r="T6"/>
  <c r="V6" s="1"/>
  <c r="O18"/>
  <c r="T7"/>
  <c r="V7" s="1"/>
  <c r="T9"/>
  <c r="V9" s="1"/>
  <c r="T19"/>
  <c r="V19" s="1"/>
  <c r="T20"/>
  <c r="V20" s="1"/>
  <c r="T22"/>
  <c r="V22" s="1"/>
  <c r="T24"/>
  <c r="V24" s="1"/>
  <c r="T30"/>
  <c r="V30" s="1"/>
  <c r="T33"/>
  <c r="V33" s="1"/>
  <c r="T49"/>
  <c r="V49" s="1"/>
  <c r="T50"/>
  <c r="V50" s="1"/>
  <c r="T54"/>
  <c r="V54" s="1"/>
  <c r="R64"/>
  <c r="T58"/>
  <c r="V58" s="1"/>
  <c r="T60"/>
  <c r="V60" s="1"/>
  <c r="T62"/>
  <c r="V62" s="1"/>
  <c r="T65"/>
  <c r="V65" s="1"/>
  <c r="T66"/>
  <c r="V66" s="1"/>
  <c r="T68"/>
  <c r="V68" s="1"/>
  <c r="T92"/>
  <c r="V92" s="1"/>
  <c r="T93"/>
  <c r="V93" s="1"/>
  <c r="T96"/>
  <c r="V96" s="1"/>
  <c r="T97"/>
  <c r="V97" s="1"/>
  <c r="T99"/>
  <c r="V99" s="1"/>
  <c r="T101"/>
  <c r="V101" s="1"/>
  <c r="T105"/>
  <c r="V105" s="1"/>
  <c r="T109"/>
  <c r="V109" s="1"/>
  <c r="T116"/>
  <c r="V116" s="1"/>
  <c r="V121"/>
  <c r="F146"/>
  <c r="F153"/>
  <c r="T195" i="28"/>
  <c r="V195" s="1"/>
  <c r="T197"/>
  <c r="V197" s="1"/>
  <c r="T199"/>
  <c r="V199" s="1"/>
  <c r="T47" i="29"/>
  <c r="V47" s="1"/>
  <c r="V51"/>
  <c r="V13" i="39"/>
  <c r="V14"/>
  <c r="T47" i="49"/>
  <c r="V47" s="1"/>
  <c r="T9" i="52"/>
  <c r="V9" s="1"/>
  <c r="V8" i="53"/>
  <c r="T257" i="28"/>
  <c r="V257" s="1"/>
  <c r="T34" i="59"/>
  <c r="V34" s="1"/>
  <c r="T60" i="55"/>
  <c r="V60" s="1"/>
  <c r="T67"/>
  <c r="V67" s="1"/>
  <c r="T61"/>
  <c r="V61" s="1"/>
  <c r="T185" i="56"/>
  <c r="V185" s="1"/>
  <c r="O194"/>
  <c r="T99" i="55"/>
  <c r="V99" s="1"/>
  <c r="I100"/>
  <c r="T71" i="59"/>
  <c r="V71" s="1"/>
  <c r="T72"/>
  <c r="V72" s="1"/>
  <c r="T74"/>
  <c r="V74" s="1"/>
  <c r="E140"/>
  <c r="T73"/>
  <c r="V73" s="1"/>
  <c r="T59" i="55"/>
  <c r="V59" s="1"/>
  <c r="T57"/>
  <c r="V57" s="1"/>
  <c r="T46"/>
  <c r="V46" s="1"/>
  <c r="T44"/>
  <c r="V44" s="1"/>
  <c r="T43"/>
  <c r="V43" s="1"/>
  <c r="Q140" i="59"/>
  <c r="N140"/>
  <c r="T40"/>
  <c r="V40" s="1"/>
  <c r="T32"/>
  <c r="V32" s="1"/>
  <c r="T31"/>
  <c r="V31" s="1"/>
  <c r="T29"/>
  <c r="V29" s="1"/>
  <c r="T28"/>
  <c r="V28" s="1"/>
  <c r="K140"/>
  <c r="I177" i="56"/>
  <c r="I41" i="59"/>
  <c r="H140"/>
  <c r="O146" i="56"/>
  <c r="T198"/>
  <c r="V198" s="1"/>
  <c r="T130" i="59"/>
  <c r="V130" s="1"/>
  <c r="T196" i="56"/>
  <c r="V196" s="1"/>
  <c r="T187"/>
  <c r="V187" s="1"/>
  <c r="T112" i="55"/>
  <c r="V112" s="1"/>
  <c r="V113" s="1"/>
  <c r="K184"/>
  <c r="T204" i="56"/>
  <c r="V204" s="1"/>
  <c r="T202"/>
  <c r="V202" s="1"/>
  <c r="T200"/>
  <c r="V200" s="1"/>
  <c r="T47" i="54"/>
  <c r="V47" s="1"/>
  <c r="T114" i="55"/>
  <c r="V114" s="1"/>
  <c r="V116" s="1"/>
  <c r="I56" i="54"/>
  <c r="T45"/>
  <c r="V45" s="1"/>
  <c r="T159" i="56"/>
  <c r="V159" s="1"/>
  <c r="I131"/>
  <c r="T107"/>
  <c r="V107" s="1"/>
  <c r="T103"/>
  <c r="V103" s="1"/>
  <c r="T102"/>
  <c r="V102" s="1"/>
  <c r="L146"/>
  <c r="T145"/>
  <c r="V145" s="1"/>
  <c r="E37" i="39"/>
  <c r="T138" i="59"/>
  <c r="V138" s="1"/>
  <c r="V139" s="1"/>
  <c r="T165" i="55"/>
  <c r="V165" s="1"/>
  <c r="V166" s="1"/>
  <c r="T167"/>
  <c r="I108" i="56"/>
  <c r="T117"/>
  <c r="V117" s="1"/>
  <c r="T91"/>
  <c r="V91" s="1"/>
  <c r="T148" i="55"/>
  <c r="V148" s="1"/>
  <c r="V149" s="1"/>
  <c r="T63" i="56"/>
  <c r="V63" s="1"/>
  <c r="T290"/>
  <c r="I292"/>
  <c r="T6"/>
  <c r="V6" s="1"/>
  <c r="O11"/>
  <c r="T7"/>
  <c r="V7" s="1"/>
  <c r="T326"/>
  <c r="V326" s="1"/>
  <c r="T327"/>
  <c r="V327" s="1"/>
  <c r="T329"/>
  <c r="V329" s="1"/>
  <c r="T331"/>
  <c r="V331" s="1"/>
  <c r="T333"/>
  <c r="V333" s="1"/>
  <c r="T335"/>
  <c r="V335" s="1"/>
  <c r="T36"/>
  <c r="V36" s="1"/>
  <c r="T37"/>
  <c r="V37" s="1"/>
  <c r="F58"/>
  <c r="L58"/>
  <c r="T45"/>
  <c r="V45" s="1"/>
  <c r="T47"/>
  <c r="V47" s="1"/>
  <c r="T49"/>
  <c r="V49" s="1"/>
  <c r="T57"/>
  <c r="V57" s="1"/>
  <c r="T64"/>
  <c r="T66"/>
  <c r="V66" s="1"/>
  <c r="F88"/>
  <c r="T80"/>
  <c r="V80" s="1"/>
  <c r="T82"/>
  <c r="V82" s="1"/>
  <c r="T84"/>
  <c r="V84" s="1"/>
  <c r="T89"/>
  <c r="V89" s="1"/>
  <c r="T90"/>
  <c r="V90" s="1"/>
  <c r="T92"/>
  <c r="V92" s="1"/>
  <c r="T100"/>
  <c r="V100" s="1"/>
  <c r="F108"/>
  <c r="T104"/>
  <c r="V104" s="1"/>
  <c r="T106"/>
  <c r="V106" s="1"/>
  <c r="T109"/>
  <c r="V109" s="1"/>
  <c r="T110"/>
  <c r="V110" s="1"/>
  <c r="T112"/>
  <c r="V112" s="1"/>
  <c r="T119"/>
  <c r="V119" s="1"/>
  <c r="T120"/>
  <c r="V120" s="1"/>
  <c r="T122"/>
  <c r="V122" s="1"/>
  <c r="T124"/>
  <c r="V124" s="1"/>
  <c r="T132"/>
  <c r="V132" s="1"/>
  <c r="T134"/>
  <c r="V134" s="1"/>
  <c r="T135"/>
  <c r="V135" s="1"/>
  <c r="T137"/>
  <c r="V137" s="1"/>
  <c r="T139"/>
  <c r="V139" s="1"/>
  <c r="T147"/>
  <c r="V147" s="1"/>
  <c r="T148"/>
  <c r="V148" s="1"/>
  <c r="T151"/>
  <c r="V151" s="1"/>
  <c r="T153"/>
  <c r="V153" s="1"/>
  <c r="T161"/>
  <c r="V161" s="1"/>
  <c r="T170"/>
  <c r="V170" s="1"/>
  <c r="T174"/>
  <c r="V174" s="1"/>
  <c r="T178"/>
  <c r="T183"/>
  <c r="V183" s="1"/>
  <c r="T184"/>
  <c r="V184" s="1"/>
  <c r="T186"/>
  <c r="V186" s="1"/>
  <c r="T193"/>
  <c r="V193" s="1"/>
  <c r="T197"/>
  <c r="V197" s="1"/>
  <c r="T199"/>
  <c r="V199" s="1"/>
  <c r="T201"/>
  <c r="V201" s="1"/>
  <c r="T203"/>
  <c r="V203" s="1"/>
  <c r="T210"/>
  <c r="V210" s="1"/>
  <c r="T214"/>
  <c r="V214" s="1"/>
  <c r="T216"/>
  <c r="V216" s="1"/>
  <c r="T225"/>
  <c r="V225" s="1"/>
  <c r="T227"/>
  <c r="V227" s="1"/>
  <c r="T233"/>
  <c r="V233" s="1"/>
  <c r="T235"/>
  <c r="V235" s="1"/>
  <c r="T245"/>
  <c r="V245" s="1"/>
  <c r="T246"/>
  <c r="V246" s="1"/>
  <c r="T248"/>
  <c r="V248" s="1"/>
  <c r="T250"/>
  <c r="V250" s="1"/>
  <c r="T253"/>
  <c r="V253" s="1"/>
  <c r="T255"/>
  <c r="V255" s="1"/>
  <c r="T259"/>
  <c r="V259" s="1"/>
  <c r="T261"/>
  <c r="V261" s="1"/>
  <c r="T263"/>
  <c r="V263" s="1"/>
  <c r="T266"/>
  <c r="V266" s="1"/>
  <c r="T267"/>
  <c r="V267" s="1"/>
  <c r="T271"/>
  <c r="V271" s="1"/>
  <c r="T273"/>
  <c r="V273" s="1"/>
  <c r="T275"/>
  <c r="V275" s="1"/>
  <c r="T277"/>
  <c r="V277" s="1"/>
  <c r="T280"/>
  <c r="V280" s="1"/>
  <c r="T281"/>
  <c r="V281" s="1"/>
  <c r="T283"/>
  <c r="V283" s="1"/>
  <c r="T62"/>
  <c r="V62" s="1"/>
  <c r="I77"/>
  <c r="T9"/>
  <c r="V9" s="1"/>
  <c r="V33"/>
  <c r="V64"/>
  <c r="T76"/>
  <c r="V76" s="1"/>
  <c r="I8" i="57"/>
  <c r="T6"/>
  <c r="V6" s="1"/>
  <c r="T15" i="55"/>
  <c r="V15" s="1"/>
  <c r="T35" i="56"/>
  <c r="V35" s="1"/>
  <c r="T12"/>
  <c r="O32"/>
  <c r="I32"/>
  <c r="T14"/>
  <c r="V14" s="1"/>
  <c r="T20"/>
  <c r="V20" s="1"/>
  <c r="V18"/>
  <c r="L16" i="55"/>
  <c r="T9"/>
  <c r="V9" s="1"/>
  <c r="T8"/>
  <c r="V8" s="1"/>
  <c r="T41" i="56"/>
  <c r="V41" s="1"/>
  <c r="T34"/>
  <c r="V34" s="1"/>
  <c r="H184" i="55"/>
  <c r="T146"/>
  <c r="V146" s="1"/>
  <c r="V147" s="1"/>
  <c r="T140"/>
  <c r="T31" i="56"/>
  <c r="V31" s="1"/>
  <c r="T17"/>
  <c r="V17" s="1"/>
  <c r="T13"/>
  <c r="V13" s="1"/>
  <c r="T16"/>
  <c r="V16" s="1"/>
  <c r="T9" i="48"/>
  <c r="E92" i="54"/>
  <c r="T57"/>
  <c r="V57" s="1"/>
  <c r="V58" s="1"/>
  <c r="T59"/>
  <c r="V59" s="1"/>
  <c r="T6"/>
  <c r="V6" s="1"/>
  <c r="V9" s="1"/>
  <c r="R13"/>
  <c r="T16"/>
  <c r="V16" s="1"/>
  <c r="T23"/>
  <c r="V23" s="1"/>
  <c r="T25"/>
  <c r="V25" s="1"/>
  <c r="T28"/>
  <c r="V28" s="1"/>
  <c r="O29"/>
  <c r="T43"/>
  <c r="V43" s="1"/>
  <c r="O56"/>
  <c r="T44"/>
  <c r="V44" s="1"/>
  <c r="T46"/>
  <c r="V46" s="1"/>
  <c r="T48"/>
  <c r="V48" s="1"/>
  <c r="T60"/>
  <c r="V60" s="1"/>
  <c r="T69"/>
  <c r="V69" s="1"/>
  <c r="O73"/>
  <c r="T70"/>
  <c r="V70" s="1"/>
  <c r="T74"/>
  <c r="V74" s="1"/>
  <c r="O91"/>
  <c r="T75"/>
  <c r="V75" s="1"/>
  <c r="T77"/>
  <c r="V77" s="1"/>
  <c r="T79"/>
  <c r="V79" s="1"/>
  <c r="T30"/>
  <c r="V30" s="1"/>
  <c r="V31" s="1"/>
  <c r="T32"/>
  <c r="T17"/>
  <c r="V17" s="1"/>
  <c r="R56"/>
  <c r="T11"/>
  <c r="V11" s="1"/>
  <c r="R24"/>
  <c r="T15"/>
  <c r="V15" s="1"/>
  <c r="S11" i="56"/>
  <c r="S9" i="54"/>
  <c r="V9" i="48"/>
  <c r="F12"/>
  <c r="F18" s="1"/>
  <c r="L12"/>
  <c r="L18" s="1"/>
  <c r="R12"/>
  <c r="R18" s="1"/>
  <c r="O18"/>
  <c r="N18"/>
  <c r="E18"/>
  <c r="Q18"/>
  <c r="T13"/>
  <c r="T17" s="1"/>
  <c r="I77" i="49"/>
  <c r="T68"/>
  <c r="V68" s="1"/>
  <c r="V67"/>
  <c r="I66"/>
  <c r="V54"/>
  <c r="T55"/>
  <c r="V55" s="1"/>
  <c r="V65"/>
  <c r="T53"/>
  <c r="T66" s="1"/>
  <c r="T36" i="39"/>
  <c r="V26"/>
  <c r="V31"/>
  <c r="V17"/>
  <c r="V16"/>
  <c r="O19"/>
  <c r="V15"/>
  <c r="N36" i="52"/>
  <c r="I36"/>
  <c r="V22" i="49"/>
  <c r="T10"/>
  <c r="V10" s="1"/>
  <c r="V9"/>
  <c r="T8"/>
  <c r="V8" s="1"/>
  <c r="V7"/>
  <c r="T6"/>
  <c r="V6" s="1"/>
  <c r="T92" i="29"/>
  <c r="V92" s="1"/>
  <c r="T94"/>
  <c r="V94" s="1"/>
  <c r="T96"/>
  <c r="V96" s="1"/>
  <c r="T259" i="28"/>
  <c r="V259" s="1"/>
  <c r="T258"/>
  <c r="V258" s="1"/>
  <c r="V26" i="49"/>
  <c r="K82"/>
  <c r="U27"/>
  <c r="T24"/>
  <c r="T27" s="1"/>
  <c r="T35"/>
  <c r="T36"/>
  <c r="T37"/>
  <c r="T38"/>
  <c r="V35"/>
  <c r="V36"/>
  <c r="V37"/>
  <c r="V38"/>
  <c r="E82"/>
  <c r="U40"/>
  <c r="V28"/>
  <c r="T114" i="28"/>
  <c r="T116"/>
  <c r="V116" s="1"/>
  <c r="V114"/>
  <c r="V33" i="39"/>
  <c r="F9" i="53"/>
  <c r="F10" s="1"/>
  <c r="L9"/>
  <c r="L10" s="1"/>
  <c r="R9"/>
  <c r="R10" s="1"/>
  <c r="I9"/>
  <c r="I10" s="1"/>
  <c r="T17" i="52"/>
  <c r="V17" s="1"/>
  <c r="V16"/>
  <c r="T15"/>
  <c r="V15" s="1"/>
  <c r="V14"/>
  <c r="T13"/>
  <c r="V13" s="1"/>
  <c r="V12"/>
  <c r="T11"/>
  <c r="V11" s="1"/>
  <c r="T10"/>
  <c r="V10" s="1"/>
  <c r="T8"/>
  <c r="V8" s="1"/>
  <c r="U20"/>
  <c r="T49" i="49"/>
  <c r="V49" s="1"/>
  <c r="H82"/>
  <c r="T48"/>
  <c r="T50"/>
  <c r="V48"/>
  <c r="V50"/>
  <c r="S52"/>
  <c r="T44"/>
  <c r="V44" s="1"/>
  <c r="T46"/>
  <c r="V46" s="1"/>
  <c r="U52"/>
  <c r="V11" i="39"/>
  <c r="U19"/>
  <c r="U37" s="1"/>
  <c r="V18"/>
  <c r="V9"/>
  <c r="V7"/>
  <c r="T48" i="29"/>
  <c r="V48" s="1"/>
  <c r="T46"/>
  <c r="V46" s="1"/>
  <c r="T196" i="28"/>
  <c r="V196" s="1"/>
  <c r="T198"/>
  <c r="V198" s="1"/>
  <c r="T200"/>
  <c r="V200" s="1"/>
  <c r="T169"/>
  <c r="V169" s="1"/>
  <c r="I168"/>
  <c r="T168" s="1"/>
  <c r="V168" s="1"/>
  <c r="I170"/>
  <c r="T170" s="1"/>
  <c r="V170" s="1"/>
  <c r="T54" i="35"/>
  <c r="V54" s="1"/>
  <c r="T56"/>
  <c r="V56" s="1"/>
  <c r="T60"/>
  <c r="V60" s="1"/>
  <c r="T62"/>
  <c r="V62" s="1"/>
  <c r="T68"/>
  <c r="V68" s="1"/>
  <c r="F58"/>
  <c r="L58"/>
  <c r="R58"/>
  <c r="T55"/>
  <c r="V55" s="1"/>
  <c r="T57"/>
  <c r="V57" s="1"/>
  <c r="T61"/>
  <c r="V61" s="1"/>
  <c r="T63"/>
  <c r="V63" s="1"/>
  <c r="T67"/>
  <c r="V67" s="1"/>
  <c r="S69"/>
  <c r="T52"/>
  <c r="S58"/>
  <c r="T59"/>
  <c r="T65"/>
  <c r="T66" s="1"/>
  <c r="F69"/>
  <c r="L69"/>
  <c r="T53"/>
  <c r="V53" s="1"/>
  <c r="U59"/>
  <c r="U64" s="1"/>
  <c r="U65"/>
  <c r="U66" s="1"/>
  <c r="U68"/>
  <c r="U69" s="1"/>
  <c r="F55" i="59"/>
  <c r="R55"/>
  <c r="R18"/>
  <c r="T131"/>
  <c r="S95"/>
  <c r="S91"/>
  <c r="U55"/>
  <c r="U140" s="1"/>
  <c r="I55"/>
  <c r="S55"/>
  <c r="I48"/>
  <c r="L48"/>
  <c r="S27"/>
  <c r="S18"/>
  <c r="L159"/>
  <c r="S159"/>
  <c r="I153"/>
  <c r="L153"/>
  <c r="S146"/>
  <c r="V3"/>
  <c r="H18" i="58"/>
  <c r="I17"/>
  <c r="S17"/>
  <c r="V17"/>
  <c r="U17"/>
  <c r="S14"/>
  <c r="T14"/>
  <c r="U14"/>
  <c r="V14"/>
  <c r="I14"/>
  <c r="I11"/>
  <c r="S11"/>
  <c r="V11"/>
  <c r="U11"/>
  <c r="K18"/>
  <c r="Q18"/>
  <c r="F14"/>
  <c r="V3"/>
  <c r="L18"/>
  <c r="R18"/>
  <c r="O18"/>
  <c r="F11"/>
  <c r="S9" i="57"/>
  <c r="I9"/>
  <c r="L9"/>
  <c r="O9"/>
  <c r="R9"/>
  <c r="V3"/>
  <c r="F8"/>
  <c r="F9" s="1"/>
  <c r="U8"/>
  <c r="U9" s="1"/>
  <c r="E319" i="56"/>
  <c r="F252"/>
  <c r="L252"/>
  <c r="F11"/>
  <c r="L42"/>
  <c r="L77"/>
  <c r="L88"/>
  <c r="L101"/>
  <c r="L108"/>
  <c r="T133"/>
  <c r="S160"/>
  <c r="T228"/>
  <c r="T230"/>
  <c r="V256"/>
  <c r="T300"/>
  <c r="T316"/>
  <c r="V230"/>
  <c r="K319"/>
  <c r="H319"/>
  <c r="U160"/>
  <c r="I160"/>
  <c r="V133"/>
  <c r="Q319"/>
  <c r="S77"/>
  <c r="S42"/>
  <c r="N319"/>
  <c r="R319"/>
  <c r="F32"/>
  <c r="T166" i="55"/>
  <c r="T156"/>
  <c r="U156"/>
  <c r="T134"/>
  <c r="T100"/>
  <c r="S68"/>
  <c r="S58"/>
  <c r="S41"/>
  <c r="Q184"/>
  <c r="S25"/>
  <c r="S16"/>
  <c r="O184"/>
  <c r="T203"/>
  <c r="I203"/>
  <c r="L203"/>
  <c r="V193"/>
  <c r="S193"/>
  <c r="I91" i="54"/>
  <c r="S91"/>
  <c r="H92"/>
  <c r="I73"/>
  <c r="L73"/>
  <c r="S73"/>
  <c r="S58"/>
  <c r="S56"/>
  <c r="L42"/>
  <c r="I31"/>
  <c r="S31"/>
  <c r="I29"/>
  <c r="K92"/>
  <c r="L29"/>
  <c r="N92"/>
  <c r="Q92"/>
  <c r="S24"/>
  <c r="L13"/>
  <c r="S13"/>
  <c r="F9"/>
  <c r="F92" s="1"/>
  <c r="I9"/>
  <c r="L9"/>
  <c r="U92"/>
  <c r="V3"/>
  <c r="S81" i="49"/>
  <c r="S79"/>
  <c r="S77"/>
  <c r="V45"/>
  <c r="V51"/>
  <c r="F40"/>
  <c r="L40"/>
  <c r="N82"/>
  <c r="S40"/>
  <c r="F27"/>
  <c r="I27"/>
  <c r="O82"/>
  <c r="R82"/>
  <c r="F23"/>
  <c r="I23"/>
  <c r="L23"/>
  <c r="V3" i="53"/>
  <c r="T9"/>
  <c r="T10" s="1"/>
  <c r="U9"/>
  <c r="U10" s="1"/>
  <c r="T22" i="52"/>
  <c r="V22" s="1"/>
  <c r="T23"/>
  <c r="V23" s="1"/>
  <c r="T30"/>
  <c r="V30" s="1"/>
  <c r="T3"/>
  <c r="V3" s="1"/>
  <c r="T33"/>
  <c r="V33" s="1"/>
  <c r="T34"/>
  <c r="V34" s="1"/>
  <c r="T7"/>
  <c r="V7" s="1"/>
  <c r="T19"/>
  <c r="V19" s="1"/>
  <c r="T6"/>
  <c r="S20"/>
  <c r="T21"/>
  <c r="S31"/>
  <c r="T32"/>
  <c r="U32"/>
  <c r="U35" s="1"/>
  <c r="T3" i="49"/>
  <c r="V3" s="1"/>
  <c r="I36" i="39"/>
  <c r="L36"/>
  <c r="T32"/>
  <c r="L32"/>
  <c r="S32"/>
  <c r="F24"/>
  <c r="I24"/>
  <c r="F19"/>
  <c r="I19"/>
  <c r="L19"/>
  <c r="O37"/>
  <c r="R37"/>
  <c r="H37"/>
  <c r="K37"/>
  <c r="N37"/>
  <c r="Q37"/>
  <c r="S37"/>
  <c r="S18" i="48"/>
  <c r="V13"/>
  <c r="T6"/>
  <c r="T8" s="1"/>
  <c r="U9"/>
  <c r="U12" s="1"/>
  <c r="T11"/>
  <c r="T12" s="1"/>
  <c r="I12"/>
  <c r="I18" s="1"/>
  <c r="U13"/>
  <c r="U17" s="1"/>
  <c r="U6"/>
  <c r="U8" s="1"/>
  <c r="T109" i="29"/>
  <c r="V109" s="1"/>
  <c r="T111"/>
  <c r="V111" s="1"/>
  <c r="T120"/>
  <c r="V120" s="1"/>
  <c r="T122"/>
  <c r="V122" s="1"/>
  <c r="T124"/>
  <c r="V124" s="1"/>
  <c r="T126"/>
  <c r="V126" s="1"/>
  <c r="T128"/>
  <c r="V128" s="1"/>
  <c r="T130"/>
  <c r="V130" s="1"/>
  <c r="T113"/>
  <c r="V113" s="1"/>
  <c r="T115"/>
  <c r="V115" s="1"/>
  <c r="T117"/>
  <c r="V117" s="1"/>
  <c r="T119"/>
  <c r="V119" s="1"/>
  <c r="V112"/>
  <c r="V123"/>
  <c r="V127"/>
  <c r="V93" i="28"/>
  <c r="T90"/>
  <c r="V90" s="1"/>
  <c r="T95"/>
  <c r="V95" s="1"/>
  <c r="T97"/>
  <c r="V97" s="1"/>
  <c r="T89"/>
  <c r="T94"/>
  <c r="T96"/>
  <c r="T98"/>
  <c r="V98" s="1"/>
  <c r="V89"/>
  <c r="V94"/>
  <c r="V96"/>
  <c r="V274"/>
  <c r="V276"/>
  <c r="T278"/>
  <c r="V278" s="1"/>
  <c r="V282"/>
  <c r="T273"/>
  <c r="V273" s="1"/>
  <c r="T275"/>
  <c r="V275" s="1"/>
  <c r="T277"/>
  <c r="V277" s="1"/>
  <c r="T279"/>
  <c r="V279" s="1"/>
  <c r="T281"/>
  <c r="V281" s="1"/>
  <c r="T283"/>
  <c r="V283" s="1"/>
  <c r="T285"/>
  <c r="V285" s="1"/>
  <c r="T141"/>
  <c r="V141" s="1"/>
  <c r="T143"/>
  <c r="V143" s="1"/>
  <c r="T145"/>
  <c r="V145" s="1"/>
  <c r="T147"/>
  <c r="V147" s="1"/>
  <c r="T149"/>
  <c r="V149" s="1"/>
  <c r="T151"/>
  <c r="V151" s="1"/>
  <c r="T138"/>
  <c r="V138" s="1"/>
  <c r="T140"/>
  <c r="V140" s="1"/>
  <c r="T137"/>
  <c r="V137" s="1"/>
  <c r="T139"/>
  <c r="V139" s="1"/>
  <c r="T142"/>
  <c r="T144"/>
  <c r="V144" s="1"/>
  <c r="T146"/>
  <c r="V146" s="1"/>
  <c r="T148"/>
  <c r="V148" s="1"/>
  <c r="T150"/>
  <c r="V150" s="1"/>
  <c r="T152"/>
  <c r="V152" s="1"/>
  <c r="V142"/>
  <c r="V48" i="59" l="1"/>
  <c r="T24" i="54"/>
  <c r="T73"/>
  <c r="T118" i="56"/>
  <c r="T160"/>
  <c r="T252"/>
  <c r="T11" i="58"/>
  <c r="T17"/>
  <c r="T70" i="59"/>
  <c r="T91"/>
  <c r="T95"/>
  <c r="V80" i="49"/>
  <c r="V81" s="1"/>
  <c r="T69" i="35"/>
  <c r="T24" i="39"/>
  <c r="V41" i="49"/>
  <c r="V43" s="1"/>
  <c r="T31" i="54"/>
  <c r="V29"/>
  <c r="V268" i="56"/>
  <c r="V91" i="59"/>
  <c r="V131"/>
  <c r="T42" i="56"/>
  <c r="V156" i="55"/>
  <c r="R184"/>
  <c r="V41"/>
  <c r="O140" i="59"/>
  <c r="T19" i="39"/>
  <c r="I82" i="49"/>
  <c r="T52"/>
  <c r="T77"/>
  <c r="T13" i="54"/>
  <c r="T193" i="55"/>
  <c r="I184"/>
  <c r="T80"/>
  <c r="T122"/>
  <c r="T318" i="56"/>
  <c r="T305"/>
  <c r="T171"/>
  <c r="T159" i="59"/>
  <c r="T18"/>
  <c r="T27"/>
  <c r="T55"/>
  <c r="T120"/>
  <c r="V55"/>
  <c r="V120"/>
  <c r="T48"/>
  <c r="V306" i="56"/>
  <c r="V314" s="1"/>
  <c r="T314"/>
  <c r="V301"/>
  <c r="V303" s="1"/>
  <c r="T303"/>
  <c r="V58" i="55"/>
  <c r="F18" i="58"/>
  <c r="R140" i="59"/>
  <c r="R92" i="54"/>
  <c r="V51" i="59"/>
  <c r="V153"/>
  <c r="V42" i="54"/>
  <c r="L184" i="55"/>
  <c r="V16"/>
  <c r="V100"/>
  <c r="V95" i="59"/>
  <c r="V112"/>
  <c r="T16" i="55"/>
  <c r="V183"/>
  <c r="V25"/>
  <c r="V178" i="56"/>
  <c r="V182" s="1"/>
  <c r="T182"/>
  <c r="V106" i="59"/>
  <c r="V64"/>
  <c r="V27"/>
  <c r="F140"/>
  <c r="T112"/>
  <c r="V70"/>
  <c r="V159"/>
  <c r="V134" i="55"/>
  <c r="V73" i="54"/>
  <c r="V117" i="59"/>
  <c r="T113" i="55"/>
  <c r="V80"/>
  <c r="V105"/>
  <c r="T42" i="54"/>
  <c r="T101" i="56"/>
  <c r="V139" i="55"/>
  <c r="V91" i="54"/>
  <c r="V68"/>
  <c r="V122" i="55"/>
  <c r="V203"/>
  <c r="V296" i="56"/>
  <c r="V298" s="1"/>
  <c r="T298"/>
  <c r="V59"/>
  <c r="V61" s="1"/>
  <c r="T61"/>
  <c r="V293"/>
  <c r="V295" s="1"/>
  <c r="T295"/>
  <c r="T37" i="39"/>
  <c r="T116" i="55"/>
  <c r="T58"/>
  <c r="V41" i="59"/>
  <c r="T153"/>
  <c r="T41" i="55"/>
  <c r="V24" i="39"/>
  <c r="T183" i="55"/>
  <c r="T139"/>
  <c r="T146" i="59"/>
  <c r="V140" i="55"/>
  <c r="V145" s="1"/>
  <c r="T145"/>
  <c r="V167"/>
  <c r="V176" s="1"/>
  <c r="T176"/>
  <c r="V135" i="59"/>
  <c r="V137" s="1"/>
  <c r="T137"/>
  <c r="V6" i="58"/>
  <c r="V8" s="1"/>
  <c r="T8"/>
  <c r="V132" i="59"/>
  <c r="V134" s="1"/>
  <c r="T134"/>
  <c r="L140"/>
  <c r="V40" i="49"/>
  <c r="T40"/>
  <c r="T64" i="59"/>
  <c r="T117"/>
  <c r="T106"/>
  <c r="T51"/>
  <c r="T105" i="55"/>
  <c r="T25"/>
  <c r="T68"/>
  <c r="V68"/>
  <c r="O319" i="56"/>
  <c r="V32" i="54"/>
  <c r="V35" s="1"/>
  <c r="T35"/>
  <c r="I140" i="59"/>
  <c r="T41"/>
  <c r="S184" i="55"/>
  <c r="O92" i="54"/>
  <c r="V56"/>
  <c r="T56"/>
  <c r="I319" i="56"/>
  <c r="T150"/>
  <c r="T139" i="59"/>
  <c r="T149" i="55"/>
  <c r="V290" i="56"/>
  <c r="V292" s="1"/>
  <c r="T292"/>
  <c r="L319"/>
  <c r="V12"/>
  <c r="V32" s="1"/>
  <c r="T32"/>
  <c r="T147" i="55"/>
  <c r="T91" i="54"/>
  <c r="T9"/>
  <c r="V13"/>
  <c r="T29"/>
  <c r="T68"/>
  <c r="T58"/>
  <c r="S92"/>
  <c r="S140" i="59"/>
  <c r="S18" i="58"/>
  <c r="U36" i="52"/>
  <c r="V11" i="48"/>
  <c r="V12" s="1"/>
  <c r="T11" i="56"/>
  <c r="V24" i="54"/>
  <c r="V77" i="49"/>
  <c r="V53"/>
  <c r="V66" s="1"/>
  <c r="V36" i="39"/>
  <c r="V32"/>
  <c r="S36" i="52"/>
  <c r="T23" i="49"/>
  <c r="T82" s="1"/>
  <c r="V23"/>
  <c r="F82"/>
  <c r="V24"/>
  <c r="V27" s="1"/>
  <c r="S82"/>
  <c r="I37" i="39"/>
  <c r="V52" i="49"/>
  <c r="V65" i="35"/>
  <c r="V66" s="1"/>
  <c r="V69"/>
  <c r="T64"/>
  <c r="T58"/>
  <c r="V59"/>
  <c r="V64" s="1"/>
  <c r="V52"/>
  <c r="V58" s="1"/>
  <c r="V18" i="59"/>
  <c r="I18" i="58"/>
  <c r="T18"/>
  <c r="U18"/>
  <c r="T8" i="57"/>
  <c r="T9" s="1"/>
  <c r="T224" i="56"/>
  <c r="T177"/>
  <c r="V150"/>
  <c r="V11"/>
  <c r="F319"/>
  <c r="V305"/>
  <c r="T194"/>
  <c r="T108"/>
  <c r="T88"/>
  <c r="T77"/>
  <c r="V316"/>
  <c r="V300"/>
  <c r="T256"/>
  <c r="V289"/>
  <c r="V146"/>
  <c r="V265"/>
  <c r="V244"/>
  <c r="V131"/>
  <c r="V58"/>
  <c r="V224"/>
  <c r="V177"/>
  <c r="V108"/>
  <c r="V160"/>
  <c r="T337"/>
  <c r="V42"/>
  <c r="T58"/>
  <c r="T131"/>
  <c r="T146"/>
  <c r="T211"/>
  <c r="V252"/>
  <c r="T289"/>
  <c r="T279"/>
  <c r="V318"/>
  <c r="V279"/>
  <c r="T268"/>
  <c r="T265"/>
  <c r="T244"/>
  <c r="V228"/>
  <c r="V194"/>
  <c r="V171"/>
  <c r="V211"/>
  <c r="V118"/>
  <c r="V101"/>
  <c r="V88"/>
  <c r="V77"/>
  <c r="V337"/>
  <c r="S319"/>
  <c r="U319"/>
  <c r="U184" i="55"/>
  <c r="I92" i="54"/>
  <c r="L92"/>
  <c r="L82" i="49"/>
  <c r="U82"/>
  <c r="V9" i="53"/>
  <c r="V10" s="1"/>
  <c r="T31" i="52"/>
  <c r="T35"/>
  <c r="V21"/>
  <c r="V31" s="1"/>
  <c r="T20"/>
  <c r="V32"/>
  <c r="V35" s="1"/>
  <c r="V6"/>
  <c r="V20" s="1"/>
  <c r="V6" i="39"/>
  <c r="V19" s="1"/>
  <c r="L37"/>
  <c r="F37"/>
  <c r="U18" i="48"/>
  <c r="V17"/>
  <c r="T18"/>
  <c r="V6"/>
  <c r="V8" s="1"/>
  <c r="V140" i="59" l="1"/>
  <c r="T140"/>
  <c r="V37" i="39"/>
  <c r="T184" i="55"/>
  <c r="V92" i="54"/>
  <c r="T92"/>
  <c r="T319" i="56"/>
  <c r="V82" i="49"/>
  <c r="V36" i="52"/>
  <c r="T36"/>
  <c r="V18" i="58"/>
  <c r="V8" i="57"/>
  <c r="V9" s="1"/>
  <c r="V319" i="56"/>
  <c r="V184" i="55"/>
  <c r="V18" i="48"/>
  <c r="S55" i="28" l="1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S42"/>
  <c r="U42" s="1"/>
  <c r="R42"/>
  <c r="O42"/>
  <c r="L42"/>
  <c r="I42"/>
  <c r="F42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N35"/>
  <c r="N34"/>
  <c r="N33"/>
  <c r="N57" l="1"/>
  <c r="T37"/>
  <c r="V37" s="1"/>
  <c r="T48"/>
  <c r="V48" s="1"/>
  <c r="T50"/>
  <c r="V50" s="1"/>
  <c r="T52"/>
  <c r="V52" s="1"/>
  <c r="T54"/>
  <c r="V54" s="1"/>
  <c r="T38"/>
  <c r="V38" s="1"/>
  <c r="T40"/>
  <c r="V40" s="1"/>
  <c r="T42"/>
  <c r="V42" s="1"/>
  <c r="T44"/>
  <c r="V44" s="1"/>
  <c r="T46"/>
  <c r="V46" s="1"/>
  <c r="T39"/>
  <c r="V39" s="1"/>
  <c r="T41"/>
  <c r="V41" s="1"/>
  <c r="T43"/>
  <c r="V43" s="1"/>
  <c r="T45"/>
  <c r="V45" s="1"/>
  <c r="T47"/>
  <c r="V47" s="1"/>
  <c r="T49"/>
  <c r="V49" s="1"/>
  <c r="T51"/>
  <c r="V51" s="1"/>
  <c r="T53"/>
  <c r="V53" s="1"/>
  <c r="T55"/>
  <c r="V55" s="1"/>
  <c r="R195" i="47" l="1"/>
  <c r="R197" s="1"/>
  <c r="O195"/>
  <c r="O197" s="1"/>
  <c r="L195"/>
  <c r="L197" s="1"/>
  <c r="I195"/>
  <c r="I197" s="1"/>
  <c r="F195"/>
  <c r="F197" s="1"/>
  <c r="R193"/>
  <c r="O193"/>
  <c r="L193"/>
  <c r="I193"/>
  <c r="F193"/>
  <c r="R191"/>
  <c r="O191"/>
  <c r="L191"/>
  <c r="I191"/>
  <c r="F191"/>
  <c r="R190"/>
  <c r="O190"/>
  <c r="L190"/>
  <c r="I190"/>
  <c r="F190"/>
  <c r="U194"/>
  <c r="R189"/>
  <c r="O189"/>
  <c r="L189"/>
  <c r="I189"/>
  <c r="F189"/>
  <c r="R187"/>
  <c r="O187"/>
  <c r="L187"/>
  <c r="I187"/>
  <c r="F187"/>
  <c r="R179"/>
  <c r="O179"/>
  <c r="L179"/>
  <c r="I179"/>
  <c r="F179"/>
  <c r="U188"/>
  <c r="R178"/>
  <c r="O178"/>
  <c r="L178"/>
  <c r="I178"/>
  <c r="F178"/>
  <c r="R176"/>
  <c r="O176"/>
  <c r="L176"/>
  <c r="I176"/>
  <c r="F176"/>
  <c r="R175"/>
  <c r="O175"/>
  <c r="L175"/>
  <c r="I175"/>
  <c r="F175"/>
  <c r="R174"/>
  <c r="O174"/>
  <c r="L174"/>
  <c r="I174"/>
  <c r="F174"/>
  <c r="R173"/>
  <c r="O173"/>
  <c r="L173"/>
  <c r="I173"/>
  <c r="F173"/>
  <c r="R172"/>
  <c r="O172"/>
  <c r="L172"/>
  <c r="I172"/>
  <c r="F172"/>
  <c r="R171"/>
  <c r="O171"/>
  <c r="L171"/>
  <c r="I171"/>
  <c r="F171"/>
  <c r="R170"/>
  <c r="O170"/>
  <c r="L170"/>
  <c r="I170"/>
  <c r="F170"/>
  <c r="U177"/>
  <c r="R169"/>
  <c r="O169"/>
  <c r="L169"/>
  <c r="I169"/>
  <c r="F169"/>
  <c r="R167"/>
  <c r="O167"/>
  <c r="L167"/>
  <c r="I167"/>
  <c r="F167"/>
  <c r="R164"/>
  <c r="O164"/>
  <c r="L164"/>
  <c r="I164"/>
  <c r="F164"/>
  <c r="R163"/>
  <c r="O163"/>
  <c r="L163"/>
  <c r="I163"/>
  <c r="F163"/>
  <c r="R162"/>
  <c r="O162"/>
  <c r="L162"/>
  <c r="I162"/>
  <c r="F162"/>
  <c r="U168"/>
  <c r="R161"/>
  <c r="O161"/>
  <c r="L161"/>
  <c r="I161"/>
  <c r="F161"/>
  <c r="U160"/>
  <c r="R159"/>
  <c r="O159"/>
  <c r="L159"/>
  <c r="I159"/>
  <c r="F159"/>
  <c r="R157"/>
  <c r="O157"/>
  <c r="L157"/>
  <c r="I157"/>
  <c r="F157"/>
  <c r="U158"/>
  <c r="R155"/>
  <c r="R158" s="1"/>
  <c r="O155"/>
  <c r="L155"/>
  <c r="I155"/>
  <c r="F155"/>
  <c r="R153"/>
  <c r="O153"/>
  <c r="L153"/>
  <c r="I153"/>
  <c r="F153"/>
  <c r="R150"/>
  <c r="O150"/>
  <c r="L150"/>
  <c r="I150"/>
  <c r="F150"/>
  <c r="R149"/>
  <c r="O149"/>
  <c r="L149"/>
  <c r="I149"/>
  <c r="F149"/>
  <c r="U154"/>
  <c r="R148"/>
  <c r="O148"/>
  <c r="L148"/>
  <c r="I148"/>
  <c r="F148"/>
  <c r="R146"/>
  <c r="O146"/>
  <c r="L146"/>
  <c r="I146"/>
  <c r="F146"/>
  <c r="R145"/>
  <c r="O145"/>
  <c r="L145"/>
  <c r="I145"/>
  <c r="F145"/>
  <c r="U147"/>
  <c r="R144"/>
  <c r="O144"/>
  <c r="L144"/>
  <c r="I144"/>
  <c r="F144"/>
  <c r="R142"/>
  <c r="O142"/>
  <c r="L142"/>
  <c r="I142"/>
  <c r="F142"/>
  <c r="R125"/>
  <c r="O125"/>
  <c r="L125"/>
  <c r="I125"/>
  <c r="F125"/>
  <c r="R124"/>
  <c r="O124"/>
  <c r="L124"/>
  <c r="I124"/>
  <c r="F124"/>
  <c r="U143"/>
  <c r="R123"/>
  <c r="O123"/>
  <c r="L123"/>
  <c r="I123"/>
  <c r="F123"/>
  <c r="R121"/>
  <c r="O121"/>
  <c r="L121"/>
  <c r="I121"/>
  <c r="F121"/>
  <c r="R118"/>
  <c r="O118"/>
  <c r="L118"/>
  <c r="I118"/>
  <c r="F118"/>
  <c r="R117"/>
  <c r="O117"/>
  <c r="L117"/>
  <c r="I117"/>
  <c r="F117"/>
  <c r="U122"/>
  <c r="R116"/>
  <c r="O116"/>
  <c r="L116"/>
  <c r="I116"/>
  <c r="F116"/>
  <c r="R108"/>
  <c r="R115" s="1"/>
  <c r="O108"/>
  <c r="O115" s="1"/>
  <c r="L108"/>
  <c r="L115" s="1"/>
  <c r="I108"/>
  <c r="I115" s="1"/>
  <c r="F108"/>
  <c r="F115" s="1"/>
  <c r="R106"/>
  <c r="O106"/>
  <c r="L106"/>
  <c r="I106"/>
  <c r="F106"/>
  <c r="R105"/>
  <c r="O105"/>
  <c r="L105"/>
  <c r="I105"/>
  <c r="F105"/>
  <c r="R104"/>
  <c r="O104"/>
  <c r="L104"/>
  <c r="I104"/>
  <c r="F104"/>
  <c r="R103"/>
  <c r="O103"/>
  <c r="L103"/>
  <c r="I103"/>
  <c r="F103"/>
  <c r="U107"/>
  <c r="R102"/>
  <c r="O102"/>
  <c r="L102"/>
  <c r="I102"/>
  <c r="F102"/>
  <c r="R100"/>
  <c r="O100"/>
  <c r="L100"/>
  <c r="I100"/>
  <c r="F100"/>
  <c r="R93"/>
  <c r="O93"/>
  <c r="L93"/>
  <c r="I93"/>
  <c r="F93"/>
  <c r="U101"/>
  <c r="R92"/>
  <c r="O92"/>
  <c r="L92"/>
  <c r="I92"/>
  <c r="F92"/>
  <c r="R90"/>
  <c r="O90"/>
  <c r="L90"/>
  <c r="I90"/>
  <c r="F90"/>
  <c r="U91"/>
  <c r="R89"/>
  <c r="O89"/>
  <c r="L89"/>
  <c r="I89"/>
  <c r="F89"/>
  <c r="R87"/>
  <c r="O87"/>
  <c r="L87"/>
  <c r="I87"/>
  <c r="F87"/>
  <c r="R81"/>
  <c r="O81"/>
  <c r="L81"/>
  <c r="I81"/>
  <c r="F81"/>
  <c r="U88"/>
  <c r="R80"/>
  <c r="O80"/>
  <c r="L80"/>
  <c r="I80"/>
  <c r="F80"/>
  <c r="R78"/>
  <c r="O78"/>
  <c r="L78"/>
  <c r="I78"/>
  <c r="F78"/>
  <c r="R77"/>
  <c r="O77"/>
  <c r="L77"/>
  <c r="I77"/>
  <c r="F77"/>
  <c r="R76"/>
  <c r="O76"/>
  <c r="L76"/>
  <c r="I76"/>
  <c r="F76"/>
  <c r="R75"/>
  <c r="O75"/>
  <c r="L75"/>
  <c r="I75"/>
  <c r="F75"/>
  <c r="R74"/>
  <c r="O74"/>
  <c r="L74"/>
  <c r="I74"/>
  <c r="F74"/>
  <c r="U79"/>
  <c r="R73"/>
  <c r="O73"/>
  <c r="L73"/>
  <c r="I73"/>
  <c r="F73"/>
  <c r="R71"/>
  <c r="O71"/>
  <c r="L71"/>
  <c r="I71"/>
  <c r="F71"/>
  <c r="R65"/>
  <c r="O65"/>
  <c r="L65"/>
  <c r="I65"/>
  <c r="F65"/>
  <c r="R64"/>
  <c r="O64"/>
  <c r="L64"/>
  <c r="I64"/>
  <c r="F64"/>
  <c r="R63"/>
  <c r="O63"/>
  <c r="L63"/>
  <c r="I63"/>
  <c r="F63"/>
  <c r="U72"/>
  <c r="R62"/>
  <c r="O62"/>
  <c r="L62"/>
  <c r="I62"/>
  <c r="F62"/>
  <c r="R60"/>
  <c r="O60"/>
  <c r="L60"/>
  <c r="I60"/>
  <c r="F60"/>
  <c r="R56"/>
  <c r="O56"/>
  <c r="L56"/>
  <c r="I56"/>
  <c r="F56"/>
  <c r="R55"/>
  <c r="O55"/>
  <c r="L55"/>
  <c r="I55"/>
  <c r="F55"/>
  <c r="R54"/>
  <c r="O54"/>
  <c r="L54"/>
  <c r="I54"/>
  <c r="F54"/>
  <c r="U61"/>
  <c r="R53"/>
  <c r="O53"/>
  <c r="L53"/>
  <c r="I53"/>
  <c r="F53"/>
  <c r="R51"/>
  <c r="O51"/>
  <c r="L51"/>
  <c r="I51"/>
  <c r="F51"/>
  <c r="R45"/>
  <c r="O45"/>
  <c r="L45"/>
  <c r="I45"/>
  <c r="F45"/>
  <c r="R44"/>
  <c r="O44"/>
  <c r="L44"/>
  <c r="I44"/>
  <c r="F44"/>
  <c r="R43"/>
  <c r="O43"/>
  <c r="L43"/>
  <c r="I43"/>
  <c r="F43"/>
  <c r="R42"/>
  <c r="O42"/>
  <c r="L42"/>
  <c r="I42"/>
  <c r="F42"/>
  <c r="R41"/>
  <c r="O41"/>
  <c r="L41"/>
  <c r="I41"/>
  <c r="F41"/>
  <c r="R40"/>
  <c r="O40"/>
  <c r="L40"/>
  <c r="I40"/>
  <c r="F40"/>
  <c r="U52"/>
  <c r="R39"/>
  <c r="O39"/>
  <c r="L39"/>
  <c r="I39"/>
  <c r="F39"/>
  <c r="U38"/>
  <c r="R37"/>
  <c r="R38" s="1"/>
  <c r="O37"/>
  <c r="L37"/>
  <c r="L38" s="1"/>
  <c r="I37"/>
  <c r="F37"/>
  <c r="F38" s="1"/>
  <c r="R35"/>
  <c r="O35"/>
  <c r="L35"/>
  <c r="I35"/>
  <c r="F35"/>
  <c r="R34"/>
  <c r="O34"/>
  <c r="L34"/>
  <c r="I34"/>
  <c r="F34"/>
  <c r="R33"/>
  <c r="O33"/>
  <c r="L33"/>
  <c r="I33"/>
  <c r="F33"/>
  <c r="R32"/>
  <c r="O32"/>
  <c r="L32"/>
  <c r="I32"/>
  <c r="F32"/>
  <c r="R31"/>
  <c r="O31"/>
  <c r="L31"/>
  <c r="I31"/>
  <c r="F31"/>
  <c r="R30"/>
  <c r="O30"/>
  <c r="L30"/>
  <c r="I30"/>
  <c r="F30"/>
  <c r="U36"/>
  <c r="R29"/>
  <c r="O29"/>
  <c r="L29"/>
  <c r="I29"/>
  <c r="F29"/>
  <c r="R27"/>
  <c r="O27"/>
  <c r="L27"/>
  <c r="I27"/>
  <c r="F27"/>
  <c r="R22"/>
  <c r="O22"/>
  <c r="L22"/>
  <c r="I22"/>
  <c r="F22"/>
  <c r="R21"/>
  <c r="O21"/>
  <c r="L21"/>
  <c r="I21"/>
  <c r="F21"/>
  <c r="R20"/>
  <c r="O20"/>
  <c r="L20"/>
  <c r="I20"/>
  <c r="F20"/>
  <c r="R19"/>
  <c r="O19"/>
  <c r="L19"/>
  <c r="I19"/>
  <c r="F19"/>
  <c r="R18"/>
  <c r="O18"/>
  <c r="L18"/>
  <c r="I18"/>
  <c r="F18"/>
  <c r="R17"/>
  <c r="O17"/>
  <c r="L17"/>
  <c r="I17"/>
  <c r="F17"/>
  <c r="R16"/>
  <c r="O16"/>
  <c r="L16"/>
  <c r="I16"/>
  <c r="F16"/>
  <c r="S28"/>
  <c r="R15"/>
  <c r="O15"/>
  <c r="L15"/>
  <c r="I15"/>
  <c r="F15"/>
  <c r="R13"/>
  <c r="O13"/>
  <c r="L13"/>
  <c r="I13"/>
  <c r="F13"/>
  <c r="R9"/>
  <c r="O9"/>
  <c r="L9"/>
  <c r="I9"/>
  <c r="F9"/>
  <c r="R8"/>
  <c r="O8"/>
  <c r="L8"/>
  <c r="I8"/>
  <c r="F8"/>
  <c r="R7"/>
  <c r="O7"/>
  <c r="L7"/>
  <c r="I7"/>
  <c r="F7"/>
  <c r="U14"/>
  <c r="R6"/>
  <c r="O6"/>
  <c r="L6"/>
  <c r="I6"/>
  <c r="F6"/>
  <c r="S194"/>
  <c r="S188"/>
  <c r="S177"/>
  <c r="S168"/>
  <c r="S160"/>
  <c r="S158"/>
  <c r="S154"/>
  <c r="S147"/>
  <c r="S143"/>
  <c r="S122"/>
  <c r="S107"/>
  <c r="S101"/>
  <c r="S91"/>
  <c r="S79"/>
  <c r="S52"/>
  <c r="S14"/>
  <c r="R194"/>
  <c r="Q194"/>
  <c r="R188"/>
  <c r="Q188"/>
  <c r="R177"/>
  <c r="Q177"/>
  <c r="R168"/>
  <c r="Q168"/>
  <c r="R160"/>
  <c r="Q160"/>
  <c r="Q158"/>
  <c r="R154"/>
  <c r="Q154"/>
  <c r="R147"/>
  <c r="Q147"/>
  <c r="Q143"/>
  <c r="R122"/>
  <c r="Q122"/>
  <c r="R107"/>
  <c r="Q107"/>
  <c r="R101"/>
  <c r="Q101"/>
  <c r="R91"/>
  <c r="Q91"/>
  <c r="Q88"/>
  <c r="Q79"/>
  <c r="Q72"/>
  <c r="Q61"/>
  <c r="Q52"/>
  <c r="Q38"/>
  <c r="Q36"/>
  <c r="Q28"/>
  <c r="Q14"/>
  <c r="O194"/>
  <c r="N194"/>
  <c r="O188"/>
  <c r="N188"/>
  <c r="O177"/>
  <c r="N177"/>
  <c r="O168"/>
  <c r="N168"/>
  <c r="O160"/>
  <c r="N160"/>
  <c r="O158"/>
  <c r="N158"/>
  <c r="O154"/>
  <c r="N154"/>
  <c r="O147"/>
  <c r="N147"/>
  <c r="O143"/>
  <c r="N143"/>
  <c r="O122"/>
  <c r="N122"/>
  <c r="O107"/>
  <c r="N107"/>
  <c r="O101"/>
  <c r="N101"/>
  <c r="O91"/>
  <c r="N91"/>
  <c r="N88"/>
  <c r="O79"/>
  <c r="N79"/>
  <c r="N72"/>
  <c r="N61"/>
  <c r="N52"/>
  <c r="O38"/>
  <c r="N38"/>
  <c r="N36"/>
  <c r="N28"/>
  <c r="N14"/>
  <c r="L194"/>
  <c r="K194"/>
  <c r="L188"/>
  <c r="K188"/>
  <c r="L177"/>
  <c r="K177"/>
  <c r="L168"/>
  <c r="K168"/>
  <c r="L160"/>
  <c r="K160"/>
  <c r="K158"/>
  <c r="L147"/>
  <c r="K147"/>
  <c r="L143"/>
  <c r="K143"/>
  <c r="L122"/>
  <c r="K122"/>
  <c r="K107"/>
  <c r="L101"/>
  <c r="K101"/>
  <c r="L91"/>
  <c r="K91"/>
  <c r="K88"/>
  <c r="L79"/>
  <c r="K79"/>
  <c r="L72"/>
  <c r="K72"/>
  <c r="K61"/>
  <c r="K52"/>
  <c r="K38"/>
  <c r="K36"/>
  <c r="K28"/>
  <c r="K14"/>
  <c r="I194"/>
  <c r="H194"/>
  <c r="I188"/>
  <c r="H188"/>
  <c r="I177"/>
  <c r="H177"/>
  <c r="I168"/>
  <c r="H168"/>
  <c r="I160"/>
  <c r="H160"/>
  <c r="I158"/>
  <c r="H158"/>
  <c r="H154"/>
  <c r="I147"/>
  <c r="H147"/>
  <c r="H143"/>
  <c r="I122"/>
  <c r="H122"/>
  <c r="I107"/>
  <c r="H107"/>
  <c r="I101"/>
  <c r="H101"/>
  <c r="I91"/>
  <c r="H91"/>
  <c r="I88"/>
  <c r="H88"/>
  <c r="H79"/>
  <c r="H72"/>
  <c r="H61"/>
  <c r="H52"/>
  <c r="I38"/>
  <c r="H38"/>
  <c r="H36"/>
  <c r="H28"/>
  <c r="H14"/>
  <c r="F194"/>
  <c r="E194"/>
  <c r="F188"/>
  <c r="E188"/>
  <c r="F177"/>
  <c r="E177"/>
  <c r="F168"/>
  <c r="E168"/>
  <c r="F160"/>
  <c r="E160"/>
  <c r="F158"/>
  <c r="E158"/>
  <c r="E154"/>
  <c r="F147"/>
  <c r="E147"/>
  <c r="F143"/>
  <c r="E143"/>
  <c r="F122"/>
  <c r="E122"/>
  <c r="F107"/>
  <c r="E107"/>
  <c r="F101"/>
  <c r="E101"/>
  <c r="F91"/>
  <c r="E91"/>
  <c r="E88"/>
  <c r="F79"/>
  <c r="E79"/>
  <c r="E72"/>
  <c r="E61"/>
  <c r="E52"/>
  <c r="E38"/>
  <c r="E36"/>
  <c r="E28"/>
  <c r="E14"/>
  <c r="U3"/>
  <c r="R3"/>
  <c r="O3"/>
  <c r="L3"/>
  <c r="I3"/>
  <c r="F3"/>
  <c r="P1"/>
  <c r="U2" s="1"/>
  <c r="U33" i="46"/>
  <c r="R32"/>
  <c r="R33" s="1"/>
  <c r="O32"/>
  <c r="L32"/>
  <c r="I32"/>
  <c r="F32"/>
  <c r="F33" s="1"/>
  <c r="U31"/>
  <c r="R28"/>
  <c r="R31" s="1"/>
  <c r="O28"/>
  <c r="O31" s="1"/>
  <c r="L28"/>
  <c r="I28"/>
  <c r="F28"/>
  <c r="R24"/>
  <c r="R27" s="1"/>
  <c r="O24"/>
  <c r="O27" s="1"/>
  <c r="L24"/>
  <c r="L27" s="1"/>
  <c r="I24"/>
  <c r="F24"/>
  <c r="F27" s="1"/>
  <c r="R21"/>
  <c r="R23" s="1"/>
  <c r="O21"/>
  <c r="O23" s="1"/>
  <c r="L21"/>
  <c r="L23" s="1"/>
  <c r="I21"/>
  <c r="F21"/>
  <c r="F23" s="1"/>
  <c r="R13"/>
  <c r="R20" s="1"/>
  <c r="O13"/>
  <c r="O20" s="1"/>
  <c r="L13"/>
  <c r="L20" s="1"/>
  <c r="I13"/>
  <c r="F13"/>
  <c r="F20" s="1"/>
  <c r="U12"/>
  <c r="R11"/>
  <c r="O11"/>
  <c r="O12" s="1"/>
  <c r="L11"/>
  <c r="L12" s="1"/>
  <c r="I11"/>
  <c r="I12" s="1"/>
  <c r="F11"/>
  <c r="F12" s="1"/>
  <c r="R8"/>
  <c r="R10" s="1"/>
  <c r="O8"/>
  <c r="O10" s="1"/>
  <c r="L8"/>
  <c r="L10" s="1"/>
  <c r="I8"/>
  <c r="I10" s="1"/>
  <c r="F8"/>
  <c r="F10" s="1"/>
  <c r="U7"/>
  <c r="O6"/>
  <c r="O7" s="1"/>
  <c r="L6"/>
  <c r="L7" s="1"/>
  <c r="I6"/>
  <c r="F6"/>
  <c r="F7" s="1"/>
  <c r="F3"/>
  <c r="S33"/>
  <c r="S31"/>
  <c r="S12"/>
  <c r="S7"/>
  <c r="Q33"/>
  <c r="Q31"/>
  <c r="R12"/>
  <c r="Q12"/>
  <c r="R7"/>
  <c r="Q7"/>
  <c r="O33"/>
  <c r="N33"/>
  <c r="N31"/>
  <c r="N12"/>
  <c r="N7"/>
  <c r="L33"/>
  <c r="K33"/>
  <c r="L31"/>
  <c r="K31"/>
  <c r="K12"/>
  <c r="K7"/>
  <c r="I33"/>
  <c r="H33"/>
  <c r="H12"/>
  <c r="H7"/>
  <c r="E33"/>
  <c r="E12"/>
  <c r="E7"/>
  <c r="U3"/>
  <c r="R3"/>
  <c r="O3"/>
  <c r="L3"/>
  <c r="I3"/>
  <c r="P1"/>
  <c r="U2" s="1"/>
  <c r="E12" i="45"/>
  <c r="E13" s="1"/>
  <c r="H12"/>
  <c r="H13" s="1"/>
  <c r="Q12"/>
  <c r="Q13" s="1"/>
  <c r="N12"/>
  <c r="N13" s="1"/>
  <c r="K12"/>
  <c r="K13" s="1"/>
  <c r="R11"/>
  <c r="O11"/>
  <c r="L11"/>
  <c r="I11"/>
  <c r="F11"/>
  <c r="R10"/>
  <c r="O10"/>
  <c r="L10"/>
  <c r="I10"/>
  <c r="F10"/>
  <c r="S12"/>
  <c r="S13" s="1"/>
  <c r="R6"/>
  <c r="O6"/>
  <c r="L6"/>
  <c r="I6"/>
  <c r="F6"/>
  <c r="U3"/>
  <c r="R3"/>
  <c r="O3"/>
  <c r="L3"/>
  <c r="I3"/>
  <c r="F3"/>
  <c r="P1"/>
  <c r="U2" s="1"/>
  <c r="F36" i="47" l="1"/>
  <c r="R36"/>
  <c r="I36"/>
  <c r="O36"/>
  <c r="F52"/>
  <c r="L52"/>
  <c r="R52"/>
  <c r="I61"/>
  <c r="I52"/>
  <c r="F61"/>
  <c r="R61"/>
  <c r="F72"/>
  <c r="R72"/>
  <c r="I79"/>
  <c r="L154"/>
  <c r="T146"/>
  <c r="V146" s="1"/>
  <c r="T155"/>
  <c r="V155" s="1"/>
  <c r="T157"/>
  <c r="V157" s="1"/>
  <c r="T11" i="45"/>
  <c r="V11" s="1"/>
  <c r="T179" i="47"/>
  <c r="V179" s="1"/>
  <c r="T189"/>
  <c r="V189" s="1"/>
  <c r="T193"/>
  <c r="E34" i="46"/>
  <c r="R143" i="47"/>
  <c r="T178"/>
  <c r="V178" s="1"/>
  <c r="V193"/>
  <c r="T167"/>
  <c r="V167" s="1"/>
  <c r="T163"/>
  <c r="V163" s="1"/>
  <c r="T175"/>
  <c r="V175" s="1"/>
  <c r="T173"/>
  <c r="V173" s="1"/>
  <c r="T171"/>
  <c r="V171" s="1"/>
  <c r="T142"/>
  <c r="V142" s="1"/>
  <c r="T118"/>
  <c r="V118" s="1"/>
  <c r="T190"/>
  <c r="V190" s="1"/>
  <c r="I20" i="46"/>
  <c r="T13"/>
  <c r="I27"/>
  <c r="T24"/>
  <c r="F12" i="45"/>
  <c r="F13" s="1"/>
  <c r="T10"/>
  <c r="V10" s="1"/>
  <c r="T3" i="46"/>
  <c r="T3" i="47"/>
  <c r="T6"/>
  <c r="V6" s="1"/>
  <c r="O14"/>
  <c r="T7"/>
  <c r="V7" s="1"/>
  <c r="F14"/>
  <c r="O28"/>
  <c r="T16"/>
  <c r="V16" s="1"/>
  <c r="T18"/>
  <c r="V18" s="1"/>
  <c r="T19"/>
  <c r="T21"/>
  <c r="V21" s="1"/>
  <c r="T29"/>
  <c r="V29" s="1"/>
  <c r="T30"/>
  <c r="V30" s="1"/>
  <c r="L36"/>
  <c r="T32"/>
  <c r="V32" s="1"/>
  <c r="T34"/>
  <c r="V34" s="1"/>
  <c r="T40"/>
  <c r="V40" s="1"/>
  <c r="T41"/>
  <c r="T42"/>
  <c r="V42" s="1"/>
  <c r="T44"/>
  <c r="V44" s="1"/>
  <c r="T51"/>
  <c r="V51" s="1"/>
  <c r="T55"/>
  <c r="V55" s="1"/>
  <c r="T60"/>
  <c r="V60" s="1"/>
  <c r="R79"/>
  <c r="T75"/>
  <c r="V75" s="1"/>
  <c r="T80"/>
  <c r="V80" s="1"/>
  <c r="O88"/>
  <c r="F88"/>
  <c r="T89"/>
  <c r="V89" s="1"/>
  <c r="T90"/>
  <c r="V90" s="1"/>
  <c r="T100"/>
  <c r="V100" s="1"/>
  <c r="L107"/>
  <c r="T104"/>
  <c r="V104" s="1"/>
  <c r="T106"/>
  <c r="V106" s="1"/>
  <c r="I23" i="46"/>
  <c r="T21"/>
  <c r="T123" i="47"/>
  <c r="V123" s="1"/>
  <c r="F154"/>
  <c r="T71"/>
  <c r="V71" s="1"/>
  <c r="T150"/>
  <c r="V150" s="1"/>
  <c r="I154"/>
  <c r="T124"/>
  <c r="V124" s="1"/>
  <c r="T81"/>
  <c r="V81" s="1"/>
  <c r="I143"/>
  <c r="T77"/>
  <c r="V77" s="1"/>
  <c r="T6" i="46"/>
  <c r="V6" s="1"/>
  <c r="V7" s="1"/>
  <c r="F31"/>
  <c r="F34" s="1"/>
  <c r="I31"/>
  <c r="T28"/>
  <c r="V28" s="1"/>
  <c r="V31" s="1"/>
  <c r="I12" i="45"/>
  <c r="I13" s="1"/>
  <c r="T6"/>
  <c r="V6" s="1"/>
  <c r="T32" i="46"/>
  <c r="V32" s="1"/>
  <c r="V33" s="1"/>
  <c r="V3" i="47"/>
  <c r="T108"/>
  <c r="T159"/>
  <c r="V159" s="1"/>
  <c r="T169"/>
  <c r="V169" s="1"/>
  <c r="T195"/>
  <c r="E198"/>
  <c r="T31"/>
  <c r="V31" s="1"/>
  <c r="T33"/>
  <c r="V33" s="1"/>
  <c r="T35"/>
  <c r="V35" s="1"/>
  <c r="T39"/>
  <c r="V39" s="1"/>
  <c r="T43"/>
  <c r="V43" s="1"/>
  <c r="T45"/>
  <c r="V45" s="1"/>
  <c r="T53"/>
  <c r="V53" s="1"/>
  <c r="O61"/>
  <c r="T54"/>
  <c r="V54" s="1"/>
  <c r="T56"/>
  <c r="V56" s="1"/>
  <c r="T62"/>
  <c r="V62" s="1"/>
  <c r="O72"/>
  <c r="T63"/>
  <c r="V63" s="1"/>
  <c r="T65"/>
  <c r="V65" s="1"/>
  <c r="T73"/>
  <c r="V73" s="1"/>
  <c r="T74"/>
  <c r="V74" s="1"/>
  <c r="T76"/>
  <c r="V76" s="1"/>
  <c r="T78"/>
  <c r="V78" s="1"/>
  <c r="R88"/>
  <c r="T87"/>
  <c r="V87" s="1"/>
  <c r="T92"/>
  <c r="V92" s="1"/>
  <c r="T93"/>
  <c r="V93" s="1"/>
  <c r="T102"/>
  <c r="V102" s="1"/>
  <c r="T103"/>
  <c r="V103" s="1"/>
  <c r="T105"/>
  <c r="V105" s="1"/>
  <c r="T116"/>
  <c r="V116" s="1"/>
  <c r="T117"/>
  <c r="V117" s="1"/>
  <c r="T121"/>
  <c r="V121" s="1"/>
  <c r="T125"/>
  <c r="V125" s="1"/>
  <c r="T144"/>
  <c r="V144" s="1"/>
  <c r="T145"/>
  <c r="V145" s="1"/>
  <c r="T148"/>
  <c r="V148" s="1"/>
  <c r="T149"/>
  <c r="V149" s="1"/>
  <c r="T153"/>
  <c r="V153" s="1"/>
  <c r="V158"/>
  <c r="T161"/>
  <c r="V161" s="1"/>
  <c r="T162"/>
  <c r="V162" s="1"/>
  <c r="T164"/>
  <c r="V164" s="1"/>
  <c r="T170"/>
  <c r="V170" s="1"/>
  <c r="T172"/>
  <c r="V172" s="1"/>
  <c r="T174"/>
  <c r="V174" s="1"/>
  <c r="T176"/>
  <c r="V176" s="1"/>
  <c r="T187"/>
  <c r="V187" s="1"/>
  <c r="T191"/>
  <c r="V191" s="1"/>
  <c r="L14"/>
  <c r="R14"/>
  <c r="V19"/>
  <c r="O52"/>
  <c r="V41"/>
  <c r="V160"/>
  <c r="T64"/>
  <c r="V64" s="1"/>
  <c r="I72"/>
  <c r="T8" i="46"/>
  <c r="T27" i="47"/>
  <c r="V27" s="1"/>
  <c r="T20"/>
  <c r="V20" s="1"/>
  <c r="N198"/>
  <c r="Q198"/>
  <c r="T13"/>
  <c r="V13" s="1"/>
  <c r="T9"/>
  <c r="V9" s="1"/>
  <c r="T8"/>
  <c r="V8" s="1"/>
  <c r="T11" i="46"/>
  <c r="V11" s="1"/>
  <c r="V12" s="1"/>
  <c r="T37" i="47"/>
  <c r="V37" s="1"/>
  <c r="V38" s="1"/>
  <c r="T17"/>
  <c r="V17" s="1"/>
  <c r="T22"/>
  <c r="V22" s="1"/>
  <c r="T15"/>
  <c r="V15" s="1"/>
  <c r="I14"/>
  <c r="F28"/>
  <c r="L28"/>
  <c r="R28"/>
  <c r="H198"/>
  <c r="K198"/>
  <c r="L158"/>
  <c r="L88"/>
  <c r="S88"/>
  <c r="S72"/>
  <c r="L61"/>
  <c r="S61"/>
  <c r="S38"/>
  <c r="S36"/>
  <c r="U28"/>
  <c r="U198" s="1"/>
  <c r="I28"/>
  <c r="H34" i="46"/>
  <c r="N34"/>
  <c r="I7"/>
  <c r="L34"/>
  <c r="O34"/>
  <c r="R34"/>
  <c r="K34"/>
  <c r="Q34"/>
  <c r="S34"/>
  <c r="U34"/>
  <c r="V3"/>
  <c r="R12" i="45"/>
  <c r="R13" s="1"/>
  <c r="O12"/>
  <c r="O13" s="1"/>
  <c r="L12"/>
  <c r="L13" s="1"/>
  <c r="T3"/>
  <c r="V3" s="1"/>
  <c r="U12"/>
  <c r="U13" s="1"/>
  <c r="V194" i="47" l="1"/>
  <c r="V91"/>
  <c r="I34" i="46"/>
  <c r="T36" i="47"/>
  <c r="R198"/>
  <c r="T79"/>
  <c r="V188"/>
  <c r="T158"/>
  <c r="T91"/>
  <c r="T28"/>
  <c r="V195"/>
  <c r="V197" s="1"/>
  <c r="T197"/>
  <c r="T38"/>
  <c r="T33" i="46"/>
  <c r="T7"/>
  <c r="F198" i="47"/>
  <c r="V8" i="46"/>
  <c r="V10" s="1"/>
  <c r="T10"/>
  <c r="V168" i="47"/>
  <c r="V147"/>
  <c r="V122"/>
  <c r="V36"/>
  <c r="V21" i="46"/>
  <c r="V23" s="1"/>
  <c r="T23"/>
  <c r="V24"/>
  <c r="V27" s="1"/>
  <c r="T27"/>
  <c r="V13"/>
  <c r="V20" s="1"/>
  <c r="T20"/>
  <c r="V52" i="47"/>
  <c r="V108"/>
  <c r="V115" s="1"/>
  <c r="T115"/>
  <c r="T14"/>
  <c r="V88"/>
  <c r="V143"/>
  <c r="V61"/>
  <c r="T31" i="46"/>
  <c r="V107" i="47"/>
  <c r="T188"/>
  <c r="V154"/>
  <c r="I198"/>
  <c r="T61"/>
  <c r="T88"/>
  <c r="T101"/>
  <c r="V72"/>
  <c r="O198"/>
  <c r="T194"/>
  <c r="V101"/>
  <c r="V79"/>
  <c r="T72"/>
  <c r="T107"/>
  <c r="T147"/>
  <c r="T168"/>
  <c r="L198"/>
  <c r="T52"/>
  <c r="T154"/>
  <c r="T122"/>
  <c r="T143"/>
  <c r="T177"/>
  <c r="T160"/>
  <c r="S198"/>
  <c r="V34" i="46"/>
  <c r="V14" i="47"/>
  <c r="T12" i="46"/>
  <c r="V177" i="47"/>
  <c r="V28"/>
  <c r="T12" i="45"/>
  <c r="T13" s="1"/>
  <c r="T34" i="46" l="1"/>
  <c r="T198" i="47"/>
  <c r="V198"/>
  <c r="V12" i="45"/>
  <c r="V13" s="1"/>
  <c r="S13" i="44" l="1"/>
  <c r="Q13"/>
  <c r="N13"/>
  <c r="K13"/>
  <c r="H13"/>
  <c r="E13"/>
  <c r="U13"/>
  <c r="R12"/>
  <c r="R13" s="1"/>
  <c r="O12"/>
  <c r="O13" s="1"/>
  <c r="L12"/>
  <c r="L13" s="1"/>
  <c r="I12"/>
  <c r="F12"/>
  <c r="F13" s="1"/>
  <c r="Q11"/>
  <c r="N11"/>
  <c r="K11"/>
  <c r="H11"/>
  <c r="E11"/>
  <c r="S11"/>
  <c r="R10"/>
  <c r="R11" s="1"/>
  <c r="O10"/>
  <c r="O11" s="1"/>
  <c r="L10"/>
  <c r="L11" s="1"/>
  <c r="I10"/>
  <c r="F10"/>
  <c r="F11" s="1"/>
  <c r="S9"/>
  <c r="Q9"/>
  <c r="N9"/>
  <c r="K9"/>
  <c r="H9"/>
  <c r="E9"/>
  <c r="U9"/>
  <c r="R8"/>
  <c r="R9" s="1"/>
  <c r="O8"/>
  <c r="O9" s="1"/>
  <c r="L8"/>
  <c r="L9" s="1"/>
  <c r="I8"/>
  <c r="F8"/>
  <c r="F9" s="1"/>
  <c r="Q23"/>
  <c r="N23"/>
  <c r="K23"/>
  <c r="H23"/>
  <c r="E23"/>
  <c r="S22"/>
  <c r="S23" s="1"/>
  <c r="R22"/>
  <c r="R23" s="1"/>
  <c r="O22"/>
  <c r="O23" s="1"/>
  <c r="L22"/>
  <c r="L23" s="1"/>
  <c r="I22"/>
  <c r="I23" s="1"/>
  <c r="F22"/>
  <c r="F23" s="1"/>
  <c r="Q21"/>
  <c r="N21"/>
  <c r="K21"/>
  <c r="H21"/>
  <c r="E21"/>
  <c r="S20"/>
  <c r="S21" s="1"/>
  <c r="R20"/>
  <c r="R21" s="1"/>
  <c r="O20"/>
  <c r="O21" s="1"/>
  <c r="L20"/>
  <c r="L21" s="1"/>
  <c r="I20"/>
  <c r="I21" s="1"/>
  <c r="F20"/>
  <c r="F21" s="1"/>
  <c r="Q15"/>
  <c r="N15"/>
  <c r="K15"/>
  <c r="H15"/>
  <c r="E15"/>
  <c r="S15"/>
  <c r="R14"/>
  <c r="R15" s="1"/>
  <c r="O14"/>
  <c r="O15" s="1"/>
  <c r="L14"/>
  <c r="L15" s="1"/>
  <c r="I14"/>
  <c r="F14"/>
  <c r="F15" s="1"/>
  <c r="Q7"/>
  <c r="N7"/>
  <c r="K7"/>
  <c r="H7"/>
  <c r="E7"/>
  <c r="S7"/>
  <c r="R6"/>
  <c r="R7" s="1"/>
  <c r="O6"/>
  <c r="O7" s="1"/>
  <c r="L6"/>
  <c r="L7" s="1"/>
  <c r="I6"/>
  <c r="F6"/>
  <c r="F7" s="1"/>
  <c r="S3"/>
  <c r="U3" s="1"/>
  <c r="R3"/>
  <c r="O3"/>
  <c r="L3"/>
  <c r="I3"/>
  <c r="F3"/>
  <c r="P1"/>
  <c r="U2" s="1"/>
  <c r="U75" i="43"/>
  <c r="R74"/>
  <c r="O74"/>
  <c r="L74"/>
  <c r="I74"/>
  <c r="F74"/>
  <c r="R72"/>
  <c r="O72"/>
  <c r="L72"/>
  <c r="I72"/>
  <c r="F72"/>
  <c r="R68"/>
  <c r="O68"/>
  <c r="L68"/>
  <c r="I68"/>
  <c r="F68"/>
  <c r="R67"/>
  <c r="O67"/>
  <c r="L67"/>
  <c r="I67"/>
  <c r="F67"/>
  <c r="R66"/>
  <c r="O66"/>
  <c r="L66"/>
  <c r="I66"/>
  <c r="F66"/>
  <c r="U73"/>
  <c r="R65"/>
  <c r="O65"/>
  <c r="L65"/>
  <c r="I65"/>
  <c r="F65"/>
  <c r="R63"/>
  <c r="O63"/>
  <c r="L63"/>
  <c r="I63"/>
  <c r="F63"/>
  <c r="R56"/>
  <c r="O56"/>
  <c r="L56"/>
  <c r="I56"/>
  <c r="F56"/>
  <c r="R55"/>
  <c r="O55"/>
  <c r="L55"/>
  <c r="I55"/>
  <c r="F55"/>
  <c r="R54"/>
  <c r="O54"/>
  <c r="L54"/>
  <c r="I54"/>
  <c r="F54"/>
  <c r="R53"/>
  <c r="O53"/>
  <c r="L53"/>
  <c r="I53"/>
  <c r="F53"/>
  <c r="R52"/>
  <c r="O52"/>
  <c r="L52"/>
  <c r="I52"/>
  <c r="F52"/>
  <c r="U51"/>
  <c r="R50"/>
  <c r="O50"/>
  <c r="O51" s="1"/>
  <c r="L50"/>
  <c r="L51" s="1"/>
  <c r="I50"/>
  <c r="F50"/>
  <c r="F51" s="1"/>
  <c r="R48"/>
  <c r="O48"/>
  <c r="L48"/>
  <c r="I48"/>
  <c r="F48"/>
  <c r="R47"/>
  <c r="O47"/>
  <c r="L47"/>
  <c r="I47"/>
  <c r="F47"/>
  <c r="R46"/>
  <c r="O46"/>
  <c r="L46"/>
  <c r="I46"/>
  <c r="F46"/>
  <c r="R45"/>
  <c r="O45"/>
  <c r="L45"/>
  <c r="I45"/>
  <c r="F45"/>
  <c r="R43"/>
  <c r="O43"/>
  <c r="L43"/>
  <c r="I43"/>
  <c r="F43"/>
  <c r="R38"/>
  <c r="O38"/>
  <c r="L38"/>
  <c r="I38"/>
  <c r="F38"/>
  <c r="R37"/>
  <c r="O37"/>
  <c r="L37"/>
  <c r="I37"/>
  <c r="F37"/>
  <c r="R36"/>
  <c r="O36"/>
  <c r="L36"/>
  <c r="I36"/>
  <c r="F36"/>
  <c r="R35"/>
  <c r="O35"/>
  <c r="L35"/>
  <c r="I35"/>
  <c r="F35"/>
  <c r="R34"/>
  <c r="O34"/>
  <c r="L34"/>
  <c r="I34"/>
  <c r="F34"/>
  <c r="R33"/>
  <c r="O33"/>
  <c r="L33"/>
  <c r="I33"/>
  <c r="F33"/>
  <c r="R32"/>
  <c r="O32"/>
  <c r="L32"/>
  <c r="I32"/>
  <c r="F32"/>
  <c r="R31"/>
  <c r="O31"/>
  <c r="L31"/>
  <c r="I31"/>
  <c r="F31"/>
  <c r="R30"/>
  <c r="O30"/>
  <c r="L30"/>
  <c r="I30"/>
  <c r="F30"/>
  <c r="U44"/>
  <c r="R29"/>
  <c r="O29"/>
  <c r="L29"/>
  <c r="I29"/>
  <c r="F29"/>
  <c r="R27"/>
  <c r="O27"/>
  <c r="L27"/>
  <c r="I27"/>
  <c r="F27"/>
  <c r="R22"/>
  <c r="O22"/>
  <c r="L22"/>
  <c r="I22"/>
  <c r="F22"/>
  <c r="R21"/>
  <c r="O21"/>
  <c r="L21"/>
  <c r="I21"/>
  <c r="F21"/>
  <c r="R20"/>
  <c r="O20"/>
  <c r="L20"/>
  <c r="I20"/>
  <c r="F20"/>
  <c r="R19"/>
  <c r="O19"/>
  <c r="L19"/>
  <c r="I19"/>
  <c r="F19"/>
  <c r="R18"/>
  <c r="O18"/>
  <c r="L18"/>
  <c r="I18"/>
  <c r="F18"/>
  <c r="R17"/>
  <c r="O17"/>
  <c r="L17"/>
  <c r="I17"/>
  <c r="F17"/>
  <c r="R16"/>
  <c r="O16"/>
  <c r="L16"/>
  <c r="I16"/>
  <c r="F16"/>
  <c r="S28"/>
  <c r="R15"/>
  <c r="O15"/>
  <c r="L15"/>
  <c r="I15"/>
  <c r="F15"/>
  <c r="R13"/>
  <c r="O13"/>
  <c r="L13"/>
  <c r="I13"/>
  <c r="F13"/>
  <c r="R10"/>
  <c r="O10"/>
  <c r="L10"/>
  <c r="I10"/>
  <c r="F10"/>
  <c r="R9"/>
  <c r="O9"/>
  <c r="L9"/>
  <c r="I9"/>
  <c r="F9"/>
  <c r="R8"/>
  <c r="O8"/>
  <c r="L8"/>
  <c r="I8"/>
  <c r="F8"/>
  <c r="R7"/>
  <c r="O7"/>
  <c r="L7"/>
  <c r="I7"/>
  <c r="F7"/>
  <c r="R6"/>
  <c r="O6"/>
  <c r="L6"/>
  <c r="I6"/>
  <c r="F6"/>
  <c r="S64"/>
  <c r="R75"/>
  <c r="Q75"/>
  <c r="Q73"/>
  <c r="Q64"/>
  <c r="R51"/>
  <c r="Q51"/>
  <c r="Q49"/>
  <c r="Q44"/>
  <c r="Q28"/>
  <c r="Q14"/>
  <c r="O75"/>
  <c r="N75"/>
  <c r="N73"/>
  <c r="N64"/>
  <c r="N51"/>
  <c r="N49"/>
  <c r="N44"/>
  <c r="N28"/>
  <c r="N14"/>
  <c r="L75"/>
  <c r="K75"/>
  <c r="K73"/>
  <c r="K64"/>
  <c r="K51"/>
  <c r="K49"/>
  <c r="K44"/>
  <c r="K28"/>
  <c r="K14"/>
  <c r="H75"/>
  <c r="I73"/>
  <c r="H73"/>
  <c r="H64"/>
  <c r="H51"/>
  <c r="H49"/>
  <c r="H44"/>
  <c r="H28"/>
  <c r="H14"/>
  <c r="F75"/>
  <c r="E75"/>
  <c r="F73"/>
  <c r="E73"/>
  <c r="E64"/>
  <c r="E51"/>
  <c r="E49"/>
  <c r="E44"/>
  <c r="E28"/>
  <c r="E14"/>
  <c r="S3"/>
  <c r="U3" s="1"/>
  <c r="R3"/>
  <c r="O3"/>
  <c r="L3"/>
  <c r="I3"/>
  <c r="F3"/>
  <c r="P1"/>
  <c r="U2" s="1"/>
  <c r="L44" l="1"/>
  <c r="R49"/>
  <c r="F49"/>
  <c r="F64"/>
  <c r="L64"/>
  <c r="O28"/>
  <c r="O64"/>
  <c r="T6"/>
  <c r="V6" s="1"/>
  <c r="T8"/>
  <c r="V8" s="1"/>
  <c r="T10"/>
  <c r="V10" s="1"/>
  <c r="T16"/>
  <c r="V16" s="1"/>
  <c r="T20"/>
  <c r="V20" s="1"/>
  <c r="T29"/>
  <c r="V29" s="1"/>
  <c r="O44"/>
  <c r="T38"/>
  <c r="V38" s="1"/>
  <c r="T52"/>
  <c r="V52" s="1"/>
  <c r="T54"/>
  <c r="V54" s="1"/>
  <c r="T56"/>
  <c r="V56" s="1"/>
  <c r="T66"/>
  <c r="V66" s="1"/>
  <c r="T68"/>
  <c r="V68" s="1"/>
  <c r="O16" i="44"/>
  <c r="S16"/>
  <c r="H16"/>
  <c r="N16"/>
  <c r="I44" i="43"/>
  <c r="F14"/>
  <c r="L14"/>
  <c r="R14"/>
  <c r="T7"/>
  <c r="V7" s="1"/>
  <c r="O14"/>
  <c r="T9"/>
  <c r="V9" s="1"/>
  <c r="T13"/>
  <c r="V13" s="1"/>
  <c r="T17"/>
  <c r="V17" s="1"/>
  <c r="T18"/>
  <c r="V18" s="1"/>
  <c r="F44"/>
  <c r="T32"/>
  <c r="V32" s="1"/>
  <c r="L49"/>
  <c r="T45"/>
  <c r="V45" s="1"/>
  <c r="R64"/>
  <c r="T53"/>
  <c r="V53" s="1"/>
  <c r="T55"/>
  <c r="V55" s="1"/>
  <c r="T63"/>
  <c r="V63" s="1"/>
  <c r="R73"/>
  <c r="T67"/>
  <c r="V67" s="1"/>
  <c r="F16" i="44"/>
  <c r="L16"/>
  <c r="R16"/>
  <c r="E16"/>
  <c r="K16"/>
  <c r="Q16"/>
  <c r="T50" i="43"/>
  <c r="V50" s="1"/>
  <c r="T74"/>
  <c r="V74" s="1"/>
  <c r="V75" s="1"/>
  <c r="T15"/>
  <c r="V15" s="1"/>
  <c r="T46"/>
  <c r="V46" s="1"/>
  <c r="T48"/>
  <c r="V48" s="1"/>
  <c r="T10" i="44"/>
  <c r="V10" s="1"/>
  <c r="V11" s="1"/>
  <c r="I15"/>
  <c r="T14"/>
  <c r="V14" s="1"/>
  <c r="I13"/>
  <c r="T12"/>
  <c r="V12" s="1"/>
  <c r="V13" s="1"/>
  <c r="I9"/>
  <c r="T8"/>
  <c r="V8" s="1"/>
  <c r="I7"/>
  <c r="T6"/>
  <c r="V6" s="1"/>
  <c r="R28" i="43"/>
  <c r="T34"/>
  <c r="V34" s="1"/>
  <c r="T37"/>
  <c r="V37" s="1"/>
  <c r="T43"/>
  <c r="V43" s="1"/>
  <c r="R44"/>
  <c r="T33"/>
  <c r="V33" s="1"/>
  <c r="T22"/>
  <c r="V22" s="1"/>
  <c r="T21"/>
  <c r="V21" s="1"/>
  <c r="T47"/>
  <c r="V47" s="1"/>
  <c r="L28"/>
  <c r="T19"/>
  <c r="V19" s="1"/>
  <c r="T27"/>
  <c r="V27" s="1"/>
  <c r="Q76"/>
  <c r="T36"/>
  <c r="V36" s="1"/>
  <c r="T35"/>
  <c r="V35" s="1"/>
  <c r="T31"/>
  <c r="V31" s="1"/>
  <c r="T30"/>
  <c r="V30" s="1"/>
  <c r="I28"/>
  <c r="O73"/>
  <c r="T65"/>
  <c r="V65" s="1"/>
  <c r="T72"/>
  <c r="V72" s="1"/>
  <c r="O49"/>
  <c r="V51"/>
  <c r="N76"/>
  <c r="E76"/>
  <c r="K76"/>
  <c r="U14"/>
  <c r="S14"/>
  <c r="U64"/>
  <c r="U49"/>
  <c r="H76"/>
  <c r="S49"/>
  <c r="U11" i="44"/>
  <c r="I11"/>
  <c r="T3"/>
  <c r="V3" s="1"/>
  <c r="T7"/>
  <c r="U15"/>
  <c r="T20"/>
  <c r="T21" s="1"/>
  <c r="U22"/>
  <c r="U23" s="1"/>
  <c r="U7"/>
  <c r="U20"/>
  <c r="U21" s="1"/>
  <c r="T22"/>
  <c r="T23" s="1"/>
  <c r="I75" i="43"/>
  <c r="S75"/>
  <c r="L73"/>
  <c r="S73"/>
  <c r="I64"/>
  <c r="I51"/>
  <c r="S51"/>
  <c r="I49"/>
  <c r="S44"/>
  <c r="U28"/>
  <c r="F28"/>
  <c r="I14"/>
  <c r="T3"/>
  <c r="V3" s="1"/>
  <c r="Q14" i="42"/>
  <c r="N14"/>
  <c r="K14"/>
  <c r="H14"/>
  <c r="E14"/>
  <c r="R13"/>
  <c r="O13"/>
  <c r="L13"/>
  <c r="I13"/>
  <c r="F13"/>
  <c r="S14"/>
  <c r="R12"/>
  <c r="O12"/>
  <c r="O14" s="1"/>
  <c r="L12"/>
  <c r="I12"/>
  <c r="F12"/>
  <c r="Q11"/>
  <c r="N11"/>
  <c r="K11"/>
  <c r="H11"/>
  <c r="E11"/>
  <c r="R10"/>
  <c r="O10"/>
  <c r="L10"/>
  <c r="I10"/>
  <c r="F10"/>
  <c r="S11"/>
  <c r="R9"/>
  <c r="O9"/>
  <c r="O11" s="1"/>
  <c r="L9"/>
  <c r="I9"/>
  <c r="F9"/>
  <c r="R6"/>
  <c r="R8" s="1"/>
  <c r="O6"/>
  <c r="O8" s="1"/>
  <c r="L6"/>
  <c r="L8" s="1"/>
  <c r="I6"/>
  <c r="F6"/>
  <c r="F8" s="1"/>
  <c r="S3"/>
  <c r="U3" s="1"/>
  <c r="R3"/>
  <c r="O3"/>
  <c r="L3"/>
  <c r="I3"/>
  <c r="F3"/>
  <c r="P1"/>
  <c r="U2" s="1"/>
  <c r="R8" i="41"/>
  <c r="R16" s="1"/>
  <c r="O8"/>
  <c r="O16" s="1"/>
  <c r="L8"/>
  <c r="L16" s="1"/>
  <c r="I8"/>
  <c r="F8"/>
  <c r="Q7"/>
  <c r="Q17" s="1"/>
  <c r="N7"/>
  <c r="N17" s="1"/>
  <c r="K7"/>
  <c r="K17" s="1"/>
  <c r="H7"/>
  <c r="H17" s="1"/>
  <c r="E7"/>
  <c r="E17" s="1"/>
  <c r="S7"/>
  <c r="R6"/>
  <c r="R7" s="1"/>
  <c r="O6"/>
  <c r="O7" s="1"/>
  <c r="L6"/>
  <c r="L7" s="1"/>
  <c r="I6"/>
  <c r="F6"/>
  <c r="F7" s="1"/>
  <c r="S3"/>
  <c r="U3" s="1"/>
  <c r="R3"/>
  <c r="O3"/>
  <c r="L3"/>
  <c r="I3"/>
  <c r="F3"/>
  <c r="P1"/>
  <c r="U2" s="1"/>
  <c r="S16" i="40"/>
  <c r="R10"/>
  <c r="R16" s="1"/>
  <c r="O10"/>
  <c r="O16" s="1"/>
  <c r="L10"/>
  <c r="L16" s="1"/>
  <c r="I10"/>
  <c r="F10"/>
  <c r="F16" s="1"/>
  <c r="S20"/>
  <c r="R17"/>
  <c r="R20" s="1"/>
  <c r="O17"/>
  <c r="O20" s="1"/>
  <c r="L17"/>
  <c r="L20" s="1"/>
  <c r="I17"/>
  <c r="F17"/>
  <c r="F20" s="1"/>
  <c r="Q9"/>
  <c r="N9"/>
  <c r="K9"/>
  <c r="H9"/>
  <c r="E9"/>
  <c r="S9"/>
  <c r="R8"/>
  <c r="R9" s="1"/>
  <c r="O8"/>
  <c r="O9" s="1"/>
  <c r="L8"/>
  <c r="L9" s="1"/>
  <c r="I8"/>
  <c r="F8"/>
  <c r="F9" s="1"/>
  <c r="Q7"/>
  <c r="N7"/>
  <c r="K7"/>
  <c r="H7"/>
  <c r="E7"/>
  <c r="S7"/>
  <c r="R6"/>
  <c r="R7" s="1"/>
  <c r="O6"/>
  <c r="O7" s="1"/>
  <c r="L6"/>
  <c r="L7" s="1"/>
  <c r="I6"/>
  <c r="F6"/>
  <c r="F7" s="1"/>
  <c r="S3"/>
  <c r="U3" s="1"/>
  <c r="R3"/>
  <c r="O3"/>
  <c r="L3"/>
  <c r="I3"/>
  <c r="F3"/>
  <c r="P1"/>
  <c r="U2" s="1"/>
  <c r="V44" i="43" l="1"/>
  <c r="L76"/>
  <c r="T13" i="44"/>
  <c r="E21" i="40"/>
  <c r="O17" i="41"/>
  <c r="F76" i="43"/>
  <c r="T15" i="44"/>
  <c r="T9"/>
  <c r="V49" i="43"/>
  <c r="R76"/>
  <c r="T73"/>
  <c r="T9" i="42"/>
  <c r="V9" s="1"/>
  <c r="T10"/>
  <c r="V10" s="1"/>
  <c r="U16" i="44"/>
  <c r="O76" i="43"/>
  <c r="V28"/>
  <c r="T75"/>
  <c r="T51"/>
  <c r="K21" i="40"/>
  <c r="Q21"/>
  <c r="H21"/>
  <c r="N21"/>
  <c r="L17" i="41"/>
  <c r="R17"/>
  <c r="I9" i="40"/>
  <c r="T8"/>
  <c r="V8" s="1"/>
  <c r="I7"/>
  <c r="T6"/>
  <c r="T7" s="1"/>
  <c r="I20"/>
  <c r="T17"/>
  <c r="V17" s="1"/>
  <c r="I16"/>
  <c r="T10"/>
  <c r="V10" s="1"/>
  <c r="I16" i="41"/>
  <c r="T8"/>
  <c r="T16" s="1"/>
  <c r="I8" i="42"/>
  <c r="T6"/>
  <c r="L21" i="40"/>
  <c r="T3"/>
  <c r="O21"/>
  <c r="T3" i="42"/>
  <c r="V3" s="1"/>
  <c r="N15"/>
  <c r="F16" i="41"/>
  <c r="F17" s="1"/>
  <c r="I14" i="42"/>
  <c r="T12"/>
  <c r="V12" s="1"/>
  <c r="F21" i="40"/>
  <c r="R21"/>
  <c r="K15" i="42"/>
  <c r="Q15"/>
  <c r="I16" i="44"/>
  <c r="T11"/>
  <c r="T13" i="42"/>
  <c r="V13" s="1"/>
  <c r="T28" i="43"/>
  <c r="T49"/>
  <c r="T44"/>
  <c r="I7" i="41"/>
  <c r="I17" s="1"/>
  <c r="T6"/>
  <c r="V6" s="1"/>
  <c r="H15" i="42"/>
  <c r="U76" i="43"/>
  <c r="S17" i="41"/>
  <c r="V73" i="43"/>
  <c r="S21" i="40"/>
  <c r="S76" i="43"/>
  <c r="T14"/>
  <c r="I76"/>
  <c r="V14"/>
  <c r="T64"/>
  <c r="V64"/>
  <c r="V7" i="44"/>
  <c r="V9"/>
  <c r="V22"/>
  <c r="V23" s="1"/>
  <c r="V15"/>
  <c r="V20"/>
  <c r="V21" s="1"/>
  <c r="F14" i="42"/>
  <c r="L14"/>
  <c r="R14"/>
  <c r="F11"/>
  <c r="L11"/>
  <c r="R11"/>
  <c r="E15"/>
  <c r="O15"/>
  <c r="S15"/>
  <c r="U11"/>
  <c r="I11"/>
  <c r="U14"/>
  <c r="T3" i="41"/>
  <c r="V3" s="1"/>
  <c r="U7"/>
  <c r="T16" i="40"/>
  <c r="U16"/>
  <c r="V3"/>
  <c r="U9"/>
  <c r="U6"/>
  <c r="U7" s="1"/>
  <c r="T14" i="42" l="1"/>
  <c r="I15"/>
  <c r="I21" i="40"/>
  <c r="T16" i="44"/>
  <c r="T9" i="40"/>
  <c r="T20"/>
  <c r="T7" i="41"/>
  <c r="T11" i="42"/>
  <c r="R15"/>
  <c r="F15"/>
  <c r="V16" i="44"/>
  <c r="V8" i="41"/>
  <c r="V16" s="1"/>
  <c r="V6" i="42"/>
  <c r="V8" s="1"/>
  <c r="T8"/>
  <c r="T15" s="1"/>
  <c r="T17" i="41"/>
  <c r="U17"/>
  <c r="V16" i="40"/>
  <c r="U20"/>
  <c r="U21" s="1"/>
  <c r="T76" i="43"/>
  <c r="V76"/>
  <c r="L15" i="42"/>
  <c r="V11"/>
  <c r="U15"/>
  <c r="V14"/>
  <c r="V7" i="41"/>
  <c r="V20" i="40"/>
  <c r="V9"/>
  <c r="V6"/>
  <c r="V7" s="1"/>
  <c r="T21" l="1"/>
  <c r="V17" i="41"/>
  <c r="V21" i="40"/>
  <c r="V15" i="42"/>
  <c r="K37" i="29" l="1"/>
  <c r="Q24" i="30"/>
  <c r="N24"/>
  <c r="K24"/>
  <c r="H24"/>
  <c r="E24"/>
  <c r="S23"/>
  <c r="U23" s="1"/>
  <c r="R23"/>
  <c r="O23"/>
  <c r="L23"/>
  <c r="I23"/>
  <c r="F23"/>
  <c r="S22"/>
  <c r="U22" s="1"/>
  <c r="R22"/>
  <c r="O22"/>
  <c r="L22"/>
  <c r="I22"/>
  <c r="F22"/>
  <c r="S345" i="28"/>
  <c r="U345" s="1"/>
  <c r="R345"/>
  <c r="O345"/>
  <c r="L345"/>
  <c r="I345"/>
  <c r="F345"/>
  <c r="S344"/>
  <c r="U344" s="1"/>
  <c r="R344"/>
  <c r="O344"/>
  <c r="L344"/>
  <c r="I344"/>
  <c r="F344"/>
  <c r="S343"/>
  <c r="U343" s="1"/>
  <c r="R343"/>
  <c r="O343"/>
  <c r="L343"/>
  <c r="I343"/>
  <c r="F343"/>
  <c r="S342"/>
  <c r="U342" s="1"/>
  <c r="R342"/>
  <c r="O342"/>
  <c r="L342"/>
  <c r="I342"/>
  <c r="F342"/>
  <c r="S341"/>
  <c r="U341" s="1"/>
  <c r="R341"/>
  <c r="O341"/>
  <c r="L341"/>
  <c r="I341"/>
  <c r="F341"/>
  <c r="S161"/>
  <c r="U161" s="1"/>
  <c r="R161"/>
  <c r="O161"/>
  <c r="L161"/>
  <c r="I161"/>
  <c r="F161"/>
  <c r="S160"/>
  <c r="U160" s="1"/>
  <c r="R160"/>
  <c r="O160"/>
  <c r="L160"/>
  <c r="I160"/>
  <c r="F160"/>
  <c r="S159"/>
  <c r="U159" s="1"/>
  <c r="R159"/>
  <c r="O159"/>
  <c r="L159"/>
  <c r="I159"/>
  <c r="F159"/>
  <c r="S158"/>
  <c r="U158" s="1"/>
  <c r="R158"/>
  <c r="O158"/>
  <c r="L158"/>
  <c r="I158"/>
  <c r="F158"/>
  <c r="S251"/>
  <c r="U251" s="1"/>
  <c r="R251"/>
  <c r="O251"/>
  <c r="L251"/>
  <c r="I251"/>
  <c r="F251"/>
  <c r="S250"/>
  <c r="U250" s="1"/>
  <c r="R250"/>
  <c r="O250"/>
  <c r="L250"/>
  <c r="I250"/>
  <c r="F250"/>
  <c r="H247"/>
  <c r="S63" i="32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60"/>
  <c r="U60" s="1"/>
  <c r="R60"/>
  <c r="O60"/>
  <c r="L60"/>
  <c r="I60"/>
  <c r="F60"/>
  <c r="S59"/>
  <c r="U59" s="1"/>
  <c r="R59"/>
  <c r="O59"/>
  <c r="L59"/>
  <c r="I59"/>
  <c r="F59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Q65"/>
  <c r="N65"/>
  <c r="K65"/>
  <c r="H65"/>
  <c r="E65"/>
  <c r="S64"/>
  <c r="U64" s="1"/>
  <c r="R64"/>
  <c r="O64"/>
  <c r="L64"/>
  <c r="I64"/>
  <c r="F64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45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Q78"/>
  <c r="N78"/>
  <c r="K78"/>
  <c r="H78"/>
  <c r="E78"/>
  <c r="S76"/>
  <c r="U76" s="1"/>
  <c r="R76"/>
  <c r="O76"/>
  <c r="L76"/>
  <c r="I76"/>
  <c r="F76"/>
  <c r="S75"/>
  <c r="U75" s="1"/>
  <c r="R75"/>
  <c r="O75"/>
  <c r="L75"/>
  <c r="I75"/>
  <c r="F75"/>
  <c r="S74"/>
  <c r="U74" s="1"/>
  <c r="R74"/>
  <c r="O74"/>
  <c r="L74"/>
  <c r="I74"/>
  <c r="F74"/>
  <c r="S77"/>
  <c r="U77" s="1"/>
  <c r="R77"/>
  <c r="O77"/>
  <c r="L77"/>
  <c r="I77"/>
  <c r="F77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S67"/>
  <c r="U67" s="1"/>
  <c r="R67"/>
  <c r="O67"/>
  <c r="L67"/>
  <c r="I67"/>
  <c r="F67"/>
  <c r="H33"/>
  <c r="Q33"/>
  <c r="N33"/>
  <c r="K33"/>
  <c r="E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Q41"/>
  <c r="N41"/>
  <c r="K41"/>
  <c r="H41"/>
  <c r="E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Q25"/>
  <c r="N25"/>
  <c r="K25"/>
  <c r="H25"/>
  <c r="E25"/>
  <c r="S24"/>
  <c r="U24" s="1"/>
  <c r="R24"/>
  <c r="O24"/>
  <c r="L24"/>
  <c r="I24"/>
  <c r="F24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Q14"/>
  <c r="N14"/>
  <c r="K14"/>
  <c r="H14"/>
  <c r="E14"/>
  <c r="S13"/>
  <c r="U13" s="1"/>
  <c r="R13"/>
  <c r="O13"/>
  <c r="L13"/>
  <c r="I13"/>
  <c r="S12"/>
  <c r="U12" s="1"/>
  <c r="R12"/>
  <c r="O12"/>
  <c r="L12"/>
  <c r="I12"/>
  <c r="S11"/>
  <c r="U11" s="1"/>
  <c r="R11"/>
  <c r="O11"/>
  <c r="L11"/>
  <c r="I11"/>
  <c r="S10"/>
  <c r="U10" s="1"/>
  <c r="R10"/>
  <c r="O10"/>
  <c r="L10"/>
  <c r="I10"/>
  <c r="S9"/>
  <c r="U9" s="1"/>
  <c r="R9"/>
  <c r="O9"/>
  <c r="L9"/>
  <c r="I9"/>
  <c r="S8"/>
  <c r="U8" s="1"/>
  <c r="R8"/>
  <c r="O8"/>
  <c r="L8"/>
  <c r="I8"/>
  <c r="S7"/>
  <c r="U7" s="1"/>
  <c r="R7"/>
  <c r="O7"/>
  <c r="L7"/>
  <c r="I7"/>
  <c r="F13"/>
  <c r="F12"/>
  <c r="F11"/>
  <c r="F10"/>
  <c r="F9"/>
  <c r="F8"/>
  <c r="F7"/>
  <c r="H135" i="28"/>
  <c r="T43" i="32" l="1"/>
  <c r="T44"/>
  <c r="V44" s="1"/>
  <c r="T45"/>
  <c r="V45" s="1"/>
  <c r="T341" i="28"/>
  <c r="T12" i="32"/>
  <c r="T50"/>
  <c r="V50" s="1"/>
  <c r="T23" i="30"/>
  <c r="V23" s="1"/>
  <c r="T22" i="32"/>
  <c r="V22" s="1"/>
  <c r="V12"/>
  <c r="T63"/>
  <c r="V63" s="1"/>
  <c r="T9"/>
  <c r="V9" s="1"/>
  <c r="T11"/>
  <c r="V11" s="1"/>
  <c r="T13"/>
  <c r="V13" s="1"/>
  <c r="T23"/>
  <c r="V23" s="1"/>
  <c r="T31"/>
  <c r="V31" s="1"/>
  <c r="T250" i="28"/>
  <c r="V250" s="1"/>
  <c r="T158"/>
  <c r="V158" s="1"/>
  <c r="V341"/>
  <c r="T22" i="30"/>
  <c r="V22" s="1"/>
  <c r="T345" i="28"/>
  <c r="V345" s="1"/>
  <c r="T343"/>
  <c r="T342"/>
  <c r="V342" s="1"/>
  <c r="V343"/>
  <c r="T344"/>
  <c r="V344" s="1"/>
  <c r="T251"/>
  <c r="T161"/>
  <c r="V161" s="1"/>
  <c r="T159"/>
  <c r="V159" s="1"/>
  <c r="T160"/>
  <c r="V160" s="1"/>
  <c r="V251"/>
  <c r="T61" i="32"/>
  <c r="V61" s="1"/>
  <c r="T59"/>
  <c r="V59" s="1"/>
  <c r="T49"/>
  <c r="V49" s="1"/>
  <c r="T48"/>
  <c r="V48" s="1"/>
  <c r="T47"/>
  <c r="V47" s="1"/>
  <c r="T46"/>
  <c r="V46" s="1"/>
  <c r="T62"/>
  <c r="V62" s="1"/>
  <c r="T60"/>
  <c r="V60" s="1"/>
  <c r="T51"/>
  <c r="T52"/>
  <c r="V52" s="1"/>
  <c r="T53"/>
  <c r="V53" s="1"/>
  <c r="T54"/>
  <c r="V54" s="1"/>
  <c r="T55"/>
  <c r="V55" s="1"/>
  <c r="T56"/>
  <c r="V56" s="1"/>
  <c r="T57"/>
  <c r="V57" s="1"/>
  <c r="T58"/>
  <c r="V58" s="1"/>
  <c r="T64"/>
  <c r="V64" s="1"/>
  <c r="V43"/>
  <c r="V51"/>
  <c r="T76"/>
  <c r="V76" s="1"/>
  <c r="T75"/>
  <c r="V75" s="1"/>
  <c r="T74"/>
  <c r="V74" s="1"/>
  <c r="T67"/>
  <c r="T68"/>
  <c r="T69"/>
  <c r="T70"/>
  <c r="V70" s="1"/>
  <c r="T71"/>
  <c r="V71" s="1"/>
  <c r="T72"/>
  <c r="V72" s="1"/>
  <c r="T73"/>
  <c r="V73" s="1"/>
  <c r="T77"/>
  <c r="V77" s="1"/>
  <c r="V67"/>
  <c r="V68"/>
  <c r="V69"/>
  <c r="T29"/>
  <c r="V29" s="1"/>
  <c r="T27"/>
  <c r="T28"/>
  <c r="V28" s="1"/>
  <c r="T30"/>
  <c r="V30" s="1"/>
  <c r="T32"/>
  <c r="V32" s="1"/>
  <c r="T35"/>
  <c r="V35" s="1"/>
  <c r="T36"/>
  <c r="V36" s="1"/>
  <c r="T37"/>
  <c r="V37" s="1"/>
  <c r="T38"/>
  <c r="V38" s="1"/>
  <c r="T39"/>
  <c r="V39" s="1"/>
  <c r="T40"/>
  <c r="V40" s="1"/>
  <c r="T20"/>
  <c r="V20" s="1"/>
  <c r="T21"/>
  <c r="V21" s="1"/>
  <c r="T19"/>
  <c r="V19" s="1"/>
  <c r="T17"/>
  <c r="V17" s="1"/>
  <c r="T16"/>
  <c r="T18"/>
  <c r="V18" s="1"/>
  <c r="T24"/>
  <c r="V24" s="1"/>
  <c r="T10"/>
  <c r="V10" s="1"/>
  <c r="T8"/>
  <c r="V8" s="1"/>
  <c r="T7"/>
  <c r="V27" l="1"/>
  <c r="V16"/>
  <c r="V7"/>
  <c r="S3" i="39" l="1"/>
  <c r="U3" s="1"/>
  <c r="R3"/>
  <c r="O3"/>
  <c r="L3"/>
  <c r="I3"/>
  <c r="F3"/>
  <c r="P1"/>
  <c r="U2" s="1"/>
  <c r="S15" i="38"/>
  <c r="S25" s="1"/>
  <c r="R15"/>
  <c r="R25" s="1"/>
  <c r="O15"/>
  <c r="O25" s="1"/>
  <c r="L15"/>
  <c r="L25" s="1"/>
  <c r="I15"/>
  <c r="I25" s="1"/>
  <c r="F15"/>
  <c r="F25" s="1"/>
  <c r="Q14"/>
  <c r="Q26" s="1"/>
  <c r="N14"/>
  <c r="N26" s="1"/>
  <c r="K14"/>
  <c r="K26" s="1"/>
  <c r="H14"/>
  <c r="E14"/>
  <c r="E26" s="1"/>
  <c r="S13"/>
  <c r="S14" s="1"/>
  <c r="R13"/>
  <c r="R14" s="1"/>
  <c r="O13"/>
  <c r="O14" s="1"/>
  <c r="L13"/>
  <c r="L14" s="1"/>
  <c r="I13"/>
  <c r="F13"/>
  <c r="F14" s="1"/>
  <c r="S6"/>
  <c r="S12" s="1"/>
  <c r="R6"/>
  <c r="R12" s="1"/>
  <c r="O6"/>
  <c r="O12" s="1"/>
  <c r="L6"/>
  <c r="L12" s="1"/>
  <c r="I6"/>
  <c r="I12" s="1"/>
  <c r="F6"/>
  <c r="F12" s="1"/>
  <c r="S3"/>
  <c r="U3" s="1"/>
  <c r="R3"/>
  <c r="O3"/>
  <c r="L3"/>
  <c r="I3"/>
  <c r="F3"/>
  <c r="P1"/>
  <c r="U2" s="1"/>
  <c r="T3" l="1"/>
  <c r="O26"/>
  <c r="T3" i="39"/>
  <c r="V3" s="1"/>
  <c r="F26" i="38"/>
  <c r="L26"/>
  <c r="U15"/>
  <c r="U25" s="1"/>
  <c r="V3"/>
  <c r="R26"/>
  <c r="T13"/>
  <c r="T14" s="1"/>
  <c r="U6"/>
  <c r="U12" s="1"/>
  <c r="S26"/>
  <c r="H26"/>
  <c r="U13"/>
  <c r="U14" s="1"/>
  <c r="T15"/>
  <c r="T25" s="1"/>
  <c r="I14"/>
  <c r="I26" s="1"/>
  <c r="T6"/>
  <c r="Q13" i="37"/>
  <c r="N13"/>
  <c r="K13"/>
  <c r="H13"/>
  <c r="E13"/>
  <c r="S12"/>
  <c r="S13" s="1"/>
  <c r="R12"/>
  <c r="R13" s="1"/>
  <c r="O12"/>
  <c r="O13" s="1"/>
  <c r="L12"/>
  <c r="L13" s="1"/>
  <c r="I12"/>
  <c r="I13" s="1"/>
  <c r="F12"/>
  <c r="F13" s="1"/>
  <c r="Q11"/>
  <c r="N11"/>
  <c r="K11"/>
  <c r="H11"/>
  <c r="E11"/>
  <c r="S10"/>
  <c r="S11" s="1"/>
  <c r="R10"/>
  <c r="R11" s="1"/>
  <c r="O10"/>
  <c r="O11" s="1"/>
  <c r="L10"/>
  <c r="L11" s="1"/>
  <c r="I10"/>
  <c r="I11" s="1"/>
  <c r="F10"/>
  <c r="F11" s="1"/>
  <c r="Q9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N7"/>
  <c r="K7"/>
  <c r="H7"/>
  <c r="E7"/>
  <c r="S6"/>
  <c r="S7" s="1"/>
  <c r="R6"/>
  <c r="R7" s="1"/>
  <c r="O6"/>
  <c r="O7" s="1"/>
  <c r="L6"/>
  <c r="L7" s="1"/>
  <c r="I6"/>
  <c r="I7" s="1"/>
  <c r="F6"/>
  <c r="F7" s="1"/>
  <c r="S3"/>
  <c r="U3" s="1"/>
  <c r="R3"/>
  <c r="O3"/>
  <c r="L3"/>
  <c r="I3"/>
  <c r="F3"/>
  <c r="P1"/>
  <c r="U2" s="1"/>
  <c r="S43" i="36"/>
  <c r="U43" s="1"/>
  <c r="U44" s="1"/>
  <c r="R43"/>
  <c r="O43"/>
  <c r="O44" s="1"/>
  <c r="L43"/>
  <c r="L44" s="1"/>
  <c r="I43"/>
  <c r="F43"/>
  <c r="F44" s="1"/>
  <c r="S41"/>
  <c r="U41" s="1"/>
  <c r="U42" s="1"/>
  <c r="R41"/>
  <c r="O41"/>
  <c r="O42" s="1"/>
  <c r="L41"/>
  <c r="L42" s="1"/>
  <c r="I41"/>
  <c r="F41"/>
  <c r="F42" s="1"/>
  <c r="S39"/>
  <c r="U39" s="1"/>
  <c r="U40" s="1"/>
  <c r="R39"/>
  <c r="O39"/>
  <c r="O40" s="1"/>
  <c r="L39"/>
  <c r="L40" s="1"/>
  <c r="I39"/>
  <c r="F39"/>
  <c r="F40" s="1"/>
  <c r="S26"/>
  <c r="U26" s="1"/>
  <c r="U27" s="1"/>
  <c r="R26"/>
  <c r="O26"/>
  <c r="L26"/>
  <c r="L27" s="1"/>
  <c r="I26"/>
  <c r="F26"/>
  <c r="F27" s="1"/>
  <c r="S24"/>
  <c r="U24" s="1"/>
  <c r="U25" s="1"/>
  <c r="R24"/>
  <c r="R25" s="1"/>
  <c r="O24"/>
  <c r="O25" s="1"/>
  <c r="L24"/>
  <c r="L25" s="1"/>
  <c r="I24"/>
  <c r="F24"/>
  <c r="F25" s="1"/>
  <c r="S22"/>
  <c r="U22" s="1"/>
  <c r="U23" s="1"/>
  <c r="R22"/>
  <c r="R23" s="1"/>
  <c r="O22"/>
  <c r="O23" s="1"/>
  <c r="L22"/>
  <c r="I22"/>
  <c r="F22"/>
  <c r="F23" s="1"/>
  <c r="S20"/>
  <c r="U20" s="1"/>
  <c r="U21" s="1"/>
  <c r="R20"/>
  <c r="R21" s="1"/>
  <c r="O20"/>
  <c r="O21" s="1"/>
  <c r="L20"/>
  <c r="I20"/>
  <c r="F20"/>
  <c r="F21" s="1"/>
  <c r="S37"/>
  <c r="U37" s="1"/>
  <c r="U38" s="1"/>
  <c r="R37"/>
  <c r="R38" s="1"/>
  <c r="O37"/>
  <c r="L37"/>
  <c r="I37"/>
  <c r="F37"/>
  <c r="F38" s="1"/>
  <c r="S35"/>
  <c r="U35" s="1"/>
  <c r="U36" s="1"/>
  <c r="R35"/>
  <c r="R36" s="1"/>
  <c r="O35"/>
  <c r="O36" s="1"/>
  <c r="L35"/>
  <c r="I35"/>
  <c r="F35"/>
  <c r="F36" s="1"/>
  <c r="S33"/>
  <c r="U33" s="1"/>
  <c r="U34" s="1"/>
  <c r="R33"/>
  <c r="R34" s="1"/>
  <c r="O33"/>
  <c r="O34" s="1"/>
  <c r="L33"/>
  <c r="I33"/>
  <c r="F33"/>
  <c r="F34" s="1"/>
  <c r="S18"/>
  <c r="U18" s="1"/>
  <c r="U19" s="1"/>
  <c r="R18"/>
  <c r="R19" s="1"/>
  <c r="O18"/>
  <c r="O19" s="1"/>
  <c r="L18"/>
  <c r="I18"/>
  <c r="F18"/>
  <c r="F19" s="1"/>
  <c r="S16"/>
  <c r="U16" s="1"/>
  <c r="U17" s="1"/>
  <c r="R16"/>
  <c r="R17" s="1"/>
  <c r="O16"/>
  <c r="O17" s="1"/>
  <c r="L16"/>
  <c r="I16"/>
  <c r="F16"/>
  <c r="F17" s="1"/>
  <c r="S14"/>
  <c r="U14" s="1"/>
  <c r="U15" s="1"/>
  <c r="R14"/>
  <c r="R15" s="1"/>
  <c r="O14"/>
  <c r="O15" s="1"/>
  <c r="L14"/>
  <c r="I14"/>
  <c r="I15" s="1"/>
  <c r="F14"/>
  <c r="F15" s="1"/>
  <c r="S12"/>
  <c r="U12" s="1"/>
  <c r="U13" s="1"/>
  <c r="R12"/>
  <c r="R13" s="1"/>
  <c r="O12"/>
  <c r="O13" s="1"/>
  <c r="L12"/>
  <c r="I12"/>
  <c r="I13" s="1"/>
  <c r="F12"/>
  <c r="F13" s="1"/>
  <c r="S10"/>
  <c r="U10" s="1"/>
  <c r="U11" s="1"/>
  <c r="R10"/>
  <c r="O10"/>
  <c r="O11" s="1"/>
  <c r="L10"/>
  <c r="I10"/>
  <c r="F10"/>
  <c r="F11" s="1"/>
  <c r="S8"/>
  <c r="U8" s="1"/>
  <c r="U9" s="1"/>
  <c r="R8"/>
  <c r="O8"/>
  <c r="O9" s="1"/>
  <c r="L8"/>
  <c r="I8"/>
  <c r="F8"/>
  <c r="F9" s="1"/>
  <c r="S6"/>
  <c r="U6" s="1"/>
  <c r="U7" s="1"/>
  <c r="R6"/>
  <c r="O6"/>
  <c r="O7" s="1"/>
  <c r="L6"/>
  <c r="I6"/>
  <c r="F6"/>
  <c r="F7" s="1"/>
  <c r="S44"/>
  <c r="S40"/>
  <c r="S36"/>
  <c r="R44"/>
  <c r="Q44"/>
  <c r="R42"/>
  <c r="Q42"/>
  <c r="R40"/>
  <c r="Q40"/>
  <c r="R27"/>
  <c r="Q27"/>
  <c r="Q25"/>
  <c r="Q23"/>
  <c r="Q21"/>
  <c r="Q38"/>
  <c r="Q36"/>
  <c r="Q34"/>
  <c r="Q19"/>
  <c r="Q17"/>
  <c r="Q15"/>
  <c r="Q13"/>
  <c r="R11"/>
  <c r="Q11"/>
  <c r="R9"/>
  <c r="Q9"/>
  <c r="R7"/>
  <c r="Q7"/>
  <c r="N44"/>
  <c r="N42"/>
  <c r="N40"/>
  <c r="O27"/>
  <c r="N27"/>
  <c r="N25"/>
  <c r="N23"/>
  <c r="N21"/>
  <c r="O38"/>
  <c r="N38"/>
  <c r="N36"/>
  <c r="N34"/>
  <c r="N19"/>
  <c r="N17"/>
  <c r="N15"/>
  <c r="N13"/>
  <c r="N11"/>
  <c r="N9"/>
  <c r="N7"/>
  <c r="K44"/>
  <c r="K42"/>
  <c r="K40"/>
  <c r="K27"/>
  <c r="K25"/>
  <c r="L23"/>
  <c r="K23"/>
  <c r="L21"/>
  <c r="K21"/>
  <c r="L38"/>
  <c r="K38"/>
  <c r="L36"/>
  <c r="K36"/>
  <c r="L34"/>
  <c r="K34"/>
  <c r="L19"/>
  <c r="K19"/>
  <c r="L17"/>
  <c r="K17"/>
  <c r="L15"/>
  <c r="K15"/>
  <c r="L13"/>
  <c r="K13"/>
  <c r="L11"/>
  <c r="K11"/>
  <c r="L9"/>
  <c r="K9"/>
  <c r="L7"/>
  <c r="K7"/>
  <c r="I44"/>
  <c r="H44"/>
  <c r="I42"/>
  <c r="H42"/>
  <c r="I40"/>
  <c r="H40"/>
  <c r="H27"/>
  <c r="H25"/>
  <c r="H23"/>
  <c r="H21"/>
  <c r="H38"/>
  <c r="H36"/>
  <c r="I34"/>
  <c r="H34"/>
  <c r="H19"/>
  <c r="H17"/>
  <c r="H15"/>
  <c r="H13"/>
  <c r="H11"/>
  <c r="H9"/>
  <c r="H7"/>
  <c r="E44"/>
  <c r="E42"/>
  <c r="E40"/>
  <c r="E27"/>
  <c r="E25"/>
  <c r="E23"/>
  <c r="E21"/>
  <c r="E38"/>
  <c r="E36"/>
  <c r="E34"/>
  <c r="E19"/>
  <c r="E17"/>
  <c r="E15"/>
  <c r="E13"/>
  <c r="E11"/>
  <c r="E9"/>
  <c r="E7"/>
  <c r="S3"/>
  <c r="U3" s="1"/>
  <c r="R3"/>
  <c r="O3"/>
  <c r="L3"/>
  <c r="I3"/>
  <c r="F3"/>
  <c r="P1"/>
  <c r="U2" s="1"/>
  <c r="T6" l="1"/>
  <c r="T7" s="1"/>
  <c r="T8"/>
  <c r="T9" s="1"/>
  <c r="T10"/>
  <c r="T11" s="1"/>
  <c r="T14"/>
  <c r="T15" s="1"/>
  <c r="T16"/>
  <c r="T17" s="1"/>
  <c r="T18"/>
  <c r="T19" s="1"/>
  <c r="T33"/>
  <c r="T34" s="1"/>
  <c r="T35"/>
  <c r="T36" s="1"/>
  <c r="T37"/>
  <c r="T38" s="1"/>
  <c r="T20"/>
  <c r="T21" s="1"/>
  <c r="T22"/>
  <c r="T23" s="1"/>
  <c r="T26"/>
  <c r="T27" s="1"/>
  <c r="V13" i="38"/>
  <c r="V14" s="1"/>
  <c r="T39" i="36"/>
  <c r="T40" s="1"/>
  <c r="I27"/>
  <c r="S19"/>
  <c r="S38"/>
  <c r="S42"/>
  <c r="S34"/>
  <c r="T41"/>
  <c r="T42" s="1"/>
  <c r="T43"/>
  <c r="T44" s="1"/>
  <c r="F14" i="37"/>
  <c r="K14"/>
  <c r="Q14"/>
  <c r="O14"/>
  <c r="N14"/>
  <c r="K28" i="36"/>
  <c r="L14" i="37"/>
  <c r="R14"/>
  <c r="E14"/>
  <c r="F28" i="36"/>
  <c r="E28"/>
  <c r="H28"/>
  <c r="L28"/>
  <c r="N28"/>
  <c r="Q28"/>
  <c r="S13"/>
  <c r="V15" i="38"/>
  <c r="V25" s="1"/>
  <c r="U26"/>
  <c r="T12"/>
  <c r="T26" s="1"/>
  <c r="O28" i="36"/>
  <c r="R28"/>
  <c r="U28"/>
  <c r="S25"/>
  <c r="S27"/>
  <c r="I19"/>
  <c r="I17"/>
  <c r="I21"/>
  <c r="S21"/>
  <c r="I23"/>
  <c r="S23"/>
  <c r="I11"/>
  <c r="I9"/>
  <c r="I7"/>
  <c r="I14" i="37"/>
  <c r="S14"/>
  <c r="H14"/>
  <c r="V6" i="38"/>
  <c r="V12" s="1"/>
  <c r="S9" i="36"/>
  <c r="S17"/>
  <c r="S7"/>
  <c r="S11"/>
  <c r="S15"/>
  <c r="V10"/>
  <c r="V11" s="1"/>
  <c r="V14"/>
  <c r="V15" s="1"/>
  <c r="V16"/>
  <c r="V17" s="1"/>
  <c r="V35"/>
  <c r="V36" s="1"/>
  <c r="V22"/>
  <c r="V23" s="1"/>
  <c r="V26"/>
  <c r="V27" s="1"/>
  <c r="V39"/>
  <c r="V40" s="1"/>
  <c r="V41"/>
  <c r="V42" s="1"/>
  <c r="V43"/>
  <c r="V44" s="1"/>
  <c r="T3" i="37"/>
  <c r="V3" s="1"/>
  <c r="U6"/>
  <c r="U7" s="1"/>
  <c r="T8"/>
  <c r="T9" s="1"/>
  <c r="U10"/>
  <c r="U11" s="1"/>
  <c r="U12"/>
  <c r="U13" s="1"/>
  <c r="T6"/>
  <c r="T7" s="1"/>
  <c r="U8"/>
  <c r="U9" s="1"/>
  <c r="T10"/>
  <c r="T11" s="1"/>
  <c r="T12"/>
  <c r="T13" s="1"/>
  <c r="T24" i="36"/>
  <c r="T25" s="1"/>
  <c r="T12"/>
  <c r="T13" s="1"/>
  <c r="I25"/>
  <c r="V20"/>
  <c r="V21" s="1"/>
  <c r="I38"/>
  <c r="I36"/>
  <c r="V18"/>
  <c r="V19" s="1"/>
  <c r="V8"/>
  <c r="V9" s="1"/>
  <c r="T3"/>
  <c r="V3" s="1"/>
  <c r="F7" i="35"/>
  <c r="I7"/>
  <c r="L7"/>
  <c r="O7"/>
  <c r="R7"/>
  <c r="S7"/>
  <c r="U7" s="1"/>
  <c r="F8"/>
  <c r="I8"/>
  <c r="L8"/>
  <c r="O8"/>
  <c r="R8"/>
  <c r="S8"/>
  <c r="U8" s="1"/>
  <c r="F9"/>
  <c r="I9"/>
  <c r="L9"/>
  <c r="O9"/>
  <c r="R9"/>
  <c r="S9"/>
  <c r="U9" s="1"/>
  <c r="F11"/>
  <c r="I11"/>
  <c r="L11"/>
  <c r="O11"/>
  <c r="R11"/>
  <c r="S11"/>
  <c r="U11" s="1"/>
  <c r="F14"/>
  <c r="I14"/>
  <c r="L14"/>
  <c r="O14"/>
  <c r="R14"/>
  <c r="S14"/>
  <c r="U14" s="1"/>
  <c r="F15"/>
  <c r="I15"/>
  <c r="L15"/>
  <c r="O15"/>
  <c r="R15"/>
  <c r="S15"/>
  <c r="U15" s="1"/>
  <c r="F16"/>
  <c r="I16"/>
  <c r="L16"/>
  <c r="O16"/>
  <c r="R16"/>
  <c r="S16"/>
  <c r="U16" s="1"/>
  <c r="F17"/>
  <c r="I17"/>
  <c r="L17"/>
  <c r="O17"/>
  <c r="R17"/>
  <c r="S17"/>
  <c r="U17" s="1"/>
  <c r="F20"/>
  <c r="I20"/>
  <c r="L20"/>
  <c r="O20"/>
  <c r="R20"/>
  <c r="S20"/>
  <c r="U20" s="1"/>
  <c r="F22"/>
  <c r="F23" s="1"/>
  <c r="I22"/>
  <c r="L22"/>
  <c r="L23" s="1"/>
  <c r="O22"/>
  <c r="O23" s="1"/>
  <c r="R22"/>
  <c r="R23" s="1"/>
  <c r="S22"/>
  <c r="S23" s="1"/>
  <c r="E23"/>
  <c r="H23"/>
  <c r="K23"/>
  <c r="N23"/>
  <c r="Q23"/>
  <c r="F24"/>
  <c r="I24"/>
  <c r="L24"/>
  <c r="O24"/>
  <c r="R24"/>
  <c r="S24"/>
  <c r="U24" s="1"/>
  <c r="F27"/>
  <c r="I27"/>
  <c r="L27"/>
  <c r="O27"/>
  <c r="R27"/>
  <c r="S27"/>
  <c r="U27" s="1"/>
  <c r="E28"/>
  <c r="H28"/>
  <c r="K28"/>
  <c r="N28"/>
  <c r="Q28"/>
  <c r="F29"/>
  <c r="I29"/>
  <c r="L29"/>
  <c r="O29"/>
  <c r="R29"/>
  <c r="S29"/>
  <c r="U29" s="1"/>
  <c r="F30"/>
  <c r="I30"/>
  <c r="L30"/>
  <c r="O30"/>
  <c r="R30"/>
  <c r="S30"/>
  <c r="U30" s="1"/>
  <c r="F31"/>
  <c r="I31"/>
  <c r="L31"/>
  <c r="O31"/>
  <c r="R31"/>
  <c r="S31"/>
  <c r="U31" s="1"/>
  <c r="F38"/>
  <c r="I38"/>
  <c r="L38"/>
  <c r="O38"/>
  <c r="R38"/>
  <c r="S38"/>
  <c r="U38" s="1"/>
  <c r="E39"/>
  <c r="H39"/>
  <c r="K39"/>
  <c r="N39"/>
  <c r="Q39"/>
  <c r="F44"/>
  <c r="I44"/>
  <c r="L44"/>
  <c r="O44"/>
  <c r="R44"/>
  <c r="U44"/>
  <c r="E45"/>
  <c r="F46"/>
  <c r="F47" s="1"/>
  <c r="I46"/>
  <c r="L46"/>
  <c r="L47" s="1"/>
  <c r="O46"/>
  <c r="O47" s="1"/>
  <c r="R46"/>
  <c r="R47" s="1"/>
  <c r="S46"/>
  <c r="U46" s="1"/>
  <c r="U47" s="1"/>
  <c r="E47"/>
  <c r="H47"/>
  <c r="K47"/>
  <c r="N47"/>
  <c r="Q47"/>
  <c r="V37" i="36" l="1"/>
  <c r="V38" s="1"/>
  <c r="V33"/>
  <c r="V34" s="1"/>
  <c r="V6"/>
  <c r="V7" s="1"/>
  <c r="T28"/>
  <c r="T44" i="35"/>
  <c r="V44" s="1"/>
  <c r="I28" i="36"/>
  <c r="V26" i="38"/>
  <c r="S28" i="36"/>
  <c r="T15" i="35"/>
  <c r="V15" s="1"/>
  <c r="T14" i="37"/>
  <c r="U14"/>
  <c r="V6"/>
  <c r="V7" s="1"/>
  <c r="T8" i="35"/>
  <c r="V8" s="1"/>
  <c r="T17"/>
  <c r="V17" s="1"/>
  <c r="T11"/>
  <c r="V11" s="1"/>
  <c r="T16"/>
  <c r="V16" s="1"/>
  <c r="T20"/>
  <c r="V20" s="1"/>
  <c r="T14"/>
  <c r="V14" s="1"/>
  <c r="T9"/>
  <c r="V9" s="1"/>
  <c r="T7"/>
  <c r="V7" s="1"/>
  <c r="V8" i="37"/>
  <c r="V9" s="1"/>
  <c r="V10"/>
  <c r="V11" s="1"/>
  <c r="V12"/>
  <c r="V13" s="1"/>
  <c r="V24" i="36"/>
  <c r="V25" s="1"/>
  <c r="V12"/>
  <c r="V13" s="1"/>
  <c r="S47" i="35"/>
  <c r="T38"/>
  <c r="V38" s="1"/>
  <c r="T22"/>
  <c r="T23" s="1"/>
  <c r="T30"/>
  <c r="V30" s="1"/>
  <c r="O28"/>
  <c r="T27"/>
  <c r="V27" s="1"/>
  <c r="R28"/>
  <c r="L28"/>
  <c r="F28"/>
  <c r="O39"/>
  <c r="R39"/>
  <c r="L39"/>
  <c r="F39"/>
  <c r="U39"/>
  <c r="U28"/>
  <c r="T46"/>
  <c r="V46" s="1"/>
  <c r="V47" s="1"/>
  <c r="I39"/>
  <c r="T31"/>
  <c r="V31" s="1"/>
  <c r="S39"/>
  <c r="T29"/>
  <c r="V29" s="1"/>
  <c r="I28"/>
  <c r="S28"/>
  <c r="T24"/>
  <c r="V24" s="1"/>
  <c r="I23"/>
  <c r="U22"/>
  <c r="U23" s="1"/>
  <c r="I47"/>
  <c r="V22" l="1"/>
  <c r="V23" s="1"/>
  <c r="V28" i="36"/>
  <c r="V14" i="37"/>
  <c r="V28" i="35"/>
  <c r="T39"/>
  <c r="V39"/>
  <c r="T28"/>
  <c r="T47"/>
  <c r="U41" l="1"/>
  <c r="R41"/>
  <c r="O41"/>
  <c r="L41"/>
  <c r="I41"/>
  <c r="F41"/>
  <c r="S45"/>
  <c r="R40"/>
  <c r="O40"/>
  <c r="L40"/>
  <c r="I40"/>
  <c r="F40"/>
  <c r="F45" s="1"/>
  <c r="S19"/>
  <c r="U19" s="1"/>
  <c r="U21" s="1"/>
  <c r="R19"/>
  <c r="R21" s="1"/>
  <c r="O19"/>
  <c r="L19"/>
  <c r="L21" s="1"/>
  <c r="I19"/>
  <c r="F19"/>
  <c r="F21" s="1"/>
  <c r="S13"/>
  <c r="S18" s="1"/>
  <c r="R13"/>
  <c r="R18" s="1"/>
  <c r="O13"/>
  <c r="O18" s="1"/>
  <c r="L13"/>
  <c r="L18" s="1"/>
  <c r="I13"/>
  <c r="F13"/>
  <c r="S6"/>
  <c r="S12" s="1"/>
  <c r="R6"/>
  <c r="R12" s="1"/>
  <c r="O6"/>
  <c r="O12" s="1"/>
  <c r="L6"/>
  <c r="L12" s="1"/>
  <c r="I6"/>
  <c r="I12" s="1"/>
  <c r="F6"/>
  <c r="Q45"/>
  <c r="Q21"/>
  <c r="Q18"/>
  <c r="Q12"/>
  <c r="N45"/>
  <c r="N21"/>
  <c r="N18"/>
  <c r="N12"/>
  <c r="K45"/>
  <c r="K21"/>
  <c r="K18"/>
  <c r="K12"/>
  <c r="H45"/>
  <c r="H21"/>
  <c r="H18"/>
  <c r="H12"/>
  <c r="E21"/>
  <c r="E18"/>
  <c r="E12"/>
  <c r="T40" l="1"/>
  <c r="T41"/>
  <c r="N48"/>
  <c r="H48"/>
  <c r="K48"/>
  <c r="E48"/>
  <c r="Q48"/>
  <c r="T13"/>
  <c r="V13" s="1"/>
  <c r="V40"/>
  <c r="O45"/>
  <c r="S21"/>
  <c r="S48" s="1"/>
  <c r="I18"/>
  <c r="I45"/>
  <c r="F18"/>
  <c r="L45"/>
  <c r="L48" s="1"/>
  <c r="R45"/>
  <c r="R48" s="1"/>
  <c r="O21"/>
  <c r="F12"/>
  <c r="T6"/>
  <c r="V6" s="1"/>
  <c r="V12" s="1"/>
  <c r="U40"/>
  <c r="U45" s="1"/>
  <c r="T19"/>
  <c r="T21" s="1"/>
  <c r="I21"/>
  <c r="U13"/>
  <c r="U18" s="1"/>
  <c r="U6"/>
  <c r="U12" s="1"/>
  <c r="U3"/>
  <c r="O3"/>
  <c r="L3"/>
  <c r="I3"/>
  <c r="F3"/>
  <c r="P1"/>
  <c r="U2" s="1"/>
  <c r="Q9" i="34"/>
  <c r="N9"/>
  <c r="K9"/>
  <c r="H9"/>
  <c r="E9"/>
  <c r="S8"/>
  <c r="U8" s="1"/>
  <c r="R8"/>
  <c r="R9" s="1"/>
  <c r="O8"/>
  <c r="O9" s="1"/>
  <c r="L8"/>
  <c r="L9" s="1"/>
  <c r="I8"/>
  <c r="I9" s="1"/>
  <c r="F8"/>
  <c r="F9" s="1"/>
  <c r="Q7"/>
  <c r="N7"/>
  <c r="K7"/>
  <c r="H7"/>
  <c r="E7"/>
  <c r="S6"/>
  <c r="U6" s="1"/>
  <c r="U7" s="1"/>
  <c r="R6"/>
  <c r="R7" s="1"/>
  <c r="O6"/>
  <c r="O7" s="1"/>
  <c r="L6"/>
  <c r="I6"/>
  <c r="I7" s="1"/>
  <c r="F6"/>
  <c r="F7" s="1"/>
  <c r="Q13"/>
  <c r="N13"/>
  <c r="K13"/>
  <c r="H13"/>
  <c r="E13"/>
  <c r="S12"/>
  <c r="S13" s="1"/>
  <c r="R12"/>
  <c r="R13" s="1"/>
  <c r="O12"/>
  <c r="O13" s="1"/>
  <c r="L12"/>
  <c r="L13" s="1"/>
  <c r="I12"/>
  <c r="F12"/>
  <c r="F13" s="1"/>
  <c r="Q11"/>
  <c r="N11"/>
  <c r="K11"/>
  <c r="H11"/>
  <c r="E11"/>
  <c r="S10"/>
  <c r="R10"/>
  <c r="O10"/>
  <c r="O11" s="1"/>
  <c r="L10"/>
  <c r="I10"/>
  <c r="I11" s="1"/>
  <c r="F10"/>
  <c r="S3"/>
  <c r="U3" s="1"/>
  <c r="R3"/>
  <c r="O3"/>
  <c r="L3"/>
  <c r="I3"/>
  <c r="F3"/>
  <c r="P1"/>
  <c r="U2" s="1"/>
  <c r="Q10" i="33"/>
  <c r="N10"/>
  <c r="K10"/>
  <c r="H10"/>
  <c r="E10"/>
  <c r="S9"/>
  <c r="U9" s="1"/>
  <c r="R9"/>
  <c r="O9"/>
  <c r="L9"/>
  <c r="I9"/>
  <c r="F9"/>
  <c r="S8"/>
  <c r="R8"/>
  <c r="R10" s="1"/>
  <c r="O8"/>
  <c r="O10" s="1"/>
  <c r="L8"/>
  <c r="L10" s="1"/>
  <c r="I8"/>
  <c r="I10" s="1"/>
  <c r="F8"/>
  <c r="F10" s="1"/>
  <c r="Q7"/>
  <c r="N7"/>
  <c r="K7"/>
  <c r="H7"/>
  <c r="E7"/>
  <c r="S6"/>
  <c r="S7" s="1"/>
  <c r="R6"/>
  <c r="O6"/>
  <c r="O7" s="1"/>
  <c r="L6"/>
  <c r="I6"/>
  <c r="I7" s="1"/>
  <c r="F6"/>
  <c r="S3"/>
  <c r="U3" s="1"/>
  <c r="R3"/>
  <c r="O3"/>
  <c r="L3"/>
  <c r="I3"/>
  <c r="F3"/>
  <c r="P1"/>
  <c r="U2" s="1"/>
  <c r="E79" i="32"/>
  <c r="S66"/>
  <c r="R66"/>
  <c r="R78" s="1"/>
  <c r="O66"/>
  <c r="O78" s="1"/>
  <c r="L66"/>
  <c r="L78" s="1"/>
  <c r="I66"/>
  <c r="F66"/>
  <c r="S42"/>
  <c r="R42"/>
  <c r="R65" s="1"/>
  <c r="O42"/>
  <c r="O65" s="1"/>
  <c r="L42"/>
  <c r="L65" s="1"/>
  <c r="I42"/>
  <c r="F42"/>
  <c r="F65" s="1"/>
  <c r="S34"/>
  <c r="R34"/>
  <c r="R41" s="1"/>
  <c r="O34"/>
  <c r="O41" s="1"/>
  <c r="L34"/>
  <c r="L41" s="1"/>
  <c r="I34"/>
  <c r="F34"/>
  <c r="F41" s="1"/>
  <c r="S26"/>
  <c r="R26"/>
  <c r="R33" s="1"/>
  <c r="O26"/>
  <c r="O33" s="1"/>
  <c r="L26"/>
  <c r="L33" s="1"/>
  <c r="I26"/>
  <c r="F26"/>
  <c r="F33" s="1"/>
  <c r="S15"/>
  <c r="R15"/>
  <c r="R25" s="1"/>
  <c r="O15"/>
  <c r="O25" s="1"/>
  <c r="L15"/>
  <c r="L25" s="1"/>
  <c r="I15"/>
  <c r="F15"/>
  <c r="F25" s="1"/>
  <c r="S6"/>
  <c r="R6"/>
  <c r="R14" s="1"/>
  <c r="O6"/>
  <c r="O14" s="1"/>
  <c r="L6"/>
  <c r="L14" s="1"/>
  <c r="I6"/>
  <c r="F6"/>
  <c r="F14" s="1"/>
  <c r="Q79"/>
  <c r="S3"/>
  <c r="U3" s="1"/>
  <c r="R3"/>
  <c r="O3"/>
  <c r="L3"/>
  <c r="I3"/>
  <c r="F3"/>
  <c r="P1"/>
  <c r="U2" s="1"/>
  <c r="Q133" i="28"/>
  <c r="N261"/>
  <c r="H166"/>
  <c r="S212"/>
  <c r="U212" s="1"/>
  <c r="R212"/>
  <c r="O212"/>
  <c r="L212"/>
  <c r="I212"/>
  <c r="F212"/>
  <c r="S211"/>
  <c r="U211" s="1"/>
  <c r="R211"/>
  <c r="O211"/>
  <c r="L211"/>
  <c r="I211"/>
  <c r="F211"/>
  <c r="S210"/>
  <c r="U210" s="1"/>
  <c r="R210"/>
  <c r="O210"/>
  <c r="L210"/>
  <c r="I210"/>
  <c r="F210"/>
  <c r="S209"/>
  <c r="U209" s="1"/>
  <c r="R209"/>
  <c r="O209"/>
  <c r="L209"/>
  <c r="I209"/>
  <c r="F209"/>
  <c r="E14" i="34" l="1"/>
  <c r="K14"/>
  <c r="Q14"/>
  <c r="T3" i="33"/>
  <c r="V3" s="1"/>
  <c r="N11"/>
  <c r="O14" i="34"/>
  <c r="N14"/>
  <c r="T3" i="35"/>
  <c r="T15" i="32"/>
  <c r="T25" s="1"/>
  <c r="I25"/>
  <c r="U15"/>
  <c r="U25" s="1"/>
  <c r="S25"/>
  <c r="T26"/>
  <c r="T33" s="1"/>
  <c r="I33"/>
  <c r="U26"/>
  <c r="U33" s="1"/>
  <c r="S33"/>
  <c r="T34"/>
  <c r="T41" s="1"/>
  <c r="I41"/>
  <c r="U34"/>
  <c r="U41" s="1"/>
  <c r="S41"/>
  <c r="T42"/>
  <c r="T65" s="1"/>
  <c r="I65"/>
  <c r="U42"/>
  <c r="U65" s="1"/>
  <c r="S65"/>
  <c r="T66"/>
  <c r="T78" s="1"/>
  <c r="I78"/>
  <c r="U66"/>
  <c r="U78" s="1"/>
  <c r="S78"/>
  <c r="F78"/>
  <c r="F79" s="1"/>
  <c r="K11" i="33"/>
  <c r="Q11"/>
  <c r="T45" i="35"/>
  <c r="H14" i="34"/>
  <c r="T18" i="35"/>
  <c r="F48"/>
  <c r="S10" i="33"/>
  <c r="S11" s="1"/>
  <c r="H11"/>
  <c r="U48" i="35"/>
  <c r="I48"/>
  <c r="O48"/>
  <c r="T209" i="28"/>
  <c r="V209" s="1"/>
  <c r="T211"/>
  <c r="V211" s="1"/>
  <c r="T6" i="32"/>
  <c r="T14" s="1"/>
  <c r="I14"/>
  <c r="I79" s="1"/>
  <c r="U6"/>
  <c r="U14" s="1"/>
  <c r="S14"/>
  <c r="S79" s="1"/>
  <c r="T12" i="35"/>
  <c r="V3"/>
  <c r="V18"/>
  <c r="V41"/>
  <c r="V45" s="1"/>
  <c r="V19"/>
  <c r="V21" s="1"/>
  <c r="T6" i="34"/>
  <c r="T7" s="1"/>
  <c r="T3"/>
  <c r="V3" s="1"/>
  <c r="S7"/>
  <c r="U9"/>
  <c r="T12"/>
  <c r="V12" s="1"/>
  <c r="L7"/>
  <c r="T8"/>
  <c r="V8" s="1"/>
  <c r="V9" s="1"/>
  <c r="S9"/>
  <c r="V6"/>
  <c r="V7" s="1"/>
  <c r="T10"/>
  <c r="F11"/>
  <c r="F14" s="1"/>
  <c r="L11"/>
  <c r="L14" s="1"/>
  <c r="R11"/>
  <c r="R14" s="1"/>
  <c r="U12"/>
  <c r="U13" s="1"/>
  <c r="I13"/>
  <c r="I14" s="1"/>
  <c r="U10"/>
  <c r="S11"/>
  <c r="T9" i="33"/>
  <c r="V9" s="1"/>
  <c r="E11"/>
  <c r="I11"/>
  <c r="O11"/>
  <c r="T6"/>
  <c r="V6" s="1"/>
  <c r="F7"/>
  <c r="F11" s="1"/>
  <c r="L7"/>
  <c r="L11" s="1"/>
  <c r="R7"/>
  <c r="R11" s="1"/>
  <c r="U8"/>
  <c r="U10" s="1"/>
  <c r="U6"/>
  <c r="T8"/>
  <c r="N79" i="32"/>
  <c r="V26"/>
  <c r="V33" s="1"/>
  <c r="V42"/>
  <c r="V65" s="1"/>
  <c r="K79"/>
  <c r="V15"/>
  <c r="V25" s="1"/>
  <c r="H79"/>
  <c r="T3"/>
  <c r="V3" s="1"/>
  <c r="L79"/>
  <c r="O79"/>
  <c r="R79"/>
  <c r="T210" i="28"/>
  <c r="V210" s="1"/>
  <c r="T212"/>
  <c r="V212" s="1"/>
  <c r="S19" i="2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H256" i="28"/>
  <c r="S194"/>
  <c r="U194" s="1"/>
  <c r="R194"/>
  <c r="O194"/>
  <c r="L194"/>
  <c r="I194"/>
  <c r="F194"/>
  <c r="S193"/>
  <c r="U193" s="1"/>
  <c r="R193"/>
  <c r="O193"/>
  <c r="L193"/>
  <c r="I193"/>
  <c r="F193"/>
  <c r="N189"/>
  <c r="N182"/>
  <c r="N134"/>
  <c r="Q44" i="29"/>
  <c r="N44"/>
  <c r="K44"/>
  <c r="H44"/>
  <c r="E44"/>
  <c r="K119" i="28"/>
  <c r="S125"/>
  <c r="U125" s="1"/>
  <c r="R125"/>
  <c r="O125"/>
  <c r="L125"/>
  <c r="I125"/>
  <c r="F125"/>
  <c r="S124"/>
  <c r="U124" s="1"/>
  <c r="R124"/>
  <c r="O124"/>
  <c r="L124"/>
  <c r="I124"/>
  <c r="F124"/>
  <c r="V34" i="32" l="1"/>
  <c r="V41" s="1"/>
  <c r="V6"/>
  <c r="V14" s="1"/>
  <c r="T14" i="29"/>
  <c r="V14" s="1"/>
  <c r="T16"/>
  <c r="V16" s="1"/>
  <c r="T18"/>
  <c r="V18" s="1"/>
  <c r="V66" i="32"/>
  <c r="V78" s="1"/>
  <c r="T48" i="35"/>
  <c r="V48"/>
  <c r="T10" i="33"/>
  <c r="S14" i="34"/>
  <c r="T124" i="28"/>
  <c r="V124" s="1"/>
  <c r="T193"/>
  <c r="V193" s="1"/>
  <c r="T13" i="34"/>
  <c r="T9"/>
  <c r="U11"/>
  <c r="U14" s="1"/>
  <c r="T11"/>
  <c r="V13"/>
  <c r="V10"/>
  <c r="V7" i="33"/>
  <c r="U7"/>
  <c r="U11" s="1"/>
  <c r="T7"/>
  <c r="T11" s="1"/>
  <c r="V8"/>
  <c r="V10" s="1"/>
  <c r="T79" i="32"/>
  <c r="U79"/>
  <c r="T15" i="29"/>
  <c r="V15" s="1"/>
  <c r="T17"/>
  <c r="V17" s="1"/>
  <c r="T19"/>
  <c r="V19" s="1"/>
  <c r="T194" i="28"/>
  <c r="V194" s="1"/>
  <c r="T125"/>
  <c r="V125" s="1"/>
  <c r="N135"/>
  <c r="N154" s="1"/>
  <c r="S25" i="29"/>
  <c r="U25" s="1"/>
  <c r="R25"/>
  <c r="O25"/>
  <c r="L25"/>
  <c r="I25"/>
  <c r="F25"/>
  <c r="S8"/>
  <c r="U8" s="1"/>
  <c r="R8"/>
  <c r="O8"/>
  <c r="L8"/>
  <c r="I8"/>
  <c r="F8"/>
  <c r="S14" i="28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K8"/>
  <c r="S192"/>
  <c r="U192" s="1"/>
  <c r="R192"/>
  <c r="O192"/>
  <c r="L192"/>
  <c r="I192"/>
  <c r="F192"/>
  <c r="S191"/>
  <c r="U191" s="1"/>
  <c r="R191"/>
  <c r="O191"/>
  <c r="L191"/>
  <c r="I191"/>
  <c r="F191"/>
  <c r="S190"/>
  <c r="U190" s="1"/>
  <c r="R190"/>
  <c r="O190"/>
  <c r="L190"/>
  <c r="I190"/>
  <c r="F190"/>
  <c r="H134"/>
  <c r="H128"/>
  <c r="Q87" i="29"/>
  <c r="N87"/>
  <c r="K87"/>
  <c r="H87"/>
  <c r="E87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S131"/>
  <c r="U131" s="1"/>
  <c r="S107"/>
  <c r="U107" s="1"/>
  <c r="S105"/>
  <c r="U105" s="1"/>
  <c r="S103"/>
  <c r="U103" s="1"/>
  <c r="S102"/>
  <c r="U102" s="1"/>
  <c r="S101"/>
  <c r="U101" s="1"/>
  <c r="S99"/>
  <c r="U99" s="1"/>
  <c r="S90"/>
  <c r="U90" s="1"/>
  <c r="S88"/>
  <c r="U88" s="1"/>
  <c r="S83"/>
  <c r="U83" s="1"/>
  <c r="S81"/>
  <c r="U81" s="1"/>
  <c r="S79"/>
  <c r="U79" s="1"/>
  <c r="S77"/>
  <c r="U77" s="1"/>
  <c r="S75"/>
  <c r="U75" s="1"/>
  <c r="S73"/>
  <c r="U73" s="1"/>
  <c r="S71"/>
  <c r="U71" s="1"/>
  <c r="S69"/>
  <c r="U69" s="1"/>
  <c r="S68"/>
  <c r="U68" s="1"/>
  <c r="S67"/>
  <c r="U67" s="1"/>
  <c r="S66"/>
  <c r="U66" s="1"/>
  <c r="S64"/>
  <c r="U64" s="1"/>
  <c r="S63"/>
  <c r="U63" s="1"/>
  <c r="S62"/>
  <c r="U62" s="1"/>
  <c r="S60"/>
  <c r="U60" s="1"/>
  <c r="S59"/>
  <c r="U59" s="1"/>
  <c r="S58"/>
  <c r="U58" s="1"/>
  <c r="S56"/>
  <c r="U56" s="1"/>
  <c r="S55"/>
  <c r="U55" s="1"/>
  <c r="S54"/>
  <c r="U54" s="1"/>
  <c r="S52"/>
  <c r="U52" s="1"/>
  <c r="S50"/>
  <c r="U50" s="1"/>
  <c r="S45"/>
  <c r="S43"/>
  <c r="U43" s="1"/>
  <c r="S42"/>
  <c r="U42" s="1"/>
  <c r="S41"/>
  <c r="U41" s="1"/>
  <c r="S40"/>
  <c r="S38"/>
  <c r="U38" s="1"/>
  <c r="S37"/>
  <c r="U37" s="1"/>
  <c r="S36"/>
  <c r="U36" s="1"/>
  <c r="S34"/>
  <c r="U34" s="1"/>
  <c r="S33"/>
  <c r="U33" s="1"/>
  <c r="S31"/>
  <c r="U31" s="1"/>
  <c r="S29"/>
  <c r="U29" s="1"/>
  <c r="S28"/>
  <c r="U28" s="1"/>
  <c r="S26"/>
  <c r="U26" s="1"/>
  <c r="S24"/>
  <c r="U24" s="1"/>
  <c r="S23"/>
  <c r="U23" s="1"/>
  <c r="S22"/>
  <c r="U22" s="1"/>
  <c r="S20"/>
  <c r="U20" s="1"/>
  <c r="S13"/>
  <c r="U13" s="1"/>
  <c r="S12"/>
  <c r="U12" s="1"/>
  <c r="S11"/>
  <c r="U11" s="1"/>
  <c r="S9"/>
  <c r="U9" s="1"/>
  <c r="S7"/>
  <c r="U7" s="1"/>
  <c r="S6"/>
  <c r="U6" s="1"/>
  <c r="S3"/>
  <c r="R3"/>
  <c r="S87" i="28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K81"/>
  <c r="K80"/>
  <c r="K79"/>
  <c r="K78"/>
  <c r="H21" i="29"/>
  <c r="R13"/>
  <c r="O13"/>
  <c r="L13"/>
  <c r="I13"/>
  <c r="F13"/>
  <c r="R117" i="28"/>
  <c r="Q118"/>
  <c r="E118"/>
  <c r="S103"/>
  <c r="S102"/>
  <c r="S101"/>
  <c r="U101" s="1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S300"/>
  <c r="U300" s="1"/>
  <c r="R300"/>
  <c r="O300"/>
  <c r="L300"/>
  <c r="I300"/>
  <c r="F300"/>
  <c r="S299"/>
  <c r="U299" s="1"/>
  <c r="R299"/>
  <c r="O299"/>
  <c r="L299"/>
  <c r="I299"/>
  <c r="F299"/>
  <c r="S298"/>
  <c r="U298" s="1"/>
  <c r="R298"/>
  <c r="O298"/>
  <c r="L298"/>
  <c r="I298"/>
  <c r="F298"/>
  <c r="S272"/>
  <c r="U272" s="1"/>
  <c r="R272"/>
  <c r="O272"/>
  <c r="L272"/>
  <c r="I272"/>
  <c r="F272"/>
  <c r="S271"/>
  <c r="U271" s="1"/>
  <c r="R271"/>
  <c r="O271"/>
  <c r="L271"/>
  <c r="I271"/>
  <c r="F271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36"/>
  <c r="R36"/>
  <c r="O36"/>
  <c r="L36"/>
  <c r="I36"/>
  <c r="F36"/>
  <c r="S307"/>
  <c r="U307" s="1"/>
  <c r="R307"/>
  <c r="O307"/>
  <c r="L307"/>
  <c r="I307"/>
  <c r="F307"/>
  <c r="S306"/>
  <c r="U306" s="1"/>
  <c r="R306"/>
  <c r="O306"/>
  <c r="L306"/>
  <c r="I306"/>
  <c r="F306"/>
  <c r="S305"/>
  <c r="U305" s="1"/>
  <c r="R305"/>
  <c r="O305"/>
  <c r="L305"/>
  <c r="I305"/>
  <c r="F305"/>
  <c r="S304"/>
  <c r="U304" s="1"/>
  <c r="R304"/>
  <c r="O304"/>
  <c r="L304"/>
  <c r="I304"/>
  <c r="F304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S67"/>
  <c r="U67" s="1"/>
  <c r="R67"/>
  <c r="O67"/>
  <c r="L67"/>
  <c r="I67"/>
  <c r="F67"/>
  <c r="S66"/>
  <c r="U66" s="1"/>
  <c r="R66"/>
  <c r="O66"/>
  <c r="L66"/>
  <c r="I66"/>
  <c r="F66"/>
  <c r="K105"/>
  <c r="K35" i="29"/>
  <c r="R63"/>
  <c r="O63"/>
  <c r="L63"/>
  <c r="I63"/>
  <c r="F63"/>
  <c r="S244" i="28"/>
  <c r="U244" s="1"/>
  <c r="R244"/>
  <c r="O244"/>
  <c r="L244"/>
  <c r="I244"/>
  <c r="F244"/>
  <c r="S243"/>
  <c r="U243" s="1"/>
  <c r="R243"/>
  <c r="O243"/>
  <c r="L243"/>
  <c r="I243"/>
  <c r="F243"/>
  <c r="S242"/>
  <c r="U242" s="1"/>
  <c r="R242"/>
  <c r="O242"/>
  <c r="L242"/>
  <c r="I242"/>
  <c r="F242"/>
  <c r="S241"/>
  <c r="U241" s="1"/>
  <c r="R241"/>
  <c r="O241"/>
  <c r="L241"/>
  <c r="I241"/>
  <c r="F241"/>
  <c r="S240"/>
  <c r="U240" s="1"/>
  <c r="R240"/>
  <c r="O240"/>
  <c r="L240"/>
  <c r="I240"/>
  <c r="F240"/>
  <c r="S239"/>
  <c r="U239" s="1"/>
  <c r="R239"/>
  <c r="O239"/>
  <c r="L239"/>
  <c r="I239"/>
  <c r="F239"/>
  <c r="S238"/>
  <c r="U238" s="1"/>
  <c r="R238"/>
  <c r="O238"/>
  <c r="L238"/>
  <c r="I238"/>
  <c r="F238"/>
  <c r="S177"/>
  <c r="U177" s="1"/>
  <c r="R177"/>
  <c r="O177"/>
  <c r="L177"/>
  <c r="I177"/>
  <c r="F177"/>
  <c r="U87" i="29" l="1"/>
  <c r="V79" i="32"/>
  <c r="T63" i="29"/>
  <c r="V63" s="1"/>
  <c r="T12" i="28"/>
  <c r="V12" s="1"/>
  <c r="U45" i="29"/>
  <c r="U49" s="1"/>
  <c r="S49"/>
  <c r="T14" i="34"/>
  <c r="U36" i="28"/>
  <c r="T13"/>
  <c r="V13" s="1"/>
  <c r="V11" i="34"/>
  <c r="V14" s="1"/>
  <c r="V11" i="33"/>
  <c r="U40" i="29"/>
  <c r="U44" s="1"/>
  <c r="S44"/>
  <c r="T13"/>
  <c r="V13" s="1"/>
  <c r="S87"/>
  <c r="T8"/>
  <c r="T25"/>
  <c r="V8"/>
  <c r="V25"/>
  <c r="T11" i="28"/>
  <c r="V11" s="1"/>
  <c r="T14"/>
  <c r="V14" s="1"/>
  <c r="T67"/>
  <c r="V67" s="1"/>
  <c r="T69"/>
  <c r="V69" s="1"/>
  <c r="T71"/>
  <c r="V71" s="1"/>
  <c r="T73"/>
  <c r="V73" s="1"/>
  <c r="T306"/>
  <c r="V306" s="1"/>
  <c r="T23"/>
  <c r="V23" s="1"/>
  <c r="T106"/>
  <c r="T191"/>
  <c r="V191" s="1"/>
  <c r="T177"/>
  <c r="V177" s="1"/>
  <c r="T238"/>
  <c r="T272"/>
  <c r="V272" s="1"/>
  <c r="T299"/>
  <c r="V299" s="1"/>
  <c r="V106"/>
  <c r="T107"/>
  <c r="V107" s="1"/>
  <c r="T109"/>
  <c r="V109" s="1"/>
  <c r="T111"/>
  <c r="V111" s="1"/>
  <c r="T84"/>
  <c r="V84" s="1"/>
  <c r="T87"/>
  <c r="V87" s="1"/>
  <c r="T190"/>
  <c r="V190" s="1"/>
  <c r="T36"/>
  <c r="T192"/>
  <c r="V192" s="1"/>
  <c r="T85" i="29"/>
  <c r="V85" s="1"/>
  <c r="T84"/>
  <c r="V84" s="1"/>
  <c r="T86"/>
  <c r="V86" s="1"/>
  <c r="T85" i="28"/>
  <c r="V85" s="1"/>
  <c r="T86"/>
  <c r="V86" s="1"/>
  <c r="T271"/>
  <c r="V271" s="1"/>
  <c r="T108"/>
  <c r="V108" s="1"/>
  <c r="T110"/>
  <c r="V110" s="1"/>
  <c r="T112"/>
  <c r="V112" s="1"/>
  <c r="T298"/>
  <c r="V298" s="1"/>
  <c r="T300"/>
  <c r="V300" s="1"/>
  <c r="T24"/>
  <c r="V24" s="1"/>
  <c r="T25"/>
  <c r="V25" s="1"/>
  <c r="T26"/>
  <c r="V26" s="1"/>
  <c r="T304"/>
  <c r="V304" s="1"/>
  <c r="T305"/>
  <c r="V305" s="1"/>
  <c r="T307"/>
  <c r="V307" s="1"/>
  <c r="T66"/>
  <c r="V66" s="1"/>
  <c r="T68"/>
  <c r="V68" s="1"/>
  <c r="T70"/>
  <c r="V70" s="1"/>
  <c r="T72"/>
  <c r="V72" s="1"/>
  <c r="T74"/>
  <c r="V74" s="1"/>
  <c r="T239"/>
  <c r="V239" s="1"/>
  <c r="T240"/>
  <c r="V240" s="1"/>
  <c r="T241"/>
  <c r="V241" s="1"/>
  <c r="T242"/>
  <c r="V242" s="1"/>
  <c r="T243"/>
  <c r="V243" s="1"/>
  <c r="T244"/>
  <c r="V244" s="1"/>
  <c r="V238"/>
  <c r="V36" l="1"/>
  <c r="S333"/>
  <c r="U333" s="1"/>
  <c r="R333"/>
  <c r="O333"/>
  <c r="L333"/>
  <c r="I333"/>
  <c r="F333"/>
  <c r="S332"/>
  <c r="U332" s="1"/>
  <c r="R332"/>
  <c r="O332"/>
  <c r="L332"/>
  <c r="I332"/>
  <c r="F332"/>
  <c r="S331"/>
  <c r="U331" s="1"/>
  <c r="R331"/>
  <c r="O331"/>
  <c r="L331"/>
  <c r="I331"/>
  <c r="F331"/>
  <c r="T331" l="1"/>
  <c r="V331" s="1"/>
  <c r="T333"/>
  <c r="V333" s="1"/>
  <c r="T332"/>
  <c r="V332" s="1"/>
  <c r="S324"/>
  <c r="U324" s="1"/>
  <c r="R324"/>
  <c r="O324"/>
  <c r="L324"/>
  <c r="I324"/>
  <c r="F324"/>
  <c r="S323"/>
  <c r="U323" s="1"/>
  <c r="R323"/>
  <c r="O323"/>
  <c r="L323"/>
  <c r="I323"/>
  <c r="F323"/>
  <c r="S322"/>
  <c r="U322" s="1"/>
  <c r="R322"/>
  <c r="O322"/>
  <c r="L322"/>
  <c r="I322"/>
  <c r="F322"/>
  <c r="S321"/>
  <c r="U321" s="1"/>
  <c r="R321"/>
  <c r="O321"/>
  <c r="L321"/>
  <c r="I321"/>
  <c r="F321"/>
  <c r="R230"/>
  <c r="O230"/>
  <c r="L230"/>
  <c r="I230"/>
  <c r="F230"/>
  <c r="R229"/>
  <c r="O229"/>
  <c r="L229"/>
  <c r="I229"/>
  <c r="F229"/>
  <c r="R228"/>
  <c r="O228"/>
  <c r="K228"/>
  <c r="L228" s="1"/>
  <c r="I228"/>
  <c r="F228"/>
  <c r="H32" i="29"/>
  <c r="S32" s="1"/>
  <c r="U32" s="1"/>
  <c r="H81" i="28"/>
  <c r="S81" s="1"/>
  <c r="U81" s="1"/>
  <c r="S83"/>
  <c r="U83" s="1"/>
  <c r="R83"/>
  <c r="O83"/>
  <c r="L83"/>
  <c r="I83"/>
  <c r="F83"/>
  <c r="S82"/>
  <c r="U82" s="1"/>
  <c r="R82"/>
  <c r="O82"/>
  <c r="L82"/>
  <c r="I82"/>
  <c r="F82"/>
  <c r="R81"/>
  <c r="O81"/>
  <c r="L81"/>
  <c r="F81"/>
  <c r="H118"/>
  <c r="S105"/>
  <c r="U105" s="1"/>
  <c r="R105"/>
  <c r="O105"/>
  <c r="L105"/>
  <c r="I105"/>
  <c r="F105"/>
  <c r="S104"/>
  <c r="U104" s="1"/>
  <c r="R104"/>
  <c r="O104"/>
  <c r="L104"/>
  <c r="I104"/>
  <c r="F104"/>
  <c r="Q65" i="29"/>
  <c r="N65"/>
  <c r="K65"/>
  <c r="H65"/>
  <c r="E65"/>
  <c r="S61"/>
  <c r="Q61"/>
  <c r="N61"/>
  <c r="K61"/>
  <c r="H61"/>
  <c r="E61"/>
  <c r="R60"/>
  <c r="O60"/>
  <c r="L60"/>
  <c r="I60"/>
  <c r="F60"/>
  <c r="R59"/>
  <c r="O59"/>
  <c r="L59"/>
  <c r="I59"/>
  <c r="F59"/>
  <c r="S219" i="28"/>
  <c r="U219" s="1"/>
  <c r="R219"/>
  <c r="O219"/>
  <c r="L219"/>
  <c r="I219"/>
  <c r="F219"/>
  <c r="S218"/>
  <c r="U218" s="1"/>
  <c r="R218"/>
  <c r="O218"/>
  <c r="L218"/>
  <c r="I218"/>
  <c r="F218"/>
  <c r="R217"/>
  <c r="O217"/>
  <c r="L217"/>
  <c r="H217"/>
  <c r="S217" s="1"/>
  <c r="U217" s="1"/>
  <c r="F217"/>
  <c r="S208"/>
  <c r="U208" s="1"/>
  <c r="R208"/>
  <c r="O208"/>
  <c r="L208"/>
  <c r="I208"/>
  <c r="F208"/>
  <c r="E30" i="29"/>
  <c r="N30"/>
  <c r="T60" l="1"/>
  <c r="V60" s="1"/>
  <c r="T59"/>
  <c r="V59" s="1"/>
  <c r="T208" i="28"/>
  <c r="V208" s="1"/>
  <c r="I217"/>
  <c r="T217" s="1"/>
  <c r="V217" s="1"/>
  <c r="T104"/>
  <c r="V104" s="1"/>
  <c r="I81"/>
  <c r="T81" s="1"/>
  <c r="V81" s="1"/>
  <c r="T228"/>
  <c r="T321"/>
  <c r="V321" s="1"/>
  <c r="T323"/>
  <c r="V323" s="1"/>
  <c r="T322"/>
  <c r="V322" s="1"/>
  <c r="T324"/>
  <c r="V324" s="1"/>
  <c r="T230"/>
  <c r="V230" s="1"/>
  <c r="V228"/>
  <c r="T229"/>
  <c r="V229" s="1"/>
  <c r="S228"/>
  <c r="U228" s="1"/>
  <c r="S229"/>
  <c r="U229" s="1"/>
  <c r="S230"/>
  <c r="U230" s="1"/>
  <c r="T83"/>
  <c r="V83" s="1"/>
  <c r="T82"/>
  <c r="V82" s="1"/>
  <c r="T105"/>
  <c r="V105" s="1"/>
  <c r="T218"/>
  <c r="V218" s="1"/>
  <c r="T219"/>
  <c r="V219" s="1"/>
  <c r="K268"/>
  <c r="S42" i="26"/>
  <c r="U42" s="1"/>
  <c r="R42"/>
  <c r="O42"/>
  <c r="L42"/>
  <c r="I42"/>
  <c r="F42"/>
  <c r="S41"/>
  <c r="U41" s="1"/>
  <c r="R41"/>
  <c r="O41"/>
  <c r="L41"/>
  <c r="I41"/>
  <c r="F41"/>
  <c r="S16" i="30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K225" i="28"/>
  <c r="S320"/>
  <c r="U320" s="1"/>
  <c r="R320"/>
  <c r="O320"/>
  <c r="L320"/>
  <c r="I320"/>
  <c r="F320"/>
  <c r="H236"/>
  <c r="S28" i="25"/>
  <c r="U28" s="1"/>
  <c r="R28"/>
  <c r="O28"/>
  <c r="L28"/>
  <c r="I28"/>
  <c r="F28"/>
  <c r="S27"/>
  <c r="U27" s="1"/>
  <c r="R27"/>
  <c r="O27"/>
  <c r="L27"/>
  <c r="I27"/>
  <c r="F27"/>
  <c r="Q23"/>
  <c r="N23"/>
  <c r="K23"/>
  <c r="H23"/>
  <c r="E23"/>
  <c r="S22"/>
  <c r="U22" s="1"/>
  <c r="R22"/>
  <c r="O22"/>
  <c r="L22"/>
  <c r="I22"/>
  <c r="F22"/>
  <c r="S21"/>
  <c r="S23" s="1"/>
  <c r="R21"/>
  <c r="O21"/>
  <c r="O23" s="1"/>
  <c r="L21"/>
  <c r="I21"/>
  <c r="F21"/>
  <c r="Q20"/>
  <c r="N20"/>
  <c r="K20"/>
  <c r="H20"/>
  <c r="E20"/>
  <c r="S19"/>
  <c r="U19" s="1"/>
  <c r="R19"/>
  <c r="O19"/>
  <c r="L19"/>
  <c r="I19"/>
  <c r="F19"/>
  <c r="S18"/>
  <c r="S20" s="1"/>
  <c r="R18"/>
  <c r="O18"/>
  <c r="O20" s="1"/>
  <c r="L18"/>
  <c r="I18"/>
  <c r="F18"/>
  <c r="Q55" i="22"/>
  <c r="N55"/>
  <c r="K55"/>
  <c r="H55"/>
  <c r="E55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54"/>
  <c r="U54" s="1"/>
  <c r="R54"/>
  <c r="O54"/>
  <c r="L54"/>
  <c r="I54"/>
  <c r="F54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H173" i="28"/>
  <c r="S11" i="23"/>
  <c r="U11" s="1"/>
  <c r="R11"/>
  <c r="O11"/>
  <c r="L11"/>
  <c r="I11"/>
  <c r="F11"/>
  <c r="T18" i="25" l="1"/>
  <c r="T28"/>
  <c r="T14" i="30"/>
  <c r="T45" i="22"/>
  <c r="T49"/>
  <c r="V49" s="1"/>
  <c r="T50"/>
  <c r="V50" s="1"/>
  <c r="V18" i="25"/>
  <c r="L20"/>
  <c r="R20"/>
  <c r="T21"/>
  <c r="T27"/>
  <c r="V27" s="1"/>
  <c r="V28"/>
  <c r="V14" i="30"/>
  <c r="T15"/>
  <c r="V15" s="1"/>
  <c r="F23" i="25"/>
  <c r="L23"/>
  <c r="R23"/>
  <c r="T320" i="28"/>
  <c r="V320" s="1"/>
  <c r="T11" i="23"/>
  <c r="V11" s="1"/>
  <c r="T41" i="26"/>
  <c r="V41" s="1"/>
  <c r="T42"/>
  <c r="V42" s="1"/>
  <c r="T16" i="30"/>
  <c r="V16" s="1"/>
  <c r="V21" i="25"/>
  <c r="F20"/>
  <c r="I20"/>
  <c r="U21"/>
  <c r="U23" s="1"/>
  <c r="T22"/>
  <c r="T23" s="1"/>
  <c r="I23"/>
  <c r="U18"/>
  <c r="U20" s="1"/>
  <c r="T19"/>
  <c r="V19" s="1"/>
  <c r="V45" i="22"/>
  <c r="T52"/>
  <c r="T51"/>
  <c r="V51" s="1"/>
  <c r="V52"/>
  <c r="T53"/>
  <c r="V53" s="1"/>
  <c r="T47"/>
  <c r="V47" s="1"/>
  <c r="T46"/>
  <c r="V46" s="1"/>
  <c r="T48"/>
  <c r="V48" s="1"/>
  <c r="T54"/>
  <c r="V54" s="1"/>
  <c r="Q135"/>
  <c r="N135"/>
  <c r="K135"/>
  <c r="H135"/>
  <c r="E135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Q130"/>
  <c r="N130"/>
  <c r="K130"/>
  <c r="H130"/>
  <c r="E130"/>
  <c r="S129"/>
  <c r="U129" s="1"/>
  <c r="R129"/>
  <c r="O129"/>
  <c r="L129"/>
  <c r="I129"/>
  <c r="F129"/>
  <c r="Q95"/>
  <c r="N95"/>
  <c r="K95"/>
  <c r="H95"/>
  <c r="E95"/>
  <c r="S94"/>
  <c r="U94" s="1"/>
  <c r="R94"/>
  <c r="O94"/>
  <c r="L94"/>
  <c r="I94"/>
  <c r="F94"/>
  <c r="S93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81"/>
  <c r="U81" s="1"/>
  <c r="R81"/>
  <c r="O81"/>
  <c r="L81"/>
  <c r="I81"/>
  <c r="F81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Q75"/>
  <c r="N75"/>
  <c r="K75"/>
  <c r="H75"/>
  <c r="E75"/>
  <c r="S74"/>
  <c r="U74" s="1"/>
  <c r="R74"/>
  <c r="O74"/>
  <c r="L74"/>
  <c r="I74"/>
  <c r="F74"/>
  <c r="S69"/>
  <c r="U69" s="1"/>
  <c r="R69"/>
  <c r="O69"/>
  <c r="L69"/>
  <c r="I69"/>
  <c r="F69"/>
  <c r="S70"/>
  <c r="U70" s="1"/>
  <c r="R70"/>
  <c r="O70"/>
  <c r="L70"/>
  <c r="I70"/>
  <c r="F70"/>
  <c r="S68"/>
  <c r="U68" s="1"/>
  <c r="R68"/>
  <c r="O68"/>
  <c r="L68"/>
  <c r="I68"/>
  <c r="F68"/>
  <c r="S54" i="19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X118" i="28"/>
  <c r="Z118" s="1"/>
  <c r="AB118" s="1"/>
  <c r="Z103"/>
  <c r="AB103" s="1"/>
  <c r="R56" i="29"/>
  <c r="O56"/>
  <c r="L56"/>
  <c r="I56"/>
  <c r="F56"/>
  <c r="R55"/>
  <c r="O55"/>
  <c r="L55"/>
  <c r="I55"/>
  <c r="F55"/>
  <c r="Q338" i="28"/>
  <c r="N338"/>
  <c r="K338"/>
  <c r="H338"/>
  <c r="E338"/>
  <c r="S336"/>
  <c r="U336" s="1"/>
  <c r="R336"/>
  <c r="O336"/>
  <c r="L336"/>
  <c r="I336"/>
  <c r="F336"/>
  <c r="S330"/>
  <c r="U330" s="1"/>
  <c r="R330"/>
  <c r="O330"/>
  <c r="L330"/>
  <c r="I330"/>
  <c r="F330"/>
  <c r="S329"/>
  <c r="U329" s="1"/>
  <c r="R329"/>
  <c r="O329"/>
  <c r="L329"/>
  <c r="I329"/>
  <c r="F329"/>
  <c r="Q70" i="29"/>
  <c r="N70"/>
  <c r="K70"/>
  <c r="H70"/>
  <c r="E70"/>
  <c r="R69"/>
  <c r="O69"/>
  <c r="L69"/>
  <c r="I69"/>
  <c r="F69"/>
  <c r="R68"/>
  <c r="O68"/>
  <c r="L68"/>
  <c r="I68"/>
  <c r="F68"/>
  <c r="R67"/>
  <c r="O67"/>
  <c r="L67"/>
  <c r="I67"/>
  <c r="F67"/>
  <c r="S227" i="28"/>
  <c r="U227" s="1"/>
  <c r="R227"/>
  <c r="O227"/>
  <c r="L227"/>
  <c r="I227"/>
  <c r="F227"/>
  <c r="S224"/>
  <c r="U224" s="1"/>
  <c r="R224"/>
  <c r="O224"/>
  <c r="L224"/>
  <c r="I224"/>
  <c r="F224"/>
  <c r="S223"/>
  <c r="U223" s="1"/>
  <c r="R223"/>
  <c r="O223"/>
  <c r="L223"/>
  <c r="I223"/>
  <c r="F223"/>
  <c r="S235"/>
  <c r="U235" s="1"/>
  <c r="R235"/>
  <c r="O235"/>
  <c r="L235"/>
  <c r="I235"/>
  <c r="F235"/>
  <c r="S234"/>
  <c r="U234" s="1"/>
  <c r="R234"/>
  <c r="O234"/>
  <c r="L234"/>
  <c r="I234"/>
  <c r="F234"/>
  <c r="S206"/>
  <c r="U206" s="1"/>
  <c r="R206"/>
  <c r="O206"/>
  <c r="L206"/>
  <c r="I206"/>
  <c r="F206"/>
  <c r="S205"/>
  <c r="U205" s="1"/>
  <c r="R205"/>
  <c r="O205"/>
  <c r="L205"/>
  <c r="I205"/>
  <c r="F205"/>
  <c r="T67" i="29" l="1"/>
  <c r="V67" s="1"/>
  <c r="T69"/>
  <c r="V69" s="1"/>
  <c r="T93" i="22"/>
  <c r="V93" s="1"/>
  <c r="T44" i="19"/>
  <c r="V44" s="1"/>
  <c r="T68" i="22"/>
  <c r="V68" s="1"/>
  <c r="V20" i="25"/>
  <c r="T56" i="29"/>
  <c r="V56" s="1"/>
  <c r="T45" i="19"/>
  <c r="V45" s="1"/>
  <c r="T47"/>
  <c r="V47" s="1"/>
  <c r="T49"/>
  <c r="V49" s="1"/>
  <c r="T53"/>
  <c r="V53" s="1"/>
  <c r="T131" i="22"/>
  <c r="V131" s="1"/>
  <c r="T133"/>
  <c r="V133" s="1"/>
  <c r="V22" i="25"/>
  <c r="V23" s="1"/>
  <c r="T20"/>
  <c r="T69" i="22"/>
  <c r="V69" s="1"/>
  <c r="T77"/>
  <c r="V77" s="1"/>
  <c r="T79"/>
  <c r="V79" s="1"/>
  <c r="T81"/>
  <c r="V81" s="1"/>
  <c r="T83"/>
  <c r="V83" s="1"/>
  <c r="T87"/>
  <c r="V87" s="1"/>
  <c r="T89"/>
  <c r="V89" s="1"/>
  <c r="T91"/>
  <c r="V91" s="1"/>
  <c r="T68" i="29"/>
  <c r="V68" s="1"/>
  <c r="T55"/>
  <c r="V55" s="1"/>
  <c r="T223" i="28"/>
  <c r="V223" s="1"/>
  <c r="T206"/>
  <c r="V206" s="1"/>
  <c r="T132" i="22"/>
  <c r="V132" s="1"/>
  <c r="T129"/>
  <c r="T85"/>
  <c r="V85" s="1"/>
  <c r="T78"/>
  <c r="V78" s="1"/>
  <c r="T80"/>
  <c r="V80" s="1"/>
  <c r="T82"/>
  <c r="V82" s="1"/>
  <c r="T84"/>
  <c r="V84" s="1"/>
  <c r="T86"/>
  <c r="V86" s="1"/>
  <c r="T88"/>
  <c r="V88" s="1"/>
  <c r="T90"/>
  <c r="V90" s="1"/>
  <c r="T92"/>
  <c r="V92" s="1"/>
  <c r="T94"/>
  <c r="V94" s="1"/>
  <c r="T74"/>
  <c r="V74" s="1"/>
  <c r="T70"/>
  <c r="V70" s="1"/>
  <c r="T51" i="19"/>
  <c r="T46"/>
  <c r="V46" s="1"/>
  <c r="T48"/>
  <c r="V48" s="1"/>
  <c r="T50"/>
  <c r="V50" s="1"/>
  <c r="T52"/>
  <c r="V52" s="1"/>
  <c r="T54"/>
  <c r="V54" s="1"/>
  <c r="V51"/>
  <c r="T235" i="28"/>
  <c r="T329"/>
  <c r="V329" s="1"/>
  <c r="T336"/>
  <c r="V336" s="1"/>
  <c r="T330"/>
  <c r="V330" s="1"/>
  <c r="T205"/>
  <c r="V205" s="1"/>
  <c r="T234"/>
  <c r="V234" s="1"/>
  <c r="T227"/>
  <c r="V227" s="1"/>
  <c r="T224"/>
  <c r="V224" s="1"/>
  <c r="V235"/>
  <c r="V129" i="22" l="1"/>
  <c r="R64" i="29"/>
  <c r="O64"/>
  <c r="L64"/>
  <c r="I64"/>
  <c r="F64"/>
  <c r="T64" l="1"/>
  <c r="V64" s="1"/>
  <c r="U65"/>
  <c r="S65"/>
  <c r="S318" i="28"/>
  <c r="U318" s="1"/>
  <c r="R318"/>
  <c r="O318"/>
  <c r="L318"/>
  <c r="I318"/>
  <c r="F318"/>
  <c r="S317"/>
  <c r="U317" s="1"/>
  <c r="R317"/>
  <c r="O317"/>
  <c r="L317"/>
  <c r="I317"/>
  <c r="F317"/>
  <c r="S316"/>
  <c r="U316" s="1"/>
  <c r="R316"/>
  <c r="O316"/>
  <c r="L316"/>
  <c r="I316"/>
  <c r="F316"/>
  <c r="Q104" i="29"/>
  <c r="N104"/>
  <c r="K104"/>
  <c r="H104"/>
  <c r="E104"/>
  <c r="R102"/>
  <c r="O102"/>
  <c r="L102"/>
  <c r="I102"/>
  <c r="F102"/>
  <c r="S21" i="30"/>
  <c r="S24" s="1"/>
  <c r="R21"/>
  <c r="R24" s="1"/>
  <c r="O21"/>
  <c r="O24" s="1"/>
  <c r="L21"/>
  <c r="L24" s="1"/>
  <c r="I21"/>
  <c r="I24" s="1"/>
  <c r="F21"/>
  <c r="F24" s="1"/>
  <c r="Q20"/>
  <c r="N20"/>
  <c r="K20"/>
  <c r="H20"/>
  <c r="E20"/>
  <c r="S19"/>
  <c r="S20" s="1"/>
  <c r="R19"/>
  <c r="O19"/>
  <c r="L19"/>
  <c r="I19"/>
  <c r="F19"/>
  <c r="Q18"/>
  <c r="N18"/>
  <c r="K18"/>
  <c r="H18"/>
  <c r="E18"/>
  <c r="S17"/>
  <c r="U17" s="1"/>
  <c r="R17"/>
  <c r="O17"/>
  <c r="L17"/>
  <c r="I17"/>
  <c r="F17"/>
  <c r="S13"/>
  <c r="R13"/>
  <c r="O13"/>
  <c r="L13"/>
  <c r="I13"/>
  <c r="F13"/>
  <c r="S12"/>
  <c r="U12" s="1"/>
  <c r="R12"/>
  <c r="R18" s="1"/>
  <c r="O12"/>
  <c r="O18" s="1"/>
  <c r="L12"/>
  <c r="L18" s="1"/>
  <c r="I12"/>
  <c r="I18" s="1"/>
  <c r="F12"/>
  <c r="F18" s="1"/>
  <c r="Q11"/>
  <c r="N11"/>
  <c r="K11"/>
  <c r="H11"/>
  <c r="E11"/>
  <c r="S10"/>
  <c r="R10"/>
  <c r="O10"/>
  <c r="L10"/>
  <c r="I10"/>
  <c r="F10"/>
  <c r="S9"/>
  <c r="U9" s="1"/>
  <c r="R9"/>
  <c r="R11" s="1"/>
  <c r="O9"/>
  <c r="O11" s="1"/>
  <c r="L9"/>
  <c r="L11" s="1"/>
  <c r="I9"/>
  <c r="I11" s="1"/>
  <c r="F9"/>
  <c r="F11" s="1"/>
  <c r="Q8"/>
  <c r="N8"/>
  <c r="K8"/>
  <c r="H8"/>
  <c r="E8"/>
  <c r="S7"/>
  <c r="U7" s="1"/>
  <c r="R7"/>
  <c r="O7"/>
  <c r="L7"/>
  <c r="I7"/>
  <c r="F7"/>
  <c r="S6"/>
  <c r="S8" s="1"/>
  <c r="R6"/>
  <c r="O6"/>
  <c r="O8" s="1"/>
  <c r="L6"/>
  <c r="I6"/>
  <c r="F6"/>
  <c r="S3"/>
  <c r="U3" s="1"/>
  <c r="R3"/>
  <c r="O3"/>
  <c r="L3"/>
  <c r="I3"/>
  <c r="F3"/>
  <c r="P1"/>
  <c r="U2" s="1"/>
  <c r="S349" i="28"/>
  <c r="U349" s="1"/>
  <c r="U350" s="1"/>
  <c r="R349"/>
  <c r="O349"/>
  <c r="O350" s="1"/>
  <c r="L349"/>
  <c r="I349"/>
  <c r="I350" s="1"/>
  <c r="F349"/>
  <c r="F350" s="1"/>
  <c r="S347"/>
  <c r="U347" s="1"/>
  <c r="R347"/>
  <c r="O347"/>
  <c r="L347"/>
  <c r="I347"/>
  <c r="F347"/>
  <c r="S340"/>
  <c r="U340" s="1"/>
  <c r="R340"/>
  <c r="O340"/>
  <c r="L340"/>
  <c r="I340"/>
  <c r="F340"/>
  <c r="S339"/>
  <c r="U339" s="1"/>
  <c r="U348" s="1"/>
  <c r="R339"/>
  <c r="O339"/>
  <c r="O348" s="1"/>
  <c r="L339"/>
  <c r="I339"/>
  <c r="I348" s="1"/>
  <c r="F339"/>
  <c r="F348" s="1"/>
  <c r="S337"/>
  <c r="R337"/>
  <c r="R338" s="1"/>
  <c r="O337"/>
  <c r="O338" s="1"/>
  <c r="L337"/>
  <c r="I337"/>
  <c r="I338" s="1"/>
  <c r="F337"/>
  <c r="F338" s="1"/>
  <c r="S334"/>
  <c r="U334" s="1"/>
  <c r="R334"/>
  <c r="O334"/>
  <c r="L334"/>
  <c r="I334"/>
  <c r="F334"/>
  <c r="S328"/>
  <c r="U328" s="1"/>
  <c r="R328"/>
  <c r="O328"/>
  <c r="L328"/>
  <c r="I328"/>
  <c r="F328"/>
  <c r="S327"/>
  <c r="U327" s="1"/>
  <c r="U335" s="1"/>
  <c r="R327"/>
  <c r="O327"/>
  <c r="O335" s="1"/>
  <c r="L327"/>
  <c r="I327"/>
  <c r="I335" s="1"/>
  <c r="F327"/>
  <c r="F335" s="1"/>
  <c r="S325"/>
  <c r="U325" s="1"/>
  <c r="R325"/>
  <c r="O325"/>
  <c r="L325"/>
  <c r="I325"/>
  <c r="F325"/>
  <c r="S319"/>
  <c r="U319" s="1"/>
  <c r="R319"/>
  <c r="O319"/>
  <c r="L319"/>
  <c r="I319"/>
  <c r="F319"/>
  <c r="S315"/>
  <c r="U315" s="1"/>
  <c r="R315"/>
  <c r="O315"/>
  <c r="L315"/>
  <c r="I315"/>
  <c r="F315"/>
  <c r="S313"/>
  <c r="U313" s="1"/>
  <c r="U314" s="1"/>
  <c r="R313"/>
  <c r="R314" s="1"/>
  <c r="O313"/>
  <c r="O314" s="1"/>
  <c r="L313"/>
  <c r="L314" s="1"/>
  <c r="I313"/>
  <c r="I314" s="1"/>
  <c r="F313"/>
  <c r="S311"/>
  <c r="U311" s="1"/>
  <c r="R311"/>
  <c r="O311"/>
  <c r="L311"/>
  <c r="I311"/>
  <c r="F311"/>
  <c r="S310"/>
  <c r="U310" s="1"/>
  <c r="U312" s="1"/>
  <c r="R310"/>
  <c r="R312" s="1"/>
  <c r="O310"/>
  <c r="O312" s="1"/>
  <c r="L310"/>
  <c r="L312" s="1"/>
  <c r="I310"/>
  <c r="I312" s="1"/>
  <c r="F310"/>
  <c r="S308"/>
  <c r="U308" s="1"/>
  <c r="R308"/>
  <c r="O308"/>
  <c r="L308"/>
  <c r="I308"/>
  <c r="F308"/>
  <c r="S303"/>
  <c r="U303" s="1"/>
  <c r="U309" s="1"/>
  <c r="R303"/>
  <c r="R309" s="1"/>
  <c r="O303"/>
  <c r="O309" s="1"/>
  <c r="L303"/>
  <c r="L309" s="1"/>
  <c r="I303"/>
  <c r="I309" s="1"/>
  <c r="F303"/>
  <c r="S301"/>
  <c r="U301" s="1"/>
  <c r="R301"/>
  <c r="O301"/>
  <c r="L301"/>
  <c r="I301"/>
  <c r="F301"/>
  <c r="S270"/>
  <c r="U270" s="1"/>
  <c r="R270"/>
  <c r="O270"/>
  <c r="L270"/>
  <c r="I270"/>
  <c r="F270"/>
  <c r="S269"/>
  <c r="U269" s="1"/>
  <c r="R269"/>
  <c r="O269"/>
  <c r="L269"/>
  <c r="I269"/>
  <c r="F269"/>
  <c r="S268"/>
  <c r="U268" s="1"/>
  <c r="R268"/>
  <c r="O268"/>
  <c r="L268"/>
  <c r="I268"/>
  <c r="F268"/>
  <c r="S267"/>
  <c r="U267" s="1"/>
  <c r="R267"/>
  <c r="O267"/>
  <c r="L267"/>
  <c r="I267"/>
  <c r="F267"/>
  <c r="S266"/>
  <c r="U266" s="1"/>
  <c r="R266"/>
  <c r="O266"/>
  <c r="L266"/>
  <c r="I266"/>
  <c r="F266"/>
  <c r="S265"/>
  <c r="U265" s="1"/>
  <c r="R265"/>
  <c r="O265"/>
  <c r="L265"/>
  <c r="I265"/>
  <c r="F265"/>
  <c r="S264"/>
  <c r="U264" s="1"/>
  <c r="R264"/>
  <c r="O264"/>
  <c r="L264"/>
  <c r="I264"/>
  <c r="F264"/>
  <c r="S263"/>
  <c r="U263" s="1"/>
  <c r="R263"/>
  <c r="O263"/>
  <c r="L263"/>
  <c r="I263"/>
  <c r="F263"/>
  <c r="S262"/>
  <c r="U262" s="1"/>
  <c r="U302" s="1"/>
  <c r="R262"/>
  <c r="O262"/>
  <c r="O302" s="1"/>
  <c r="L262"/>
  <c r="L302" s="1"/>
  <c r="I262"/>
  <c r="I302" s="1"/>
  <c r="F262"/>
  <c r="S260"/>
  <c r="U260" s="1"/>
  <c r="R260"/>
  <c r="O260"/>
  <c r="L260"/>
  <c r="I260"/>
  <c r="F260"/>
  <c r="S256"/>
  <c r="U256" s="1"/>
  <c r="R256"/>
  <c r="O256"/>
  <c r="L256"/>
  <c r="I256"/>
  <c r="F256"/>
  <c r="S255"/>
  <c r="U255" s="1"/>
  <c r="R255"/>
  <c r="O255"/>
  <c r="L255"/>
  <c r="I255"/>
  <c r="F255"/>
  <c r="S254"/>
  <c r="U254" s="1"/>
  <c r="U261" s="1"/>
  <c r="R254"/>
  <c r="O254"/>
  <c r="O261" s="1"/>
  <c r="L254"/>
  <c r="I254"/>
  <c r="F254"/>
  <c r="S252"/>
  <c r="U252" s="1"/>
  <c r="R252"/>
  <c r="O252"/>
  <c r="L252"/>
  <c r="I252"/>
  <c r="F252"/>
  <c r="S249"/>
  <c r="U249" s="1"/>
  <c r="R249"/>
  <c r="O249"/>
  <c r="L249"/>
  <c r="I249"/>
  <c r="F249"/>
  <c r="S248"/>
  <c r="U248" s="1"/>
  <c r="R248"/>
  <c r="O248"/>
  <c r="L248"/>
  <c r="I248"/>
  <c r="F248"/>
  <c r="S247"/>
  <c r="U247" s="1"/>
  <c r="U253" s="1"/>
  <c r="R247"/>
  <c r="O247"/>
  <c r="O253" s="1"/>
  <c r="L247"/>
  <c r="I247"/>
  <c r="I253" s="1"/>
  <c r="F247"/>
  <c r="F253" s="1"/>
  <c r="S245"/>
  <c r="U245" s="1"/>
  <c r="R245"/>
  <c r="O245"/>
  <c r="L245"/>
  <c r="I245"/>
  <c r="F245"/>
  <c r="S237"/>
  <c r="U237" s="1"/>
  <c r="R237"/>
  <c r="O237"/>
  <c r="L237"/>
  <c r="I237"/>
  <c r="F237"/>
  <c r="S236"/>
  <c r="U236" s="1"/>
  <c r="R236"/>
  <c r="O236"/>
  <c r="L236"/>
  <c r="I236"/>
  <c r="F236"/>
  <c r="S233"/>
  <c r="U233" s="1"/>
  <c r="U246" s="1"/>
  <c r="R233"/>
  <c r="O233"/>
  <c r="O246" s="1"/>
  <c r="L233"/>
  <c r="I233"/>
  <c r="I246" s="1"/>
  <c r="F233"/>
  <c r="F246" s="1"/>
  <c r="S231"/>
  <c r="U231" s="1"/>
  <c r="R231"/>
  <c r="O231"/>
  <c r="L231"/>
  <c r="I231"/>
  <c r="F231"/>
  <c r="S226"/>
  <c r="U226" s="1"/>
  <c r="R226"/>
  <c r="O226"/>
  <c r="L226"/>
  <c r="I226"/>
  <c r="F226"/>
  <c r="S225"/>
  <c r="U225" s="1"/>
  <c r="R225"/>
  <c r="O225"/>
  <c r="L225"/>
  <c r="I225"/>
  <c r="F225"/>
  <c r="S222"/>
  <c r="U222" s="1"/>
  <c r="U232" s="1"/>
  <c r="R222"/>
  <c r="O222"/>
  <c r="O232" s="1"/>
  <c r="L222"/>
  <c r="I222"/>
  <c r="I232" s="1"/>
  <c r="F222"/>
  <c r="F232" s="1"/>
  <c r="S220"/>
  <c r="U220" s="1"/>
  <c r="R220"/>
  <c r="O220"/>
  <c r="L220"/>
  <c r="I220"/>
  <c r="F220"/>
  <c r="S216"/>
  <c r="U216" s="1"/>
  <c r="R216"/>
  <c r="O216"/>
  <c r="L216"/>
  <c r="I216"/>
  <c r="F216"/>
  <c r="S215"/>
  <c r="U215" s="1"/>
  <c r="U221" s="1"/>
  <c r="R215"/>
  <c r="R221" s="1"/>
  <c r="O215"/>
  <c r="O221" s="1"/>
  <c r="L215"/>
  <c r="I215"/>
  <c r="F215"/>
  <c r="F221" s="1"/>
  <c r="S213"/>
  <c r="U213" s="1"/>
  <c r="R213"/>
  <c r="O213"/>
  <c r="L213"/>
  <c r="I213"/>
  <c r="F213"/>
  <c r="S207"/>
  <c r="U207" s="1"/>
  <c r="R207"/>
  <c r="O207"/>
  <c r="L207"/>
  <c r="I207"/>
  <c r="F207"/>
  <c r="S204"/>
  <c r="U204" s="1"/>
  <c r="R204"/>
  <c r="O204"/>
  <c r="L204"/>
  <c r="I204"/>
  <c r="F204"/>
  <c r="S203"/>
  <c r="U203" s="1"/>
  <c r="U214" s="1"/>
  <c r="R203"/>
  <c r="R214" s="1"/>
  <c r="O203"/>
  <c r="O214" s="1"/>
  <c r="L203"/>
  <c r="I203"/>
  <c r="I214" s="1"/>
  <c r="F203"/>
  <c r="S201"/>
  <c r="U201" s="1"/>
  <c r="R201"/>
  <c r="O201"/>
  <c r="L201"/>
  <c r="I201"/>
  <c r="F201"/>
  <c r="S189"/>
  <c r="U189" s="1"/>
  <c r="R189"/>
  <c r="O189"/>
  <c r="L189"/>
  <c r="I189"/>
  <c r="F189"/>
  <c r="S188"/>
  <c r="U188" s="1"/>
  <c r="R188"/>
  <c r="O188"/>
  <c r="L188"/>
  <c r="I188"/>
  <c r="F188"/>
  <c r="S187"/>
  <c r="U187" s="1"/>
  <c r="R187"/>
  <c r="O187"/>
  <c r="L187"/>
  <c r="I187"/>
  <c r="F187"/>
  <c r="S186"/>
  <c r="U186" s="1"/>
  <c r="R186"/>
  <c r="O186"/>
  <c r="L186"/>
  <c r="I186"/>
  <c r="F186"/>
  <c r="S185"/>
  <c r="U185" s="1"/>
  <c r="R185"/>
  <c r="O185"/>
  <c r="L185"/>
  <c r="I185"/>
  <c r="F185"/>
  <c r="S184"/>
  <c r="U184" s="1"/>
  <c r="R184"/>
  <c r="O184"/>
  <c r="L184"/>
  <c r="I184"/>
  <c r="F184"/>
  <c r="S183"/>
  <c r="U183" s="1"/>
  <c r="R183"/>
  <c r="O183"/>
  <c r="L183"/>
  <c r="I183"/>
  <c r="F183"/>
  <c r="S182"/>
  <c r="U182" s="1"/>
  <c r="U202" s="1"/>
  <c r="R182"/>
  <c r="O182"/>
  <c r="L182"/>
  <c r="I182"/>
  <c r="I202" s="1"/>
  <c r="F182"/>
  <c r="S180"/>
  <c r="U180" s="1"/>
  <c r="U181" s="1"/>
  <c r="R180"/>
  <c r="O180"/>
  <c r="O181" s="1"/>
  <c r="L180"/>
  <c r="I180"/>
  <c r="I181" s="1"/>
  <c r="F180"/>
  <c r="F181" s="1"/>
  <c r="S178"/>
  <c r="U178" s="1"/>
  <c r="R178"/>
  <c r="O178"/>
  <c r="L178"/>
  <c r="I178"/>
  <c r="F178"/>
  <c r="S176"/>
  <c r="U176" s="1"/>
  <c r="R176"/>
  <c r="O176"/>
  <c r="L176"/>
  <c r="I176"/>
  <c r="F176"/>
  <c r="S175"/>
  <c r="U175" s="1"/>
  <c r="R175"/>
  <c r="O175"/>
  <c r="L175"/>
  <c r="I175"/>
  <c r="F175"/>
  <c r="S174"/>
  <c r="U174" s="1"/>
  <c r="R174"/>
  <c r="O174"/>
  <c r="L174"/>
  <c r="I174"/>
  <c r="F174"/>
  <c r="S173"/>
  <c r="U173" s="1"/>
  <c r="U179" s="1"/>
  <c r="R173"/>
  <c r="O173"/>
  <c r="O179" s="1"/>
  <c r="L173"/>
  <c r="I173"/>
  <c r="I179" s="1"/>
  <c r="F173"/>
  <c r="F179" s="1"/>
  <c r="S171"/>
  <c r="U171" s="1"/>
  <c r="R171"/>
  <c r="O171"/>
  <c r="L171"/>
  <c r="I171"/>
  <c r="F171"/>
  <c r="S167"/>
  <c r="U167" s="1"/>
  <c r="R167"/>
  <c r="O167"/>
  <c r="L167"/>
  <c r="I167"/>
  <c r="F167"/>
  <c r="S166"/>
  <c r="U166" s="1"/>
  <c r="R166"/>
  <c r="O166"/>
  <c r="L166"/>
  <c r="I166"/>
  <c r="F166"/>
  <c r="S165"/>
  <c r="U165" s="1"/>
  <c r="R165"/>
  <c r="O165"/>
  <c r="L165"/>
  <c r="I165"/>
  <c r="F165"/>
  <c r="S164"/>
  <c r="U164" s="1"/>
  <c r="U172" s="1"/>
  <c r="R164"/>
  <c r="O164"/>
  <c r="L164"/>
  <c r="I164"/>
  <c r="I172" s="1"/>
  <c r="F164"/>
  <c r="F172" s="1"/>
  <c r="S162"/>
  <c r="U162" s="1"/>
  <c r="R162"/>
  <c r="O162"/>
  <c r="L162"/>
  <c r="I162"/>
  <c r="F162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U163" s="1"/>
  <c r="R155"/>
  <c r="O155"/>
  <c r="O163" s="1"/>
  <c r="L155"/>
  <c r="I155"/>
  <c r="F155"/>
  <c r="F163" s="1"/>
  <c r="S153"/>
  <c r="U153" s="1"/>
  <c r="R153"/>
  <c r="O153"/>
  <c r="L153"/>
  <c r="I153"/>
  <c r="F153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U154" s="1"/>
  <c r="R128"/>
  <c r="O128"/>
  <c r="L128"/>
  <c r="I128"/>
  <c r="I154" s="1"/>
  <c r="F128"/>
  <c r="F154" s="1"/>
  <c r="S126"/>
  <c r="U126" s="1"/>
  <c r="R126"/>
  <c r="O126"/>
  <c r="L126"/>
  <c r="I126"/>
  <c r="F126"/>
  <c r="S123"/>
  <c r="U123" s="1"/>
  <c r="R123"/>
  <c r="O123"/>
  <c r="L123"/>
  <c r="I123"/>
  <c r="F123"/>
  <c r="S122"/>
  <c r="U122" s="1"/>
  <c r="U127" s="1"/>
  <c r="R122"/>
  <c r="O122"/>
  <c r="O127" s="1"/>
  <c r="L122"/>
  <c r="I122"/>
  <c r="I127" s="1"/>
  <c r="F122"/>
  <c r="F127" s="1"/>
  <c r="S120"/>
  <c r="U120" s="1"/>
  <c r="R120"/>
  <c r="O120"/>
  <c r="L120"/>
  <c r="I120"/>
  <c r="F120"/>
  <c r="S119"/>
  <c r="U119" s="1"/>
  <c r="U121" s="1"/>
  <c r="R119"/>
  <c r="O119"/>
  <c r="O121" s="1"/>
  <c r="L119"/>
  <c r="I119"/>
  <c r="I121" s="1"/>
  <c r="F119"/>
  <c r="F121" s="1"/>
  <c r="S117"/>
  <c r="U117" s="1"/>
  <c r="O117"/>
  <c r="L117"/>
  <c r="I117"/>
  <c r="F117"/>
  <c r="U103"/>
  <c r="R103"/>
  <c r="O103"/>
  <c r="L103"/>
  <c r="I103"/>
  <c r="F103"/>
  <c r="U102"/>
  <c r="R102"/>
  <c r="O102"/>
  <c r="L102"/>
  <c r="I102"/>
  <c r="F102"/>
  <c r="R101"/>
  <c r="O101"/>
  <c r="L101"/>
  <c r="I101"/>
  <c r="F101"/>
  <c r="S99"/>
  <c r="U99" s="1"/>
  <c r="R99"/>
  <c r="O99"/>
  <c r="L99"/>
  <c r="I99"/>
  <c r="F99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U100" s="1"/>
  <c r="R77"/>
  <c r="O77"/>
  <c r="O100" s="1"/>
  <c r="L77"/>
  <c r="I77"/>
  <c r="I100" s="1"/>
  <c r="F77"/>
  <c r="F100" s="1"/>
  <c r="S75"/>
  <c r="U75" s="1"/>
  <c r="R75"/>
  <c r="O75"/>
  <c r="L75"/>
  <c r="I75"/>
  <c r="F75"/>
  <c r="S65"/>
  <c r="U65" s="1"/>
  <c r="U76" s="1"/>
  <c r="R65"/>
  <c r="R76" s="1"/>
  <c r="O65"/>
  <c r="O76" s="1"/>
  <c r="L65"/>
  <c r="L76" s="1"/>
  <c r="I65"/>
  <c r="I76" s="1"/>
  <c r="F65"/>
  <c r="F76" s="1"/>
  <c r="S63"/>
  <c r="U63" s="1"/>
  <c r="R63"/>
  <c r="O63"/>
  <c r="L63"/>
  <c r="I63"/>
  <c r="F63"/>
  <c r="S62"/>
  <c r="U62" s="1"/>
  <c r="U64" s="1"/>
  <c r="R62"/>
  <c r="R64" s="1"/>
  <c r="O62"/>
  <c r="O64" s="1"/>
  <c r="L62"/>
  <c r="L64" s="1"/>
  <c r="I62"/>
  <c r="I64" s="1"/>
  <c r="F62"/>
  <c r="S58"/>
  <c r="R58"/>
  <c r="R61" s="1"/>
  <c r="O58"/>
  <c r="O61" s="1"/>
  <c r="L58"/>
  <c r="L61" s="1"/>
  <c r="I58"/>
  <c r="I61" s="1"/>
  <c r="F58"/>
  <c r="F61" s="1"/>
  <c r="S56"/>
  <c r="U56" s="1"/>
  <c r="R56"/>
  <c r="O56"/>
  <c r="L56"/>
  <c r="I56"/>
  <c r="F5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R29"/>
  <c r="R57" s="1"/>
  <c r="O29"/>
  <c r="O57" s="1"/>
  <c r="L29"/>
  <c r="L57" s="1"/>
  <c r="I29"/>
  <c r="I57" s="1"/>
  <c r="F29"/>
  <c r="F57" s="1"/>
  <c r="S27"/>
  <c r="U27" s="1"/>
  <c r="R27"/>
  <c r="O27"/>
  <c r="L27"/>
  <c r="I27"/>
  <c r="F27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U28" s="1"/>
  <c r="R17"/>
  <c r="R28" s="1"/>
  <c r="O17"/>
  <c r="O28" s="1"/>
  <c r="L17"/>
  <c r="I17"/>
  <c r="I28" s="1"/>
  <c r="F17"/>
  <c r="S15"/>
  <c r="U15" s="1"/>
  <c r="R15"/>
  <c r="O15"/>
  <c r="L15"/>
  <c r="I15"/>
  <c r="F15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6" s="1"/>
  <c r="R6"/>
  <c r="O6"/>
  <c r="L6"/>
  <c r="I6"/>
  <c r="F6"/>
  <c r="S350"/>
  <c r="S214"/>
  <c r="R350"/>
  <c r="Q350"/>
  <c r="R348"/>
  <c r="Q348"/>
  <c r="Q335"/>
  <c r="Q326"/>
  <c r="Q314"/>
  <c r="Q312"/>
  <c r="Q309"/>
  <c r="R302"/>
  <c r="Q302"/>
  <c r="R261"/>
  <c r="Q261"/>
  <c r="R253"/>
  <c r="Q253"/>
  <c r="R246"/>
  <c r="Q246"/>
  <c r="Q232"/>
  <c r="Q221"/>
  <c r="Q214"/>
  <c r="Q202"/>
  <c r="R181"/>
  <c r="Q181"/>
  <c r="R179"/>
  <c r="Q179"/>
  <c r="R172"/>
  <c r="Q172"/>
  <c r="R163"/>
  <c r="Q163"/>
  <c r="R154"/>
  <c r="Q154"/>
  <c r="R127"/>
  <c r="Q127"/>
  <c r="R121"/>
  <c r="Q121"/>
  <c r="Q100"/>
  <c r="Q76"/>
  <c r="Q64"/>
  <c r="Q28"/>
  <c r="Q16"/>
  <c r="N350"/>
  <c r="N348"/>
  <c r="N335"/>
  <c r="N326"/>
  <c r="N314"/>
  <c r="N312"/>
  <c r="N309"/>
  <c r="N302"/>
  <c r="N253"/>
  <c r="N246"/>
  <c r="N232"/>
  <c r="N221"/>
  <c r="N214"/>
  <c r="N202"/>
  <c r="N181"/>
  <c r="N179"/>
  <c r="N172"/>
  <c r="N163"/>
  <c r="N127"/>
  <c r="N121"/>
  <c r="N118"/>
  <c r="N100"/>
  <c r="N76"/>
  <c r="N64"/>
  <c r="N28"/>
  <c r="N16"/>
  <c r="L350"/>
  <c r="K350"/>
  <c r="L348"/>
  <c r="K348"/>
  <c r="K335"/>
  <c r="K326"/>
  <c r="K314"/>
  <c r="K312"/>
  <c r="K309"/>
  <c r="K302"/>
  <c r="K261"/>
  <c r="L253"/>
  <c r="K253"/>
  <c r="L246"/>
  <c r="K246"/>
  <c r="L232"/>
  <c r="K232"/>
  <c r="L221"/>
  <c r="K221"/>
  <c r="L214"/>
  <c r="K214"/>
  <c r="L202"/>
  <c r="K202"/>
  <c r="L181"/>
  <c r="K181"/>
  <c r="L179"/>
  <c r="K179"/>
  <c r="L172"/>
  <c r="K172"/>
  <c r="L163"/>
  <c r="K163"/>
  <c r="L154"/>
  <c r="K154"/>
  <c r="L127"/>
  <c r="K127"/>
  <c r="L121"/>
  <c r="K121"/>
  <c r="K118"/>
  <c r="K100"/>
  <c r="K76"/>
  <c r="K64"/>
  <c r="K28"/>
  <c r="K16"/>
  <c r="H350"/>
  <c r="H348"/>
  <c r="H335"/>
  <c r="H326"/>
  <c r="H314"/>
  <c r="H312"/>
  <c r="H309"/>
  <c r="H302"/>
  <c r="H261"/>
  <c r="H253"/>
  <c r="H246"/>
  <c r="H232"/>
  <c r="H221"/>
  <c r="H214"/>
  <c r="H202"/>
  <c r="H181"/>
  <c r="H179"/>
  <c r="H172"/>
  <c r="H163"/>
  <c r="H154"/>
  <c r="H127"/>
  <c r="H121"/>
  <c r="H100"/>
  <c r="H76"/>
  <c r="H64"/>
  <c r="H28"/>
  <c r="H16"/>
  <c r="E350"/>
  <c r="E348"/>
  <c r="E335"/>
  <c r="E326"/>
  <c r="F314"/>
  <c r="E314"/>
  <c r="F312"/>
  <c r="E312"/>
  <c r="F309"/>
  <c r="E309"/>
  <c r="F302"/>
  <c r="E302"/>
  <c r="E261"/>
  <c r="E253"/>
  <c r="E246"/>
  <c r="E232"/>
  <c r="E221"/>
  <c r="F214"/>
  <c r="E214"/>
  <c r="E202"/>
  <c r="E181"/>
  <c r="E179"/>
  <c r="E172"/>
  <c r="E163"/>
  <c r="E154"/>
  <c r="E127"/>
  <c r="E121"/>
  <c r="E100"/>
  <c r="E76"/>
  <c r="F64"/>
  <c r="E64"/>
  <c r="F28"/>
  <c r="E28"/>
  <c r="E16"/>
  <c r="R131" i="29"/>
  <c r="O131"/>
  <c r="L131"/>
  <c r="I131"/>
  <c r="F131"/>
  <c r="U132"/>
  <c r="R107"/>
  <c r="O107"/>
  <c r="O132" s="1"/>
  <c r="L107"/>
  <c r="I107"/>
  <c r="I132" s="1"/>
  <c r="F107"/>
  <c r="U106"/>
  <c r="R105"/>
  <c r="O105"/>
  <c r="O106" s="1"/>
  <c r="L105"/>
  <c r="I105"/>
  <c r="I106" s="1"/>
  <c r="F105"/>
  <c r="R103"/>
  <c r="O103"/>
  <c r="L103"/>
  <c r="I103"/>
  <c r="F103"/>
  <c r="U104"/>
  <c r="R101"/>
  <c r="R104" s="1"/>
  <c r="O101"/>
  <c r="L101"/>
  <c r="L104" s="1"/>
  <c r="I101"/>
  <c r="F101"/>
  <c r="H100"/>
  <c r="K100"/>
  <c r="N100"/>
  <c r="Q100"/>
  <c r="R99"/>
  <c r="O99"/>
  <c r="L99"/>
  <c r="I99"/>
  <c r="F99"/>
  <c r="S100"/>
  <c r="R90"/>
  <c r="R100" s="1"/>
  <c r="O90"/>
  <c r="O100" s="1"/>
  <c r="L90"/>
  <c r="L100" s="1"/>
  <c r="I90"/>
  <c r="F90"/>
  <c r="U89"/>
  <c r="R88"/>
  <c r="O88"/>
  <c r="O89" s="1"/>
  <c r="L88"/>
  <c r="I88"/>
  <c r="I89" s="1"/>
  <c r="F88"/>
  <c r="F89" s="1"/>
  <c r="R83"/>
  <c r="R87" s="1"/>
  <c r="O83"/>
  <c r="O87" s="1"/>
  <c r="L83"/>
  <c r="L87" s="1"/>
  <c r="I83"/>
  <c r="F83"/>
  <c r="F87" s="1"/>
  <c r="U82"/>
  <c r="R81"/>
  <c r="R82" s="1"/>
  <c r="O81"/>
  <c r="O82" s="1"/>
  <c r="L81"/>
  <c r="L82" s="1"/>
  <c r="I81"/>
  <c r="F81"/>
  <c r="F82" s="1"/>
  <c r="U80"/>
  <c r="R79"/>
  <c r="R80" s="1"/>
  <c r="O79"/>
  <c r="O80" s="1"/>
  <c r="L79"/>
  <c r="L80" s="1"/>
  <c r="I79"/>
  <c r="F79"/>
  <c r="F80" s="1"/>
  <c r="U78"/>
  <c r="R77"/>
  <c r="R78" s="1"/>
  <c r="O77"/>
  <c r="O78" s="1"/>
  <c r="L77"/>
  <c r="L78" s="1"/>
  <c r="I77"/>
  <c r="I78" s="1"/>
  <c r="F77"/>
  <c r="F78" s="1"/>
  <c r="U76"/>
  <c r="R75"/>
  <c r="R76" s="1"/>
  <c r="O75"/>
  <c r="O76" s="1"/>
  <c r="L75"/>
  <c r="L76" s="1"/>
  <c r="I75"/>
  <c r="I76" s="1"/>
  <c r="F75"/>
  <c r="F76" s="1"/>
  <c r="U74"/>
  <c r="R73"/>
  <c r="R74" s="1"/>
  <c r="O73"/>
  <c r="O74" s="1"/>
  <c r="L73"/>
  <c r="L74" s="1"/>
  <c r="I73"/>
  <c r="I74" s="1"/>
  <c r="F73"/>
  <c r="F74" s="1"/>
  <c r="U72"/>
  <c r="R71"/>
  <c r="R72" s="1"/>
  <c r="O71"/>
  <c r="O72" s="1"/>
  <c r="L71"/>
  <c r="L72" s="1"/>
  <c r="I71"/>
  <c r="I72" s="1"/>
  <c r="F71"/>
  <c r="F72" s="1"/>
  <c r="S70"/>
  <c r="R66"/>
  <c r="R70" s="1"/>
  <c r="O66"/>
  <c r="O70" s="1"/>
  <c r="L66"/>
  <c r="L70" s="1"/>
  <c r="I66"/>
  <c r="F66"/>
  <c r="F70" s="1"/>
  <c r="R62"/>
  <c r="R65" s="1"/>
  <c r="O62"/>
  <c r="O65" s="1"/>
  <c r="L62"/>
  <c r="L65" s="1"/>
  <c r="I62"/>
  <c r="F62"/>
  <c r="F65" s="1"/>
  <c r="U61"/>
  <c r="R58"/>
  <c r="R61" s="1"/>
  <c r="O58"/>
  <c r="O61" s="1"/>
  <c r="L58"/>
  <c r="L61" s="1"/>
  <c r="I58"/>
  <c r="F58"/>
  <c r="F61" s="1"/>
  <c r="R54"/>
  <c r="R57" s="1"/>
  <c r="O54"/>
  <c r="O57" s="1"/>
  <c r="L54"/>
  <c r="I54"/>
  <c r="I57" s="1"/>
  <c r="F54"/>
  <c r="F57" s="1"/>
  <c r="R52"/>
  <c r="O52"/>
  <c r="L52"/>
  <c r="I52"/>
  <c r="F52"/>
  <c r="R50"/>
  <c r="O50"/>
  <c r="L50"/>
  <c r="I50"/>
  <c r="F50"/>
  <c r="R45"/>
  <c r="R49" s="1"/>
  <c r="O45"/>
  <c r="O49" s="1"/>
  <c r="L45"/>
  <c r="L49" s="1"/>
  <c r="I45"/>
  <c r="I49" s="1"/>
  <c r="F45"/>
  <c r="F49" s="1"/>
  <c r="R43"/>
  <c r="O43"/>
  <c r="L43"/>
  <c r="I43"/>
  <c r="F43"/>
  <c r="R42"/>
  <c r="O42"/>
  <c r="L42"/>
  <c r="I42"/>
  <c r="F42"/>
  <c r="R41"/>
  <c r="O41"/>
  <c r="L41"/>
  <c r="I41"/>
  <c r="F41"/>
  <c r="R40"/>
  <c r="O40"/>
  <c r="L40"/>
  <c r="I40"/>
  <c r="F40"/>
  <c r="R38"/>
  <c r="O38"/>
  <c r="L38"/>
  <c r="I38"/>
  <c r="F38"/>
  <c r="R37"/>
  <c r="O37"/>
  <c r="L37"/>
  <c r="I37"/>
  <c r="F37"/>
  <c r="U39"/>
  <c r="R36"/>
  <c r="O36"/>
  <c r="L36"/>
  <c r="I36"/>
  <c r="F36"/>
  <c r="R34"/>
  <c r="O34"/>
  <c r="L34"/>
  <c r="I34"/>
  <c r="F34"/>
  <c r="R33"/>
  <c r="O33"/>
  <c r="L33"/>
  <c r="I33"/>
  <c r="F33"/>
  <c r="R32"/>
  <c r="O32"/>
  <c r="L32"/>
  <c r="I32"/>
  <c r="F32"/>
  <c r="U35"/>
  <c r="R31"/>
  <c r="O31"/>
  <c r="L31"/>
  <c r="I31"/>
  <c r="F31"/>
  <c r="R29"/>
  <c r="O29"/>
  <c r="L29"/>
  <c r="I29"/>
  <c r="F29"/>
  <c r="U30"/>
  <c r="R28"/>
  <c r="R30" s="1"/>
  <c r="O28"/>
  <c r="O30" s="1"/>
  <c r="L28"/>
  <c r="L30" s="1"/>
  <c r="I28"/>
  <c r="F28"/>
  <c r="F30" s="1"/>
  <c r="R26"/>
  <c r="O26"/>
  <c r="L26"/>
  <c r="I26"/>
  <c r="F26"/>
  <c r="R24"/>
  <c r="O24"/>
  <c r="L24"/>
  <c r="I24"/>
  <c r="F24"/>
  <c r="R23"/>
  <c r="O23"/>
  <c r="L23"/>
  <c r="I23"/>
  <c r="F23"/>
  <c r="U27"/>
  <c r="R22"/>
  <c r="O22"/>
  <c r="L22"/>
  <c r="I22"/>
  <c r="F22"/>
  <c r="R20"/>
  <c r="O20"/>
  <c r="L20"/>
  <c r="I20"/>
  <c r="F20"/>
  <c r="R12"/>
  <c r="O12"/>
  <c r="L12"/>
  <c r="I12"/>
  <c r="F12"/>
  <c r="U21"/>
  <c r="R11"/>
  <c r="O11"/>
  <c r="L11"/>
  <c r="I11"/>
  <c r="F11"/>
  <c r="R9"/>
  <c r="O9"/>
  <c r="L9"/>
  <c r="I9"/>
  <c r="F9"/>
  <c r="R7"/>
  <c r="O7"/>
  <c r="L7"/>
  <c r="I7"/>
  <c r="F7"/>
  <c r="R6"/>
  <c r="O6"/>
  <c r="L6"/>
  <c r="I6"/>
  <c r="F6"/>
  <c r="S132"/>
  <c r="S106"/>
  <c r="S89"/>
  <c r="S82"/>
  <c r="S76"/>
  <c r="S74"/>
  <c r="S72"/>
  <c r="S57"/>
  <c r="S30"/>
  <c r="R132"/>
  <c r="Q132"/>
  <c r="R106"/>
  <c r="Q106"/>
  <c r="R89"/>
  <c r="Q89"/>
  <c r="Q82"/>
  <c r="Q80"/>
  <c r="Q78"/>
  <c r="Q76"/>
  <c r="Q74"/>
  <c r="Q72"/>
  <c r="Q57"/>
  <c r="Q53"/>
  <c r="Q39"/>
  <c r="Q35"/>
  <c r="Q30"/>
  <c r="Q27"/>
  <c r="Q21"/>
  <c r="Q10"/>
  <c r="N132"/>
  <c r="N106"/>
  <c r="N89"/>
  <c r="N82"/>
  <c r="N80"/>
  <c r="N78"/>
  <c r="N76"/>
  <c r="N74"/>
  <c r="N72"/>
  <c r="N57"/>
  <c r="N53"/>
  <c r="N39"/>
  <c r="N35"/>
  <c r="N27"/>
  <c r="N21"/>
  <c r="N10"/>
  <c r="L132"/>
  <c r="K132"/>
  <c r="L106"/>
  <c r="K106"/>
  <c r="L89"/>
  <c r="K89"/>
  <c r="K82"/>
  <c r="K80"/>
  <c r="K78"/>
  <c r="K76"/>
  <c r="K74"/>
  <c r="K72"/>
  <c r="K57"/>
  <c r="K53"/>
  <c r="K39"/>
  <c r="K30"/>
  <c r="K27"/>
  <c r="K21"/>
  <c r="K10"/>
  <c r="H132"/>
  <c r="H106"/>
  <c r="H89"/>
  <c r="I82"/>
  <c r="H82"/>
  <c r="H80"/>
  <c r="H78"/>
  <c r="H76"/>
  <c r="H74"/>
  <c r="H72"/>
  <c r="H57"/>
  <c r="H53"/>
  <c r="H39"/>
  <c r="H35"/>
  <c r="H30"/>
  <c r="H27"/>
  <c r="H10"/>
  <c r="F132"/>
  <c r="E132"/>
  <c r="F106"/>
  <c r="E106"/>
  <c r="E100"/>
  <c r="E89"/>
  <c r="E82"/>
  <c r="E80"/>
  <c r="E78"/>
  <c r="E76"/>
  <c r="E74"/>
  <c r="E72"/>
  <c r="E57"/>
  <c r="E53"/>
  <c r="E39"/>
  <c r="E35"/>
  <c r="E27"/>
  <c r="E21"/>
  <c r="E10"/>
  <c r="U3"/>
  <c r="O3"/>
  <c r="L3"/>
  <c r="I3"/>
  <c r="F3"/>
  <c r="P1"/>
  <c r="U2" s="1"/>
  <c r="O202" i="28" l="1"/>
  <c r="S172"/>
  <c r="S309"/>
  <c r="S181"/>
  <c r="S246"/>
  <c r="S314"/>
  <c r="I35" i="29"/>
  <c r="S118" i="28"/>
  <c r="F326"/>
  <c r="I53" i="29"/>
  <c r="S127" i="28"/>
  <c r="S179"/>
  <c r="S202"/>
  <c r="S232"/>
  <c r="S253"/>
  <c r="S312"/>
  <c r="S348"/>
  <c r="L326"/>
  <c r="R326"/>
  <c r="N25" i="30"/>
  <c r="I326" i="28"/>
  <c r="O326"/>
  <c r="F10" i="29"/>
  <c r="L10"/>
  <c r="R10"/>
  <c r="T7"/>
  <c r="V7" s="1"/>
  <c r="O10"/>
  <c r="O21"/>
  <c r="T12"/>
  <c r="V12" s="1"/>
  <c r="F21"/>
  <c r="L21"/>
  <c r="R21"/>
  <c r="T22"/>
  <c r="V22" s="1"/>
  <c r="O27"/>
  <c r="F27"/>
  <c r="T31"/>
  <c r="V31" s="1"/>
  <c r="F35"/>
  <c r="T34"/>
  <c r="V34" s="1"/>
  <c r="F39"/>
  <c r="L39"/>
  <c r="O39"/>
  <c r="F44"/>
  <c r="L44"/>
  <c r="R44"/>
  <c r="T41"/>
  <c r="V41" s="1"/>
  <c r="O53"/>
  <c r="O104"/>
  <c r="O118" i="28"/>
  <c r="U118"/>
  <c r="T32" i="29"/>
  <c r="V32" s="1"/>
  <c r="T3"/>
  <c r="I27"/>
  <c r="O44"/>
  <c r="F261" i="28"/>
  <c r="L261"/>
  <c r="U29"/>
  <c r="U57" s="1"/>
  <c r="S57"/>
  <c r="U58"/>
  <c r="U61" s="1"/>
  <c r="S61"/>
  <c r="O172"/>
  <c r="Q25" i="30"/>
  <c r="T38" i="29"/>
  <c r="V38" s="1"/>
  <c r="S76" i="28"/>
  <c r="O154"/>
  <c r="I261"/>
  <c r="I163"/>
  <c r="S163"/>
  <c r="I39" i="29"/>
  <c r="S261" i="28"/>
  <c r="I44" i="29"/>
  <c r="T42"/>
  <c r="V42" s="1"/>
  <c r="T45"/>
  <c r="T50"/>
  <c r="V50" s="1"/>
  <c r="T54"/>
  <c r="V54" s="1"/>
  <c r="T71"/>
  <c r="V71" s="1"/>
  <c r="T73"/>
  <c r="V73" s="1"/>
  <c r="T75"/>
  <c r="V75" s="1"/>
  <c r="T77"/>
  <c r="V77" s="1"/>
  <c r="T81"/>
  <c r="V81" s="1"/>
  <c r="T101"/>
  <c r="V101" s="1"/>
  <c r="T103"/>
  <c r="V103" s="1"/>
  <c r="I10"/>
  <c r="T6"/>
  <c r="V6" s="1"/>
  <c r="I30"/>
  <c r="T28"/>
  <c r="V28" s="1"/>
  <c r="T58"/>
  <c r="I61"/>
  <c r="I100"/>
  <c r="T90"/>
  <c r="V90" s="1"/>
  <c r="T105"/>
  <c r="V105" s="1"/>
  <c r="V106" s="1"/>
  <c r="T9"/>
  <c r="V9" s="1"/>
  <c r="T20"/>
  <c r="V20" s="1"/>
  <c r="R27"/>
  <c r="T24"/>
  <c r="V24" s="1"/>
  <c r="L27"/>
  <c r="T29"/>
  <c r="V29" s="1"/>
  <c r="L35"/>
  <c r="R35"/>
  <c r="T33"/>
  <c r="V33" s="1"/>
  <c r="T36"/>
  <c r="V36" s="1"/>
  <c r="T37"/>
  <c r="V37" s="1"/>
  <c r="T40"/>
  <c r="T43"/>
  <c r="V43" s="1"/>
  <c r="T52"/>
  <c r="V52" s="1"/>
  <c r="T62"/>
  <c r="V62" s="1"/>
  <c r="V65" s="1"/>
  <c r="T88"/>
  <c r="V88" s="1"/>
  <c r="T99"/>
  <c r="V99" s="1"/>
  <c r="T107"/>
  <c r="V107" s="1"/>
  <c r="T131"/>
  <c r="V131" s="1"/>
  <c r="T102"/>
  <c r="V102" s="1"/>
  <c r="I65"/>
  <c r="T11"/>
  <c r="V11" s="1"/>
  <c r="I21"/>
  <c r="I70"/>
  <c r="T66"/>
  <c r="V66" s="1"/>
  <c r="I80"/>
  <c r="T79"/>
  <c r="V79" s="1"/>
  <c r="T83"/>
  <c r="I87"/>
  <c r="T26"/>
  <c r="V26" s="1"/>
  <c r="T23"/>
  <c r="V23" s="1"/>
  <c r="F118" i="28"/>
  <c r="R16"/>
  <c r="L28"/>
  <c r="F202"/>
  <c r="R232"/>
  <c r="R202"/>
  <c r="R100"/>
  <c r="S21" i="29"/>
  <c r="I118" i="28"/>
  <c r="R118"/>
  <c r="U10" i="29"/>
  <c r="S78"/>
  <c r="S35"/>
  <c r="L100" i="28"/>
  <c r="L118"/>
  <c r="S221"/>
  <c r="S302"/>
  <c r="K25" i="30"/>
  <c r="H25"/>
  <c r="S64" i="28"/>
  <c r="S100"/>
  <c r="S121"/>
  <c r="S154"/>
  <c r="T311"/>
  <c r="V311" s="1"/>
  <c r="T328"/>
  <c r="V328" s="1"/>
  <c r="T317"/>
  <c r="V317" s="1"/>
  <c r="U337"/>
  <c r="U338" s="1"/>
  <c r="S338"/>
  <c r="S10" i="29"/>
  <c r="S27"/>
  <c r="S104"/>
  <c r="I104"/>
  <c r="E133"/>
  <c r="T337" i="28"/>
  <c r="T338" s="1"/>
  <c r="L338"/>
  <c r="T7"/>
  <c r="V7" s="1"/>
  <c r="T9"/>
  <c r="V9" s="1"/>
  <c r="T15"/>
  <c r="V15" s="1"/>
  <c r="T17"/>
  <c r="V17" s="1"/>
  <c r="T19"/>
  <c r="V19" s="1"/>
  <c r="T21"/>
  <c r="V21" s="1"/>
  <c r="T27"/>
  <c r="V27" s="1"/>
  <c r="T30"/>
  <c r="V30" s="1"/>
  <c r="T32"/>
  <c r="V32" s="1"/>
  <c r="T34"/>
  <c r="V34" s="1"/>
  <c r="T56"/>
  <c r="V56" s="1"/>
  <c r="T58"/>
  <c r="T61" s="1"/>
  <c r="T63"/>
  <c r="V63" s="1"/>
  <c r="T75"/>
  <c r="V75" s="1"/>
  <c r="T77"/>
  <c r="V77" s="1"/>
  <c r="T79"/>
  <c r="V79" s="1"/>
  <c r="T99"/>
  <c r="V99" s="1"/>
  <c r="T102"/>
  <c r="V102" s="1"/>
  <c r="T117"/>
  <c r="V117" s="1"/>
  <c r="T120"/>
  <c r="V120" s="1"/>
  <c r="T122"/>
  <c r="V122" s="1"/>
  <c r="T126"/>
  <c r="V126" s="1"/>
  <c r="T129"/>
  <c r="V129" s="1"/>
  <c r="T131"/>
  <c r="V131" s="1"/>
  <c r="T133"/>
  <c r="V133" s="1"/>
  <c r="T135"/>
  <c r="V135" s="1"/>
  <c r="T153"/>
  <c r="V153" s="1"/>
  <c r="T156"/>
  <c r="V156" s="1"/>
  <c r="T162"/>
  <c r="V162" s="1"/>
  <c r="T164"/>
  <c r="V164" s="1"/>
  <c r="T165"/>
  <c r="V165" s="1"/>
  <c r="T166"/>
  <c r="V166" s="1"/>
  <c r="T167"/>
  <c r="V167" s="1"/>
  <c r="T171"/>
  <c r="V171" s="1"/>
  <c r="T174"/>
  <c r="V174" s="1"/>
  <c r="T176"/>
  <c r="V176" s="1"/>
  <c r="T180"/>
  <c r="T181" s="1"/>
  <c r="T182"/>
  <c r="V182" s="1"/>
  <c r="T183"/>
  <c r="V183" s="1"/>
  <c r="T184"/>
  <c r="V184" s="1"/>
  <c r="T185"/>
  <c r="V185" s="1"/>
  <c r="T186"/>
  <c r="V186" s="1"/>
  <c r="T187"/>
  <c r="V187" s="1"/>
  <c r="T188"/>
  <c r="V188" s="1"/>
  <c r="T189"/>
  <c r="V189" s="1"/>
  <c r="T201"/>
  <c r="V201" s="1"/>
  <c r="T203"/>
  <c r="V203" s="1"/>
  <c r="T204"/>
  <c r="V204" s="1"/>
  <c r="T207"/>
  <c r="V207" s="1"/>
  <c r="T213"/>
  <c r="V213" s="1"/>
  <c r="T216"/>
  <c r="V216" s="1"/>
  <c r="T222"/>
  <c r="V222" s="1"/>
  <c r="T225"/>
  <c r="V225" s="1"/>
  <c r="T226"/>
  <c r="V226" s="1"/>
  <c r="T231"/>
  <c r="V231" s="1"/>
  <c r="T233"/>
  <c r="V233" s="1"/>
  <c r="T236"/>
  <c r="V236" s="1"/>
  <c r="T237"/>
  <c r="V237" s="1"/>
  <c r="T245"/>
  <c r="T247"/>
  <c r="V247" s="1"/>
  <c r="T248"/>
  <c r="V248" s="1"/>
  <c r="T249"/>
  <c r="V249" s="1"/>
  <c r="T252"/>
  <c r="V252" s="1"/>
  <c r="T254"/>
  <c r="V254" s="1"/>
  <c r="T255"/>
  <c r="V255" s="1"/>
  <c r="T256"/>
  <c r="V256" s="1"/>
  <c r="T260"/>
  <c r="V260" s="1"/>
  <c r="T262"/>
  <c r="V262" s="1"/>
  <c r="T318"/>
  <c r="V318" s="1"/>
  <c r="T316"/>
  <c r="V316" s="1"/>
  <c r="S326"/>
  <c r="O16"/>
  <c r="T263"/>
  <c r="V263" s="1"/>
  <c r="T264"/>
  <c r="V264" s="1"/>
  <c r="T265"/>
  <c r="V265" s="1"/>
  <c r="T266"/>
  <c r="V266" s="1"/>
  <c r="T267"/>
  <c r="V267" s="1"/>
  <c r="T268"/>
  <c r="V268" s="1"/>
  <c r="T269"/>
  <c r="V269" s="1"/>
  <c r="T270"/>
  <c r="V270" s="1"/>
  <c r="T301"/>
  <c r="V301" s="1"/>
  <c r="T303"/>
  <c r="T308"/>
  <c r="V308" s="1"/>
  <c r="T310"/>
  <c r="V310" s="1"/>
  <c r="T313"/>
  <c r="T314" s="1"/>
  <c r="T327"/>
  <c r="T334"/>
  <c r="V334" s="1"/>
  <c r="T339"/>
  <c r="V339" s="1"/>
  <c r="T340"/>
  <c r="V340" s="1"/>
  <c r="T347"/>
  <c r="V347" s="1"/>
  <c r="T349"/>
  <c r="T350" s="1"/>
  <c r="S16"/>
  <c r="T6"/>
  <c r="V6" s="1"/>
  <c r="T8"/>
  <c r="V8" s="1"/>
  <c r="T10"/>
  <c r="V10" s="1"/>
  <c r="T18"/>
  <c r="V18" s="1"/>
  <c r="T20"/>
  <c r="V20" s="1"/>
  <c r="T22"/>
  <c r="V22" s="1"/>
  <c r="T29"/>
  <c r="T31"/>
  <c r="V31" s="1"/>
  <c r="T33"/>
  <c r="V33" s="1"/>
  <c r="T35"/>
  <c r="V35" s="1"/>
  <c r="T62"/>
  <c r="T65"/>
  <c r="T78"/>
  <c r="T80"/>
  <c r="V80" s="1"/>
  <c r="T101"/>
  <c r="V101" s="1"/>
  <c r="T103"/>
  <c r="V103" s="1"/>
  <c r="T119"/>
  <c r="T123"/>
  <c r="V123" s="1"/>
  <c r="T128"/>
  <c r="V128" s="1"/>
  <c r="T130"/>
  <c r="V130" s="1"/>
  <c r="T132"/>
  <c r="V132" s="1"/>
  <c r="T134"/>
  <c r="V134" s="1"/>
  <c r="T155"/>
  <c r="V155" s="1"/>
  <c r="T157"/>
  <c r="V157" s="1"/>
  <c r="T173"/>
  <c r="V173" s="1"/>
  <c r="T175"/>
  <c r="V175" s="1"/>
  <c r="T178"/>
  <c r="V178" s="1"/>
  <c r="T215"/>
  <c r="T220"/>
  <c r="V220" s="1"/>
  <c r="R335"/>
  <c r="T315"/>
  <c r="V315" s="1"/>
  <c r="U326"/>
  <c r="T319"/>
  <c r="V319" s="1"/>
  <c r="T325"/>
  <c r="V325" s="1"/>
  <c r="F104" i="29"/>
  <c r="R39"/>
  <c r="F53"/>
  <c r="L53"/>
  <c r="R53"/>
  <c r="L57"/>
  <c r="F100"/>
  <c r="H133"/>
  <c r="O35"/>
  <c r="T72"/>
  <c r="T76"/>
  <c r="T82"/>
  <c r="E25" i="30"/>
  <c r="T3"/>
  <c r="V3" s="1"/>
  <c r="L8"/>
  <c r="R8"/>
  <c r="U6"/>
  <c r="U8" s="1"/>
  <c r="T13"/>
  <c r="V13" s="1"/>
  <c r="L20"/>
  <c r="R20"/>
  <c r="R25" s="1"/>
  <c r="F8"/>
  <c r="T7"/>
  <c r="V7" s="1"/>
  <c r="T10"/>
  <c r="V10" s="1"/>
  <c r="S11"/>
  <c r="T17"/>
  <c r="V17" s="1"/>
  <c r="S18"/>
  <c r="O20"/>
  <c r="T9"/>
  <c r="U10"/>
  <c r="U11" s="1"/>
  <c r="T19"/>
  <c r="F20"/>
  <c r="I20"/>
  <c r="I8"/>
  <c r="T6"/>
  <c r="V6" s="1"/>
  <c r="T12"/>
  <c r="U13"/>
  <c r="U18" s="1"/>
  <c r="T21"/>
  <c r="T24" s="1"/>
  <c r="U19"/>
  <c r="U20" s="1"/>
  <c r="U21"/>
  <c r="U24" s="1"/>
  <c r="V349" i="28"/>
  <c r="V350" s="1"/>
  <c r="L335"/>
  <c r="S335"/>
  <c r="V245"/>
  <c r="I221"/>
  <c r="S28"/>
  <c r="F16"/>
  <c r="I16"/>
  <c r="L16"/>
  <c r="U100" i="29"/>
  <c r="S80"/>
  <c r="V72"/>
  <c r="U70"/>
  <c r="U57"/>
  <c r="K133"/>
  <c r="U53"/>
  <c r="S53"/>
  <c r="N133"/>
  <c r="Q133"/>
  <c r="S39"/>
  <c r="V3"/>
  <c r="T89" l="1"/>
  <c r="V132"/>
  <c r="T106"/>
  <c r="T78"/>
  <c r="T74"/>
  <c r="O133"/>
  <c r="V29" i="28"/>
  <c r="V57" s="1"/>
  <c r="T57"/>
  <c r="V45" i="29"/>
  <c r="V49" s="1"/>
  <c r="T49"/>
  <c r="I133"/>
  <c r="T76" i="28"/>
  <c r="V58"/>
  <c r="V61" s="1"/>
  <c r="T21" i="29"/>
  <c r="V40"/>
  <c r="V44" s="1"/>
  <c r="T44"/>
  <c r="T132"/>
  <c r="T80"/>
  <c r="T39"/>
  <c r="L133"/>
  <c r="V58"/>
  <c r="V61" s="1"/>
  <c r="T61"/>
  <c r="V83"/>
  <c r="V87" s="1"/>
  <c r="T87"/>
  <c r="T70"/>
  <c r="R133"/>
  <c r="T65"/>
  <c r="T121" i="28"/>
  <c r="V337"/>
  <c r="V338" s="1"/>
  <c r="T127"/>
  <c r="V313"/>
  <c r="V314" s="1"/>
  <c r="V119"/>
  <c r="V118"/>
  <c r="T312"/>
  <c r="T30" i="29"/>
  <c r="V180" i="28"/>
  <c r="V181" s="1"/>
  <c r="T57" i="29"/>
  <c r="T35"/>
  <c r="S133"/>
  <c r="T221" i="28"/>
  <c r="V312"/>
  <c r="T100"/>
  <c r="T335"/>
  <c r="T309"/>
  <c r="F133" i="29"/>
  <c r="T104"/>
  <c r="V104"/>
  <c r="V76"/>
  <c r="U133"/>
  <c r="T28" i="28"/>
  <c r="V215"/>
  <c r="V221" s="1"/>
  <c r="V303"/>
  <c r="V309" s="1"/>
  <c r="V327"/>
  <c r="V335" s="1"/>
  <c r="V78"/>
  <c r="V100" s="1"/>
  <c r="V65"/>
  <c r="V76" s="1"/>
  <c r="T64"/>
  <c r="T214"/>
  <c r="T202"/>
  <c r="T172"/>
  <c r="T302"/>
  <c r="T261"/>
  <c r="T253"/>
  <c r="T246"/>
  <c r="T232"/>
  <c r="V154"/>
  <c r="V28"/>
  <c r="V16"/>
  <c r="T179"/>
  <c r="T163"/>
  <c r="V127"/>
  <c r="T118"/>
  <c r="V62"/>
  <c r="V64" s="1"/>
  <c r="V179"/>
  <c r="V163"/>
  <c r="T154"/>
  <c r="V121"/>
  <c r="T16"/>
  <c r="T348"/>
  <c r="T326"/>
  <c r="V53" i="29"/>
  <c r="V10"/>
  <c r="V100"/>
  <c r="V82"/>
  <c r="V39"/>
  <c r="T27"/>
  <c r="V30"/>
  <c r="T53"/>
  <c r="V70"/>
  <c r="V78"/>
  <c r="T100"/>
  <c r="V89"/>
  <c r="V80"/>
  <c r="V74"/>
  <c r="V35"/>
  <c r="V21"/>
  <c r="V27"/>
  <c r="T10"/>
  <c r="L25" i="30"/>
  <c r="T11"/>
  <c r="O25"/>
  <c r="F25"/>
  <c r="S25"/>
  <c r="T20"/>
  <c r="V9"/>
  <c r="V11" s="1"/>
  <c r="I25"/>
  <c r="T8"/>
  <c r="V8"/>
  <c r="T18"/>
  <c r="V12"/>
  <c r="V18" s="1"/>
  <c r="U25"/>
  <c r="V21"/>
  <c r="V24" s="1"/>
  <c r="V19"/>
  <c r="V20" s="1"/>
  <c r="V348" i="28"/>
  <c r="V326"/>
  <c r="V302"/>
  <c r="V261"/>
  <c r="V253"/>
  <c r="V246"/>
  <c r="V232"/>
  <c r="V214"/>
  <c r="V202"/>
  <c r="V172"/>
  <c r="V57" i="29"/>
  <c r="T133" l="1"/>
  <c r="V133"/>
  <c r="T25" i="30"/>
  <c r="V25"/>
  <c r="Q10" i="25" l="1"/>
  <c r="N10"/>
  <c r="K10"/>
  <c r="H10"/>
  <c r="F9"/>
  <c r="E10"/>
  <c r="S9"/>
  <c r="U9" s="1"/>
  <c r="R9"/>
  <c r="O9"/>
  <c r="L9"/>
  <c r="I9"/>
  <c r="E50" i="26"/>
  <c r="S48"/>
  <c r="U48" s="1"/>
  <c r="R48"/>
  <c r="O48"/>
  <c r="L48"/>
  <c r="I48"/>
  <c r="F48"/>
  <c r="Q44"/>
  <c r="N44"/>
  <c r="K44"/>
  <c r="H44"/>
  <c r="E44"/>
  <c r="S43"/>
  <c r="U43" s="1"/>
  <c r="R43"/>
  <c r="O43"/>
  <c r="L43"/>
  <c r="I43"/>
  <c r="F43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27"/>
  <c r="U27" s="1"/>
  <c r="R27"/>
  <c r="O27"/>
  <c r="L27"/>
  <c r="I27"/>
  <c r="F27"/>
  <c r="S26"/>
  <c r="U26" s="1"/>
  <c r="R26"/>
  <c r="O26"/>
  <c r="L26"/>
  <c r="I26"/>
  <c r="F26"/>
  <c r="S18"/>
  <c r="U18" s="1"/>
  <c r="R18"/>
  <c r="O18"/>
  <c r="L18"/>
  <c r="I18"/>
  <c r="F18"/>
  <c r="Q13"/>
  <c r="N13"/>
  <c r="K13"/>
  <c r="H13"/>
  <c r="E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122" i="19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13"/>
  <c r="U113" s="1"/>
  <c r="R113"/>
  <c r="O113"/>
  <c r="L113"/>
  <c r="I113"/>
  <c r="F113"/>
  <c r="S112"/>
  <c r="U112" s="1"/>
  <c r="R112"/>
  <c r="O112"/>
  <c r="L112"/>
  <c r="I112"/>
  <c r="F112"/>
  <c r="S106"/>
  <c r="U106" s="1"/>
  <c r="R106"/>
  <c r="O106"/>
  <c r="L106"/>
  <c r="I106"/>
  <c r="F106"/>
  <c r="S105"/>
  <c r="U105" s="1"/>
  <c r="R105"/>
  <c r="O105"/>
  <c r="L105"/>
  <c r="I105"/>
  <c r="F105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63"/>
  <c r="S78"/>
  <c r="S77"/>
  <c r="S76"/>
  <c r="U76" s="1"/>
  <c r="S75"/>
  <c r="S74"/>
  <c r="U74" s="1"/>
  <c r="S73"/>
  <c r="S72"/>
  <c r="U72" s="1"/>
  <c r="S71"/>
  <c r="S70"/>
  <c r="U70" s="1"/>
  <c r="S69"/>
  <c r="S68"/>
  <c r="U68" s="1"/>
  <c r="S67"/>
  <c r="S66"/>
  <c r="U66" s="1"/>
  <c r="S65"/>
  <c r="S152" i="18"/>
  <c r="U152" s="1"/>
  <c r="R152"/>
  <c r="O152"/>
  <c r="L152"/>
  <c r="I152"/>
  <c r="F152"/>
  <c r="S165"/>
  <c r="U165" s="1"/>
  <c r="R165"/>
  <c r="O165"/>
  <c r="L165"/>
  <c r="I165"/>
  <c r="F165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R162"/>
  <c r="O162"/>
  <c r="L162"/>
  <c r="I162"/>
  <c r="F162"/>
  <c r="S161"/>
  <c r="U161" s="1"/>
  <c r="R161"/>
  <c r="O161"/>
  <c r="L161"/>
  <c r="I161"/>
  <c r="F161"/>
  <c r="S160"/>
  <c r="U160" s="1"/>
  <c r="R160"/>
  <c r="O160"/>
  <c r="L160"/>
  <c r="I160"/>
  <c r="F160"/>
  <c r="S159"/>
  <c r="U159" s="1"/>
  <c r="R159"/>
  <c r="O159"/>
  <c r="L159"/>
  <c r="I159"/>
  <c r="F159"/>
  <c r="S158"/>
  <c r="U158" s="1"/>
  <c r="R158"/>
  <c r="O158"/>
  <c r="L158"/>
  <c r="I158"/>
  <c r="F158"/>
  <c r="S139"/>
  <c r="U139" s="1"/>
  <c r="R139"/>
  <c r="O139"/>
  <c r="L139"/>
  <c r="I139"/>
  <c r="F139"/>
  <c r="Q100" i="22"/>
  <c r="N100"/>
  <c r="K100"/>
  <c r="H100"/>
  <c r="E100"/>
  <c r="S99"/>
  <c r="U99" s="1"/>
  <c r="R99"/>
  <c r="O99"/>
  <c r="L99"/>
  <c r="I99"/>
  <c r="F99"/>
  <c r="S98"/>
  <c r="U98" s="1"/>
  <c r="R98"/>
  <c r="O98"/>
  <c r="L98"/>
  <c r="I98"/>
  <c r="F98"/>
  <c r="S97"/>
  <c r="U97" s="1"/>
  <c r="R97"/>
  <c r="O97"/>
  <c r="L97"/>
  <c r="I97"/>
  <c r="F97"/>
  <c r="Q66"/>
  <c r="N66"/>
  <c r="K66"/>
  <c r="H66"/>
  <c r="E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Q60"/>
  <c r="N60"/>
  <c r="K60"/>
  <c r="H60"/>
  <c r="E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Q16" i="26"/>
  <c r="N16"/>
  <c r="K16"/>
  <c r="H16"/>
  <c r="E16"/>
  <c r="S15"/>
  <c r="U15" s="1"/>
  <c r="R15"/>
  <c r="O15"/>
  <c r="L15"/>
  <c r="I15"/>
  <c r="F15"/>
  <c r="S151" i="18"/>
  <c r="U151" s="1"/>
  <c r="R151"/>
  <c r="O151"/>
  <c r="L151"/>
  <c r="I151"/>
  <c r="F151"/>
  <c r="S147"/>
  <c r="U147" s="1"/>
  <c r="R147"/>
  <c r="O147"/>
  <c r="L147"/>
  <c r="I147"/>
  <c r="F147"/>
  <c r="S146"/>
  <c r="U146" s="1"/>
  <c r="R146"/>
  <c r="O146"/>
  <c r="L146"/>
  <c r="I146"/>
  <c r="F146"/>
  <c r="S145"/>
  <c r="U145" s="1"/>
  <c r="R145"/>
  <c r="O145"/>
  <c r="L145"/>
  <c r="I145"/>
  <c r="F145"/>
  <c r="E351" i="28"/>
  <c r="S3"/>
  <c r="U3" s="1"/>
  <c r="R3"/>
  <c r="O3"/>
  <c r="L3"/>
  <c r="I3"/>
  <c r="F3"/>
  <c r="P1"/>
  <c r="U2" s="1"/>
  <c r="H136" i="18"/>
  <c r="H182"/>
  <c r="H88"/>
  <c r="Q151" i="19"/>
  <c r="N151"/>
  <c r="K151"/>
  <c r="H151"/>
  <c r="E151"/>
  <c r="S150"/>
  <c r="U150" s="1"/>
  <c r="R150"/>
  <c r="O150"/>
  <c r="L150"/>
  <c r="I150"/>
  <c r="F150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R15"/>
  <c r="N15"/>
  <c r="S15" s="1"/>
  <c r="U15" s="1"/>
  <c r="L15"/>
  <c r="I15"/>
  <c r="F15"/>
  <c r="N215" i="9"/>
  <c r="S111" i="18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R105"/>
  <c r="O105"/>
  <c r="L105"/>
  <c r="I105"/>
  <c r="F105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100"/>
  <c r="U100" s="1"/>
  <c r="R100"/>
  <c r="O100"/>
  <c r="L100"/>
  <c r="I100"/>
  <c r="F100"/>
  <c r="S99"/>
  <c r="U99" s="1"/>
  <c r="R99"/>
  <c r="O99"/>
  <c r="L99"/>
  <c r="I99"/>
  <c r="F99"/>
  <c r="S96" i="19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3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Q62"/>
  <c r="N62"/>
  <c r="K62"/>
  <c r="H62"/>
  <c r="E62"/>
  <c r="S61"/>
  <c r="U61" s="1"/>
  <c r="R61"/>
  <c r="O61"/>
  <c r="L61"/>
  <c r="I61"/>
  <c r="F61"/>
  <c r="U77"/>
  <c r="R77"/>
  <c r="O77"/>
  <c r="L77"/>
  <c r="I77"/>
  <c r="F77"/>
  <c r="R76"/>
  <c r="O76"/>
  <c r="L76"/>
  <c r="I76"/>
  <c r="F76"/>
  <c r="U75"/>
  <c r="R75"/>
  <c r="O75"/>
  <c r="L75"/>
  <c r="I75"/>
  <c r="F75"/>
  <c r="R74"/>
  <c r="O74"/>
  <c r="L74"/>
  <c r="I74"/>
  <c r="F74"/>
  <c r="U73"/>
  <c r="R73"/>
  <c r="O73"/>
  <c r="L73"/>
  <c r="I73"/>
  <c r="F73"/>
  <c r="R72"/>
  <c r="O72"/>
  <c r="L72"/>
  <c r="I72"/>
  <c r="F72"/>
  <c r="U71"/>
  <c r="R71"/>
  <c r="O71"/>
  <c r="L71"/>
  <c r="I71"/>
  <c r="F71"/>
  <c r="S31" i="18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Q22"/>
  <c r="N22"/>
  <c r="K22"/>
  <c r="H22"/>
  <c r="E22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81"/>
  <c r="U81" s="1"/>
  <c r="R81"/>
  <c r="O81"/>
  <c r="L81"/>
  <c r="I81"/>
  <c r="F81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S76"/>
  <c r="U76" s="1"/>
  <c r="R76"/>
  <c r="O76"/>
  <c r="L76"/>
  <c r="I76"/>
  <c r="F76"/>
  <c r="S75"/>
  <c r="U75" s="1"/>
  <c r="R75"/>
  <c r="O75"/>
  <c r="L75"/>
  <c r="I75"/>
  <c r="F75"/>
  <c r="S66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N44"/>
  <c r="N43"/>
  <c r="Q41" i="19"/>
  <c r="N41"/>
  <c r="K41"/>
  <c r="H41"/>
  <c r="E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Q35"/>
  <c r="N35"/>
  <c r="K35"/>
  <c r="H35"/>
  <c r="E35"/>
  <c r="S34"/>
  <c r="U34" s="1"/>
  <c r="R34"/>
  <c r="O34"/>
  <c r="L34"/>
  <c r="I34"/>
  <c r="F34"/>
  <c r="S33"/>
  <c r="U33" s="1"/>
  <c r="R33"/>
  <c r="O33"/>
  <c r="L33"/>
  <c r="I33"/>
  <c r="F33"/>
  <c r="U69"/>
  <c r="R69"/>
  <c r="O69"/>
  <c r="L69"/>
  <c r="I69"/>
  <c r="F69"/>
  <c r="R68"/>
  <c r="O68"/>
  <c r="L68"/>
  <c r="I68"/>
  <c r="F68"/>
  <c r="U67"/>
  <c r="R67"/>
  <c r="O67"/>
  <c r="L67"/>
  <c r="I67"/>
  <c r="F67"/>
  <c r="R70"/>
  <c r="O70"/>
  <c r="L70"/>
  <c r="I70"/>
  <c r="F70"/>
  <c r="R66"/>
  <c r="O66"/>
  <c r="L66"/>
  <c r="I66"/>
  <c r="F66"/>
  <c r="Q50" i="26"/>
  <c r="N50"/>
  <c r="K50"/>
  <c r="H50"/>
  <c r="S49"/>
  <c r="U49" s="1"/>
  <c r="R49"/>
  <c r="O49"/>
  <c r="L49"/>
  <c r="I49"/>
  <c r="F49"/>
  <c r="S47"/>
  <c r="S50" s="1"/>
  <c r="R47"/>
  <c r="R50" s="1"/>
  <c r="O47"/>
  <c r="O50" s="1"/>
  <c r="L47"/>
  <c r="L50" s="1"/>
  <c r="I47"/>
  <c r="F47"/>
  <c r="F50" s="1"/>
  <c r="S51"/>
  <c r="U51" s="1"/>
  <c r="R51"/>
  <c r="O51"/>
  <c r="L51"/>
  <c r="L52" s="1"/>
  <c r="I51"/>
  <c r="F51"/>
  <c r="F52" s="1"/>
  <c r="S45"/>
  <c r="U45" s="1"/>
  <c r="U46" s="1"/>
  <c r="R45"/>
  <c r="O45"/>
  <c r="L45"/>
  <c r="L46" s="1"/>
  <c r="I45"/>
  <c r="F45"/>
  <c r="F46" s="1"/>
  <c r="S34"/>
  <c r="U34" s="1"/>
  <c r="R34"/>
  <c r="R44" s="1"/>
  <c r="O34"/>
  <c r="L34"/>
  <c r="L44" s="1"/>
  <c r="I34"/>
  <c r="F34"/>
  <c r="S32"/>
  <c r="S33" s="1"/>
  <c r="R32"/>
  <c r="O32"/>
  <c r="O33" s="1"/>
  <c r="L32"/>
  <c r="L33" s="1"/>
  <c r="I32"/>
  <c r="F32"/>
  <c r="F33" s="1"/>
  <c r="S30"/>
  <c r="U30" s="1"/>
  <c r="U31" s="1"/>
  <c r="R30"/>
  <c r="O30"/>
  <c r="O31" s="1"/>
  <c r="L30"/>
  <c r="L31" s="1"/>
  <c r="I30"/>
  <c r="I31" s="1"/>
  <c r="F30"/>
  <c r="F31" s="1"/>
  <c r="S28"/>
  <c r="U28" s="1"/>
  <c r="R28"/>
  <c r="O28"/>
  <c r="L28"/>
  <c r="I28"/>
  <c r="F28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R29" s="1"/>
  <c r="O21"/>
  <c r="L21"/>
  <c r="I21"/>
  <c r="F21"/>
  <c r="F29" s="1"/>
  <c r="S19"/>
  <c r="U19" s="1"/>
  <c r="R19"/>
  <c r="O19"/>
  <c r="L19"/>
  <c r="I19"/>
  <c r="F19"/>
  <c r="S17"/>
  <c r="U17" s="1"/>
  <c r="R17"/>
  <c r="R20" s="1"/>
  <c r="O17"/>
  <c r="L17"/>
  <c r="L20" s="1"/>
  <c r="I17"/>
  <c r="F17"/>
  <c r="F20" s="1"/>
  <c r="S14"/>
  <c r="U14" s="1"/>
  <c r="R14"/>
  <c r="R16" s="1"/>
  <c r="O14"/>
  <c r="L14"/>
  <c r="L16" s="1"/>
  <c r="I14"/>
  <c r="F14"/>
  <c r="S6"/>
  <c r="U6" s="1"/>
  <c r="R6"/>
  <c r="O6"/>
  <c r="L6"/>
  <c r="I6"/>
  <c r="F6"/>
  <c r="S46"/>
  <c r="R52"/>
  <c r="Q52"/>
  <c r="R46"/>
  <c r="Q46"/>
  <c r="R33"/>
  <c r="Q33"/>
  <c r="R31"/>
  <c r="Q31"/>
  <c r="Q29"/>
  <c r="Q20"/>
  <c r="O52"/>
  <c r="N52"/>
  <c r="O46"/>
  <c r="N46"/>
  <c r="N33"/>
  <c r="N31"/>
  <c r="N29"/>
  <c r="N20"/>
  <c r="K52"/>
  <c r="K46"/>
  <c r="K33"/>
  <c r="K31"/>
  <c r="K29"/>
  <c r="K20"/>
  <c r="H52"/>
  <c r="H46"/>
  <c r="H33"/>
  <c r="H31"/>
  <c r="H29"/>
  <c r="H20"/>
  <c r="E52"/>
  <c r="E46"/>
  <c r="E33"/>
  <c r="E31"/>
  <c r="E29"/>
  <c r="E20"/>
  <c r="S3"/>
  <c r="U3" s="1"/>
  <c r="R3"/>
  <c r="O3"/>
  <c r="L3"/>
  <c r="I3"/>
  <c r="F3"/>
  <c r="P1"/>
  <c r="U2" s="1"/>
  <c r="K64" i="19"/>
  <c r="S64" s="1"/>
  <c r="H12" i="21"/>
  <c r="E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R29" i="19"/>
  <c r="O29"/>
  <c r="L29"/>
  <c r="S29"/>
  <c r="U29" s="1"/>
  <c r="F29"/>
  <c r="R28"/>
  <c r="O28"/>
  <c r="L28"/>
  <c r="S28"/>
  <c r="U28" s="1"/>
  <c r="F28"/>
  <c r="R27"/>
  <c r="O27"/>
  <c r="L27"/>
  <c r="S27"/>
  <c r="U27" s="1"/>
  <c r="F27"/>
  <c r="R26"/>
  <c r="O26"/>
  <c r="L26"/>
  <c r="H26"/>
  <c r="S26" s="1"/>
  <c r="U26" s="1"/>
  <c r="F26"/>
  <c r="T99" i="18" l="1"/>
  <c r="T109"/>
  <c r="T111"/>
  <c r="T11" i="26"/>
  <c r="V11" s="1"/>
  <c r="T18"/>
  <c r="E53"/>
  <c r="T6"/>
  <c r="V6" s="1"/>
  <c r="T14"/>
  <c r="O16"/>
  <c r="U16"/>
  <c r="T17"/>
  <c r="V17" s="1"/>
  <c r="T22"/>
  <c r="T24"/>
  <c r="T32"/>
  <c r="T33" s="1"/>
  <c r="T34"/>
  <c r="V34" s="1"/>
  <c r="T45"/>
  <c r="T46" s="1"/>
  <c r="T51"/>
  <c r="T52" s="1"/>
  <c r="T47"/>
  <c r="T66" i="19"/>
  <c r="T70"/>
  <c r="T67"/>
  <c r="V67" s="1"/>
  <c r="T68"/>
  <c r="T69"/>
  <c r="T49" i="18"/>
  <c r="T62"/>
  <c r="T81"/>
  <c r="T8"/>
  <c r="V8" s="1"/>
  <c r="O20" i="26"/>
  <c r="T48"/>
  <c r="V48" s="1"/>
  <c r="T27" i="18"/>
  <c r="T71" i="19"/>
  <c r="V71" s="1"/>
  <c r="T72"/>
  <c r="T73"/>
  <c r="T74"/>
  <c r="V74" s="1"/>
  <c r="T75"/>
  <c r="T76"/>
  <c r="V76" s="1"/>
  <c r="T77"/>
  <c r="T64" i="22"/>
  <c r="V64" s="1"/>
  <c r="T159" i="18"/>
  <c r="V159" s="1"/>
  <c r="T161"/>
  <c r="V161" s="1"/>
  <c r="T164"/>
  <c r="V164" s="1"/>
  <c r="T145"/>
  <c r="T151"/>
  <c r="T32" i="22"/>
  <c r="V32" s="1"/>
  <c r="T36"/>
  <c r="V36" s="1"/>
  <c r="T38"/>
  <c r="V38" s="1"/>
  <c r="T40"/>
  <c r="V40" s="1"/>
  <c r="T58"/>
  <c r="T104" i="19"/>
  <c r="V104" s="1"/>
  <c r="T106"/>
  <c r="V106" s="1"/>
  <c r="T112"/>
  <c r="V112" s="1"/>
  <c r="T114"/>
  <c r="V114" s="1"/>
  <c r="T116"/>
  <c r="V116" s="1"/>
  <c r="T118"/>
  <c r="V118" s="1"/>
  <c r="T121"/>
  <c r="V121" s="1"/>
  <c r="T146" i="18"/>
  <c r="V146" s="1"/>
  <c r="T139"/>
  <c r="T163"/>
  <c r="T152"/>
  <c r="V152" s="1"/>
  <c r="T101" i="19"/>
  <c r="T122"/>
  <c r="T87"/>
  <c r="V87" s="1"/>
  <c r="T89"/>
  <c r="V89" s="1"/>
  <c r="T91"/>
  <c r="V91" s="1"/>
  <c r="T93"/>
  <c r="V93" s="1"/>
  <c r="T95"/>
  <c r="V95" s="1"/>
  <c r="V99" i="18"/>
  <c r="T7" i="22"/>
  <c r="V7" s="1"/>
  <c r="T16"/>
  <c r="V16" s="1"/>
  <c r="T18"/>
  <c r="V18" s="1"/>
  <c r="T24"/>
  <c r="V24" s="1"/>
  <c r="T26"/>
  <c r="V26" s="1"/>
  <c r="T30"/>
  <c r="V30" s="1"/>
  <c r="V101" i="19"/>
  <c r="V122"/>
  <c r="R13" i="26"/>
  <c r="O44"/>
  <c r="I13"/>
  <c r="O13"/>
  <c r="U13"/>
  <c r="V18"/>
  <c r="T26"/>
  <c r="V26" s="1"/>
  <c r="T35"/>
  <c r="V35" s="1"/>
  <c r="T37"/>
  <c r="V37" s="1"/>
  <c r="F44"/>
  <c r="I50"/>
  <c r="I44"/>
  <c r="U44"/>
  <c r="S44"/>
  <c r="T3" i="28"/>
  <c r="V3" s="1"/>
  <c r="U351"/>
  <c r="T9" i="25"/>
  <c r="V9" s="1"/>
  <c r="T49" i="26"/>
  <c r="T50" s="1"/>
  <c r="T40"/>
  <c r="T36"/>
  <c r="T38"/>
  <c r="T39"/>
  <c r="T43"/>
  <c r="V36"/>
  <c r="V38"/>
  <c r="V39"/>
  <c r="V43"/>
  <c r="T28"/>
  <c r="T27"/>
  <c r="V27" s="1"/>
  <c r="U29"/>
  <c r="T19"/>
  <c r="S13"/>
  <c r="T9"/>
  <c r="V9" s="1"/>
  <c r="T7"/>
  <c r="V7" s="1"/>
  <c r="T8"/>
  <c r="T10"/>
  <c r="T12"/>
  <c r="L13"/>
  <c r="V8"/>
  <c r="V10"/>
  <c r="V12"/>
  <c r="F13"/>
  <c r="T120" i="19"/>
  <c r="V120" s="1"/>
  <c r="T113"/>
  <c r="T115"/>
  <c r="T117"/>
  <c r="T119"/>
  <c r="V113"/>
  <c r="V115"/>
  <c r="V117"/>
  <c r="V119"/>
  <c r="T102"/>
  <c r="V102" s="1"/>
  <c r="T103"/>
  <c r="V103" s="1"/>
  <c r="T105"/>
  <c r="V105" s="1"/>
  <c r="V73"/>
  <c r="V151" i="18"/>
  <c r="T158"/>
  <c r="V158" s="1"/>
  <c r="T165"/>
  <c r="V165" s="1"/>
  <c r="V163"/>
  <c r="T160"/>
  <c r="T162"/>
  <c r="V162" s="1"/>
  <c r="V160"/>
  <c r="V145"/>
  <c r="V139"/>
  <c r="T99" i="22"/>
  <c r="V99" s="1"/>
  <c r="T97"/>
  <c r="V97" s="1"/>
  <c r="T98"/>
  <c r="V98" s="1"/>
  <c r="T62"/>
  <c r="V62" s="1"/>
  <c r="T63"/>
  <c r="V63" s="1"/>
  <c r="T65"/>
  <c r="V65" s="1"/>
  <c r="V58"/>
  <c r="T57"/>
  <c r="T59"/>
  <c r="V57"/>
  <c r="V59"/>
  <c r="T34"/>
  <c r="V34" s="1"/>
  <c r="T28"/>
  <c r="V28" s="1"/>
  <c r="T25"/>
  <c r="V25" s="1"/>
  <c r="T27"/>
  <c r="V27" s="1"/>
  <c r="T29"/>
  <c r="V29" s="1"/>
  <c r="T31"/>
  <c r="V31" s="1"/>
  <c r="T33"/>
  <c r="V33" s="1"/>
  <c r="T35"/>
  <c r="V35" s="1"/>
  <c r="T37"/>
  <c r="V37" s="1"/>
  <c r="T39"/>
  <c r="V39" s="1"/>
  <c r="T41"/>
  <c r="V41" s="1"/>
  <c r="T14"/>
  <c r="V14" s="1"/>
  <c r="T19"/>
  <c r="V19" s="1"/>
  <c r="T17"/>
  <c r="V17" s="1"/>
  <c r="T15"/>
  <c r="V15" s="1"/>
  <c r="T13"/>
  <c r="V13" s="1"/>
  <c r="T12"/>
  <c r="V12" s="1"/>
  <c r="T10"/>
  <c r="V10" s="1"/>
  <c r="T8"/>
  <c r="V8" s="1"/>
  <c r="T9"/>
  <c r="V9" s="1"/>
  <c r="T11"/>
  <c r="V11" s="1"/>
  <c r="I16" i="26"/>
  <c r="S16"/>
  <c r="T15"/>
  <c r="V15" s="1"/>
  <c r="F16"/>
  <c r="T147" i="18"/>
  <c r="V147" s="1"/>
  <c r="Q351" i="28"/>
  <c r="K351"/>
  <c r="H351"/>
  <c r="N351"/>
  <c r="O351"/>
  <c r="R351"/>
  <c r="I351"/>
  <c r="F351"/>
  <c r="T150" i="19"/>
  <c r="V150" s="1"/>
  <c r="O15"/>
  <c r="T15" s="1"/>
  <c r="V15" s="1"/>
  <c r="T16"/>
  <c r="V16" s="1"/>
  <c r="T18"/>
  <c r="T20"/>
  <c r="V20" s="1"/>
  <c r="T17"/>
  <c r="T19"/>
  <c r="V19" s="1"/>
  <c r="V17"/>
  <c r="V18"/>
  <c r="T105" i="18"/>
  <c r="V105" s="1"/>
  <c r="T103"/>
  <c r="V103" s="1"/>
  <c r="T101"/>
  <c r="V101" s="1"/>
  <c r="T107"/>
  <c r="V107" s="1"/>
  <c r="T100"/>
  <c r="V100" s="1"/>
  <c r="T102"/>
  <c r="V102" s="1"/>
  <c r="T104"/>
  <c r="V104" s="1"/>
  <c r="T106"/>
  <c r="V106" s="1"/>
  <c r="T108"/>
  <c r="V108" s="1"/>
  <c r="V109"/>
  <c r="T110"/>
  <c r="V110" s="1"/>
  <c r="V111"/>
  <c r="T88" i="19"/>
  <c r="V88" s="1"/>
  <c r="T90"/>
  <c r="T92"/>
  <c r="V92" s="1"/>
  <c r="T94"/>
  <c r="V94" s="1"/>
  <c r="T96"/>
  <c r="V96" s="1"/>
  <c r="V90"/>
  <c r="T61"/>
  <c r="V61" s="1"/>
  <c r="V75"/>
  <c r="V72"/>
  <c r="V77"/>
  <c r="T3" i="26"/>
  <c r="V49" i="18"/>
  <c r="T52"/>
  <c r="V52" s="1"/>
  <c r="V62"/>
  <c r="T63"/>
  <c r="V63" s="1"/>
  <c r="T65"/>
  <c r="V65" s="1"/>
  <c r="T75"/>
  <c r="V75" s="1"/>
  <c r="T77"/>
  <c r="V77" s="1"/>
  <c r="T79"/>
  <c r="V79" s="1"/>
  <c r="V81"/>
  <c r="T11"/>
  <c r="V11" s="1"/>
  <c r="T13"/>
  <c r="V13" s="1"/>
  <c r="T18"/>
  <c r="V18" s="1"/>
  <c r="V27"/>
  <c r="T28"/>
  <c r="V28" s="1"/>
  <c r="T30"/>
  <c r="V30" s="1"/>
  <c r="S29" i="26"/>
  <c r="T29" i="18"/>
  <c r="T31"/>
  <c r="V29"/>
  <c r="V31"/>
  <c r="T20"/>
  <c r="V20" s="1"/>
  <c r="T19"/>
  <c r="T21"/>
  <c r="V21" s="1"/>
  <c r="V19"/>
  <c r="T9"/>
  <c r="V9" s="1"/>
  <c r="T10"/>
  <c r="V10" s="1"/>
  <c r="T12"/>
  <c r="V12" s="1"/>
  <c r="T14"/>
  <c r="V14" s="1"/>
  <c r="T76"/>
  <c r="V76" s="1"/>
  <c r="T78"/>
  <c r="V78" s="1"/>
  <c r="T80"/>
  <c r="V80" s="1"/>
  <c r="T64"/>
  <c r="T66"/>
  <c r="V66" s="1"/>
  <c r="V64"/>
  <c r="T50"/>
  <c r="V50" s="1"/>
  <c r="T51"/>
  <c r="V51" s="1"/>
  <c r="T53"/>
  <c r="V53" s="1"/>
  <c r="T39" i="19"/>
  <c r="V39" s="1"/>
  <c r="T37"/>
  <c r="V37" s="1"/>
  <c r="T38"/>
  <c r="V38" s="1"/>
  <c r="T40"/>
  <c r="V40" s="1"/>
  <c r="T34"/>
  <c r="V34" s="1"/>
  <c r="T33"/>
  <c r="V70"/>
  <c r="V68"/>
  <c r="V69"/>
  <c r="V66"/>
  <c r="O29" i="26"/>
  <c r="I20"/>
  <c r="I46"/>
  <c r="S31"/>
  <c r="V14"/>
  <c r="V19"/>
  <c r="T21"/>
  <c r="V22"/>
  <c r="T23"/>
  <c r="V23" s="1"/>
  <c r="V24"/>
  <c r="T25"/>
  <c r="V25" s="1"/>
  <c r="V28"/>
  <c r="T30"/>
  <c r="T31" s="1"/>
  <c r="V32"/>
  <c r="V33" s="1"/>
  <c r="V45"/>
  <c r="V46" s="1"/>
  <c r="I52"/>
  <c r="V51"/>
  <c r="V52" s="1"/>
  <c r="V47"/>
  <c r="V49"/>
  <c r="U47"/>
  <c r="U50" s="1"/>
  <c r="F53"/>
  <c r="U52"/>
  <c r="Q53"/>
  <c r="S52"/>
  <c r="K53"/>
  <c r="U32"/>
  <c r="U33" s="1"/>
  <c r="I33"/>
  <c r="H53"/>
  <c r="N53"/>
  <c r="I29"/>
  <c r="L29"/>
  <c r="R53"/>
  <c r="U20"/>
  <c r="S20"/>
  <c r="V3"/>
  <c r="T9" i="21"/>
  <c r="V9" s="1"/>
  <c r="T10"/>
  <c r="V10" s="1"/>
  <c r="T11"/>
  <c r="V11" s="1"/>
  <c r="I26" i="19"/>
  <c r="T26" s="1"/>
  <c r="V26" s="1"/>
  <c r="I27"/>
  <c r="T27" s="1"/>
  <c r="V27" s="1"/>
  <c r="I28"/>
  <c r="T28" s="1"/>
  <c r="V28" s="1"/>
  <c r="I29"/>
  <c r="T29" s="1"/>
  <c r="V29" s="1"/>
  <c r="T20" i="26" l="1"/>
  <c r="L53"/>
  <c r="O53"/>
  <c r="V30"/>
  <c r="V31" s="1"/>
  <c r="T16"/>
  <c r="V20"/>
  <c r="V16"/>
  <c r="V40"/>
  <c r="V44" s="1"/>
  <c r="T44"/>
  <c r="L351" i="28"/>
  <c r="T13" i="26"/>
  <c r="V13"/>
  <c r="S351" i="28"/>
  <c r="V33" i="19"/>
  <c r="T29" i="26"/>
  <c r="T53" s="1"/>
  <c r="S53"/>
  <c r="U53"/>
  <c r="V21"/>
  <c r="V29" s="1"/>
  <c r="V50"/>
  <c r="I53"/>
  <c r="H171" i="18"/>
  <c r="S107" i="22"/>
  <c r="R107"/>
  <c r="O107"/>
  <c r="L107"/>
  <c r="I107"/>
  <c r="E107"/>
  <c r="U107" l="1"/>
  <c r="V351" i="28"/>
  <c r="T351"/>
  <c r="F107" i="22"/>
  <c r="T107"/>
  <c r="V53" i="26"/>
  <c r="N56" i="19"/>
  <c r="K56"/>
  <c r="V107" i="22" l="1"/>
  <c r="E31" i="19"/>
  <c r="Q31"/>
  <c r="N21"/>
  <c r="K21"/>
  <c r="E21"/>
  <c r="N40" i="18" l="1"/>
  <c r="K46" l="1"/>
  <c r="K45"/>
  <c r="K36"/>
  <c r="K35"/>
  <c r="L46"/>
  <c r="S124" i="22"/>
  <c r="U124" s="1"/>
  <c r="R124"/>
  <c r="O124"/>
  <c r="L124"/>
  <c r="I124"/>
  <c r="F124"/>
  <c r="S123"/>
  <c r="U123" s="1"/>
  <c r="R123"/>
  <c r="O123"/>
  <c r="L123"/>
  <c r="I123"/>
  <c r="F123"/>
  <c r="E127"/>
  <c r="H120"/>
  <c r="S120" s="1"/>
  <c r="U120" s="1"/>
  <c r="S125"/>
  <c r="U125" s="1"/>
  <c r="R125"/>
  <c r="O125"/>
  <c r="L125"/>
  <c r="I125"/>
  <c r="F125"/>
  <c r="S122"/>
  <c r="U122" s="1"/>
  <c r="R122"/>
  <c r="O122"/>
  <c r="L122"/>
  <c r="I122"/>
  <c r="F122"/>
  <c r="S121"/>
  <c r="U121" s="1"/>
  <c r="R121"/>
  <c r="O121"/>
  <c r="L121"/>
  <c r="I121"/>
  <c r="F121"/>
  <c r="R120"/>
  <c r="O120"/>
  <c r="L120"/>
  <c r="F120"/>
  <c r="K186" i="18"/>
  <c r="K57" i="19"/>
  <c r="K195" i="18"/>
  <c r="R176"/>
  <c r="O176"/>
  <c r="K176"/>
  <c r="L176" s="1"/>
  <c r="I176"/>
  <c r="F176"/>
  <c r="H132" i="19"/>
  <c r="S146"/>
  <c r="U146" s="1"/>
  <c r="R146"/>
  <c r="O146"/>
  <c r="L146"/>
  <c r="I146"/>
  <c r="F146"/>
  <c r="S145"/>
  <c r="U145" s="1"/>
  <c r="R145"/>
  <c r="O145"/>
  <c r="L145"/>
  <c r="I145"/>
  <c r="F145"/>
  <c r="S48" i="1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I46"/>
  <c r="F46"/>
  <c r="E171"/>
  <c r="E169"/>
  <c r="T176" l="1"/>
  <c r="V176" s="1"/>
  <c r="T123" i="22"/>
  <c r="T145" i="19"/>
  <c r="V145" s="1"/>
  <c r="T47" i="18"/>
  <c r="V47" s="1"/>
  <c r="T46"/>
  <c r="V46" s="1"/>
  <c r="V123" i="22"/>
  <c r="T124"/>
  <c r="V124" s="1"/>
  <c r="H127"/>
  <c r="I120"/>
  <c r="T120" s="1"/>
  <c r="V120" s="1"/>
  <c r="T122"/>
  <c r="V122" s="1"/>
  <c r="T121"/>
  <c r="V121" s="1"/>
  <c r="T125"/>
  <c r="V125" s="1"/>
  <c r="S176" i="18"/>
  <c r="U176" s="1"/>
  <c r="T146" i="19"/>
  <c r="V146" s="1"/>
  <c r="T48" i="18"/>
  <c r="V48" s="1"/>
  <c r="S127" i="19"/>
  <c r="U127" s="1"/>
  <c r="R127"/>
  <c r="O127"/>
  <c r="L127"/>
  <c r="I127"/>
  <c r="F127"/>
  <c r="S126"/>
  <c r="U126" s="1"/>
  <c r="R126"/>
  <c r="O126"/>
  <c r="L126"/>
  <c r="I126"/>
  <c r="F126"/>
  <c r="E85"/>
  <c r="H85"/>
  <c r="S83"/>
  <c r="U83" s="1"/>
  <c r="R83"/>
  <c r="O83"/>
  <c r="L83"/>
  <c r="I83"/>
  <c r="F83"/>
  <c r="S82"/>
  <c r="U82" s="1"/>
  <c r="R82"/>
  <c r="O82"/>
  <c r="L82"/>
  <c r="I82"/>
  <c r="F82"/>
  <c r="S81"/>
  <c r="U81" s="1"/>
  <c r="R81"/>
  <c r="O81"/>
  <c r="L81"/>
  <c r="I81"/>
  <c r="F81"/>
  <c r="Q130" i="18"/>
  <c r="N130"/>
  <c r="K130"/>
  <c r="H130"/>
  <c r="E130"/>
  <c r="S129"/>
  <c r="U129" s="1"/>
  <c r="R129"/>
  <c r="O129"/>
  <c r="L129"/>
  <c r="I129"/>
  <c r="F129"/>
  <c r="S128"/>
  <c r="U128" s="1"/>
  <c r="R128"/>
  <c r="O128"/>
  <c r="L128"/>
  <c r="I128"/>
  <c r="F128"/>
  <c r="N68"/>
  <c r="S61"/>
  <c r="U61" s="1"/>
  <c r="R61"/>
  <c r="O61"/>
  <c r="L61"/>
  <c r="I61"/>
  <c r="F61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9" i="1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I25" i="18"/>
  <c r="K25" i="19"/>
  <c r="K31" s="1"/>
  <c r="F13" i="25"/>
  <c r="Q29"/>
  <c r="N29"/>
  <c r="K29"/>
  <c r="H29"/>
  <c r="E29"/>
  <c r="U29"/>
  <c r="R29"/>
  <c r="O29"/>
  <c r="L29"/>
  <c r="I29"/>
  <c r="F29"/>
  <c r="Q26"/>
  <c r="N26"/>
  <c r="K26"/>
  <c r="H26"/>
  <c r="E26"/>
  <c r="S25"/>
  <c r="U25" s="1"/>
  <c r="R25"/>
  <c r="O25"/>
  <c r="L25"/>
  <c r="I25"/>
  <c r="F25"/>
  <c r="S24"/>
  <c r="U24" s="1"/>
  <c r="R24"/>
  <c r="R26" s="1"/>
  <c r="O24"/>
  <c r="L24"/>
  <c r="L26" s="1"/>
  <c r="I24"/>
  <c r="F24"/>
  <c r="F26" s="1"/>
  <c r="Q17"/>
  <c r="N17"/>
  <c r="K17"/>
  <c r="H17"/>
  <c r="E17"/>
  <c r="S16"/>
  <c r="S17" s="1"/>
  <c r="R16"/>
  <c r="R17" s="1"/>
  <c r="O16"/>
  <c r="O17" s="1"/>
  <c r="L16"/>
  <c r="L17" s="1"/>
  <c r="I16"/>
  <c r="I17" s="1"/>
  <c r="F16"/>
  <c r="F17" s="1"/>
  <c r="Q15"/>
  <c r="N15"/>
  <c r="K15"/>
  <c r="H15"/>
  <c r="S14"/>
  <c r="R14"/>
  <c r="O14"/>
  <c r="L14"/>
  <c r="I14"/>
  <c r="E15"/>
  <c r="S13"/>
  <c r="S15" s="1"/>
  <c r="R13"/>
  <c r="R15" s="1"/>
  <c r="O13"/>
  <c r="O15" s="1"/>
  <c r="L13"/>
  <c r="L15" s="1"/>
  <c r="I13"/>
  <c r="I15" s="1"/>
  <c r="Q12"/>
  <c r="N12"/>
  <c r="K12"/>
  <c r="H12"/>
  <c r="E12"/>
  <c r="S11"/>
  <c r="S12" s="1"/>
  <c r="R11"/>
  <c r="R12" s="1"/>
  <c r="O11"/>
  <c r="O12" s="1"/>
  <c r="L11"/>
  <c r="L12" s="1"/>
  <c r="I11"/>
  <c r="I12" s="1"/>
  <c r="F11"/>
  <c r="F12" s="1"/>
  <c r="S8"/>
  <c r="S10" s="1"/>
  <c r="R8"/>
  <c r="R10" s="1"/>
  <c r="O8"/>
  <c r="O10" s="1"/>
  <c r="L8"/>
  <c r="L10" s="1"/>
  <c r="I8"/>
  <c r="I10" s="1"/>
  <c r="F8"/>
  <c r="F10" s="1"/>
  <c r="Q7"/>
  <c r="N7"/>
  <c r="K7"/>
  <c r="H7"/>
  <c r="E7"/>
  <c r="S6"/>
  <c r="S7" s="1"/>
  <c r="R6"/>
  <c r="R7" s="1"/>
  <c r="O6"/>
  <c r="O7" s="1"/>
  <c r="L6"/>
  <c r="L7" s="1"/>
  <c r="I6"/>
  <c r="I7" s="1"/>
  <c r="F6"/>
  <c r="F7" s="1"/>
  <c r="S3"/>
  <c r="U3" s="1"/>
  <c r="R3"/>
  <c r="O3"/>
  <c r="L3"/>
  <c r="I3"/>
  <c r="F3"/>
  <c r="P1"/>
  <c r="U2" s="1"/>
  <c r="Q8" i="24"/>
  <c r="Q9" s="1"/>
  <c r="N8"/>
  <c r="K8"/>
  <c r="K9" s="1"/>
  <c r="H8"/>
  <c r="H9" s="1"/>
  <c r="E8"/>
  <c r="S7"/>
  <c r="U7" s="1"/>
  <c r="R7"/>
  <c r="O7"/>
  <c r="L7"/>
  <c r="I7"/>
  <c r="F7"/>
  <c r="S6"/>
  <c r="U6" s="1"/>
  <c r="U8" s="1"/>
  <c r="R6"/>
  <c r="O6"/>
  <c r="O8" s="1"/>
  <c r="L6"/>
  <c r="I6"/>
  <c r="I8" s="1"/>
  <c r="F6"/>
  <c r="N9"/>
  <c r="S3"/>
  <c r="U3" s="1"/>
  <c r="R3"/>
  <c r="O3"/>
  <c r="L3"/>
  <c r="I3"/>
  <c r="F3"/>
  <c r="P1"/>
  <c r="U2" s="1"/>
  <c r="Q13" i="23"/>
  <c r="N13"/>
  <c r="K13"/>
  <c r="H13"/>
  <c r="E13"/>
  <c r="S12"/>
  <c r="U12" s="1"/>
  <c r="R12"/>
  <c r="O12"/>
  <c r="L12"/>
  <c r="I12"/>
  <c r="F12"/>
  <c r="S10"/>
  <c r="U10" s="1"/>
  <c r="R10"/>
  <c r="O10"/>
  <c r="L10"/>
  <c r="I10"/>
  <c r="F10"/>
  <c r="S9"/>
  <c r="S13" s="1"/>
  <c r="R9"/>
  <c r="R13" s="1"/>
  <c r="O9"/>
  <c r="L9"/>
  <c r="L13" s="1"/>
  <c r="I9"/>
  <c r="I13" s="1"/>
  <c r="F9"/>
  <c r="F13" s="1"/>
  <c r="Q8"/>
  <c r="N8"/>
  <c r="K8"/>
  <c r="H8"/>
  <c r="E8"/>
  <c r="S7"/>
  <c r="U7" s="1"/>
  <c r="R7"/>
  <c r="O7"/>
  <c r="L7"/>
  <c r="I7"/>
  <c r="F7"/>
  <c r="S6"/>
  <c r="R6"/>
  <c r="R8" s="1"/>
  <c r="O6"/>
  <c r="O8" s="1"/>
  <c r="L6"/>
  <c r="I6"/>
  <c r="I8" s="1"/>
  <c r="F6"/>
  <c r="F8" s="1"/>
  <c r="S3"/>
  <c r="U3" s="1"/>
  <c r="R3"/>
  <c r="O3"/>
  <c r="L3"/>
  <c r="I3"/>
  <c r="F3"/>
  <c r="P1"/>
  <c r="U2" s="1"/>
  <c r="E64" i="19"/>
  <c r="E85" i="18"/>
  <c r="T3" i="23" l="1"/>
  <c r="T7"/>
  <c r="E14"/>
  <c r="Q14"/>
  <c r="V3"/>
  <c r="K14"/>
  <c r="U26" i="25"/>
  <c r="I26"/>
  <c r="E30"/>
  <c r="K30"/>
  <c r="Q30"/>
  <c r="T12" i="23"/>
  <c r="V12" s="1"/>
  <c r="T7" i="19"/>
  <c r="T61" i="18"/>
  <c r="V61" s="1"/>
  <c r="V7" i="19"/>
  <c r="T8"/>
  <c r="V8" s="1"/>
  <c r="T116" i="18"/>
  <c r="V116" s="1"/>
  <c r="T118"/>
  <c r="V118" s="1"/>
  <c r="T122"/>
  <c r="V122" s="1"/>
  <c r="T124"/>
  <c r="V124" s="1"/>
  <c r="T81" i="19"/>
  <c r="V81" s="1"/>
  <c r="T83"/>
  <c r="V83" s="1"/>
  <c r="T126"/>
  <c r="V126" s="1"/>
  <c r="T127"/>
  <c r="V127" s="1"/>
  <c r="T82"/>
  <c r="V82" s="1"/>
  <c r="T128" i="18"/>
  <c r="V128" s="1"/>
  <c r="T129"/>
  <c r="V129" s="1"/>
  <c r="T120"/>
  <c r="V120" s="1"/>
  <c r="T117"/>
  <c r="V117" s="1"/>
  <c r="T119"/>
  <c r="V119" s="1"/>
  <c r="T121"/>
  <c r="V121" s="1"/>
  <c r="T123"/>
  <c r="V123" s="1"/>
  <c r="T9" i="19"/>
  <c r="V9" s="1"/>
  <c r="T14" i="25"/>
  <c r="O26"/>
  <c r="O30" s="1"/>
  <c r="H30"/>
  <c r="N30"/>
  <c r="T3"/>
  <c r="V3" s="1"/>
  <c r="T25"/>
  <c r="V25" s="1"/>
  <c r="U6"/>
  <c r="U7" s="1"/>
  <c r="T8"/>
  <c r="T10" s="1"/>
  <c r="U11"/>
  <c r="U12" s="1"/>
  <c r="T13"/>
  <c r="F14"/>
  <c r="U16"/>
  <c r="U17" s="1"/>
  <c r="T24"/>
  <c r="S26"/>
  <c r="T29"/>
  <c r="S29"/>
  <c r="I30"/>
  <c r="L30"/>
  <c r="R30"/>
  <c r="T6"/>
  <c r="T7" s="1"/>
  <c r="U8"/>
  <c r="U10" s="1"/>
  <c r="T11"/>
  <c r="T12" s="1"/>
  <c r="U13"/>
  <c r="U14"/>
  <c r="T16"/>
  <c r="T17" s="1"/>
  <c r="T3" i="24"/>
  <c r="V3" s="1"/>
  <c r="E9"/>
  <c r="F8"/>
  <c r="F9" s="1"/>
  <c r="L8"/>
  <c r="R8"/>
  <c r="R9" s="1"/>
  <c r="I9"/>
  <c r="O9"/>
  <c r="T6"/>
  <c r="S8"/>
  <c r="S9" s="1"/>
  <c r="T7"/>
  <c r="V7" s="1"/>
  <c r="H14" i="23"/>
  <c r="N14"/>
  <c r="O13"/>
  <c r="O14" s="1"/>
  <c r="T10"/>
  <c r="V10" s="1"/>
  <c r="L8"/>
  <c r="L14" s="1"/>
  <c r="V7"/>
  <c r="T6"/>
  <c r="V6" s="1"/>
  <c r="S8"/>
  <c r="S14" s="1"/>
  <c r="T9"/>
  <c r="I14"/>
  <c r="R14"/>
  <c r="U6"/>
  <c r="U9"/>
  <c r="U13" s="1"/>
  <c r="H25" i="19"/>
  <c r="S134" i="22"/>
  <c r="R134"/>
  <c r="R135" s="1"/>
  <c r="O134"/>
  <c r="O135" s="1"/>
  <c r="L134"/>
  <c r="L135" s="1"/>
  <c r="I134"/>
  <c r="I135" s="1"/>
  <c r="F134"/>
  <c r="F135" s="1"/>
  <c r="S128"/>
  <c r="R128"/>
  <c r="R130" s="1"/>
  <c r="O128"/>
  <c r="O130" s="1"/>
  <c r="L128"/>
  <c r="L130" s="1"/>
  <c r="I128"/>
  <c r="I130" s="1"/>
  <c r="F128"/>
  <c r="F130" s="1"/>
  <c r="S126"/>
  <c r="U126" s="1"/>
  <c r="R126"/>
  <c r="O126"/>
  <c r="L126"/>
  <c r="I126"/>
  <c r="F126"/>
  <c r="S119"/>
  <c r="U119" s="1"/>
  <c r="R119"/>
  <c r="O119"/>
  <c r="L119"/>
  <c r="I119"/>
  <c r="F119"/>
  <c r="S118"/>
  <c r="U118" s="1"/>
  <c r="U127" s="1"/>
  <c r="R118"/>
  <c r="O118"/>
  <c r="L118"/>
  <c r="L127" s="1"/>
  <c r="I118"/>
  <c r="I127" s="1"/>
  <c r="F118"/>
  <c r="F127" s="1"/>
  <c r="S116"/>
  <c r="U116" s="1"/>
  <c r="R116"/>
  <c r="O116"/>
  <c r="L116"/>
  <c r="I116"/>
  <c r="F116"/>
  <c r="S115"/>
  <c r="U115" s="1"/>
  <c r="U117" s="1"/>
  <c r="R115"/>
  <c r="R117" s="1"/>
  <c r="O115"/>
  <c r="L115"/>
  <c r="I115"/>
  <c r="F115"/>
  <c r="S113"/>
  <c r="U113" s="1"/>
  <c r="R113"/>
  <c r="O113"/>
  <c r="L113"/>
  <c r="I113"/>
  <c r="F113"/>
  <c r="S112"/>
  <c r="U112" s="1"/>
  <c r="R112"/>
  <c r="R114" s="1"/>
  <c r="O112"/>
  <c r="L112"/>
  <c r="I112"/>
  <c r="F112"/>
  <c r="S110"/>
  <c r="U110" s="1"/>
  <c r="U111" s="1"/>
  <c r="R110"/>
  <c r="O110"/>
  <c r="O111" s="1"/>
  <c r="L110"/>
  <c r="L111" s="1"/>
  <c r="I110"/>
  <c r="F110"/>
  <c r="S108"/>
  <c r="U108" s="1"/>
  <c r="R108"/>
  <c r="O108"/>
  <c r="L108"/>
  <c r="I108"/>
  <c r="F108"/>
  <c r="S106"/>
  <c r="U106" s="1"/>
  <c r="U109" s="1"/>
  <c r="R106"/>
  <c r="O106"/>
  <c r="L106"/>
  <c r="L109" s="1"/>
  <c r="I106"/>
  <c r="F106"/>
  <c r="S104"/>
  <c r="U104" s="1"/>
  <c r="R104"/>
  <c r="O104"/>
  <c r="L104"/>
  <c r="I104"/>
  <c r="F104"/>
  <c r="S103"/>
  <c r="U103" s="1"/>
  <c r="U105" s="1"/>
  <c r="R103"/>
  <c r="R105" s="1"/>
  <c r="O103"/>
  <c r="L103"/>
  <c r="I103"/>
  <c r="F103"/>
  <c r="S101"/>
  <c r="U101" s="1"/>
  <c r="U102" s="1"/>
  <c r="R101"/>
  <c r="R102" s="1"/>
  <c r="O101"/>
  <c r="O102" s="1"/>
  <c r="L101"/>
  <c r="L102" s="1"/>
  <c r="I101"/>
  <c r="F101"/>
  <c r="F102" s="1"/>
  <c r="S96"/>
  <c r="R96"/>
  <c r="R100" s="1"/>
  <c r="O96"/>
  <c r="O100" s="1"/>
  <c r="L96"/>
  <c r="L100" s="1"/>
  <c r="I96"/>
  <c r="I100" s="1"/>
  <c r="F96"/>
  <c r="F100" s="1"/>
  <c r="S76"/>
  <c r="R76"/>
  <c r="R95" s="1"/>
  <c r="O76"/>
  <c r="O95" s="1"/>
  <c r="L76"/>
  <c r="L95" s="1"/>
  <c r="I76"/>
  <c r="I95" s="1"/>
  <c r="F76"/>
  <c r="F95" s="1"/>
  <c r="S73"/>
  <c r="R73"/>
  <c r="R75" s="1"/>
  <c r="O73"/>
  <c r="O75" s="1"/>
  <c r="L73"/>
  <c r="L75" s="1"/>
  <c r="I73"/>
  <c r="I75" s="1"/>
  <c r="F73"/>
  <c r="F75" s="1"/>
  <c r="S71"/>
  <c r="U71" s="1"/>
  <c r="R71"/>
  <c r="O71"/>
  <c r="L71"/>
  <c r="I71"/>
  <c r="F71"/>
  <c r="S67"/>
  <c r="U67" s="1"/>
  <c r="R67"/>
  <c r="R72" s="1"/>
  <c r="O67"/>
  <c r="L67"/>
  <c r="L72" s="1"/>
  <c r="I67"/>
  <c r="F67"/>
  <c r="F72" s="1"/>
  <c r="S61"/>
  <c r="R61"/>
  <c r="R66" s="1"/>
  <c r="O61"/>
  <c r="O66" s="1"/>
  <c r="L61"/>
  <c r="L66" s="1"/>
  <c r="I61"/>
  <c r="I66" s="1"/>
  <c r="F61"/>
  <c r="F66" s="1"/>
  <c r="S56"/>
  <c r="R56"/>
  <c r="R60" s="1"/>
  <c r="O56"/>
  <c r="O60" s="1"/>
  <c r="L56"/>
  <c r="L60" s="1"/>
  <c r="I56"/>
  <c r="I60" s="1"/>
  <c r="F56"/>
  <c r="F60" s="1"/>
  <c r="S44"/>
  <c r="R44"/>
  <c r="R55" s="1"/>
  <c r="O44"/>
  <c r="O55" s="1"/>
  <c r="L44"/>
  <c r="L55" s="1"/>
  <c r="I44"/>
  <c r="I55" s="1"/>
  <c r="F44"/>
  <c r="F55" s="1"/>
  <c r="S42"/>
  <c r="U42" s="1"/>
  <c r="R42"/>
  <c r="O42"/>
  <c r="L42"/>
  <c r="I42"/>
  <c r="F42"/>
  <c r="S23"/>
  <c r="U23" s="1"/>
  <c r="R23"/>
  <c r="O23"/>
  <c r="L23"/>
  <c r="I23"/>
  <c r="F23"/>
  <c r="S22"/>
  <c r="U22" s="1"/>
  <c r="U43" s="1"/>
  <c r="R22"/>
  <c r="O22"/>
  <c r="L22"/>
  <c r="I22"/>
  <c r="I43" s="1"/>
  <c r="F22"/>
  <c r="S20"/>
  <c r="U20" s="1"/>
  <c r="R20"/>
  <c r="O20"/>
  <c r="L20"/>
  <c r="I20"/>
  <c r="F20"/>
  <c r="S6"/>
  <c r="U6" s="1"/>
  <c r="U21" s="1"/>
  <c r="R6"/>
  <c r="R21" s="1"/>
  <c r="O6"/>
  <c r="L6"/>
  <c r="I6"/>
  <c r="F6"/>
  <c r="S114"/>
  <c r="S109"/>
  <c r="Q127"/>
  <c r="Q117"/>
  <c r="Q114"/>
  <c r="R111"/>
  <c r="Q111"/>
  <c r="R109"/>
  <c r="Q109"/>
  <c r="Q105"/>
  <c r="Q102"/>
  <c r="Q72"/>
  <c r="Q43"/>
  <c r="Q21"/>
  <c r="O127"/>
  <c r="N127"/>
  <c r="O117"/>
  <c r="N117"/>
  <c r="O114"/>
  <c r="N114"/>
  <c r="N111"/>
  <c r="N109"/>
  <c r="N105"/>
  <c r="N102"/>
  <c r="N72"/>
  <c r="O43"/>
  <c r="N43"/>
  <c r="N21"/>
  <c r="K127"/>
  <c r="K117"/>
  <c r="K114"/>
  <c r="K111"/>
  <c r="K109"/>
  <c r="K105"/>
  <c r="K102"/>
  <c r="K72"/>
  <c r="K43"/>
  <c r="K21"/>
  <c r="H117"/>
  <c r="I114"/>
  <c r="H114"/>
  <c r="I111"/>
  <c r="H111"/>
  <c r="H109"/>
  <c r="H105"/>
  <c r="I102"/>
  <c r="H102"/>
  <c r="H72"/>
  <c r="H43"/>
  <c r="H21"/>
  <c r="F3"/>
  <c r="F3" i="21"/>
  <c r="E117" i="22"/>
  <c r="F114"/>
  <c r="E114"/>
  <c r="E111"/>
  <c r="E109"/>
  <c r="E105"/>
  <c r="E102"/>
  <c r="E72"/>
  <c r="E43"/>
  <c r="E21"/>
  <c r="S3"/>
  <c r="U3" s="1"/>
  <c r="R3"/>
  <c r="O3"/>
  <c r="L3"/>
  <c r="I3"/>
  <c r="P1"/>
  <c r="U2" s="1"/>
  <c r="T15" i="25" l="1"/>
  <c r="U44" i="22"/>
  <c r="U55" s="1"/>
  <c r="S55"/>
  <c r="U56"/>
  <c r="U60" s="1"/>
  <c r="S60"/>
  <c r="U61"/>
  <c r="U66" s="1"/>
  <c r="S66"/>
  <c r="U73"/>
  <c r="U75" s="1"/>
  <c r="S75"/>
  <c r="U76"/>
  <c r="U95" s="1"/>
  <c r="S95"/>
  <c r="U96"/>
  <c r="U100" s="1"/>
  <c r="S100"/>
  <c r="U128"/>
  <c r="U130" s="1"/>
  <c r="S130"/>
  <c r="U134"/>
  <c r="U135" s="1"/>
  <c r="S135"/>
  <c r="O72"/>
  <c r="T13" i="23"/>
  <c r="S105" i="22"/>
  <c r="S72"/>
  <c r="I72"/>
  <c r="U72"/>
  <c r="S21"/>
  <c r="S117"/>
  <c r="U114"/>
  <c r="T26" i="25"/>
  <c r="T30" s="1"/>
  <c r="V14"/>
  <c r="F109" i="22"/>
  <c r="T112"/>
  <c r="V112" s="1"/>
  <c r="T115"/>
  <c r="V115" s="1"/>
  <c r="E136"/>
  <c r="T3"/>
  <c r="V3" s="1"/>
  <c r="T6"/>
  <c r="V6" s="1"/>
  <c r="T23"/>
  <c r="V23" s="1"/>
  <c r="T67"/>
  <c r="V67" s="1"/>
  <c r="T103"/>
  <c r="V103" s="1"/>
  <c r="T106"/>
  <c r="V106" s="1"/>
  <c r="T20"/>
  <c r="V20" s="1"/>
  <c r="O21"/>
  <c r="T22"/>
  <c r="T42"/>
  <c r="V42" s="1"/>
  <c r="T44"/>
  <c r="T55" s="1"/>
  <c r="T56"/>
  <c r="T60" s="1"/>
  <c r="T61"/>
  <c r="T66" s="1"/>
  <c r="T71"/>
  <c r="V71" s="1"/>
  <c r="T73"/>
  <c r="T75" s="1"/>
  <c r="T76"/>
  <c r="T95" s="1"/>
  <c r="T96"/>
  <c r="T100" s="1"/>
  <c r="T101"/>
  <c r="T102" s="1"/>
  <c r="T104"/>
  <c r="V104" s="1"/>
  <c r="O105"/>
  <c r="T108"/>
  <c r="V108" s="1"/>
  <c r="O109"/>
  <c r="T113"/>
  <c r="V113" s="1"/>
  <c r="T116"/>
  <c r="V116" s="1"/>
  <c r="T128"/>
  <c r="T130" s="1"/>
  <c r="T134"/>
  <c r="T135" s="1"/>
  <c r="V22"/>
  <c r="R43"/>
  <c r="V44"/>
  <c r="V55" s="1"/>
  <c r="T118"/>
  <c r="T126"/>
  <c r="V126" s="1"/>
  <c r="R127"/>
  <c r="T119"/>
  <c r="V119" s="1"/>
  <c r="V16" i="25"/>
  <c r="V17" s="1"/>
  <c r="V11"/>
  <c r="V12" s="1"/>
  <c r="S30"/>
  <c r="V24"/>
  <c r="V26" s="1"/>
  <c r="V13"/>
  <c r="V8"/>
  <c r="V10" s="1"/>
  <c r="U15"/>
  <c r="U30" s="1"/>
  <c r="V6"/>
  <c r="V7" s="1"/>
  <c r="V29"/>
  <c r="F15"/>
  <c r="F30" s="1"/>
  <c r="L9" i="24"/>
  <c r="U9"/>
  <c r="T8"/>
  <c r="V6"/>
  <c r="V8" s="1"/>
  <c r="U8" i="23"/>
  <c r="U14" s="1"/>
  <c r="T8"/>
  <c r="V9"/>
  <c r="V13" s="1"/>
  <c r="F14"/>
  <c r="V8"/>
  <c r="F111" i="22"/>
  <c r="T110"/>
  <c r="T111" s="1"/>
  <c r="S127"/>
  <c r="F117"/>
  <c r="I117"/>
  <c r="L117"/>
  <c r="L114"/>
  <c r="S111"/>
  <c r="H136"/>
  <c r="I109"/>
  <c r="F105"/>
  <c r="I105"/>
  <c r="L105"/>
  <c r="S102"/>
  <c r="N136"/>
  <c r="F43"/>
  <c r="K136"/>
  <c r="L43"/>
  <c r="Q136"/>
  <c r="S43"/>
  <c r="F21"/>
  <c r="I21"/>
  <c r="L21"/>
  <c r="O136"/>
  <c r="V14" i="23" l="1"/>
  <c r="T14"/>
  <c r="T105" i="22"/>
  <c r="V15" i="25"/>
  <c r="V117" i="22"/>
  <c r="V114"/>
  <c r="V128"/>
  <c r="V130" s="1"/>
  <c r="T114"/>
  <c r="V73"/>
  <c r="V75" s="1"/>
  <c r="T21"/>
  <c r="T109"/>
  <c r="V109"/>
  <c r="V21"/>
  <c r="V105"/>
  <c r="V96"/>
  <c r="V100" s="1"/>
  <c r="V61"/>
  <c r="V66" s="1"/>
  <c r="R136"/>
  <c r="V72"/>
  <c r="V43"/>
  <c r="T43"/>
  <c r="I136"/>
  <c r="T117"/>
  <c r="T72"/>
  <c r="V134"/>
  <c r="V135" s="1"/>
  <c r="V101"/>
  <c r="V102" s="1"/>
  <c r="V76"/>
  <c r="V95" s="1"/>
  <c r="V56"/>
  <c r="V60" s="1"/>
  <c r="T127"/>
  <c r="V118"/>
  <c r="V127" s="1"/>
  <c r="S136"/>
  <c r="V30" i="25"/>
  <c r="T9" i="24"/>
  <c r="V9"/>
  <c r="V110" i="22"/>
  <c r="V111" s="1"/>
  <c r="L136"/>
  <c r="F136"/>
  <c r="U136"/>
  <c r="V136" l="1"/>
  <c r="T136"/>
  <c r="S16" i="21" l="1"/>
  <c r="U16" s="1"/>
  <c r="R16"/>
  <c r="R17" s="1"/>
  <c r="O16"/>
  <c r="L16"/>
  <c r="I16"/>
  <c r="S14"/>
  <c r="U14" s="1"/>
  <c r="R14"/>
  <c r="O14"/>
  <c r="L14"/>
  <c r="I14"/>
  <c r="S13"/>
  <c r="U13" s="1"/>
  <c r="R13"/>
  <c r="O13"/>
  <c r="L13"/>
  <c r="I13"/>
  <c r="S8"/>
  <c r="U8" s="1"/>
  <c r="R8"/>
  <c r="O8"/>
  <c r="O12" s="1"/>
  <c r="L8"/>
  <c r="I8"/>
  <c r="I12" s="1"/>
  <c r="Q17"/>
  <c r="N17"/>
  <c r="K17"/>
  <c r="H17"/>
  <c r="E17"/>
  <c r="L17"/>
  <c r="F16"/>
  <c r="Q15"/>
  <c r="N15"/>
  <c r="K15"/>
  <c r="H15"/>
  <c r="E15"/>
  <c r="F14"/>
  <c r="R15"/>
  <c r="F13"/>
  <c r="Q12"/>
  <c r="N12"/>
  <c r="K12"/>
  <c r="F8"/>
  <c r="F12" s="1"/>
  <c r="Q7"/>
  <c r="N7"/>
  <c r="K7"/>
  <c r="H7"/>
  <c r="E7"/>
  <c r="E18" s="1"/>
  <c r="S6"/>
  <c r="R6"/>
  <c r="R7" s="1"/>
  <c r="O6"/>
  <c r="O7" s="1"/>
  <c r="L6"/>
  <c r="L7" s="1"/>
  <c r="I6"/>
  <c r="I7" s="1"/>
  <c r="F6"/>
  <c r="F7" s="1"/>
  <c r="S3"/>
  <c r="U3" s="1"/>
  <c r="R3"/>
  <c r="O3"/>
  <c r="L3"/>
  <c r="I3"/>
  <c r="P1"/>
  <c r="U2" s="1"/>
  <c r="S26" i="20"/>
  <c r="U26" s="1"/>
  <c r="R26"/>
  <c r="S25"/>
  <c r="U25" s="1"/>
  <c r="R25"/>
  <c r="S24"/>
  <c r="U24" s="1"/>
  <c r="R24"/>
  <c r="S23"/>
  <c r="U23" s="1"/>
  <c r="R23"/>
  <c r="S21"/>
  <c r="U21" s="1"/>
  <c r="R21"/>
  <c r="S20"/>
  <c r="U20" s="1"/>
  <c r="R20"/>
  <c r="S18"/>
  <c r="U18" s="1"/>
  <c r="R18"/>
  <c r="S17"/>
  <c r="U17" s="1"/>
  <c r="R17"/>
  <c r="S16"/>
  <c r="U16" s="1"/>
  <c r="R16"/>
  <c r="S15"/>
  <c r="U15" s="1"/>
  <c r="R15"/>
  <c r="S14"/>
  <c r="U14" s="1"/>
  <c r="R14"/>
  <c r="S13"/>
  <c r="U13" s="1"/>
  <c r="R13"/>
  <c r="S12"/>
  <c r="U12" s="1"/>
  <c r="R12"/>
  <c r="S11"/>
  <c r="U11" s="1"/>
  <c r="R11"/>
  <c r="S10"/>
  <c r="U10" s="1"/>
  <c r="R10"/>
  <c r="S8"/>
  <c r="U8" s="1"/>
  <c r="R8"/>
  <c r="S7"/>
  <c r="U7" s="1"/>
  <c r="R7"/>
  <c r="S6"/>
  <c r="U6" s="1"/>
  <c r="R6"/>
  <c r="S149" i="19"/>
  <c r="R149"/>
  <c r="R151" s="1"/>
  <c r="S147"/>
  <c r="U147" s="1"/>
  <c r="R147"/>
  <c r="S144"/>
  <c r="U144" s="1"/>
  <c r="R144"/>
  <c r="S143"/>
  <c r="U143" s="1"/>
  <c r="R143"/>
  <c r="S142"/>
  <c r="U142" s="1"/>
  <c r="R142"/>
  <c r="S141"/>
  <c r="U141" s="1"/>
  <c r="U148" s="1"/>
  <c r="R141"/>
  <c r="S139"/>
  <c r="U139" s="1"/>
  <c r="R139"/>
  <c r="S138"/>
  <c r="U138" s="1"/>
  <c r="R138"/>
  <c r="S137"/>
  <c r="U137" s="1"/>
  <c r="R137"/>
  <c r="S136"/>
  <c r="U136" s="1"/>
  <c r="U140" s="1"/>
  <c r="R136"/>
  <c r="S134"/>
  <c r="U134" s="1"/>
  <c r="R134"/>
  <c r="S133"/>
  <c r="U133" s="1"/>
  <c r="U135" s="1"/>
  <c r="R133"/>
  <c r="S131"/>
  <c r="U131" s="1"/>
  <c r="R131"/>
  <c r="S130"/>
  <c r="U130" s="1"/>
  <c r="U132" s="1"/>
  <c r="R130"/>
  <c r="S128"/>
  <c r="U128" s="1"/>
  <c r="R128"/>
  <c r="S125"/>
  <c r="U125" s="1"/>
  <c r="U129" s="1"/>
  <c r="R125"/>
  <c r="R129" s="1"/>
  <c r="S123"/>
  <c r="U123" s="1"/>
  <c r="R123"/>
  <c r="S111"/>
  <c r="U111" s="1"/>
  <c r="U124" s="1"/>
  <c r="R111"/>
  <c r="S109"/>
  <c r="U109" s="1"/>
  <c r="U110" s="1"/>
  <c r="R109"/>
  <c r="S107"/>
  <c r="U107" s="1"/>
  <c r="R107"/>
  <c r="S100"/>
  <c r="U100" s="1"/>
  <c r="R100"/>
  <c r="S99"/>
  <c r="U99" s="1"/>
  <c r="U108" s="1"/>
  <c r="R99"/>
  <c r="S97"/>
  <c r="U97" s="1"/>
  <c r="R97"/>
  <c r="S86"/>
  <c r="U86" s="1"/>
  <c r="U98" s="1"/>
  <c r="R86"/>
  <c r="S84"/>
  <c r="U84" s="1"/>
  <c r="R84"/>
  <c r="S80"/>
  <c r="U80" s="1"/>
  <c r="R80"/>
  <c r="U78"/>
  <c r="R78"/>
  <c r="U65"/>
  <c r="R65"/>
  <c r="U64"/>
  <c r="R64"/>
  <c r="U63"/>
  <c r="U79" s="1"/>
  <c r="R63"/>
  <c r="S60"/>
  <c r="R60"/>
  <c r="R62" s="1"/>
  <c r="S58"/>
  <c r="U58" s="1"/>
  <c r="R58"/>
  <c r="S57"/>
  <c r="U57" s="1"/>
  <c r="R57"/>
  <c r="S55"/>
  <c r="U55" s="1"/>
  <c r="R55"/>
  <c r="S43"/>
  <c r="U43" s="1"/>
  <c r="R43"/>
  <c r="S42"/>
  <c r="R42"/>
  <c r="S36"/>
  <c r="R36"/>
  <c r="R41" s="1"/>
  <c r="S32"/>
  <c r="R32"/>
  <c r="R35" s="1"/>
  <c r="S30"/>
  <c r="R30"/>
  <c r="S25"/>
  <c r="U25" s="1"/>
  <c r="R25"/>
  <c r="S24"/>
  <c r="U24" s="1"/>
  <c r="R24"/>
  <c r="S23"/>
  <c r="U23" s="1"/>
  <c r="R23"/>
  <c r="S22"/>
  <c r="U22" s="1"/>
  <c r="R22"/>
  <c r="S14"/>
  <c r="U14" s="1"/>
  <c r="R14"/>
  <c r="S13"/>
  <c r="U13" s="1"/>
  <c r="R13"/>
  <c r="S12"/>
  <c r="U12" s="1"/>
  <c r="R12"/>
  <c r="S10"/>
  <c r="U10" s="1"/>
  <c r="R10"/>
  <c r="S6"/>
  <c r="U6" s="1"/>
  <c r="U11" s="1"/>
  <c r="R6"/>
  <c r="S3"/>
  <c r="U3" s="1"/>
  <c r="R3"/>
  <c r="S196" i="18"/>
  <c r="U196" s="1"/>
  <c r="R196"/>
  <c r="S195"/>
  <c r="U195" s="1"/>
  <c r="R195"/>
  <c r="S194"/>
  <c r="U194" s="1"/>
  <c r="R194"/>
  <c r="S193"/>
  <c r="U193" s="1"/>
  <c r="R193"/>
  <c r="S191"/>
  <c r="U191" s="1"/>
  <c r="R191"/>
  <c r="S190"/>
  <c r="U190" s="1"/>
  <c r="R190"/>
  <c r="S189"/>
  <c r="U189" s="1"/>
  <c r="R189"/>
  <c r="S188"/>
  <c r="U188" s="1"/>
  <c r="R188"/>
  <c r="S187"/>
  <c r="U187" s="1"/>
  <c r="R187"/>
  <c r="S186"/>
  <c r="U186" s="1"/>
  <c r="R186"/>
  <c r="S185"/>
  <c r="U185" s="1"/>
  <c r="R185"/>
  <c r="S183"/>
  <c r="U183" s="1"/>
  <c r="R183"/>
  <c r="S182"/>
  <c r="U182" s="1"/>
  <c r="R182"/>
  <c r="S181"/>
  <c r="U181" s="1"/>
  <c r="R181"/>
  <c r="S179"/>
  <c r="U179" s="1"/>
  <c r="R179"/>
  <c r="S177"/>
  <c r="U177" s="1"/>
  <c r="R177"/>
  <c r="S175"/>
  <c r="U175" s="1"/>
  <c r="R175"/>
  <c r="S174"/>
  <c r="U174" s="1"/>
  <c r="R174"/>
  <c r="S173"/>
  <c r="U173" s="1"/>
  <c r="R173"/>
  <c r="S171"/>
  <c r="U171" s="1"/>
  <c r="R171"/>
  <c r="S170"/>
  <c r="U170" s="1"/>
  <c r="R170"/>
  <c r="S169"/>
  <c r="U169" s="1"/>
  <c r="R169"/>
  <c r="S168"/>
  <c r="U168" s="1"/>
  <c r="R168"/>
  <c r="S166"/>
  <c r="U166" s="1"/>
  <c r="R166"/>
  <c r="S157"/>
  <c r="U157" s="1"/>
  <c r="R157"/>
  <c r="S156"/>
  <c r="U156" s="1"/>
  <c r="R156"/>
  <c r="S155"/>
  <c r="U155" s="1"/>
  <c r="R155"/>
  <c r="S153"/>
  <c r="U153" s="1"/>
  <c r="R153"/>
  <c r="S150"/>
  <c r="U150" s="1"/>
  <c r="R150"/>
  <c r="S148"/>
  <c r="U148" s="1"/>
  <c r="R148"/>
  <c r="S144"/>
  <c r="U144" s="1"/>
  <c r="R144"/>
  <c r="S143"/>
  <c r="U143" s="1"/>
  <c r="R143"/>
  <c r="S142"/>
  <c r="U142" s="1"/>
  <c r="R142"/>
  <c r="S140"/>
  <c r="U140" s="1"/>
  <c r="R140"/>
  <c r="S138"/>
  <c r="U138" s="1"/>
  <c r="R138"/>
  <c r="S137"/>
  <c r="U137" s="1"/>
  <c r="R137"/>
  <c r="S136"/>
  <c r="U136" s="1"/>
  <c r="R136"/>
  <c r="S135"/>
  <c r="U135" s="1"/>
  <c r="R135"/>
  <c r="S134"/>
  <c r="U134" s="1"/>
  <c r="R134"/>
  <c r="S132"/>
  <c r="U132" s="1"/>
  <c r="R132"/>
  <c r="S131"/>
  <c r="U131" s="1"/>
  <c r="R131"/>
  <c r="S127"/>
  <c r="R127"/>
  <c r="S125"/>
  <c r="U125" s="1"/>
  <c r="R125"/>
  <c r="S115"/>
  <c r="U115" s="1"/>
  <c r="R115"/>
  <c r="S114"/>
  <c r="U114" s="1"/>
  <c r="R114"/>
  <c r="S112"/>
  <c r="U112" s="1"/>
  <c r="R112"/>
  <c r="S98"/>
  <c r="U98" s="1"/>
  <c r="R98"/>
  <c r="S97"/>
  <c r="U97" s="1"/>
  <c r="R97"/>
  <c r="S96"/>
  <c r="U96" s="1"/>
  <c r="R96"/>
  <c r="S95"/>
  <c r="U95" s="1"/>
  <c r="R95"/>
  <c r="S93"/>
  <c r="U93" s="1"/>
  <c r="R93"/>
  <c r="S91"/>
  <c r="U91" s="1"/>
  <c r="R91"/>
  <c r="S90"/>
  <c r="U90" s="1"/>
  <c r="R90"/>
  <c r="S89"/>
  <c r="U89" s="1"/>
  <c r="R89"/>
  <c r="S88"/>
  <c r="U88" s="1"/>
  <c r="R88"/>
  <c r="S87"/>
  <c r="U87" s="1"/>
  <c r="R87"/>
  <c r="S86"/>
  <c r="U86" s="1"/>
  <c r="R86"/>
  <c r="S85"/>
  <c r="U85" s="1"/>
  <c r="R85"/>
  <c r="S84"/>
  <c r="U84" s="1"/>
  <c r="R84"/>
  <c r="S82"/>
  <c r="U82" s="1"/>
  <c r="R82"/>
  <c r="S74"/>
  <c r="U74" s="1"/>
  <c r="R74"/>
  <c r="S73"/>
  <c r="U73" s="1"/>
  <c r="R73"/>
  <c r="S72"/>
  <c r="U72" s="1"/>
  <c r="R72"/>
  <c r="S70"/>
  <c r="U70" s="1"/>
  <c r="R70"/>
  <c r="S69"/>
  <c r="U69" s="1"/>
  <c r="R69"/>
  <c r="S67"/>
  <c r="U67" s="1"/>
  <c r="R67"/>
  <c r="S60"/>
  <c r="U60" s="1"/>
  <c r="R60"/>
  <c r="S59"/>
  <c r="U59" s="1"/>
  <c r="R59"/>
  <c r="S58"/>
  <c r="U58" s="1"/>
  <c r="R58"/>
  <c r="S57"/>
  <c r="U57" s="1"/>
  <c r="R57"/>
  <c r="S56"/>
  <c r="U56" s="1"/>
  <c r="R56"/>
  <c r="S54"/>
  <c r="U54" s="1"/>
  <c r="R54"/>
  <c r="S45"/>
  <c r="U45" s="1"/>
  <c r="R45"/>
  <c r="S44"/>
  <c r="U44" s="1"/>
  <c r="R44"/>
  <c r="S43"/>
  <c r="U43" s="1"/>
  <c r="R43"/>
  <c r="S42"/>
  <c r="U42" s="1"/>
  <c r="R42"/>
  <c r="S41"/>
  <c r="U41" s="1"/>
  <c r="R41"/>
  <c r="S40"/>
  <c r="U40" s="1"/>
  <c r="R40"/>
  <c r="S39"/>
  <c r="U39" s="1"/>
  <c r="R39"/>
  <c r="S38"/>
  <c r="U38" s="1"/>
  <c r="R38"/>
  <c r="S37"/>
  <c r="U37" s="1"/>
  <c r="R37"/>
  <c r="S36"/>
  <c r="U36" s="1"/>
  <c r="R36"/>
  <c r="S35"/>
  <c r="U35" s="1"/>
  <c r="R35"/>
  <c r="S34"/>
  <c r="U34" s="1"/>
  <c r="R34"/>
  <c r="S32"/>
  <c r="U32" s="1"/>
  <c r="R32"/>
  <c r="S26"/>
  <c r="U26" s="1"/>
  <c r="R26"/>
  <c r="S25"/>
  <c r="U25" s="1"/>
  <c r="R25"/>
  <c r="S24"/>
  <c r="U24" s="1"/>
  <c r="R24"/>
  <c r="S23"/>
  <c r="U23" s="1"/>
  <c r="R23"/>
  <c r="S17"/>
  <c r="R17"/>
  <c r="R22" s="1"/>
  <c r="S15"/>
  <c r="U15" s="1"/>
  <c r="R15"/>
  <c r="S7"/>
  <c r="U7" s="1"/>
  <c r="R7"/>
  <c r="S6"/>
  <c r="U6" s="1"/>
  <c r="R6"/>
  <c r="S3"/>
  <c r="O17" i="20"/>
  <c r="L17"/>
  <c r="I17"/>
  <c r="F17"/>
  <c r="O16"/>
  <c r="L16"/>
  <c r="I16"/>
  <c r="F16"/>
  <c r="O15"/>
  <c r="L15"/>
  <c r="I15"/>
  <c r="F15"/>
  <c r="O14"/>
  <c r="L14"/>
  <c r="I14"/>
  <c r="F14"/>
  <c r="O13"/>
  <c r="L13"/>
  <c r="I13"/>
  <c r="F13"/>
  <c r="O12"/>
  <c r="L12"/>
  <c r="I12"/>
  <c r="F12"/>
  <c r="O18"/>
  <c r="L18"/>
  <c r="I18"/>
  <c r="F18"/>
  <c r="O11"/>
  <c r="L11"/>
  <c r="I11"/>
  <c r="F11"/>
  <c r="O8"/>
  <c r="L8"/>
  <c r="I8"/>
  <c r="F8"/>
  <c r="Q22"/>
  <c r="N22"/>
  <c r="K22"/>
  <c r="H22"/>
  <c r="E22"/>
  <c r="O21"/>
  <c r="L21"/>
  <c r="I21"/>
  <c r="F21"/>
  <c r="Q27"/>
  <c r="N27"/>
  <c r="K27"/>
  <c r="H27"/>
  <c r="E27"/>
  <c r="O26"/>
  <c r="L26"/>
  <c r="I26"/>
  <c r="F26"/>
  <c r="O25"/>
  <c r="L25"/>
  <c r="I25"/>
  <c r="F25"/>
  <c r="O24"/>
  <c r="L24"/>
  <c r="I24"/>
  <c r="F24"/>
  <c r="S27"/>
  <c r="R27"/>
  <c r="O23"/>
  <c r="O27" s="1"/>
  <c r="L23"/>
  <c r="L27" s="1"/>
  <c r="I23"/>
  <c r="I27" s="1"/>
  <c r="F23"/>
  <c r="F27" s="1"/>
  <c r="O20"/>
  <c r="L20"/>
  <c r="I20"/>
  <c r="F20"/>
  <c r="Q19"/>
  <c r="N19"/>
  <c r="K19"/>
  <c r="H19"/>
  <c r="E19"/>
  <c r="O10"/>
  <c r="L10"/>
  <c r="I10"/>
  <c r="F10"/>
  <c r="Q9"/>
  <c r="N9"/>
  <c r="K9"/>
  <c r="H9"/>
  <c r="E9"/>
  <c r="O7"/>
  <c r="L7"/>
  <c r="I7"/>
  <c r="F7"/>
  <c r="S9"/>
  <c r="O6"/>
  <c r="L6"/>
  <c r="I6"/>
  <c r="F6"/>
  <c r="S3"/>
  <c r="U3" s="1"/>
  <c r="R3"/>
  <c r="O3"/>
  <c r="L3"/>
  <c r="I3"/>
  <c r="F3"/>
  <c r="P1"/>
  <c r="U2" s="1"/>
  <c r="E132" i="19"/>
  <c r="O149"/>
  <c r="O151" s="1"/>
  <c r="L149"/>
  <c r="L151" s="1"/>
  <c r="I149"/>
  <c r="I151" s="1"/>
  <c r="F149"/>
  <c r="F151" s="1"/>
  <c r="O147"/>
  <c r="L147"/>
  <c r="I147"/>
  <c r="F147"/>
  <c r="O144"/>
  <c r="L144"/>
  <c r="I144"/>
  <c r="F144"/>
  <c r="O143"/>
  <c r="L143"/>
  <c r="I143"/>
  <c r="F143"/>
  <c r="O142"/>
  <c r="L142"/>
  <c r="I142"/>
  <c r="F142"/>
  <c r="O141"/>
  <c r="O148" s="1"/>
  <c r="L141"/>
  <c r="I141"/>
  <c r="I148" s="1"/>
  <c r="F141"/>
  <c r="O139"/>
  <c r="L139"/>
  <c r="I139"/>
  <c r="F139"/>
  <c r="O138"/>
  <c r="L138"/>
  <c r="I138"/>
  <c r="F138"/>
  <c r="O137"/>
  <c r="L137"/>
  <c r="I137"/>
  <c r="F137"/>
  <c r="R140"/>
  <c r="O136"/>
  <c r="L136"/>
  <c r="I136"/>
  <c r="F136"/>
  <c r="O134"/>
  <c r="L134"/>
  <c r="I134"/>
  <c r="F134"/>
  <c r="R135"/>
  <c r="O133"/>
  <c r="L133"/>
  <c r="I133"/>
  <c r="F133"/>
  <c r="O131"/>
  <c r="L131"/>
  <c r="I131"/>
  <c r="F131"/>
  <c r="R132"/>
  <c r="O130"/>
  <c r="L130"/>
  <c r="I130"/>
  <c r="F130"/>
  <c r="O128"/>
  <c r="L128"/>
  <c r="I128"/>
  <c r="F128"/>
  <c r="O125"/>
  <c r="L125"/>
  <c r="I125"/>
  <c r="I129" s="1"/>
  <c r="F125"/>
  <c r="O123"/>
  <c r="L123"/>
  <c r="I123"/>
  <c r="F123"/>
  <c r="O111"/>
  <c r="O124" s="1"/>
  <c r="L111"/>
  <c r="L124" s="1"/>
  <c r="I111"/>
  <c r="F111"/>
  <c r="F124" s="1"/>
  <c r="R110"/>
  <c r="O109"/>
  <c r="L109"/>
  <c r="L110" s="1"/>
  <c r="I109"/>
  <c r="F109"/>
  <c r="O107"/>
  <c r="L107"/>
  <c r="I107"/>
  <c r="F107"/>
  <c r="O100"/>
  <c r="L100"/>
  <c r="I100"/>
  <c r="F100"/>
  <c r="R108"/>
  <c r="O99"/>
  <c r="L99"/>
  <c r="I99"/>
  <c r="F99"/>
  <c r="O97"/>
  <c r="L97"/>
  <c r="I97"/>
  <c r="F97"/>
  <c r="R98"/>
  <c r="O86"/>
  <c r="O98" s="1"/>
  <c r="L86"/>
  <c r="I86"/>
  <c r="F86"/>
  <c r="O84"/>
  <c r="L84"/>
  <c r="I84"/>
  <c r="F84"/>
  <c r="S85"/>
  <c r="O80"/>
  <c r="L80"/>
  <c r="I80"/>
  <c r="F80"/>
  <c r="F85" s="1"/>
  <c r="O78"/>
  <c r="L78"/>
  <c r="I78"/>
  <c r="F78"/>
  <c r="O65"/>
  <c r="L65"/>
  <c r="I65"/>
  <c r="F65"/>
  <c r="O64"/>
  <c r="L64"/>
  <c r="I64"/>
  <c r="F64"/>
  <c r="O63"/>
  <c r="O79" s="1"/>
  <c r="L63"/>
  <c r="L79" s="1"/>
  <c r="I63"/>
  <c r="F63"/>
  <c r="F79" s="1"/>
  <c r="O60"/>
  <c r="O62" s="1"/>
  <c r="L60"/>
  <c r="L62" s="1"/>
  <c r="I60"/>
  <c r="I62" s="1"/>
  <c r="F60"/>
  <c r="F62" s="1"/>
  <c r="O58"/>
  <c r="L58"/>
  <c r="I58"/>
  <c r="F58"/>
  <c r="O57"/>
  <c r="O59" s="1"/>
  <c r="L57"/>
  <c r="L59" s="1"/>
  <c r="I57"/>
  <c r="F57"/>
  <c r="O55"/>
  <c r="L55"/>
  <c r="I55"/>
  <c r="F55"/>
  <c r="O43"/>
  <c r="L43"/>
  <c r="I43"/>
  <c r="F43"/>
  <c r="O42"/>
  <c r="O56" s="1"/>
  <c r="L42"/>
  <c r="L56" s="1"/>
  <c r="I42"/>
  <c r="I56" s="1"/>
  <c r="F42"/>
  <c r="F56" s="1"/>
  <c r="O36"/>
  <c r="O41" s="1"/>
  <c r="L36"/>
  <c r="L41" s="1"/>
  <c r="I36"/>
  <c r="I41" s="1"/>
  <c r="F36"/>
  <c r="F41" s="1"/>
  <c r="O32"/>
  <c r="O35" s="1"/>
  <c r="L32"/>
  <c r="L35" s="1"/>
  <c r="I32"/>
  <c r="I35" s="1"/>
  <c r="F32"/>
  <c r="F35" s="1"/>
  <c r="O30"/>
  <c r="L30"/>
  <c r="I30"/>
  <c r="F30"/>
  <c r="O25"/>
  <c r="L25"/>
  <c r="I25"/>
  <c r="F25"/>
  <c r="O24"/>
  <c r="L24"/>
  <c r="I24"/>
  <c r="F24"/>
  <c r="O23"/>
  <c r="L23"/>
  <c r="I23"/>
  <c r="F23"/>
  <c r="O22"/>
  <c r="L22"/>
  <c r="I22"/>
  <c r="F22"/>
  <c r="O14"/>
  <c r="L14"/>
  <c r="I14"/>
  <c r="F14"/>
  <c r="O13"/>
  <c r="L13"/>
  <c r="I13"/>
  <c r="F13"/>
  <c r="R21"/>
  <c r="O12"/>
  <c r="L12"/>
  <c r="I12"/>
  <c r="I21" s="1"/>
  <c r="F12"/>
  <c r="O10"/>
  <c r="L10"/>
  <c r="I10"/>
  <c r="F10"/>
  <c r="O6"/>
  <c r="L6"/>
  <c r="I6"/>
  <c r="F6"/>
  <c r="S148"/>
  <c r="S140"/>
  <c r="S135"/>
  <c r="S132"/>
  <c r="S129"/>
  <c r="S124"/>
  <c r="S110"/>
  <c r="S108"/>
  <c r="S98"/>
  <c r="S59"/>
  <c r="S21"/>
  <c r="Q148"/>
  <c r="Q140"/>
  <c r="Q135"/>
  <c r="Q132"/>
  <c r="Q129"/>
  <c r="R124"/>
  <c r="Q124"/>
  <c r="Q110"/>
  <c r="Q108"/>
  <c r="Q98"/>
  <c r="Q85"/>
  <c r="Q79"/>
  <c r="Q59"/>
  <c r="Q56"/>
  <c r="Q21"/>
  <c r="Q11"/>
  <c r="N148"/>
  <c r="N140"/>
  <c r="N135"/>
  <c r="N132"/>
  <c r="N129"/>
  <c r="N124"/>
  <c r="O110"/>
  <c r="N110"/>
  <c r="O108"/>
  <c r="N108"/>
  <c r="N98"/>
  <c r="N85"/>
  <c r="N79"/>
  <c r="N59"/>
  <c r="N31"/>
  <c r="N11"/>
  <c r="K148"/>
  <c r="K140"/>
  <c r="K135"/>
  <c r="K132"/>
  <c r="K129"/>
  <c r="K124"/>
  <c r="K110"/>
  <c r="K108"/>
  <c r="K98"/>
  <c r="K85"/>
  <c r="K79"/>
  <c r="K59"/>
  <c r="K11"/>
  <c r="H148"/>
  <c r="I140"/>
  <c r="H140"/>
  <c r="I135"/>
  <c r="H135"/>
  <c r="H129"/>
  <c r="I124"/>
  <c r="H124"/>
  <c r="I110"/>
  <c r="H110"/>
  <c r="I108"/>
  <c r="H108"/>
  <c r="H98"/>
  <c r="I79"/>
  <c r="H79"/>
  <c r="I59"/>
  <c r="H59"/>
  <c r="H56"/>
  <c r="H31"/>
  <c r="H21"/>
  <c r="H11"/>
  <c r="E148"/>
  <c r="E140"/>
  <c r="E135"/>
  <c r="E129"/>
  <c r="E124"/>
  <c r="F110"/>
  <c r="E110"/>
  <c r="E108"/>
  <c r="E98"/>
  <c r="E79"/>
  <c r="E59"/>
  <c r="E56"/>
  <c r="E11"/>
  <c r="O3"/>
  <c r="L3"/>
  <c r="I3"/>
  <c r="F3"/>
  <c r="P1"/>
  <c r="U2" s="1"/>
  <c r="U149" l="1"/>
  <c r="U151" s="1"/>
  <c r="S151"/>
  <c r="T63"/>
  <c r="T64"/>
  <c r="T65"/>
  <c r="T78"/>
  <c r="V78" s="1"/>
  <c r="I85"/>
  <c r="O85"/>
  <c r="F98"/>
  <c r="L98"/>
  <c r="I132"/>
  <c r="U60"/>
  <c r="U62" s="1"/>
  <c r="S62"/>
  <c r="F21"/>
  <c r="F132"/>
  <c r="L132"/>
  <c r="O135"/>
  <c r="L21"/>
  <c r="F140"/>
  <c r="U127" i="18"/>
  <c r="U130" s="1"/>
  <c r="S130"/>
  <c r="U32" i="19"/>
  <c r="U35" s="1"/>
  <c r="S35"/>
  <c r="U42"/>
  <c r="U56" s="1"/>
  <c r="S56"/>
  <c r="F31"/>
  <c r="L31"/>
  <c r="I98"/>
  <c r="U21"/>
  <c r="U17" i="18"/>
  <c r="U22" s="1"/>
  <c r="S22"/>
  <c r="R130"/>
  <c r="O21" i="19"/>
  <c r="I31"/>
  <c r="O31"/>
  <c r="O132"/>
  <c r="L140"/>
  <c r="O140"/>
  <c r="R31"/>
  <c r="R148"/>
  <c r="T6" i="20"/>
  <c r="V6" s="1"/>
  <c r="T7"/>
  <c r="V7" s="1"/>
  <c r="T8"/>
  <c r="V8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20"/>
  <c r="V20" s="1"/>
  <c r="T21"/>
  <c r="V21" s="1"/>
  <c r="T23"/>
  <c r="V23" s="1"/>
  <c r="T24"/>
  <c r="V24" s="1"/>
  <c r="T25"/>
  <c r="V25" s="1"/>
  <c r="T26"/>
  <c r="V26" s="1"/>
  <c r="U36" i="19"/>
  <c r="U41" s="1"/>
  <c r="S41"/>
  <c r="U30"/>
  <c r="U31" s="1"/>
  <c r="S31"/>
  <c r="E152"/>
  <c r="T3"/>
  <c r="V3" s="1"/>
  <c r="T6"/>
  <c r="V6" s="1"/>
  <c r="T12"/>
  <c r="V12" s="1"/>
  <c r="T13"/>
  <c r="V13" s="1"/>
  <c r="T14"/>
  <c r="V14" s="1"/>
  <c r="T32"/>
  <c r="T36"/>
  <c r="T42"/>
  <c r="T43"/>
  <c r="V43" s="1"/>
  <c r="T55"/>
  <c r="V55" s="1"/>
  <c r="T57"/>
  <c r="V57" s="1"/>
  <c r="T58"/>
  <c r="V58" s="1"/>
  <c r="T60"/>
  <c r="V63"/>
  <c r="V64"/>
  <c r="V65"/>
  <c r="L11"/>
  <c r="R11"/>
  <c r="R59"/>
  <c r="L85"/>
  <c r="F108"/>
  <c r="L108"/>
  <c r="L135"/>
  <c r="K152"/>
  <c r="N152"/>
  <c r="Q152"/>
  <c r="T10"/>
  <c r="V10" s="1"/>
  <c r="T80"/>
  <c r="V80" s="1"/>
  <c r="T84"/>
  <c r="V84" s="1"/>
  <c r="T86"/>
  <c r="V86" s="1"/>
  <c r="T97"/>
  <c r="V97" s="1"/>
  <c r="T99"/>
  <c r="V99" s="1"/>
  <c r="T100"/>
  <c r="V100" s="1"/>
  <c r="T107"/>
  <c r="V107" s="1"/>
  <c r="T109"/>
  <c r="V109" s="1"/>
  <c r="T111"/>
  <c r="V111" s="1"/>
  <c r="T123"/>
  <c r="V123" s="1"/>
  <c r="T130"/>
  <c r="V130" s="1"/>
  <c r="T131"/>
  <c r="V131" s="1"/>
  <c r="T133"/>
  <c r="V133" s="1"/>
  <c r="T134"/>
  <c r="V134" s="1"/>
  <c r="T136"/>
  <c r="V136" s="1"/>
  <c r="T137"/>
  <c r="V137" s="1"/>
  <c r="T138"/>
  <c r="V138" s="1"/>
  <c r="T139"/>
  <c r="V139" s="1"/>
  <c r="T141"/>
  <c r="V141" s="1"/>
  <c r="T142"/>
  <c r="V142" s="1"/>
  <c r="T143"/>
  <c r="V143" s="1"/>
  <c r="T144"/>
  <c r="V144" s="1"/>
  <c r="T147"/>
  <c r="V147" s="1"/>
  <c r="T149"/>
  <c r="T151" s="1"/>
  <c r="F129"/>
  <c r="T128"/>
  <c r="V128" s="1"/>
  <c r="T125"/>
  <c r="V125" s="1"/>
  <c r="T30"/>
  <c r="T25"/>
  <c r="V25" s="1"/>
  <c r="T24"/>
  <c r="V24" s="1"/>
  <c r="T23"/>
  <c r="V23" s="1"/>
  <c r="H152"/>
  <c r="T22"/>
  <c r="V22" s="1"/>
  <c r="O17" i="21"/>
  <c r="L15"/>
  <c r="T14"/>
  <c r="V14" s="1"/>
  <c r="K18"/>
  <c r="Q18"/>
  <c r="S12"/>
  <c r="T8"/>
  <c r="V8" s="1"/>
  <c r="L12"/>
  <c r="R12"/>
  <c r="R18" s="1"/>
  <c r="T3"/>
  <c r="V3" s="1"/>
  <c r="S17"/>
  <c r="T13"/>
  <c r="V13" s="1"/>
  <c r="O15"/>
  <c r="O18" s="1"/>
  <c r="T16"/>
  <c r="V16" s="1"/>
  <c r="S15"/>
  <c r="H18"/>
  <c r="N18"/>
  <c r="U6"/>
  <c r="S7"/>
  <c r="U15"/>
  <c r="F15"/>
  <c r="I15"/>
  <c r="U17"/>
  <c r="F17"/>
  <c r="I17"/>
  <c r="T6"/>
  <c r="V6" s="1"/>
  <c r="U12"/>
  <c r="O19" i="20"/>
  <c r="S19"/>
  <c r="I22"/>
  <c r="O22"/>
  <c r="S22"/>
  <c r="F9"/>
  <c r="L9"/>
  <c r="R9"/>
  <c r="Q28"/>
  <c r="L22"/>
  <c r="R22"/>
  <c r="T3"/>
  <c r="V3" s="1"/>
  <c r="F22"/>
  <c r="E28"/>
  <c r="K28"/>
  <c r="N28"/>
  <c r="H28"/>
  <c r="O9"/>
  <c r="F19"/>
  <c r="L19"/>
  <c r="R19"/>
  <c r="I9"/>
  <c r="U19"/>
  <c r="I19"/>
  <c r="U22"/>
  <c r="U9"/>
  <c r="T22"/>
  <c r="U27"/>
  <c r="F135" i="19"/>
  <c r="U59"/>
  <c r="F11"/>
  <c r="T110"/>
  <c r="S11"/>
  <c r="R56"/>
  <c r="R79"/>
  <c r="R85"/>
  <c r="O11"/>
  <c r="O129"/>
  <c r="F148"/>
  <c r="L148"/>
  <c r="L129"/>
  <c r="U85"/>
  <c r="S79"/>
  <c r="F59"/>
  <c r="I11"/>
  <c r="P239" i="9"/>
  <c r="R239" s="1"/>
  <c r="O239"/>
  <c r="L239"/>
  <c r="I239"/>
  <c r="F239"/>
  <c r="P238"/>
  <c r="R238" s="1"/>
  <c r="O238"/>
  <c r="L238"/>
  <c r="I238"/>
  <c r="F238"/>
  <c r="P237"/>
  <c r="R237" s="1"/>
  <c r="O237"/>
  <c r="L237"/>
  <c r="I237"/>
  <c r="F237"/>
  <c r="P208"/>
  <c r="R208" s="1"/>
  <c r="O208"/>
  <c r="L208"/>
  <c r="I208"/>
  <c r="F208"/>
  <c r="P207"/>
  <c r="R207" s="1"/>
  <c r="O207"/>
  <c r="L207"/>
  <c r="I207"/>
  <c r="F207"/>
  <c r="N89"/>
  <c r="P77"/>
  <c r="R77" s="1"/>
  <c r="O77"/>
  <c r="L77"/>
  <c r="I77"/>
  <c r="F77"/>
  <c r="P76"/>
  <c r="R76" s="1"/>
  <c r="O76"/>
  <c r="L76"/>
  <c r="I76"/>
  <c r="F76"/>
  <c r="P75"/>
  <c r="R75" s="1"/>
  <c r="O75"/>
  <c r="L75"/>
  <c r="I75"/>
  <c r="F75"/>
  <c r="P74"/>
  <c r="R74" s="1"/>
  <c r="O74"/>
  <c r="L74"/>
  <c r="I74"/>
  <c r="F74"/>
  <c r="P73"/>
  <c r="R73" s="1"/>
  <c r="O73"/>
  <c r="L73"/>
  <c r="I73"/>
  <c r="F73"/>
  <c r="P72"/>
  <c r="R72" s="1"/>
  <c r="O72"/>
  <c r="L72"/>
  <c r="I72"/>
  <c r="F72"/>
  <c r="P224"/>
  <c r="R224" s="1"/>
  <c r="O224"/>
  <c r="L224"/>
  <c r="I224"/>
  <c r="F224"/>
  <c r="P223"/>
  <c r="R223" s="1"/>
  <c r="O223"/>
  <c r="L223"/>
  <c r="I223"/>
  <c r="F223"/>
  <c r="P222"/>
  <c r="R222" s="1"/>
  <c r="O222"/>
  <c r="L222"/>
  <c r="I222"/>
  <c r="F222"/>
  <c r="P221"/>
  <c r="R221" s="1"/>
  <c r="O221"/>
  <c r="L221"/>
  <c r="I221"/>
  <c r="F221"/>
  <c r="P220"/>
  <c r="R220" s="1"/>
  <c r="O220"/>
  <c r="L220"/>
  <c r="I220"/>
  <c r="F220"/>
  <c r="P219"/>
  <c r="R219" s="1"/>
  <c r="O219"/>
  <c r="L219"/>
  <c r="I219"/>
  <c r="F219"/>
  <c r="P218"/>
  <c r="R218" s="1"/>
  <c r="O218"/>
  <c r="L218"/>
  <c r="I218"/>
  <c r="F218"/>
  <c r="P32"/>
  <c r="R32" s="1"/>
  <c r="O32"/>
  <c r="L32"/>
  <c r="I32"/>
  <c r="F32"/>
  <c r="P31"/>
  <c r="R31" s="1"/>
  <c r="O31"/>
  <c r="L31"/>
  <c r="I31"/>
  <c r="F31"/>
  <c r="P30"/>
  <c r="R30" s="1"/>
  <c r="O30"/>
  <c r="L30"/>
  <c r="I30"/>
  <c r="F30"/>
  <c r="P29"/>
  <c r="R29" s="1"/>
  <c r="O29"/>
  <c r="L29"/>
  <c r="I29"/>
  <c r="F29"/>
  <c r="P28"/>
  <c r="R28" s="1"/>
  <c r="O28"/>
  <c r="L28"/>
  <c r="I28"/>
  <c r="F28"/>
  <c r="P27"/>
  <c r="R27" s="1"/>
  <c r="O27"/>
  <c r="L27"/>
  <c r="I27"/>
  <c r="F27"/>
  <c r="P26"/>
  <c r="R26" s="1"/>
  <c r="O26"/>
  <c r="L26"/>
  <c r="I26"/>
  <c r="F26"/>
  <c r="P25"/>
  <c r="R25" s="1"/>
  <c r="O25"/>
  <c r="L25"/>
  <c r="I25"/>
  <c r="F25"/>
  <c r="P24"/>
  <c r="R24" s="1"/>
  <c r="O24"/>
  <c r="L24"/>
  <c r="I24"/>
  <c r="F24"/>
  <c r="P128" i="11"/>
  <c r="R128" s="1"/>
  <c r="O128"/>
  <c r="L128"/>
  <c r="I128"/>
  <c r="F128"/>
  <c r="P127"/>
  <c r="R127" s="1"/>
  <c r="O127"/>
  <c r="L127"/>
  <c r="I127"/>
  <c r="F127"/>
  <c r="P126"/>
  <c r="R126" s="1"/>
  <c r="O126"/>
  <c r="L126"/>
  <c r="I126"/>
  <c r="F126"/>
  <c r="P125"/>
  <c r="R125" s="1"/>
  <c r="O125"/>
  <c r="L125"/>
  <c r="I125"/>
  <c r="F125"/>
  <c r="P124"/>
  <c r="R124" s="1"/>
  <c r="O124"/>
  <c r="L124"/>
  <c r="I124"/>
  <c r="F124"/>
  <c r="P123"/>
  <c r="R123" s="1"/>
  <c r="O123"/>
  <c r="L123"/>
  <c r="I123"/>
  <c r="F123"/>
  <c r="P122"/>
  <c r="R122" s="1"/>
  <c r="O122"/>
  <c r="L122"/>
  <c r="I122"/>
  <c r="F122"/>
  <c r="P121"/>
  <c r="R121" s="1"/>
  <c r="O121"/>
  <c r="L121"/>
  <c r="I121"/>
  <c r="F121"/>
  <c r="P120"/>
  <c r="R120" s="1"/>
  <c r="O120"/>
  <c r="L120"/>
  <c r="I120"/>
  <c r="F120"/>
  <c r="P119"/>
  <c r="R119" s="1"/>
  <c r="O119"/>
  <c r="L119"/>
  <c r="I119"/>
  <c r="F119"/>
  <c r="P118"/>
  <c r="R118" s="1"/>
  <c r="O118"/>
  <c r="L118"/>
  <c r="I118"/>
  <c r="F118"/>
  <c r="P117"/>
  <c r="R117" s="1"/>
  <c r="O117"/>
  <c r="L117"/>
  <c r="I117"/>
  <c r="F117"/>
  <c r="P116"/>
  <c r="R116" s="1"/>
  <c r="O116"/>
  <c r="L116"/>
  <c r="I116"/>
  <c r="F116"/>
  <c r="P115"/>
  <c r="R115" s="1"/>
  <c r="O115"/>
  <c r="L115"/>
  <c r="I115"/>
  <c r="F115"/>
  <c r="P114"/>
  <c r="R114" s="1"/>
  <c r="O114"/>
  <c r="L114"/>
  <c r="I114"/>
  <c r="F114"/>
  <c r="P113"/>
  <c r="R113" s="1"/>
  <c r="O113"/>
  <c r="L113"/>
  <c r="I113"/>
  <c r="F113"/>
  <c r="P7" i="12"/>
  <c r="R7" s="1"/>
  <c r="O7"/>
  <c r="L7"/>
  <c r="I7"/>
  <c r="N8"/>
  <c r="K8"/>
  <c r="H8"/>
  <c r="E8"/>
  <c r="F7"/>
  <c r="P156" i="9"/>
  <c r="R156" s="1"/>
  <c r="O156"/>
  <c r="L156"/>
  <c r="I156"/>
  <c r="F156"/>
  <c r="P155"/>
  <c r="R155" s="1"/>
  <c r="O155"/>
  <c r="L155"/>
  <c r="I155"/>
  <c r="F155"/>
  <c r="P154"/>
  <c r="R154" s="1"/>
  <c r="O154"/>
  <c r="L154"/>
  <c r="I154"/>
  <c r="F154"/>
  <c r="P153"/>
  <c r="R153" s="1"/>
  <c r="O153"/>
  <c r="L153"/>
  <c r="I153"/>
  <c r="F153"/>
  <c r="K138"/>
  <c r="K104"/>
  <c r="H104"/>
  <c r="O108" i="11"/>
  <c r="K108"/>
  <c r="P108" s="1"/>
  <c r="R108" s="1"/>
  <c r="I108"/>
  <c r="F108"/>
  <c r="K215" i="9"/>
  <c r="P83"/>
  <c r="R83" s="1"/>
  <c r="O83"/>
  <c r="L83"/>
  <c r="I83"/>
  <c r="F83"/>
  <c r="P82"/>
  <c r="R82" s="1"/>
  <c r="O82"/>
  <c r="L82"/>
  <c r="I82"/>
  <c r="F82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O236"/>
  <c r="L236"/>
  <c r="P236"/>
  <c r="R236" s="1"/>
  <c r="F236"/>
  <c r="O235"/>
  <c r="L235"/>
  <c r="H235"/>
  <c r="P235" s="1"/>
  <c r="R235" s="1"/>
  <c r="F235"/>
  <c r="H205"/>
  <c r="Q197" i="18"/>
  <c r="N197"/>
  <c r="K197"/>
  <c r="H197"/>
  <c r="E197"/>
  <c r="O196"/>
  <c r="L196"/>
  <c r="I196"/>
  <c r="F196"/>
  <c r="O195"/>
  <c r="L195"/>
  <c r="I195"/>
  <c r="F195"/>
  <c r="O194"/>
  <c r="L194"/>
  <c r="I194"/>
  <c r="F194"/>
  <c r="U197"/>
  <c r="R197"/>
  <c r="O193"/>
  <c r="O197" s="1"/>
  <c r="L193"/>
  <c r="I193"/>
  <c r="F193"/>
  <c r="F197" s="1"/>
  <c r="O191"/>
  <c r="L191"/>
  <c r="I191"/>
  <c r="F191"/>
  <c r="O190"/>
  <c r="L190"/>
  <c r="I190"/>
  <c r="F190"/>
  <c r="O189"/>
  <c r="L189"/>
  <c r="I189"/>
  <c r="F189"/>
  <c r="O188"/>
  <c r="L188"/>
  <c r="I188"/>
  <c r="F188"/>
  <c r="O187"/>
  <c r="L187"/>
  <c r="I187"/>
  <c r="F187"/>
  <c r="O186"/>
  <c r="L186"/>
  <c r="I186"/>
  <c r="F186"/>
  <c r="U192"/>
  <c r="O185"/>
  <c r="L185"/>
  <c r="I185"/>
  <c r="F185"/>
  <c r="O183"/>
  <c r="L183"/>
  <c r="I183"/>
  <c r="F183"/>
  <c r="O182"/>
  <c r="L182"/>
  <c r="I182"/>
  <c r="F182"/>
  <c r="U184"/>
  <c r="O181"/>
  <c r="L181"/>
  <c r="I181"/>
  <c r="F181"/>
  <c r="U180"/>
  <c r="O179"/>
  <c r="O180" s="1"/>
  <c r="L179"/>
  <c r="I179"/>
  <c r="F179"/>
  <c r="O177"/>
  <c r="L177"/>
  <c r="I177"/>
  <c r="F177"/>
  <c r="O175"/>
  <c r="L175"/>
  <c r="I175"/>
  <c r="F175"/>
  <c r="O174"/>
  <c r="L174"/>
  <c r="I174"/>
  <c r="F174"/>
  <c r="U178"/>
  <c r="O173"/>
  <c r="L173"/>
  <c r="I173"/>
  <c r="F173"/>
  <c r="O171"/>
  <c r="L171"/>
  <c r="I171"/>
  <c r="F171"/>
  <c r="O170"/>
  <c r="L170"/>
  <c r="I170"/>
  <c r="F170"/>
  <c r="O169"/>
  <c r="L169"/>
  <c r="I169"/>
  <c r="F169"/>
  <c r="U172"/>
  <c r="R172"/>
  <c r="O168"/>
  <c r="L168"/>
  <c r="I168"/>
  <c r="F168"/>
  <c r="O166"/>
  <c r="L166"/>
  <c r="I166"/>
  <c r="F166"/>
  <c r="O157"/>
  <c r="L157"/>
  <c r="I157"/>
  <c r="F157"/>
  <c r="O156"/>
  <c r="L156"/>
  <c r="I156"/>
  <c r="F156"/>
  <c r="U167"/>
  <c r="O155"/>
  <c r="L155"/>
  <c r="I155"/>
  <c r="F155"/>
  <c r="O153"/>
  <c r="L153"/>
  <c r="I153"/>
  <c r="F153"/>
  <c r="U154"/>
  <c r="O150"/>
  <c r="L150"/>
  <c r="I150"/>
  <c r="F150"/>
  <c r="O148"/>
  <c r="L148"/>
  <c r="I148"/>
  <c r="F148"/>
  <c r="O144"/>
  <c r="L144"/>
  <c r="I144"/>
  <c r="F144"/>
  <c r="O143"/>
  <c r="L143"/>
  <c r="I143"/>
  <c r="F143"/>
  <c r="S149"/>
  <c r="O142"/>
  <c r="L142"/>
  <c r="I142"/>
  <c r="F142"/>
  <c r="O140"/>
  <c r="L140"/>
  <c r="I140"/>
  <c r="F140"/>
  <c r="O138"/>
  <c r="L138"/>
  <c r="I138"/>
  <c r="F138"/>
  <c r="O137"/>
  <c r="L137"/>
  <c r="I137"/>
  <c r="F137"/>
  <c r="O136"/>
  <c r="L136"/>
  <c r="I136"/>
  <c r="F136"/>
  <c r="O135"/>
  <c r="L135"/>
  <c r="I135"/>
  <c r="F135"/>
  <c r="U141"/>
  <c r="O134"/>
  <c r="L134"/>
  <c r="I134"/>
  <c r="F134"/>
  <c r="O132"/>
  <c r="L132"/>
  <c r="I132"/>
  <c r="F132"/>
  <c r="O131"/>
  <c r="O133" s="1"/>
  <c r="L131"/>
  <c r="I131"/>
  <c r="I133" s="1"/>
  <c r="F131"/>
  <c r="O127"/>
  <c r="O130" s="1"/>
  <c r="L127"/>
  <c r="L130" s="1"/>
  <c r="I127"/>
  <c r="I130" s="1"/>
  <c r="F127"/>
  <c r="F130" s="1"/>
  <c r="O125"/>
  <c r="L125"/>
  <c r="I125"/>
  <c r="F125"/>
  <c r="O115"/>
  <c r="L115"/>
  <c r="I115"/>
  <c r="F115"/>
  <c r="S126"/>
  <c r="O114"/>
  <c r="L114"/>
  <c r="I114"/>
  <c r="F114"/>
  <c r="O112"/>
  <c r="L112"/>
  <c r="I112"/>
  <c r="F112"/>
  <c r="O98"/>
  <c r="L98"/>
  <c r="I98"/>
  <c r="F98"/>
  <c r="O97"/>
  <c r="L97"/>
  <c r="I97"/>
  <c r="F97"/>
  <c r="O96"/>
  <c r="L96"/>
  <c r="I96"/>
  <c r="F96"/>
  <c r="U113"/>
  <c r="O95"/>
  <c r="L95"/>
  <c r="I95"/>
  <c r="F95"/>
  <c r="U94"/>
  <c r="O93"/>
  <c r="O94" s="1"/>
  <c r="L93"/>
  <c r="L94" s="1"/>
  <c r="I93"/>
  <c r="I94" s="1"/>
  <c r="F93"/>
  <c r="O91"/>
  <c r="L91"/>
  <c r="I91"/>
  <c r="F91"/>
  <c r="O90"/>
  <c r="L90"/>
  <c r="I90"/>
  <c r="F90"/>
  <c r="O89"/>
  <c r="L89"/>
  <c r="I89"/>
  <c r="F89"/>
  <c r="O88"/>
  <c r="L88"/>
  <c r="I88"/>
  <c r="F88"/>
  <c r="O87"/>
  <c r="L87"/>
  <c r="I87"/>
  <c r="F87"/>
  <c r="O86"/>
  <c r="L86"/>
  <c r="I86"/>
  <c r="F86"/>
  <c r="O85"/>
  <c r="L85"/>
  <c r="I85"/>
  <c r="F85"/>
  <c r="U92"/>
  <c r="O84"/>
  <c r="L84"/>
  <c r="I84"/>
  <c r="F84"/>
  <c r="O82"/>
  <c r="L82"/>
  <c r="I82"/>
  <c r="F82"/>
  <c r="O74"/>
  <c r="L74"/>
  <c r="I74"/>
  <c r="F74"/>
  <c r="O73"/>
  <c r="L73"/>
  <c r="I73"/>
  <c r="F73"/>
  <c r="U83"/>
  <c r="R83"/>
  <c r="O72"/>
  <c r="L72"/>
  <c r="I72"/>
  <c r="F72"/>
  <c r="F83" s="1"/>
  <c r="O70"/>
  <c r="L70"/>
  <c r="I70"/>
  <c r="F70"/>
  <c r="U71"/>
  <c r="O69"/>
  <c r="L69"/>
  <c r="I69"/>
  <c r="F69"/>
  <c r="O67"/>
  <c r="L67"/>
  <c r="I67"/>
  <c r="F67"/>
  <c r="O60"/>
  <c r="L60"/>
  <c r="I60"/>
  <c r="F60"/>
  <c r="O59"/>
  <c r="L59"/>
  <c r="I59"/>
  <c r="F59"/>
  <c r="O58"/>
  <c r="L58"/>
  <c r="I58"/>
  <c r="F58"/>
  <c r="O57"/>
  <c r="L57"/>
  <c r="I57"/>
  <c r="F57"/>
  <c r="U68"/>
  <c r="O56"/>
  <c r="L56"/>
  <c r="I56"/>
  <c r="F56"/>
  <c r="O54"/>
  <c r="L54"/>
  <c r="I54"/>
  <c r="F54"/>
  <c r="O45"/>
  <c r="L45"/>
  <c r="I45"/>
  <c r="F45"/>
  <c r="O44"/>
  <c r="L44"/>
  <c r="I44"/>
  <c r="F44"/>
  <c r="O43"/>
  <c r="L43"/>
  <c r="I43"/>
  <c r="F43"/>
  <c r="O42"/>
  <c r="L42"/>
  <c r="I42"/>
  <c r="F42"/>
  <c r="O41"/>
  <c r="L41"/>
  <c r="I41"/>
  <c r="F41"/>
  <c r="O40"/>
  <c r="L40"/>
  <c r="I40"/>
  <c r="F40"/>
  <c r="O39"/>
  <c r="L39"/>
  <c r="I39"/>
  <c r="F39"/>
  <c r="O38"/>
  <c r="L38"/>
  <c r="I38"/>
  <c r="F38"/>
  <c r="O37"/>
  <c r="L37"/>
  <c r="I37"/>
  <c r="F37"/>
  <c r="O36"/>
  <c r="L36"/>
  <c r="I36"/>
  <c r="F36"/>
  <c r="O35"/>
  <c r="L35"/>
  <c r="I35"/>
  <c r="F35"/>
  <c r="U55"/>
  <c r="O34"/>
  <c r="L34"/>
  <c r="I34"/>
  <c r="F34"/>
  <c r="O32"/>
  <c r="L32"/>
  <c r="I32"/>
  <c r="F32"/>
  <c r="O26"/>
  <c r="L26"/>
  <c r="I26"/>
  <c r="F26"/>
  <c r="O25"/>
  <c r="L25"/>
  <c r="F25"/>
  <c r="O24"/>
  <c r="L24"/>
  <c r="I24"/>
  <c r="F24"/>
  <c r="U33"/>
  <c r="O23"/>
  <c r="L23"/>
  <c r="I23"/>
  <c r="F23"/>
  <c r="O17"/>
  <c r="O22" s="1"/>
  <c r="L17"/>
  <c r="L22" s="1"/>
  <c r="I17"/>
  <c r="F17"/>
  <c r="F22" s="1"/>
  <c r="O15"/>
  <c r="L15"/>
  <c r="I15"/>
  <c r="F15"/>
  <c r="O7"/>
  <c r="L7"/>
  <c r="I7"/>
  <c r="F7"/>
  <c r="S16"/>
  <c r="O6"/>
  <c r="L6"/>
  <c r="I6"/>
  <c r="F6"/>
  <c r="S192"/>
  <c r="S184"/>
  <c r="S180"/>
  <c r="S178"/>
  <c r="S172"/>
  <c r="S167"/>
  <c r="S154"/>
  <c r="S141"/>
  <c r="S133"/>
  <c r="S113"/>
  <c r="S92"/>
  <c r="S83"/>
  <c r="S71"/>
  <c r="S68"/>
  <c r="R192"/>
  <c r="Q192"/>
  <c r="R184"/>
  <c r="Q184"/>
  <c r="R180"/>
  <c r="Q180"/>
  <c r="R178"/>
  <c r="Q178"/>
  <c r="Q172"/>
  <c r="R167"/>
  <c r="Q167"/>
  <c r="R154"/>
  <c r="Q154"/>
  <c r="R149"/>
  <c r="Q149"/>
  <c r="R141"/>
  <c r="Q141"/>
  <c r="R133"/>
  <c r="Q133"/>
  <c r="Q126"/>
  <c r="R113"/>
  <c r="Q113"/>
  <c r="R94"/>
  <c r="Q94"/>
  <c r="R92"/>
  <c r="Q92"/>
  <c r="Q83"/>
  <c r="R71"/>
  <c r="Q71"/>
  <c r="R68"/>
  <c r="Q68"/>
  <c r="R55"/>
  <c r="Q55"/>
  <c r="Q33"/>
  <c r="R16"/>
  <c r="Q16"/>
  <c r="N192"/>
  <c r="N184"/>
  <c r="N180"/>
  <c r="N178"/>
  <c r="N172"/>
  <c r="N167"/>
  <c r="N154"/>
  <c r="N149"/>
  <c r="N141"/>
  <c r="N133"/>
  <c r="N126"/>
  <c r="N113"/>
  <c r="N94"/>
  <c r="O92"/>
  <c r="N92"/>
  <c r="O83"/>
  <c r="N83"/>
  <c r="O71"/>
  <c r="N71"/>
  <c r="N55"/>
  <c r="N33"/>
  <c r="N16"/>
  <c r="L192"/>
  <c r="K192"/>
  <c r="L184"/>
  <c r="K184"/>
  <c r="L180"/>
  <c r="K180"/>
  <c r="K178"/>
  <c r="L172"/>
  <c r="K172"/>
  <c r="K167"/>
  <c r="K154"/>
  <c r="K149"/>
  <c r="K141"/>
  <c r="L133"/>
  <c r="K133"/>
  <c r="K126"/>
  <c r="K113"/>
  <c r="K94"/>
  <c r="K92"/>
  <c r="L83"/>
  <c r="K83"/>
  <c r="L71"/>
  <c r="K71"/>
  <c r="K68"/>
  <c r="K55"/>
  <c r="L33"/>
  <c r="K33"/>
  <c r="K16"/>
  <c r="I192"/>
  <c r="H192"/>
  <c r="I184"/>
  <c r="H184"/>
  <c r="I180"/>
  <c r="H180"/>
  <c r="I178"/>
  <c r="H178"/>
  <c r="H172"/>
  <c r="H167"/>
  <c r="H154"/>
  <c r="H149"/>
  <c r="H141"/>
  <c r="H133"/>
  <c r="H126"/>
  <c r="H113"/>
  <c r="H94"/>
  <c r="H92"/>
  <c r="H83"/>
  <c r="I71"/>
  <c r="H71"/>
  <c r="I68"/>
  <c r="H68"/>
  <c r="H55"/>
  <c r="H33"/>
  <c r="H16"/>
  <c r="F192"/>
  <c r="E192"/>
  <c r="F184"/>
  <c r="E184"/>
  <c r="F180"/>
  <c r="E180"/>
  <c r="F178"/>
  <c r="E178"/>
  <c r="E172"/>
  <c r="E167"/>
  <c r="E154"/>
  <c r="E149"/>
  <c r="F141"/>
  <c r="E141"/>
  <c r="F133"/>
  <c r="E133"/>
  <c r="F126"/>
  <c r="E126"/>
  <c r="F113"/>
  <c r="E113"/>
  <c r="F94"/>
  <c r="E94"/>
  <c r="E92"/>
  <c r="E83"/>
  <c r="F71"/>
  <c r="E71"/>
  <c r="E68"/>
  <c r="E55"/>
  <c r="E33"/>
  <c r="E16"/>
  <c r="R3"/>
  <c r="I3"/>
  <c r="L3"/>
  <c r="O3"/>
  <c r="I154" l="1"/>
  <c r="F16"/>
  <c r="O192"/>
  <c r="L141"/>
  <c r="F154"/>
  <c r="L16"/>
  <c r="F55"/>
  <c r="I92"/>
  <c r="L113"/>
  <c r="I113"/>
  <c r="O113"/>
  <c r="I126"/>
  <c r="O126"/>
  <c r="I141"/>
  <c r="O149"/>
  <c r="L154"/>
  <c r="O141"/>
  <c r="O154"/>
  <c r="O178"/>
  <c r="O184"/>
  <c r="T6"/>
  <c r="V6" s="1"/>
  <c r="O16"/>
  <c r="O33"/>
  <c r="T25"/>
  <c r="V25" s="1"/>
  <c r="T38"/>
  <c r="V38" s="1"/>
  <c r="T41"/>
  <c r="V41" s="1"/>
  <c r="T42"/>
  <c r="V42" s="1"/>
  <c r="T115"/>
  <c r="V115" s="1"/>
  <c r="T131"/>
  <c r="V131" s="1"/>
  <c r="T132"/>
  <c r="V132" s="1"/>
  <c r="T134"/>
  <c r="V134" s="1"/>
  <c r="T143"/>
  <c r="V143" s="1"/>
  <c r="T144"/>
  <c r="V144" s="1"/>
  <c r="T148"/>
  <c r="V148" s="1"/>
  <c r="T150"/>
  <c r="V150" s="1"/>
  <c r="T156"/>
  <c r="V156" s="1"/>
  <c r="O167"/>
  <c r="T157"/>
  <c r="V157" s="1"/>
  <c r="T168"/>
  <c r="V168" s="1"/>
  <c r="T169"/>
  <c r="T171"/>
  <c r="T188"/>
  <c r="V188" s="1"/>
  <c r="T196"/>
  <c r="V196" s="1"/>
  <c r="Q72" i="9"/>
  <c r="F18" i="21"/>
  <c r="F167" i="18"/>
  <c r="L167"/>
  <c r="T166"/>
  <c r="V166" s="1"/>
  <c r="I167"/>
  <c r="L92"/>
  <c r="V60" i="19"/>
  <c r="V62" s="1"/>
  <c r="T62"/>
  <c r="T95" i="18"/>
  <c r="V95" s="1"/>
  <c r="V149" i="19"/>
  <c r="V151" s="1"/>
  <c r="T85" i="18"/>
  <c r="V85" s="1"/>
  <c r="T86"/>
  <c r="V86" s="1"/>
  <c r="T87"/>
  <c r="V87" s="1"/>
  <c r="T88"/>
  <c r="V88" s="1"/>
  <c r="T89"/>
  <c r="V89" s="1"/>
  <c r="T90"/>
  <c r="V90" s="1"/>
  <c r="T91"/>
  <c r="V91" s="1"/>
  <c r="T96"/>
  <c r="V96" s="1"/>
  <c r="T97"/>
  <c r="V97" s="1"/>
  <c r="T98"/>
  <c r="V98" s="1"/>
  <c r="T112"/>
  <c r="V112" s="1"/>
  <c r="T135"/>
  <c r="V135" s="1"/>
  <c r="T136"/>
  <c r="V136" s="1"/>
  <c r="T137"/>
  <c r="V137" s="1"/>
  <c r="T138"/>
  <c r="V138" s="1"/>
  <c r="T140"/>
  <c r="V140" s="1"/>
  <c r="T142"/>
  <c r="V142" s="1"/>
  <c r="T153"/>
  <c r="V153" s="1"/>
  <c r="T155"/>
  <c r="V155" s="1"/>
  <c r="T182"/>
  <c r="V182" s="1"/>
  <c r="T183"/>
  <c r="V183" s="1"/>
  <c r="V42" i="19"/>
  <c r="V56" s="1"/>
  <c r="T56"/>
  <c r="V32"/>
  <c r="V35" s="1"/>
  <c r="T35"/>
  <c r="I55" i="18"/>
  <c r="F68"/>
  <c r="Q24" i="9"/>
  <c r="Q28"/>
  <c r="S28" s="1"/>
  <c r="T181" i="18"/>
  <c r="V181" s="1"/>
  <c r="T127"/>
  <c r="T17"/>
  <c r="I22"/>
  <c r="T3"/>
  <c r="T57"/>
  <c r="V57" s="1"/>
  <c r="T58"/>
  <c r="V58" s="1"/>
  <c r="O68"/>
  <c r="T69"/>
  <c r="V69" s="1"/>
  <c r="F92"/>
  <c r="T93"/>
  <c r="V93" s="1"/>
  <c r="T173"/>
  <c r="V173" s="1"/>
  <c r="T185"/>
  <c r="V185" s="1"/>
  <c r="T194"/>
  <c r="V194" s="1"/>
  <c r="Q7" i="12"/>
  <c r="Q237" i="9"/>
  <c r="T179" i="18"/>
  <c r="V179" s="1"/>
  <c r="T23"/>
  <c r="V23" s="1"/>
  <c r="F33"/>
  <c r="I16"/>
  <c r="T7"/>
  <c r="V7" s="1"/>
  <c r="T15"/>
  <c r="V15" s="1"/>
  <c r="T72"/>
  <c r="V72" s="1"/>
  <c r="I83"/>
  <c r="T70"/>
  <c r="V70" s="1"/>
  <c r="T44"/>
  <c r="V44" s="1"/>
  <c r="V36" i="19"/>
  <c r="V41" s="1"/>
  <c r="T41"/>
  <c r="V21"/>
  <c r="T21"/>
  <c r="V30"/>
  <c r="V31" s="1"/>
  <c r="T31"/>
  <c r="T170" i="18"/>
  <c r="V170" s="1"/>
  <c r="I172"/>
  <c r="V169"/>
  <c r="V171"/>
  <c r="O152" i="19"/>
  <c r="T37" i="18"/>
  <c r="V37" s="1"/>
  <c r="T82"/>
  <c r="V82" s="1"/>
  <c r="T74"/>
  <c r="V74" s="1"/>
  <c r="T34"/>
  <c r="V34" s="1"/>
  <c r="T39"/>
  <c r="V39" s="1"/>
  <c r="T45"/>
  <c r="V45" s="1"/>
  <c r="T43"/>
  <c r="V43" s="1"/>
  <c r="T40"/>
  <c r="V40" s="1"/>
  <c r="T191"/>
  <c r="V191" s="1"/>
  <c r="T190"/>
  <c r="V190" s="1"/>
  <c r="T189"/>
  <c r="V189" s="1"/>
  <c r="T187"/>
  <c r="V187" s="1"/>
  <c r="T186"/>
  <c r="V186" s="1"/>
  <c r="T73"/>
  <c r="V73" s="1"/>
  <c r="T195"/>
  <c r="V195" s="1"/>
  <c r="L197"/>
  <c r="T193"/>
  <c r="V193" s="1"/>
  <c r="T177"/>
  <c r="V177" s="1"/>
  <c r="L178"/>
  <c r="T175"/>
  <c r="V175" s="1"/>
  <c r="T174"/>
  <c r="V174" s="1"/>
  <c r="F152" i="19"/>
  <c r="T54" i="18"/>
  <c r="V54" s="1"/>
  <c r="O55"/>
  <c r="T36"/>
  <c r="V36" s="1"/>
  <c r="T35"/>
  <c r="V35" s="1"/>
  <c r="L68"/>
  <c r="T125"/>
  <c r="V125" s="1"/>
  <c r="T114"/>
  <c r="V114" s="1"/>
  <c r="L55"/>
  <c r="T24"/>
  <c r="V24" s="1"/>
  <c r="T26"/>
  <c r="V26" s="1"/>
  <c r="T32"/>
  <c r="V32" s="1"/>
  <c r="I33"/>
  <c r="T67"/>
  <c r="V67" s="1"/>
  <c r="T60"/>
  <c r="V60" s="1"/>
  <c r="T59"/>
  <c r="V59" s="1"/>
  <c r="T11" i="19"/>
  <c r="L152"/>
  <c r="I152"/>
  <c r="U152"/>
  <c r="T84" i="18"/>
  <c r="V84" s="1"/>
  <c r="E198"/>
  <c r="T56"/>
  <c r="V56" s="1"/>
  <c r="L18" i="21"/>
  <c r="V15"/>
  <c r="T15"/>
  <c r="T17"/>
  <c r="T12"/>
  <c r="I18"/>
  <c r="S18"/>
  <c r="T7"/>
  <c r="V12"/>
  <c r="V7"/>
  <c r="U7"/>
  <c r="U18" s="1"/>
  <c r="V17"/>
  <c r="R152" i="19"/>
  <c r="S152"/>
  <c r="S28" i="20"/>
  <c r="O28"/>
  <c r="R28"/>
  <c r="F28"/>
  <c r="T9"/>
  <c r="V22"/>
  <c r="T19"/>
  <c r="V19"/>
  <c r="I28"/>
  <c r="V9"/>
  <c r="T27"/>
  <c r="V27"/>
  <c r="L28"/>
  <c r="U28"/>
  <c r="V110" i="19"/>
  <c r="T85"/>
  <c r="T132"/>
  <c r="T135"/>
  <c r="T129"/>
  <c r="T59"/>
  <c r="V85"/>
  <c r="T148"/>
  <c r="T98"/>
  <c r="T79"/>
  <c r="T108"/>
  <c r="V135"/>
  <c r="V129"/>
  <c r="V79"/>
  <c r="S55" i="18"/>
  <c r="Q128" i="11"/>
  <c r="S128" s="1"/>
  <c r="Q239" i="9"/>
  <c r="S239" s="1"/>
  <c r="V11" i="19"/>
  <c r="V140"/>
  <c r="V124"/>
  <c r="V108"/>
  <c r="V98"/>
  <c r="Q113" i="11"/>
  <c r="S113" s="1"/>
  <c r="Q238" i="9"/>
  <c r="S238" s="1"/>
  <c r="T140" i="19"/>
  <c r="V132"/>
  <c r="T124"/>
  <c r="V59"/>
  <c r="V148"/>
  <c r="S237" i="9"/>
  <c r="Q82"/>
  <c r="S82" s="1"/>
  <c r="Q153"/>
  <c r="Q31"/>
  <c r="S31" s="1"/>
  <c r="Q218"/>
  <c r="S218" s="1"/>
  <c r="Q207"/>
  <c r="S207" s="1"/>
  <c r="Q222"/>
  <c r="S222" s="1"/>
  <c r="Q224"/>
  <c r="S224" s="1"/>
  <c r="S72"/>
  <c r="Q73"/>
  <c r="S73" s="1"/>
  <c r="Q75"/>
  <c r="S75" s="1"/>
  <c r="Q77"/>
  <c r="S77" s="1"/>
  <c r="S153"/>
  <c r="Q30"/>
  <c r="S30" s="1"/>
  <c r="Q32"/>
  <c r="S32" s="1"/>
  <c r="Q208"/>
  <c r="S208" s="1"/>
  <c r="Q74"/>
  <c r="Q76"/>
  <c r="S76" s="1"/>
  <c r="S74"/>
  <c r="Q220"/>
  <c r="S220" s="1"/>
  <c r="Q219"/>
  <c r="S219" s="1"/>
  <c r="Q221"/>
  <c r="S221" s="1"/>
  <c r="Q223"/>
  <c r="S223" s="1"/>
  <c r="Q29"/>
  <c r="S29" s="1"/>
  <c r="Q27"/>
  <c r="S27" s="1"/>
  <c r="Q26"/>
  <c r="S26" s="1"/>
  <c r="Q25"/>
  <c r="S25" s="1"/>
  <c r="S24"/>
  <c r="Q125" i="11"/>
  <c r="S125" s="1"/>
  <c r="Q123"/>
  <c r="S123" s="1"/>
  <c r="Q121"/>
  <c r="S121" s="1"/>
  <c r="Q119"/>
  <c r="S119" s="1"/>
  <c r="Q117"/>
  <c r="S117" s="1"/>
  <c r="Q115"/>
  <c r="S115" s="1"/>
  <c r="Q127"/>
  <c r="S127" s="1"/>
  <c r="Q114"/>
  <c r="S114" s="1"/>
  <c r="Q116"/>
  <c r="S116" s="1"/>
  <c r="Q118"/>
  <c r="S118" s="1"/>
  <c r="Q120"/>
  <c r="S120" s="1"/>
  <c r="Q122"/>
  <c r="S122" s="1"/>
  <c r="Q124"/>
  <c r="S124" s="1"/>
  <c r="Q126"/>
  <c r="S126" s="1"/>
  <c r="S7" i="12"/>
  <c r="Q155" i="9"/>
  <c r="Q154"/>
  <c r="S154" s="1"/>
  <c r="S155"/>
  <c r="Q156"/>
  <c r="S156" s="1"/>
  <c r="I235"/>
  <c r="Q235" s="1"/>
  <c r="S235" s="1"/>
  <c r="O172" i="18"/>
  <c r="I197"/>
  <c r="R33"/>
  <c r="T71"/>
  <c r="L126"/>
  <c r="R126"/>
  <c r="F149"/>
  <c r="L149"/>
  <c r="T154"/>
  <c r="V180"/>
  <c r="H198"/>
  <c r="K198"/>
  <c r="N198"/>
  <c r="Q198"/>
  <c r="S197"/>
  <c r="L108" i="11"/>
  <c r="Q108" s="1"/>
  <c r="S108" s="1"/>
  <c r="Q83" i="9"/>
  <c r="S83" s="1"/>
  <c r="I236"/>
  <c r="Q236" s="1"/>
  <c r="S236" s="1"/>
  <c r="T172" i="18"/>
  <c r="F172"/>
  <c r="T167"/>
  <c r="U149"/>
  <c r="T149"/>
  <c r="I149"/>
  <c r="V133"/>
  <c r="U133"/>
  <c r="U126"/>
  <c r="V94"/>
  <c r="S94"/>
  <c r="T33"/>
  <c r="S33"/>
  <c r="T16"/>
  <c r="U16"/>
  <c r="T133" l="1"/>
  <c r="T141"/>
  <c r="T113"/>
  <c r="T94"/>
  <c r="T180"/>
  <c r="V17"/>
  <c r="V22" s="1"/>
  <c r="T22"/>
  <c r="V127"/>
  <c r="V130" s="1"/>
  <c r="T130"/>
  <c r="T184"/>
  <c r="O198"/>
  <c r="T55"/>
  <c r="T126"/>
  <c r="T92"/>
  <c r="T68"/>
  <c r="T18" i="21"/>
  <c r="V18"/>
  <c r="T152" i="19"/>
  <c r="V152"/>
  <c r="T28" i="20"/>
  <c r="V28"/>
  <c r="V83" i="18"/>
  <c r="V113"/>
  <c r="T192"/>
  <c r="L198"/>
  <c r="T83"/>
  <c r="F198"/>
  <c r="R198"/>
  <c r="V126"/>
  <c r="V141"/>
  <c r="V178"/>
  <c r="V55"/>
  <c r="V33"/>
  <c r="V16"/>
  <c r="I198"/>
  <c r="T197"/>
  <c r="V92"/>
  <c r="V167"/>
  <c r="V172"/>
  <c r="V197"/>
  <c r="S198"/>
  <c r="T178"/>
  <c r="V154"/>
  <c r="V71"/>
  <c r="V68"/>
  <c r="U198"/>
  <c r="V192"/>
  <c r="V184"/>
  <c r="V149"/>
  <c r="V198" l="1"/>
  <c r="T198"/>
  <c r="U3"/>
  <c r="F3"/>
  <c r="V3" s="1"/>
  <c r="P1"/>
  <c r="U2" s="1"/>
  <c r="N81" i="11"/>
  <c r="N83" s="1"/>
  <c r="P125" i="9"/>
  <c r="R125" s="1"/>
  <c r="O125"/>
  <c r="L125"/>
  <c r="I125"/>
  <c r="F125"/>
  <c r="P133"/>
  <c r="R133" s="1"/>
  <c r="O133"/>
  <c r="L133"/>
  <c r="I133"/>
  <c r="F133"/>
  <c r="P132"/>
  <c r="R132" s="1"/>
  <c r="O132"/>
  <c r="L132"/>
  <c r="I132"/>
  <c r="F132"/>
  <c r="P131"/>
  <c r="R131" s="1"/>
  <c r="O131"/>
  <c r="L115"/>
  <c r="I115"/>
  <c r="F115"/>
  <c r="P130"/>
  <c r="R130" s="1"/>
  <c r="O130"/>
  <c r="L116"/>
  <c r="I116"/>
  <c r="F116"/>
  <c r="P129"/>
  <c r="R129" s="1"/>
  <c r="O129"/>
  <c r="L123"/>
  <c r="I123"/>
  <c r="F123"/>
  <c r="P128"/>
  <c r="R128" s="1"/>
  <c r="O128"/>
  <c r="L117"/>
  <c r="I117"/>
  <c r="F117"/>
  <c r="P127"/>
  <c r="R127" s="1"/>
  <c r="O127"/>
  <c r="L130"/>
  <c r="I130"/>
  <c r="F130"/>
  <c r="P126"/>
  <c r="R126" s="1"/>
  <c r="O126"/>
  <c r="L114"/>
  <c r="I114"/>
  <c r="F114"/>
  <c r="P124"/>
  <c r="R124" s="1"/>
  <c r="O124"/>
  <c r="L121"/>
  <c r="I121"/>
  <c r="F121"/>
  <c r="P123"/>
  <c r="R123" s="1"/>
  <c r="O123"/>
  <c r="L128"/>
  <c r="I128"/>
  <c r="F128"/>
  <c r="P122"/>
  <c r="R122" s="1"/>
  <c r="O122"/>
  <c r="L127"/>
  <c r="I127"/>
  <c r="F127"/>
  <c r="P102"/>
  <c r="R102" s="1"/>
  <c r="O102"/>
  <c r="L102"/>
  <c r="I102"/>
  <c r="F102"/>
  <c r="P101"/>
  <c r="R101" s="1"/>
  <c r="O101"/>
  <c r="L101"/>
  <c r="I101"/>
  <c r="F101"/>
  <c r="P100"/>
  <c r="R100" s="1"/>
  <c r="O100"/>
  <c r="L100"/>
  <c r="I100"/>
  <c r="F100"/>
  <c r="P99"/>
  <c r="R99" s="1"/>
  <c r="O99"/>
  <c r="L99"/>
  <c r="I99"/>
  <c r="F99"/>
  <c r="P98"/>
  <c r="R98" s="1"/>
  <c r="O98"/>
  <c r="L98"/>
  <c r="I98"/>
  <c r="F98"/>
  <c r="P97"/>
  <c r="R97" s="1"/>
  <c r="O97"/>
  <c r="L97"/>
  <c r="I97"/>
  <c r="F97"/>
  <c r="P96"/>
  <c r="R96" s="1"/>
  <c r="O96"/>
  <c r="L96"/>
  <c r="I96"/>
  <c r="F96"/>
  <c r="P95"/>
  <c r="R95" s="1"/>
  <c r="O95"/>
  <c r="L95"/>
  <c r="I95"/>
  <c r="F95"/>
  <c r="P94"/>
  <c r="R94" s="1"/>
  <c r="O94"/>
  <c r="L94"/>
  <c r="I94"/>
  <c r="F94"/>
  <c r="P93"/>
  <c r="R93" s="1"/>
  <c r="O93"/>
  <c r="L93"/>
  <c r="I93"/>
  <c r="F93"/>
  <c r="P92"/>
  <c r="R92" s="1"/>
  <c r="O92"/>
  <c r="L92"/>
  <c r="I92"/>
  <c r="F92"/>
  <c r="P211"/>
  <c r="S133" i="15"/>
  <c r="Q135"/>
  <c r="N135"/>
  <c r="H135"/>
  <c r="E135"/>
  <c r="S106"/>
  <c r="S134"/>
  <c r="U134" s="1"/>
  <c r="R134"/>
  <c r="O134"/>
  <c r="L134"/>
  <c r="I134"/>
  <c r="F134"/>
  <c r="U133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I118"/>
  <c r="F118"/>
  <c r="N13" i="12"/>
  <c r="K13"/>
  <c r="H13"/>
  <c r="E13"/>
  <c r="P12"/>
  <c r="R12" s="1"/>
  <c r="O12"/>
  <c r="L12"/>
  <c r="I12"/>
  <c r="F12"/>
  <c r="P121" i="9"/>
  <c r="R121" s="1"/>
  <c r="O121"/>
  <c r="L131"/>
  <c r="I131"/>
  <c r="F131"/>
  <c r="P120"/>
  <c r="R120" s="1"/>
  <c r="O120"/>
  <c r="L129"/>
  <c r="I129"/>
  <c r="F129"/>
  <c r="P119"/>
  <c r="R119" s="1"/>
  <c r="O119"/>
  <c r="L113"/>
  <c r="I113"/>
  <c r="F113"/>
  <c r="P118"/>
  <c r="R118" s="1"/>
  <c r="O118"/>
  <c r="L122"/>
  <c r="I122"/>
  <c r="F122"/>
  <c r="I49" i="11"/>
  <c r="I48"/>
  <c r="P51"/>
  <c r="R51" s="1"/>
  <c r="O51"/>
  <c r="L51"/>
  <c r="I47"/>
  <c r="P50"/>
  <c r="R50" s="1"/>
  <c r="O50"/>
  <c r="L50"/>
  <c r="P49"/>
  <c r="R49" s="1"/>
  <c r="O49"/>
  <c r="L49"/>
  <c r="I42"/>
  <c r="P48"/>
  <c r="R48" s="1"/>
  <c r="O48"/>
  <c r="L48"/>
  <c r="I40"/>
  <c r="P47"/>
  <c r="R47" s="1"/>
  <c r="O47"/>
  <c r="L47"/>
  <c r="P46"/>
  <c r="R46" s="1"/>
  <c r="O46"/>
  <c r="L46"/>
  <c r="P45"/>
  <c r="R45" s="1"/>
  <c r="O45"/>
  <c r="L45"/>
  <c r="I43"/>
  <c r="P44"/>
  <c r="R44" s="1"/>
  <c r="O44"/>
  <c r="L44"/>
  <c r="P43"/>
  <c r="R43" s="1"/>
  <c r="O43"/>
  <c r="L43"/>
  <c r="I41"/>
  <c r="P42"/>
  <c r="R42" s="1"/>
  <c r="O42"/>
  <c r="L42"/>
  <c r="I44"/>
  <c r="I45"/>
  <c r="P41"/>
  <c r="R41" s="1"/>
  <c r="O41"/>
  <c r="L41"/>
  <c r="I51"/>
  <c r="I50"/>
  <c r="P40"/>
  <c r="R40" s="1"/>
  <c r="O40"/>
  <c r="L40"/>
  <c r="I46"/>
  <c r="P39"/>
  <c r="R39" s="1"/>
  <c r="O39"/>
  <c r="L39"/>
  <c r="I39"/>
  <c r="H28"/>
  <c r="P22"/>
  <c r="R22" s="1"/>
  <c r="O22"/>
  <c r="L22"/>
  <c r="I22"/>
  <c r="F22"/>
  <c r="P21"/>
  <c r="R21" s="1"/>
  <c r="O21"/>
  <c r="L21"/>
  <c r="I21"/>
  <c r="F21"/>
  <c r="P20"/>
  <c r="R20" s="1"/>
  <c r="O20"/>
  <c r="L20"/>
  <c r="I20"/>
  <c r="F20"/>
  <c r="P19"/>
  <c r="R19" s="1"/>
  <c r="O19"/>
  <c r="L19"/>
  <c r="I19"/>
  <c r="F19"/>
  <c r="Q102" i="9" l="1"/>
  <c r="S102" s="1"/>
  <c r="Q96"/>
  <c r="S96" s="1"/>
  <c r="Q132"/>
  <c r="S132" s="1"/>
  <c r="Q125"/>
  <c r="S125" s="1"/>
  <c r="Q12" i="12"/>
  <c r="Q92" i="9"/>
  <c r="S92" s="1"/>
  <c r="Q101"/>
  <c r="S101" s="1"/>
  <c r="Q133"/>
  <c r="S133" s="1"/>
  <c r="Q98"/>
  <c r="S98" s="1"/>
  <c r="Q100"/>
  <c r="S100" s="1"/>
  <c r="Q94"/>
  <c r="S94" s="1"/>
  <c r="Q127"/>
  <c r="S127" s="1"/>
  <c r="Q129"/>
  <c r="S129" s="1"/>
  <c r="Q131"/>
  <c r="S131" s="1"/>
  <c r="Q130"/>
  <c r="S130" s="1"/>
  <c r="Q128"/>
  <c r="S128" s="1"/>
  <c r="Q123"/>
  <c r="S123" s="1"/>
  <c r="Q122"/>
  <c r="S122" s="1"/>
  <c r="Q99"/>
  <c r="S99" s="1"/>
  <c r="Q93"/>
  <c r="S93" s="1"/>
  <c r="Q95"/>
  <c r="S95" s="1"/>
  <c r="Q97"/>
  <c r="S97" s="1"/>
  <c r="T118" i="15"/>
  <c r="V118" s="1"/>
  <c r="T119"/>
  <c r="V119" s="1"/>
  <c r="T120"/>
  <c r="V120" s="1"/>
  <c r="T122"/>
  <c r="V122" s="1"/>
  <c r="T124"/>
  <c r="V124" s="1"/>
  <c r="T126"/>
  <c r="V126" s="1"/>
  <c r="T129"/>
  <c r="V129" s="1"/>
  <c r="T131"/>
  <c r="V131" s="1"/>
  <c r="T133"/>
  <c r="V133" s="1"/>
  <c r="T121"/>
  <c r="V121" s="1"/>
  <c r="T123"/>
  <c r="V123" s="1"/>
  <c r="T125"/>
  <c r="V125" s="1"/>
  <c r="T127"/>
  <c r="V127" s="1"/>
  <c r="T128"/>
  <c r="V128" s="1"/>
  <c r="T130"/>
  <c r="V130" s="1"/>
  <c r="T132"/>
  <c r="V132" s="1"/>
  <c r="T134"/>
  <c r="V134" s="1"/>
  <c r="S12" i="12"/>
  <c r="Q121" i="9"/>
  <c r="S121" s="1"/>
  <c r="Q39" i="11"/>
  <c r="S39" s="1"/>
  <c r="Q40"/>
  <c r="S40" s="1"/>
  <c r="Q41"/>
  <c r="S41" s="1"/>
  <c r="Q42"/>
  <c r="S42" s="1"/>
  <c r="Q43"/>
  <c r="S43" s="1"/>
  <c r="Q47"/>
  <c r="S47" s="1"/>
  <c r="Q48"/>
  <c r="S48" s="1"/>
  <c r="Q49"/>
  <c r="S49" s="1"/>
  <c r="Q44"/>
  <c r="S44" s="1"/>
  <c r="Q45"/>
  <c r="S45" s="1"/>
  <c r="Q46"/>
  <c r="S46" s="1"/>
  <c r="Q50"/>
  <c r="S50" s="1"/>
  <c r="Q51"/>
  <c r="S51" s="1"/>
  <c r="Q20"/>
  <c r="S20" s="1"/>
  <c r="Q22"/>
  <c r="S22" s="1"/>
  <c r="Q19"/>
  <c r="S19" s="1"/>
  <c r="Q21"/>
  <c r="S21" s="1"/>
  <c r="P27" l="1"/>
  <c r="R27" s="1"/>
  <c r="O27"/>
  <c r="L27"/>
  <c r="I27"/>
  <c r="F27"/>
  <c r="P26"/>
  <c r="R26" s="1"/>
  <c r="O26"/>
  <c r="L26"/>
  <c r="I26"/>
  <c r="F26"/>
  <c r="P25"/>
  <c r="R25" s="1"/>
  <c r="O25"/>
  <c r="L25"/>
  <c r="I25"/>
  <c r="F25"/>
  <c r="P24"/>
  <c r="R24" s="1"/>
  <c r="O24"/>
  <c r="L24"/>
  <c r="I24"/>
  <c r="F24"/>
  <c r="P23"/>
  <c r="R23" s="1"/>
  <c r="O23"/>
  <c r="L23"/>
  <c r="I23"/>
  <c r="F23"/>
  <c r="P18"/>
  <c r="R18" s="1"/>
  <c r="O18"/>
  <c r="L18"/>
  <c r="I18"/>
  <c r="F18"/>
  <c r="P56" i="9"/>
  <c r="R56" s="1"/>
  <c r="O56"/>
  <c r="L56"/>
  <c r="P55"/>
  <c r="R55" s="1"/>
  <c r="O55"/>
  <c r="L55"/>
  <c r="P54"/>
  <c r="R54" s="1"/>
  <c r="O54"/>
  <c r="L54"/>
  <c r="P53"/>
  <c r="R53" s="1"/>
  <c r="O53"/>
  <c r="L53"/>
  <c r="P52"/>
  <c r="R52" s="1"/>
  <c r="O52"/>
  <c r="L52"/>
  <c r="P51"/>
  <c r="R51" s="1"/>
  <c r="O51"/>
  <c r="L51"/>
  <c r="P50"/>
  <c r="R50" s="1"/>
  <c r="O50"/>
  <c r="L50"/>
  <c r="P117"/>
  <c r="R117" s="1"/>
  <c r="O117"/>
  <c r="L120"/>
  <c r="I120"/>
  <c r="F120"/>
  <c r="P116"/>
  <c r="R116" s="1"/>
  <c r="O116"/>
  <c r="L119"/>
  <c r="I119"/>
  <c r="F119"/>
  <c r="P115"/>
  <c r="R115" s="1"/>
  <c r="O115"/>
  <c r="L118"/>
  <c r="I118"/>
  <c r="F118"/>
  <c r="P114"/>
  <c r="R114" s="1"/>
  <c r="O114"/>
  <c r="L112"/>
  <c r="I112"/>
  <c r="F112"/>
  <c r="P113"/>
  <c r="R113" s="1"/>
  <c r="O113"/>
  <c r="L126"/>
  <c r="I126"/>
  <c r="F126"/>
  <c r="P112"/>
  <c r="R112" s="1"/>
  <c r="O112"/>
  <c r="L124"/>
  <c r="I124"/>
  <c r="F124"/>
  <c r="P111"/>
  <c r="R111" s="1"/>
  <c r="O111"/>
  <c r="L111"/>
  <c r="I111"/>
  <c r="F111"/>
  <c r="Q111" l="1"/>
  <c r="Q126"/>
  <c r="S126" s="1"/>
  <c r="Q118"/>
  <c r="S118" s="1"/>
  <c r="Q120"/>
  <c r="S120" s="1"/>
  <c r="Q50"/>
  <c r="S50" s="1"/>
  <c r="Q51"/>
  <c r="S51" s="1"/>
  <c r="Q55"/>
  <c r="S55" s="1"/>
  <c r="Q56"/>
  <c r="S56" s="1"/>
  <c r="Q124"/>
  <c r="S124" s="1"/>
  <c r="Q119"/>
  <c r="S119" s="1"/>
  <c r="S111"/>
  <c r="Q18" i="11"/>
  <c r="Q24"/>
  <c r="Q27"/>
  <c r="Q23"/>
  <c r="S23" s="1"/>
  <c r="Q25"/>
  <c r="S25" s="1"/>
  <c r="Q26"/>
  <c r="S26" s="1"/>
  <c r="S18"/>
  <c r="S24"/>
  <c r="S27"/>
  <c r="Q53" i="9"/>
  <c r="S53" s="1"/>
  <c r="Q54"/>
  <c r="S54" s="1"/>
  <c r="Q52"/>
  <c r="S52" s="1"/>
  <c r="Q116"/>
  <c r="S116" s="1"/>
  <c r="Q114"/>
  <c r="Q112"/>
  <c r="Q117"/>
  <c r="S117" s="1"/>
  <c r="Q113"/>
  <c r="S113" s="1"/>
  <c r="Q115"/>
  <c r="S115" s="1"/>
  <c r="S112"/>
  <c r="S114"/>
  <c r="P71" l="1"/>
  <c r="R71" s="1"/>
  <c r="O71"/>
  <c r="L71"/>
  <c r="I71"/>
  <c r="F71"/>
  <c r="P70"/>
  <c r="R70" s="1"/>
  <c r="O70"/>
  <c r="L70"/>
  <c r="I70"/>
  <c r="F70"/>
  <c r="P69"/>
  <c r="R69" s="1"/>
  <c r="O69"/>
  <c r="L69"/>
  <c r="I69"/>
  <c r="F69"/>
  <c r="P68"/>
  <c r="R68" s="1"/>
  <c r="O68"/>
  <c r="L68"/>
  <c r="I68"/>
  <c r="F68"/>
  <c r="P67"/>
  <c r="R67" s="1"/>
  <c r="O67"/>
  <c r="L67"/>
  <c r="I67"/>
  <c r="F67"/>
  <c r="P66"/>
  <c r="R66" s="1"/>
  <c r="O66"/>
  <c r="L66"/>
  <c r="I66"/>
  <c r="F66"/>
  <c r="P65"/>
  <c r="R65" s="1"/>
  <c r="O65"/>
  <c r="L65"/>
  <c r="I65"/>
  <c r="F65"/>
  <c r="P64"/>
  <c r="R64" s="1"/>
  <c r="O64"/>
  <c r="L64"/>
  <c r="I64"/>
  <c r="F64"/>
  <c r="H79"/>
  <c r="P157"/>
  <c r="R157" s="1"/>
  <c r="O157"/>
  <c r="L157"/>
  <c r="I157"/>
  <c r="F157"/>
  <c r="P152"/>
  <c r="R152" s="1"/>
  <c r="O152"/>
  <c r="L152"/>
  <c r="I152"/>
  <c r="F152"/>
  <c r="P151"/>
  <c r="R151" s="1"/>
  <c r="O151"/>
  <c r="L151"/>
  <c r="I151"/>
  <c r="F151"/>
  <c r="P150"/>
  <c r="R150" s="1"/>
  <c r="O150"/>
  <c r="L150"/>
  <c r="I150"/>
  <c r="F150"/>
  <c r="P149"/>
  <c r="R149" s="1"/>
  <c r="O149"/>
  <c r="L149"/>
  <c r="I149"/>
  <c r="F149"/>
  <c r="P148"/>
  <c r="R148" s="1"/>
  <c r="O148"/>
  <c r="L148"/>
  <c r="I148"/>
  <c r="F148"/>
  <c r="P147"/>
  <c r="R147" s="1"/>
  <c r="O147"/>
  <c r="L147"/>
  <c r="I147"/>
  <c r="F147"/>
  <c r="N10" i="13"/>
  <c r="K10"/>
  <c r="H10"/>
  <c r="E10"/>
  <c r="P9"/>
  <c r="R9" s="1"/>
  <c r="O9"/>
  <c r="L9"/>
  <c r="I9"/>
  <c r="F9"/>
  <c r="N14" i="11"/>
  <c r="K14"/>
  <c r="H14"/>
  <c r="E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23" i="9"/>
  <c r="R23" s="1"/>
  <c r="O23"/>
  <c r="L23"/>
  <c r="I23"/>
  <c r="F23"/>
  <c r="P22"/>
  <c r="R22" s="1"/>
  <c r="O22"/>
  <c r="L22"/>
  <c r="I22"/>
  <c r="F22"/>
  <c r="P21"/>
  <c r="R21" s="1"/>
  <c r="O21"/>
  <c r="L21"/>
  <c r="I21"/>
  <c r="F21"/>
  <c r="P20"/>
  <c r="R20" s="1"/>
  <c r="O20"/>
  <c r="L20"/>
  <c r="I20"/>
  <c r="F20"/>
  <c r="P19"/>
  <c r="R19" s="1"/>
  <c r="O19"/>
  <c r="L19"/>
  <c r="I19"/>
  <c r="F19"/>
  <c r="P18"/>
  <c r="R18" s="1"/>
  <c r="O18"/>
  <c r="L18"/>
  <c r="I18"/>
  <c r="F18"/>
  <c r="P17"/>
  <c r="R17" s="1"/>
  <c r="O17"/>
  <c r="L17"/>
  <c r="I17"/>
  <c r="F17"/>
  <c r="P199"/>
  <c r="R199" s="1"/>
  <c r="O199"/>
  <c r="L199"/>
  <c r="I199"/>
  <c r="F199"/>
  <c r="P198"/>
  <c r="R198" s="1"/>
  <c r="O198"/>
  <c r="L198"/>
  <c r="I198"/>
  <c r="F198"/>
  <c r="P197"/>
  <c r="R197" s="1"/>
  <c r="O197"/>
  <c r="L197"/>
  <c r="I197"/>
  <c r="F197"/>
  <c r="P196"/>
  <c r="R196" s="1"/>
  <c r="O196"/>
  <c r="L196"/>
  <c r="I196"/>
  <c r="F196"/>
  <c r="P195"/>
  <c r="R195" s="1"/>
  <c r="O195"/>
  <c r="L195"/>
  <c r="I195"/>
  <c r="F195"/>
  <c r="P194"/>
  <c r="R194" s="1"/>
  <c r="O194"/>
  <c r="L194"/>
  <c r="I194"/>
  <c r="F194"/>
  <c r="P193"/>
  <c r="R193" s="1"/>
  <c r="O193"/>
  <c r="L193"/>
  <c r="I193"/>
  <c r="F193"/>
  <c r="P192"/>
  <c r="R192" s="1"/>
  <c r="O192"/>
  <c r="L192"/>
  <c r="I192"/>
  <c r="F192"/>
  <c r="P191"/>
  <c r="R191" s="1"/>
  <c r="O191"/>
  <c r="L191"/>
  <c r="I191"/>
  <c r="F191"/>
  <c r="S23" i="15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P217" i="9"/>
  <c r="R217" s="1"/>
  <c r="O217"/>
  <c r="L217"/>
  <c r="I217"/>
  <c r="F217"/>
  <c r="S74" i="15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Q9" i="13" l="1"/>
  <c r="S9" s="1"/>
  <c r="Q217" i="9"/>
  <c r="S217" s="1"/>
  <c r="Q17"/>
  <c r="S17" s="1"/>
  <c r="Q19"/>
  <c r="Q21"/>
  <c r="S21" s="1"/>
  <c r="Q23"/>
  <c r="Q64"/>
  <c r="S64" s="1"/>
  <c r="T71" i="15"/>
  <c r="V71" s="1"/>
  <c r="T20"/>
  <c r="V20" s="1"/>
  <c r="T22"/>
  <c r="V22" s="1"/>
  <c r="Q65" i="9"/>
  <c r="S65" s="1"/>
  <c r="Q67"/>
  <c r="S67" s="1"/>
  <c r="Q69"/>
  <c r="S69" s="1"/>
  <c r="Q71"/>
  <c r="S71" s="1"/>
  <c r="Q66"/>
  <c r="S66" s="1"/>
  <c r="Q68"/>
  <c r="S68" s="1"/>
  <c r="Q70"/>
  <c r="S70" s="1"/>
  <c r="Q147"/>
  <c r="S147" s="1"/>
  <c r="Q191"/>
  <c r="S191" s="1"/>
  <c r="Q20"/>
  <c r="S20" s="1"/>
  <c r="Q148"/>
  <c r="S148" s="1"/>
  <c r="Q152"/>
  <c r="S152" s="1"/>
  <c r="Q150"/>
  <c r="S150" s="1"/>
  <c r="Q149"/>
  <c r="S149" s="1"/>
  <c r="Q151"/>
  <c r="S151" s="1"/>
  <c r="Q157"/>
  <c r="S157" s="1"/>
  <c r="Q9" i="11"/>
  <c r="S9" s="1"/>
  <c r="Q11"/>
  <c r="Q13"/>
  <c r="S13" s="1"/>
  <c r="Q8"/>
  <c r="S8" s="1"/>
  <c r="Q7"/>
  <c r="S7" s="1"/>
  <c r="Q10"/>
  <c r="S10" s="1"/>
  <c r="Q12"/>
  <c r="S12" s="1"/>
  <c r="S11"/>
  <c r="Q22" i="9"/>
  <c r="S22" s="1"/>
  <c r="S23"/>
  <c r="Q18"/>
  <c r="S18" s="1"/>
  <c r="S19"/>
  <c r="Q198"/>
  <c r="S198" s="1"/>
  <c r="Q196"/>
  <c r="S196" s="1"/>
  <c r="Q194"/>
  <c r="S194" s="1"/>
  <c r="Q192"/>
  <c r="S192" s="1"/>
  <c r="Q193"/>
  <c r="S193" s="1"/>
  <c r="Q195"/>
  <c r="S195" s="1"/>
  <c r="Q197"/>
  <c r="S197" s="1"/>
  <c r="Q199"/>
  <c r="S199" s="1"/>
  <c r="T23" i="15"/>
  <c r="V23" s="1"/>
  <c r="T21"/>
  <c r="V21" s="1"/>
  <c r="T73"/>
  <c r="V73" s="1"/>
  <c r="T74"/>
  <c r="V74" s="1"/>
  <c r="T72"/>
  <c r="V72" s="1"/>
  <c r="P6" i="9"/>
  <c r="P190"/>
  <c r="R190" s="1"/>
  <c r="O190"/>
  <c r="L190"/>
  <c r="I190"/>
  <c r="F190"/>
  <c r="S60" i="15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N28" i="6"/>
  <c r="K28"/>
  <c r="H28"/>
  <c r="E28"/>
  <c r="P26"/>
  <c r="R26" s="1"/>
  <c r="O26"/>
  <c r="L26"/>
  <c r="I26"/>
  <c r="F26"/>
  <c r="P27"/>
  <c r="R27" s="1"/>
  <c r="O27"/>
  <c r="L27"/>
  <c r="I27"/>
  <c r="F27"/>
  <c r="P173" i="9"/>
  <c r="R173" s="1"/>
  <c r="O173"/>
  <c r="L173"/>
  <c r="I173"/>
  <c r="F173"/>
  <c r="P172"/>
  <c r="R172" s="1"/>
  <c r="O172"/>
  <c r="L172"/>
  <c r="I172"/>
  <c r="F172"/>
  <c r="P171"/>
  <c r="R171" s="1"/>
  <c r="O171"/>
  <c r="L171"/>
  <c r="I171"/>
  <c r="F171"/>
  <c r="P170"/>
  <c r="R170" s="1"/>
  <c r="O170"/>
  <c r="L170"/>
  <c r="I170"/>
  <c r="F170"/>
  <c r="H48" i="15"/>
  <c r="Q26" i="6" l="1"/>
  <c r="S26" s="1"/>
  <c r="Q27"/>
  <c r="T53" i="15"/>
  <c r="V53" s="1"/>
  <c r="Q190" i="9"/>
  <c r="Q173"/>
  <c r="S173" s="1"/>
  <c r="S190"/>
  <c r="T54" i="15"/>
  <c r="V54" s="1"/>
  <c r="T56"/>
  <c r="V56" s="1"/>
  <c r="T58"/>
  <c r="V58" s="1"/>
  <c r="T60"/>
  <c r="V60" s="1"/>
  <c r="T59"/>
  <c r="V59" s="1"/>
  <c r="T55"/>
  <c r="V55" s="1"/>
  <c r="T57"/>
  <c r="V57" s="1"/>
  <c r="S27" i="6"/>
  <c r="Q170" i="9"/>
  <c r="S170" s="1"/>
  <c r="Q172"/>
  <c r="S172" s="1"/>
  <c r="Q171"/>
  <c r="S171" s="1"/>
  <c r="S43" i="15"/>
  <c r="K62"/>
  <c r="R2" i="6" l="1"/>
  <c r="U2" i="15"/>
  <c r="P185" i="9"/>
  <c r="O185"/>
  <c r="P25" i="14"/>
  <c r="P69" i="6"/>
  <c r="S166" i="15"/>
  <c r="U166" s="1"/>
  <c r="S165"/>
  <c r="U165" s="1"/>
  <c r="S164"/>
  <c r="U164" s="1"/>
  <c r="S163"/>
  <c r="U163" s="1"/>
  <c r="S162"/>
  <c r="U162" s="1"/>
  <c r="S161"/>
  <c r="U161" s="1"/>
  <c r="S160"/>
  <c r="U160" s="1"/>
  <c r="S159"/>
  <c r="U159" s="1"/>
  <c r="S158"/>
  <c r="U158" s="1"/>
  <c r="S157"/>
  <c r="U157" s="1"/>
  <c r="S156"/>
  <c r="U156" s="1"/>
  <c r="S155"/>
  <c r="U155" s="1"/>
  <c r="S154"/>
  <c r="U154" s="1"/>
  <c r="S153"/>
  <c r="U153" s="1"/>
  <c r="S152"/>
  <c r="U152" s="1"/>
  <c r="S151"/>
  <c r="U151" s="1"/>
  <c r="S150"/>
  <c r="U150" s="1"/>
  <c r="S149"/>
  <c r="U149" s="1"/>
  <c r="S148"/>
  <c r="U148" s="1"/>
  <c r="S147"/>
  <c r="U147" s="1"/>
  <c r="S146"/>
  <c r="U146" s="1"/>
  <c r="S145"/>
  <c r="U145" s="1"/>
  <c r="S144"/>
  <c r="U144" s="1"/>
  <c r="S142"/>
  <c r="U142" s="1"/>
  <c r="S141"/>
  <c r="U141" s="1"/>
  <c r="S138"/>
  <c r="U138" s="1"/>
  <c r="S137"/>
  <c r="U137" s="1"/>
  <c r="S136"/>
  <c r="U136" s="1"/>
  <c r="S117"/>
  <c r="U117" s="1"/>
  <c r="S116"/>
  <c r="U116" s="1"/>
  <c r="S115"/>
  <c r="U115" s="1"/>
  <c r="S114"/>
  <c r="U114" s="1"/>
  <c r="S113"/>
  <c r="U113" s="1"/>
  <c r="S112"/>
  <c r="U112" s="1"/>
  <c r="S111"/>
  <c r="U111" s="1"/>
  <c r="S110"/>
  <c r="U110" s="1"/>
  <c r="S108"/>
  <c r="U108" s="1"/>
  <c r="S107"/>
  <c r="U107" s="1"/>
  <c r="U106"/>
  <c r="S104"/>
  <c r="U104" s="1"/>
  <c r="S103"/>
  <c r="U103" s="1"/>
  <c r="S102"/>
  <c r="U102" s="1"/>
  <c r="S101"/>
  <c r="U101" s="1"/>
  <c r="S100"/>
  <c r="U100" s="1"/>
  <c r="S99"/>
  <c r="U99" s="1"/>
  <c r="S98"/>
  <c r="U98" s="1"/>
  <c r="S97"/>
  <c r="U97" s="1"/>
  <c r="S96"/>
  <c r="U96" s="1"/>
  <c r="S95"/>
  <c r="U95" s="1"/>
  <c r="S94"/>
  <c r="U94" s="1"/>
  <c r="S93"/>
  <c r="U93" s="1"/>
  <c r="S92"/>
  <c r="U92" s="1"/>
  <c r="S91"/>
  <c r="U91" s="1"/>
  <c r="S90"/>
  <c r="U90" s="1"/>
  <c r="S89"/>
  <c r="U89" s="1"/>
  <c r="S88"/>
  <c r="U88" s="1"/>
  <c r="S87"/>
  <c r="U87" s="1"/>
  <c r="S86"/>
  <c r="U86" s="1"/>
  <c r="S85"/>
  <c r="U85" s="1"/>
  <c r="S83"/>
  <c r="U83" s="1"/>
  <c r="S81"/>
  <c r="U81" s="1"/>
  <c r="S80"/>
  <c r="U80" s="1"/>
  <c r="S79"/>
  <c r="U79" s="1"/>
  <c r="S78"/>
  <c r="U78" s="1"/>
  <c r="S77"/>
  <c r="U77" s="1"/>
  <c r="S75"/>
  <c r="U75" s="1"/>
  <c r="S70"/>
  <c r="U70" s="1"/>
  <c r="S69"/>
  <c r="U69" s="1"/>
  <c r="S68"/>
  <c r="U68" s="1"/>
  <c r="S67"/>
  <c r="U67" s="1"/>
  <c r="S66"/>
  <c r="U66" s="1"/>
  <c r="S65"/>
  <c r="U65" s="1"/>
  <c r="S64"/>
  <c r="U64" s="1"/>
  <c r="S63"/>
  <c r="U63" s="1"/>
  <c r="S61"/>
  <c r="U61" s="1"/>
  <c r="S52"/>
  <c r="U52" s="1"/>
  <c r="S51"/>
  <c r="U51" s="1"/>
  <c r="S50"/>
  <c r="U50" s="1"/>
  <c r="S49"/>
  <c r="U49" s="1"/>
  <c r="S48"/>
  <c r="U48" s="1"/>
  <c r="S47"/>
  <c r="U47" s="1"/>
  <c r="S46"/>
  <c r="U46" s="1"/>
  <c r="S45"/>
  <c r="U45" s="1"/>
  <c r="S44"/>
  <c r="U44" s="1"/>
  <c r="U43"/>
  <c r="S41"/>
  <c r="U41" s="1"/>
  <c r="S40"/>
  <c r="U40" s="1"/>
  <c r="S39"/>
  <c r="U39" s="1"/>
  <c r="S38"/>
  <c r="U38" s="1"/>
  <c r="S37"/>
  <c r="U37" s="1"/>
  <c r="S36"/>
  <c r="U36" s="1"/>
  <c r="S35"/>
  <c r="U35" s="1"/>
  <c r="S34"/>
  <c r="U34" s="1"/>
  <c r="S33"/>
  <c r="U33" s="1"/>
  <c r="S32"/>
  <c r="U32" s="1"/>
  <c r="S31"/>
  <c r="U31" s="1"/>
  <c r="S30"/>
  <c r="U30" s="1"/>
  <c r="S29"/>
  <c r="U29" s="1"/>
  <c r="S28"/>
  <c r="U28" s="1"/>
  <c r="S27"/>
  <c r="U27" s="1"/>
  <c r="S25"/>
  <c r="U25" s="1"/>
  <c r="S24"/>
  <c r="U24" s="1"/>
  <c r="S19"/>
  <c r="U19" s="1"/>
  <c r="S18"/>
  <c r="U18" s="1"/>
  <c r="S17"/>
  <c r="U17" s="1"/>
  <c r="S16"/>
  <c r="U16" s="1"/>
  <c r="S15"/>
  <c r="U15" s="1"/>
  <c r="S14"/>
  <c r="U14" s="1"/>
  <c r="S13"/>
  <c r="U13" s="1"/>
  <c r="S12"/>
  <c r="U12" s="1"/>
  <c r="S11"/>
  <c r="U11" s="1"/>
  <c r="S9"/>
  <c r="U9" s="1"/>
  <c r="S8"/>
  <c r="U8" s="1"/>
  <c r="S7"/>
  <c r="U7" s="1"/>
  <c r="S6"/>
  <c r="O63" i="11"/>
  <c r="L63"/>
  <c r="P63"/>
  <c r="R63" s="1"/>
  <c r="F63"/>
  <c r="O62"/>
  <c r="L62"/>
  <c r="I62"/>
  <c r="P62"/>
  <c r="R62" s="1"/>
  <c r="F62"/>
  <c r="O61"/>
  <c r="L61"/>
  <c r="P61"/>
  <c r="R61" s="1"/>
  <c r="F61"/>
  <c r="O60"/>
  <c r="L60"/>
  <c r="I60"/>
  <c r="P60"/>
  <c r="R60" s="1"/>
  <c r="F60"/>
  <c r="O59"/>
  <c r="L59"/>
  <c r="P59"/>
  <c r="R59" s="1"/>
  <c r="F59"/>
  <c r="O58"/>
  <c r="L58"/>
  <c r="I58"/>
  <c r="P58"/>
  <c r="R58" s="1"/>
  <c r="F58"/>
  <c r="O57"/>
  <c r="L57"/>
  <c r="H57"/>
  <c r="P57" s="1"/>
  <c r="R57" s="1"/>
  <c r="F57"/>
  <c r="R70" i="15"/>
  <c r="O70"/>
  <c r="L70"/>
  <c r="I70"/>
  <c r="F70"/>
  <c r="R69"/>
  <c r="O69"/>
  <c r="L69"/>
  <c r="I69"/>
  <c r="F69"/>
  <c r="R68"/>
  <c r="O68"/>
  <c r="L68"/>
  <c r="I68"/>
  <c r="F68"/>
  <c r="R67"/>
  <c r="O67"/>
  <c r="L67"/>
  <c r="I67"/>
  <c r="F67"/>
  <c r="R40"/>
  <c r="O40"/>
  <c r="L40"/>
  <c r="I40"/>
  <c r="F40"/>
  <c r="R39"/>
  <c r="O39"/>
  <c r="L39"/>
  <c r="I39"/>
  <c r="F39"/>
  <c r="R38"/>
  <c r="O38"/>
  <c r="L38"/>
  <c r="I38"/>
  <c r="F38"/>
  <c r="R37"/>
  <c r="O37"/>
  <c r="L37"/>
  <c r="I37"/>
  <c r="F37"/>
  <c r="R36"/>
  <c r="O36"/>
  <c r="L36"/>
  <c r="I36"/>
  <c r="F36"/>
  <c r="R35"/>
  <c r="O35"/>
  <c r="L35"/>
  <c r="I35"/>
  <c r="F35"/>
  <c r="P87" i="6"/>
  <c r="R87" s="1"/>
  <c r="O87"/>
  <c r="L87"/>
  <c r="I87"/>
  <c r="F87"/>
  <c r="P86"/>
  <c r="R86" s="1"/>
  <c r="O86"/>
  <c r="L86"/>
  <c r="I86"/>
  <c r="F86"/>
  <c r="P85"/>
  <c r="R85" s="1"/>
  <c r="O85"/>
  <c r="L85"/>
  <c r="I85"/>
  <c r="F85"/>
  <c r="N82"/>
  <c r="K82"/>
  <c r="H82"/>
  <c r="E82"/>
  <c r="P81"/>
  <c r="R81" s="1"/>
  <c r="O81"/>
  <c r="L81"/>
  <c r="I81"/>
  <c r="F81"/>
  <c r="P80"/>
  <c r="R80" s="1"/>
  <c r="O80"/>
  <c r="L80"/>
  <c r="I80"/>
  <c r="F80"/>
  <c r="P79"/>
  <c r="R79" s="1"/>
  <c r="O79"/>
  <c r="L79"/>
  <c r="I79"/>
  <c r="F79"/>
  <c r="P78"/>
  <c r="R78" s="1"/>
  <c r="O78"/>
  <c r="L78"/>
  <c r="I78"/>
  <c r="F78"/>
  <c r="P77"/>
  <c r="R77" s="1"/>
  <c r="O77"/>
  <c r="L77"/>
  <c r="I77"/>
  <c r="F77"/>
  <c r="P76"/>
  <c r="O76"/>
  <c r="L76"/>
  <c r="I76"/>
  <c r="F76"/>
  <c r="Q78" l="1"/>
  <c r="S78" s="1"/>
  <c r="Q85"/>
  <c r="S85" s="1"/>
  <c r="Q87"/>
  <c r="S87" s="1"/>
  <c r="L82"/>
  <c r="T35" i="15"/>
  <c r="V35" s="1"/>
  <c r="T37"/>
  <c r="V37" s="1"/>
  <c r="T39"/>
  <c r="V39" s="1"/>
  <c r="T67"/>
  <c r="V67" s="1"/>
  <c r="T69"/>
  <c r="V69" s="1"/>
  <c r="Q60" i="11"/>
  <c r="S60" s="1"/>
  <c r="T36" i="15"/>
  <c r="V36" s="1"/>
  <c r="T38"/>
  <c r="V38" s="1"/>
  <c r="T40"/>
  <c r="V40" s="1"/>
  <c r="T68"/>
  <c r="V68" s="1"/>
  <c r="T70"/>
  <c r="V70" s="1"/>
  <c r="I82" i="6"/>
  <c r="F82"/>
  <c r="Q80"/>
  <c r="S80" s="1"/>
  <c r="P82"/>
  <c r="O82"/>
  <c r="Q77"/>
  <c r="Q79"/>
  <c r="S79" s="1"/>
  <c r="Q81"/>
  <c r="S81" s="1"/>
  <c r="Q58" i="11"/>
  <c r="S58" s="1"/>
  <c r="Q62"/>
  <c r="S62" s="1"/>
  <c r="I57"/>
  <c r="Q57" s="1"/>
  <c r="S57" s="1"/>
  <c r="I59"/>
  <c r="Q59" s="1"/>
  <c r="S59" s="1"/>
  <c r="I61"/>
  <c r="Q61" s="1"/>
  <c r="S61" s="1"/>
  <c r="I63"/>
  <c r="Q63" s="1"/>
  <c r="S63" s="1"/>
  <c r="Q86" i="6"/>
  <c r="S86" s="1"/>
  <c r="S77"/>
  <c r="Q76"/>
  <c r="R76"/>
  <c r="R82" s="1"/>
  <c r="Q82" l="1"/>
  <c r="S76"/>
  <c r="S82" s="1"/>
  <c r="K175" i="9" l="1"/>
  <c r="K158"/>
  <c r="N201"/>
  <c r="R66" i="15"/>
  <c r="O66"/>
  <c r="L66"/>
  <c r="I66"/>
  <c r="F66"/>
  <c r="P200" i="9"/>
  <c r="R200" s="1"/>
  <c r="O200"/>
  <c r="L200"/>
  <c r="I200"/>
  <c r="F200"/>
  <c r="P189"/>
  <c r="R189" s="1"/>
  <c r="O189"/>
  <c r="L189"/>
  <c r="I189"/>
  <c r="F189"/>
  <c r="P188"/>
  <c r="R188" s="1"/>
  <c r="O188"/>
  <c r="L188"/>
  <c r="I188"/>
  <c r="F188"/>
  <c r="P187"/>
  <c r="R187" s="1"/>
  <c r="O187"/>
  <c r="L187"/>
  <c r="I187"/>
  <c r="F187"/>
  <c r="N102" i="11"/>
  <c r="P186" i="9"/>
  <c r="R186" s="1"/>
  <c r="O186"/>
  <c r="L186"/>
  <c r="I186"/>
  <c r="F186"/>
  <c r="R185"/>
  <c r="L185"/>
  <c r="I185"/>
  <c r="F185"/>
  <c r="P184"/>
  <c r="R184" s="1"/>
  <c r="O184"/>
  <c r="L184"/>
  <c r="I184"/>
  <c r="F184"/>
  <c r="P183"/>
  <c r="R183" s="1"/>
  <c r="O183"/>
  <c r="L183"/>
  <c r="I183"/>
  <c r="F183"/>
  <c r="E24" i="6"/>
  <c r="H24"/>
  <c r="K24"/>
  <c r="P22"/>
  <c r="R22" s="1"/>
  <c r="O22"/>
  <c r="L22"/>
  <c r="I22"/>
  <c r="F22"/>
  <c r="P21"/>
  <c r="R21" s="1"/>
  <c r="O21"/>
  <c r="L21"/>
  <c r="I21"/>
  <c r="F21"/>
  <c r="P20"/>
  <c r="R20" s="1"/>
  <c r="O20"/>
  <c r="L20"/>
  <c r="I20"/>
  <c r="F20"/>
  <c r="P19"/>
  <c r="R19" s="1"/>
  <c r="O19"/>
  <c r="L19"/>
  <c r="I19"/>
  <c r="F19"/>
  <c r="P18"/>
  <c r="R18" s="1"/>
  <c r="O18"/>
  <c r="L18"/>
  <c r="I18"/>
  <c r="F18"/>
  <c r="P17"/>
  <c r="R17" s="1"/>
  <c r="O17"/>
  <c r="L17"/>
  <c r="I17"/>
  <c r="F17"/>
  <c r="O38" i="11"/>
  <c r="O37"/>
  <c r="O36"/>
  <c r="L38"/>
  <c r="L37"/>
  <c r="L36"/>
  <c r="P57" i="9"/>
  <c r="R57" s="1"/>
  <c r="O57"/>
  <c r="L57"/>
  <c r="P49"/>
  <c r="R49" s="1"/>
  <c r="O49"/>
  <c r="L49"/>
  <c r="T66" i="15" l="1"/>
  <c r="V66" s="1"/>
  <c r="Q18" i="6"/>
  <c r="S18" s="1"/>
  <c r="Q20"/>
  <c r="S20" s="1"/>
  <c r="Q22"/>
  <c r="S22" s="1"/>
  <c r="Q183" i="9"/>
  <c r="Q186"/>
  <c r="S186" s="1"/>
  <c r="Q188"/>
  <c r="S188" s="1"/>
  <c r="Q184"/>
  <c r="S184" s="1"/>
  <c r="Q187"/>
  <c r="S187" s="1"/>
  <c r="Q200"/>
  <c r="S200" s="1"/>
  <c r="Q189"/>
  <c r="S189" s="1"/>
  <c r="Q185"/>
  <c r="S185" s="1"/>
  <c r="S183"/>
  <c r="Q17" i="6"/>
  <c r="S17" s="1"/>
  <c r="Q19"/>
  <c r="S19" s="1"/>
  <c r="Q21"/>
  <c r="S21" s="1"/>
  <c r="Q49" i="9"/>
  <c r="S49" s="1"/>
  <c r="Q57"/>
  <c r="S57" s="1"/>
  <c r="L48"/>
  <c r="L47"/>
  <c r="L46"/>
  <c r="L45"/>
  <c r="L44"/>
  <c r="L43"/>
  <c r="P38" i="11"/>
  <c r="R38" s="1"/>
  <c r="P37"/>
  <c r="R37" s="1"/>
  <c r="P36"/>
  <c r="R36" s="1"/>
  <c r="N52"/>
  <c r="K52"/>
  <c r="I38"/>
  <c r="Q38" s="1"/>
  <c r="S38" s="1"/>
  <c r="I37"/>
  <c r="Q37" s="1"/>
  <c r="S37" s="1"/>
  <c r="I36"/>
  <c r="Q36" s="1"/>
  <c r="S36" s="1"/>
  <c r="H52"/>
  <c r="E58" i="9" l="1"/>
  <c r="N58"/>
  <c r="K58"/>
  <c r="P48"/>
  <c r="R48" s="1"/>
  <c r="O48"/>
  <c r="P47"/>
  <c r="R47" s="1"/>
  <c r="O47"/>
  <c r="P46"/>
  <c r="R46" s="1"/>
  <c r="O46"/>
  <c r="P45"/>
  <c r="R45" s="1"/>
  <c r="O45"/>
  <c r="P44"/>
  <c r="R44" s="1"/>
  <c r="O44"/>
  <c r="P43"/>
  <c r="R43" s="1"/>
  <c r="O43"/>
  <c r="Q42" i="15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4"/>
  <c r="R141"/>
  <c r="R140"/>
  <c r="R139"/>
  <c r="R138"/>
  <c r="R137"/>
  <c r="R136"/>
  <c r="R117"/>
  <c r="R116"/>
  <c r="R115"/>
  <c r="R114"/>
  <c r="R113"/>
  <c r="R112"/>
  <c r="R111"/>
  <c r="R110"/>
  <c r="R109"/>
  <c r="R108"/>
  <c r="R107"/>
  <c r="R106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1"/>
  <c r="R80"/>
  <c r="R79"/>
  <c r="R78"/>
  <c r="R77"/>
  <c r="R75"/>
  <c r="R65"/>
  <c r="R64"/>
  <c r="R63"/>
  <c r="R61"/>
  <c r="R52"/>
  <c r="R51"/>
  <c r="R50"/>
  <c r="R49"/>
  <c r="R48"/>
  <c r="R47"/>
  <c r="R46"/>
  <c r="R45"/>
  <c r="R44"/>
  <c r="R43"/>
  <c r="R41"/>
  <c r="R34"/>
  <c r="R33"/>
  <c r="R32"/>
  <c r="R31"/>
  <c r="R30"/>
  <c r="R29"/>
  <c r="R28"/>
  <c r="R27"/>
  <c r="R25"/>
  <c r="R24"/>
  <c r="R19"/>
  <c r="R18"/>
  <c r="R17"/>
  <c r="R16"/>
  <c r="R15"/>
  <c r="R14"/>
  <c r="R13"/>
  <c r="R12"/>
  <c r="R11"/>
  <c r="R10"/>
  <c r="R9"/>
  <c r="R8"/>
  <c r="R7"/>
  <c r="R6"/>
  <c r="O19"/>
  <c r="Q167"/>
  <c r="Q143"/>
  <c r="Q105"/>
  <c r="Q82"/>
  <c r="Q76"/>
  <c r="Q62"/>
  <c r="Q26"/>
  <c r="P1"/>
  <c r="H18" i="12"/>
  <c r="R135" i="15" l="1"/>
  <c r="R105"/>
  <c r="R167"/>
  <c r="H58" i="9"/>
  <c r="R82" i="15"/>
  <c r="Q43" i="9"/>
  <c r="S43" s="1"/>
  <c r="Q45"/>
  <c r="S45" s="1"/>
  <c r="Q47"/>
  <c r="S47" s="1"/>
  <c r="Q44"/>
  <c r="S44" s="1"/>
  <c r="Q46"/>
  <c r="S46" s="1"/>
  <c r="Q48"/>
  <c r="S48" s="1"/>
  <c r="R76" i="15"/>
  <c r="R42"/>
  <c r="R62"/>
  <c r="Q168"/>
  <c r="R26"/>
  <c r="N18" i="12"/>
  <c r="K18"/>
  <c r="E18"/>
  <c r="P17"/>
  <c r="R17" s="1"/>
  <c r="O17"/>
  <c r="L17"/>
  <c r="I17"/>
  <c r="F17"/>
  <c r="H55" i="11"/>
  <c r="H53"/>
  <c r="Q17" i="12" l="1"/>
  <c r="S17" s="1"/>
  <c r="N8" i="16"/>
  <c r="K8"/>
  <c r="H8"/>
  <c r="E8"/>
  <c r="P7"/>
  <c r="R7" s="1"/>
  <c r="O7"/>
  <c r="L7"/>
  <c r="I7"/>
  <c r="F7"/>
  <c r="H58" i="6"/>
  <c r="H57"/>
  <c r="Q7" i="16" l="1"/>
  <c r="S7" s="1"/>
  <c r="P74" i="6" l="1"/>
  <c r="R74" s="1"/>
  <c r="O74"/>
  <c r="L74"/>
  <c r="I74"/>
  <c r="F74"/>
  <c r="P68"/>
  <c r="R68" s="1"/>
  <c r="O68"/>
  <c r="L68"/>
  <c r="I68"/>
  <c r="F68"/>
  <c r="P63"/>
  <c r="R63" s="1"/>
  <c r="O63"/>
  <c r="L63"/>
  <c r="I63"/>
  <c r="F63"/>
  <c r="P62"/>
  <c r="R62" s="1"/>
  <c r="O62"/>
  <c r="L62"/>
  <c r="I62"/>
  <c r="F62"/>
  <c r="P61"/>
  <c r="R61" s="1"/>
  <c r="O61"/>
  <c r="L61"/>
  <c r="I61"/>
  <c r="F61"/>
  <c r="P60"/>
  <c r="R60" s="1"/>
  <c r="O60"/>
  <c r="L60"/>
  <c r="I60"/>
  <c r="F60"/>
  <c r="P73"/>
  <c r="R73" s="1"/>
  <c r="O73"/>
  <c r="L73"/>
  <c r="I73"/>
  <c r="F73"/>
  <c r="P64"/>
  <c r="R64" s="1"/>
  <c r="O64"/>
  <c r="L64"/>
  <c r="I64"/>
  <c r="F64"/>
  <c r="P67"/>
  <c r="R67" s="1"/>
  <c r="O67"/>
  <c r="L67"/>
  <c r="I67"/>
  <c r="F67"/>
  <c r="P65"/>
  <c r="R65" s="1"/>
  <c r="O65"/>
  <c r="L65"/>
  <c r="I65"/>
  <c r="F65"/>
  <c r="O165" i="15"/>
  <c r="L165"/>
  <c r="I165"/>
  <c r="F165"/>
  <c r="O164"/>
  <c r="L164"/>
  <c r="I164"/>
  <c r="F164"/>
  <c r="O117"/>
  <c r="L117"/>
  <c r="I117"/>
  <c r="F117"/>
  <c r="O116"/>
  <c r="L116"/>
  <c r="I116"/>
  <c r="F116"/>
  <c r="O115"/>
  <c r="L115"/>
  <c r="I115"/>
  <c r="F115"/>
  <c r="O114"/>
  <c r="L114"/>
  <c r="I114"/>
  <c r="F114"/>
  <c r="O113"/>
  <c r="L113"/>
  <c r="I113"/>
  <c r="F113"/>
  <c r="O112"/>
  <c r="L112"/>
  <c r="I112"/>
  <c r="F112"/>
  <c r="O111"/>
  <c r="L111"/>
  <c r="I111"/>
  <c r="F111"/>
  <c r="N21" i="16"/>
  <c r="K21"/>
  <c r="H21"/>
  <c r="E21"/>
  <c r="P19"/>
  <c r="R19" s="1"/>
  <c r="O19"/>
  <c r="L19"/>
  <c r="I19"/>
  <c r="F19"/>
  <c r="P18"/>
  <c r="R18" s="1"/>
  <c r="O18"/>
  <c r="L18"/>
  <c r="I18"/>
  <c r="F18"/>
  <c r="P17"/>
  <c r="R17" s="1"/>
  <c r="O17"/>
  <c r="L17"/>
  <c r="I17"/>
  <c r="F17"/>
  <c r="P16"/>
  <c r="R16" s="1"/>
  <c r="O16"/>
  <c r="L16"/>
  <c r="I16"/>
  <c r="F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72" i="6"/>
  <c r="R72" s="1"/>
  <c r="O72"/>
  <c r="L72"/>
  <c r="I72"/>
  <c r="F72"/>
  <c r="P71"/>
  <c r="R71" s="1"/>
  <c r="O71"/>
  <c r="L71"/>
  <c r="I71"/>
  <c r="F71"/>
  <c r="P70"/>
  <c r="R70" s="1"/>
  <c r="O70"/>
  <c r="L70"/>
  <c r="I70"/>
  <c r="F70"/>
  <c r="R69"/>
  <c r="O69"/>
  <c r="L69"/>
  <c r="I69"/>
  <c r="F69"/>
  <c r="P66"/>
  <c r="R66" s="1"/>
  <c r="O66"/>
  <c r="L66"/>
  <c r="I66"/>
  <c r="F66"/>
  <c r="O153" i="15"/>
  <c r="L153"/>
  <c r="I153"/>
  <c r="F153"/>
  <c r="O152"/>
  <c r="L152"/>
  <c r="I152"/>
  <c r="F152"/>
  <c r="O151"/>
  <c r="L151"/>
  <c r="I151"/>
  <c r="F151"/>
  <c r="O150"/>
  <c r="L150"/>
  <c r="I150"/>
  <c r="F150"/>
  <c r="O163"/>
  <c r="L163"/>
  <c r="I163"/>
  <c r="F163"/>
  <c r="O162"/>
  <c r="L162"/>
  <c r="I162"/>
  <c r="F162"/>
  <c r="O161"/>
  <c r="L161"/>
  <c r="I161"/>
  <c r="F161"/>
  <c r="O160"/>
  <c r="L160"/>
  <c r="I160"/>
  <c r="F160"/>
  <c r="O159"/>
  <c r="L159"/>
  <c r="I159"/>
  <c r="F159"/>
  <c r="O158"/>
  <c r="L158"/>
  <c r="I158"/>
  <c r="F158"/>
  <c r="O157"/>
  <c r="L157"/>
  <c r="I157"/>
  <c r="F157"/>
  <c r="O156"/>
  <c r="L156"/>
  <c r="I156"/>
  <c r="F156"/>
  <c r="O155"/>
  <c r="L155"/>
  <c r="I155"/>
  <c r="F155"/>
  <c r="O154"/>
  <c r="L154"/>
  <c r="I154"/>
  <c r="F154"/>
  <c r="O149"/>
  <c r="L149"/>
  <c r="I149"/>
  <c r="F149"/>
  <c r="O148"/>
  <c r="L148"/>
  <c r="I148"/>
  <c r="F148"/>
  <c r="O147"/>
  <c r="L147"/>
  <c r="I147"/>
  <c r="F147"/>
  <c r="O146"/>
  <c r="L146"/>
  <c r="I146"/>
  <c r="F146"/>
  <c r="H201" i="9"/>
  <c r="Q13" i="16" l="1"/>
  <c r="S13" s="1"/>
  <c r="Q15"/>
  <c r="S15" s="1"/>
  <c r="T146" i="15"/>
  <c r="V146" s="1"/>
  <c r="T147"/>
  <c r="V147" s="1"/>
  <c r="T148"/>
  <c r="V148" s="1"/>
  <c r="T149"/>
  <c r="V149" s="1"/>
  <c r="T154"/>
  <c r="V154" s="1"/>
  <c r="T155"/>
  <c r="V155" s="1"/>
  <c r="T156"/>
  <c r="V156" s="1"/>
  <c r="T157"/>
  <c r="V157" s="1"/>
  <c r="T158"/>
  <c r="V158" s="1"/>
  <c r="T159"/>
  <c r="V159" s="1"/>
  <c r="T160"/>
  <c r="V160" s="1"/>
  <c r="T161"/>
  <c r="V161" s="1"/>
  <c r="T162"/>
  <c r="V162" s="1"/>
  <c r="T163"/>
  <c r="V163" s="1"/>
  <c r="T150"/>
  <c r="V150" s="1"/>
  <c r="T151"/>
  <c r="V151" s="1"/>
  <c r="T152"/>
  <c r="V152" s="1"/>
  <c r="T153"/>
  <c r="V153" s="1"/>
  <c r="T111"/>
  <c r="V111" s="1"/>
  <c r="T112"/>
  <c r="V112" s="1"/>
  <c r="T113"/>
  <c r="V113" s="1"/>
  <c r="T114"/>
  <c r="V114" s="1"/>
  <c r="T115"/>
  <c r="V115" s="1"/>
  <c r="T116"/>
  <c r="V116" s="1"/>
  <c r="T117"/>
  <c r="V117" s="1"/>
  <c r="T164"/>
  <c r="V164" s="1"/>
  <c r="T165"/>
  <c r="V165" s="1"/>
  <c r="Q65" i="6"/>
  <c r="S65" s="1"/>
  <c r="Q64"/>
  <c r="S64" s="1"/>
  <c r="Q61"/>
  <c r="S61" s="1"/>
  <c r="Q68"/>
  <c r="S68" s="1"/>
  <c r="Q74"/>
  <c r="S74" s="1"/>
  <c r="Q67"/>
  <c r="S67" s="1"/>
  <c r="Q73"/>
  <c r="S73" s="1"/>
  <c r="Q60"/>
  <c r="S60" s="1"/>
  <c r="Q62"/>
  <c r="S62" s="1"/>
  <c r="Q63"/>
  <c r="S63" s="1"/>
  <c r="Q19" i="16"/>
  <c r="S19" s="1"/>
  <c r="Q17"/>
  <c r="S17" s="1"/>
  <c r="Q14"/>
  <c r="S14" s="1"/>
  <c r="Q16"/>
  <c r="S16" s="1"/>
  <c r="Q18"/>
  <c r="S18" s="1"/>
  <c r="Q66" i="6"/>
  <c r="S66" s="1"/>
  <c r="Q70"/>
  <c r="S70" s="1"/>
  <c r="Q72"/>
  <c r="S72" s="1"/>
  <c r="Q69"/>
  <c r="S69" s="1"/>
  <c r="Q71"/>
  <c r="S71" s="1"/>
  <c r="P42"/>
  <c r="R42" s="1"/>
  <c r="O42"/>
  <c r="L42"/>
  <c r="I42"/>
  <c r="F42"/>
  <c r="P41"/>
  <c r="R41" s="1"/>
  <c r="O41"/>
  <c r="L41"/>
  <c r="I41"/>
  <c r="F41"/>
  <c r="P40"/>
  <c r="R40" s="1"/>
  <c r="O40"/>
  <c r="L40"/>
  <c r="I40"/>
  <c r="F40"/>
  <c r="P39"/>
  <c r="R39" s="1"/>
  <c r="O39"/>
  <c r="L39"/>
  <c r="I39"/>
  <c r="F39"/>
  <c r="P38"/>
  <c r="R38" s="1"/>
  <c r="O38"/>
  <c r="L38"/>
  <c r="I38"/>
  <c r="F38"/>
  <c r="P43"/>
  <c r="R43" s="1"/>
  <c r="O43"/>
  <c r="L43"/>
  <c r="I43"/>
  <c r="F43"/>
  <c r="P37"/>
  <c r="R37" s="1"/>
  <c r="O37"/>
  <c r="L37"/>
  <c r="I37"/>
  <c r="F37"/>
  <c r="P51"/>
  <c r="R51" s="1"/>
  <c r="O51"/>
  <c r="L51"/>
  <c r="I51"/>
  <c r="F51"/>
  <c r="N105" i="15"/>
  <c r="O104"/>
  <c r="L104"/>
  <c r="I104"/>
  <c r="F104"/>
  <c r="K105"/>
  <c r="E105"/>
  <c r="O103"/>
  <c r="L103"/>
  <c r="I103"/>
  <c r="F103"/>
  <c r="O102"/>
  <c r="L102"/>
  <c r="I102"/>
  <c r="F102"/>
  <c r="O101"/>
  <c r="L101"/>
  <c r="I101"/>
  <c r="F101"/>
  <c r="O100"/>
  <c r="L100"/>
  <c r="I100"/>
  <c r="F100"/>
  <c r="O99"/>
  <c r="L99"/>
  <c r="I99"/>
  <c r="F99"/>
  <c r="O98"/>
  <c r="L98"/>
  <c r="I98"/>
  <c r="F98"/>
  <c r="O97"/>
  <c r="L97"/>
  <c r="I97"/>
  <c r="F97"/>
  <c r="O96"/>
  <c r="L96"/>
  <c r="I96"/>
  <c r="F96"/>
  <c r="O95"/>
  <c r="L95"/>
  <c r="I95"/>
  <c r="F95"/>
  <c r="O94"/>
  <c r="L94"/>
  <c r="I94"/>
  <c r="F94"/>
  <c r="O93"/>
  <c r="L93"/>
  <c r="I93"/>
  <c r="F93"/>
  <c r="O92"/>
  <c r="L92"/>
  <c r="I92"/>
  <c r="F92"/>
  <c r="O91"/>
  <c r="L91"/>
  <c r="I91"/>
  <c r="F91"/>
  <c r="O90"/>
  <c r="L90"/>
  <c r="I90"/>
  <c r="F90"/>
  <c r="O89"/>
  <c r="L89"/>
  <c r="I89"/>
  <c r="F89"/>
  <c r="N46" i="14"/>
  <c r="K46"/>
  <c r="H46"/>
  <c r="E46"/>
  <c r="P49"/>
  <c r="R49" s="1"/>
  <c r="O49"/>
  <c r="L49"/>
  <c r="I49"/>
  <c r="F49"/>
  <c r="P48"/>
  <c r="R48" s="1"/>
  <c r="O48"/>
  <c r="L48"/>
  <c r="I48"/>
  <c r="F48"/>
  <c r="P45"/>
  <c r="R45" s="1"/>
  <c r="O45"/>
  <c r="L45"/>
  <c r="I45"/>
  <c r="F45"/>
  <c r="P44"/>
  <c r="R44" s="1"/>
  <c r="O44"/>
  <c r="L44"/>
  <c r="I44"/>
  <c r="F44"/>
  <c r="P43"/>
  <c r="R43" s="1"/>
  <c r="O43"/>
  <c r="L43"/>
  <c r="I43"/>
  <c r="F43"/>
  <c r="P33"/>
  <c r="R33" s="1"/>
  <c r="O33"/>
  <c r="L33"/>
  <c r="I33"/>
  <c r="F33"/>
  <c r="P32"/>
  <c r="R32" s="1"/>
  <c r="O32"/>
  <c r="L32"/>
  <c r="I32"/>
  <c r="F32"/>
  <c r="P31"/>
  <c r="R31" s="1"/>
  <c r="O31"/>
  <c r="L31"/>
  <c r="I31"/>
  <c r="F31"/>
  <c r="P30"/>
  <c r="R30" s="1"/>
  <c r="O30"/>
  <c r="L30"/>
  <c r="I30"/>
  <c r="F30"/>
  <c r="P29"/>
  <c r="R29" s="1"/>
  <c r="O29"/>
  <c r="L29"/>
  <c r="I29"/>
  <c r="F29"/>
  <c r="P28"/>
  <c r="R28" s="1"/>
  <c r="O28"/>
  <c r="L28"/>
  <c r="I28"/>
  <c r="F28"/>
  <c r="P27"/>
  <c r="R27" s="1"/>
  <c r="O27"/>
  <c r="L27"/>
  <c r="I27"/>
  <c r="F27"/>
  <c r="P26"/>
  <c r="R26" s="1"/>
  <c r="O26"/>
  <c r="L26"/>
  <c r="I26"/>
  <c r="F26"/>
  <c r="R25"/>
  <c r="O25"/>
  <c r="L25"/>
  <c r="I25"/>
  <c r="F25"/>
  <c r="P24"/>
  <c r="R24" s="1"/>
  <c r="O24"/>
  <c r="L24"/>
  <c r="I24"/>
  <c r="F24"/>
  <c r="P23"/>
  <c r="R23" s="1"/>
  <c r="O23"/>
  <c r="L23"/>
  <c r="I23"/>
  <c r="F23"/>
  <c r="P22"/>
  <c r="R22" s="1"/>
  <c r="O22"/>
  <c r="L22"/>
  <c r="I22"/>
  <c r="F22"/>
  <c r="P21"/>
  <c r="R21" s="1"/>
  <c r="O21"/>
  <c r="L21"/>
  <c r="I21"/>
  <c r="F21"/>
  <c r="N12" i="16"/>
  <c r="K12"/>
  <c r="H12"/>
  <c r="E12"/>
  <c r="P11"/>
  <c r="R11" s="1"/>
  <c r="O11"/>
  <c r="L11"/>
  <c r="I11"/>
  <c r="F11"/>
  <c r="P10"/>
  <c r="R10" s="1"/>
  <c r="O10"/>
  <c r="L10"/>
  <c r="I10"/>
  <c r="F10"/>
  <c r="N14" i="17"/>
  <c r="K14"/>
  <c r="H14"/>
  <c r="E14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F9"/>
  <c r="N35" i="14"/>
  <c r="K35"/>
  <c r="H35"/>
  <c r="E35"/>
  <c r="P19"/>
  <c r="R19" s="1"/>
  <c r="O19"/>
  <c r="L19"/>
  <c r="I19"/>
  <c r="F19"/>
  <c r="P20"/>
  <c r="R20" s="1"/>
  <c r="O20"/>
  <c r="L20"/>
  <c r="I20"/>
  <c r="F20"/>
  <c r="P34"/>
  <c r="R34" s="1"/>
  <c r="O34"/>
  <c r="L34"/>
  <c r="I34"/>
  <c r="F34"/>
  <c r="P18"/>
  <c r="R18" s="1"/>
  <c r="O18"/>
  <c r="L18"/>
  <c r="I18"/>
  <c r="F18"/>
  <c r="H41"/>
  <c r="N41"/>
  <c r="K41"/>
  <c r="E41"/>
  <c r="P40"/>
  <c r="R40" s="1"/>
  <c r="O40"/>
  <c r="L40"/>
  <c r="I40"/>
  <c r="F40"/>
  <c r="P39"/>
  <c r="R39" s="1"/>
  <c r="O39"/>
  <c r="L39"/>
  <c r="I39"/>
  <c r="F39"/>
  <c r="P38"/>
  <c r="R38" s="1"/>
  <c r="O38"/>
  <c r="L38"/>
  <c r="I38"/>
  <c r="F38"/>
  <c r="P37"/>
  <c r="R37" s="1"/>
  <c r="O37"/>
  <c r="L37"/>
  <c r="I37"/>
  <c r="F37"/>
  <c r="N16"/>
  <c r="K16"/>
  <c r="H16"/>
  <c r="E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H11" i="5"/>
  <c r="N11"/>
  <c r="K11"/>
  <c r="E11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6"/>
  <c r="R6" s="1"/>
  <c r="O6"/>
  <c r="L6"/>
  <c r="I6"/>
  <c r="F6"/>
  <c r="N12" i="4"/>
  <c r="K12"/>
  <c r="H12"/>
  <c r="E12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6"/>
  <c r="R6" s="1"/>
  <c r="O6"/>
  <c r="L6"/>
  <c r="I6"/>
  <c r="F6"/>
  <c r="L12" i="15"/>
  <c r="Q48" i="14" l="1"/>
  <c r="S48" s="1"/>
  <c r="Q43"/>
  <c r="Q45"/>
  <c r="S45" s="1"/>
  <c r="Q38"/>
  <c r="Q10" i="17"/>
  <c r="S10" s="1"/>
  <c r="Q12"/>
  <c r="S12" s="1"/>
  <c r="Q15" i="14"/>
  <c r="Q40"/>
  <c r="S40" s="1"/>
  <c r="Q6" i="4"/>
  <c r="S6" s="1"/>
  <c r="Q8"/>
  <c r="S8" s="1"/>
  <c r="Q10"/>
  <c r="Q9" i="5"/>
  <c r="S9" s="1"/>
  <c r="Q21" i="14"/>
  <c r="S21" s="1"/>
  <c r="Q23"/>
  <c r="S23" s="1"/>
  <c r="Q27"/>
  <c r="S27" s="1"/>
  <c r="Q29"/>
  <c r="Q11" i="16"/>
  <c r="S11" s="1"/>
  <c r="O11" i="5"/>
  <c r="Q9" i="17"/>
  <c r="S29" i="14"/>
  <c r="Q33"/>
  <c r="S33" s="1"/>
  <c r="T89" i="15"/>
  <c r="V89" s="1"/>
  <c r="T90"/>
  <c r="V90" s="1"/>
  <c r="T91"/>
  <c r="V91" s="1"/>
  <c r="T92"/>
  <c r="V92" s="1"/>
  <c r="T93"/>
  <c r="V93" s="1"/>
  <c r="T94"/>
  <c r="V94" s="1"/>
  <c r="T95"/>
  <c r="V95" s="1"/>
  <c r="T96"/>
  <c r="V96" s="1"/>
  <c r="T97"/>
  <c r="V97" s="1"/>
  <c r="T98"/>
  <c r="V98" s="1"/>
  <c r="T99"/>
  <c r="V99" s="1"/>
  <c r="T100"/>
  <c r="V100" s="1"/>
  <c r="T101"/>
  <c r="V101" s="1"/>
  <c r="T102"/>
  <c r="V102" s="1"/>
  <c r="T103"/>
  <c r="V103" s="1"/>
  <c r="T104"/>
  <c r="V104" s="1"/>
  <c r="Q51" i="6"/>
  <c r="S51" s="1"/>
  <c r="Q38"/>
  <c r="Q40"/>
  <c r="Q42"/>
  <c r="Q43"/>
  <c r="S43" s="1"/>
  <c r="Q41"/>
  <c r="S41" s="1"/>
  <c r="Q39"/>
  <c r="S39" s="1"/>
  <c r="S38"/>
  <c r="S40"/>
  <c r="S42"/>
  <c r="Q37"/>
  <c r="S37" s="1"/>
  <c r="Q49" i="14"/>
  <c r="S49" s="1"/>
  <c r="S43"/>
  <c r="Q44"/>
  <c r="S44" s="1"/>
  <c r="Q32"/>
  <c r="Q30"/>
  <c r="S30" s="1"/>
  <c r="Q25"/>
  <c r="S25" s="1"/>
  <c r="Q31"/>
  <c r="S31" s="1"/>
  <c r="S32"/>
  <c r="Q22"/>
  <c r="S22" s="1"/>
  <c r="Q24"/>
  <c r="S24" s="1"/>
  <c r="Q26"/>
  <c r="S26" s="1"/>
  <c r="Q28"/>
  <c r="S28" s="1"/>
  <c r="Q19"/>
  <c r="S19" s="1"/>
  <c r="Q10" i="16"/>
  <c r="Q11" i="17"/>
  <c r="S11" s="1"/>
  <c r="Q20" i="14"/>
  <c r="S20" s="1"/>
  <c r="Q34"/>
  <c r="S34" s="1"/>
  <c r="Q18"/>
  <c r="Q37"/>
  <c r="Q39"/>
  <c r="S39" s="1"/>
  <c r="S37"/>
  <c r="S38"/>
  <c r="Q13"/>
  <c r="Q11"/>
  <c r="Q10"/>
  <c r="S10" s="1"/>
  <c r="Q12"/>
  <c r="S12" s="1"/>
  <c r="Q14"/>
  <c r="S14" s="1"/>
  <c r="S11"/>
  <c r="S13"/>
  <c r="S15"/>
  <c r="Q6" i="5"/>
  <c r="S6" s="1"/>
  <c r="I11"/>
  <c r="P11"/>
  <c r="R11"/>
  <c r="F11"/>
  <c r="L11"/>
  <c r="Q7"/>
  <c r="S7" s="1"/>
  <c r="Q8"/>
  <c r="S8" s="1"/>
  <c r="Q10"/>
  <c r="S10" s="1"/>
  <c r="Q7" i="4"/>
  <c r="S7" s="1"/>
  <c r="Q9"/>
  <c r="S9" s="1"/>
  <c r="S10"/>
  <c r="S9" i="17" l="1"/>
  <c r="S18" i="14"/>
  <c r="S10" i="16"/>
  <c r="S11" i="5"/>
  <c r="Q11"/>
  <c r="S10" i="15"/>
  <c r="U10" s="1"/>
  <c r="O24"/>
  <c r="L24"/>
  <c r="I24"/>
  <c r="F24"/>
  <c r="L19"/>
  <c r="I19"/>
  <c r="F19"/>
  <c r="O18"/>
  <c r="L18"/>
  <c r="I18"/>
  <c r="F18"/>
  <c r="O17"/>
  <c r="L17"/>
  <c r="I17"/>
  <c r="F17"/>
  <c r="O16"/>
  <c r="L16"/>
  <c r="I16"/>
  <c r="F16"/>
  <c r="O15"/>
  <c r="L15"/>
  <c r="I15"/>
  <c r="F15"/>
  <c r="O14"/>
  <c r="L14"/>
  <c r="I14"/>
  <c r="F14"/>
  <c r="N19" i="4"/>
  <c r="K19"/>
  <c r="H19"/>
  <c r="E19"/>
  <c r="P17"/>
  <c r="R17" s="1"/>
  <c r="O17"/>
  <c r="L17"/>
  <c r="I17"/>
  <c r="F17"/>
  <c r="P16"/>
  <c r="R16" s="1"/>
  <c r="O16"/>
  <c r="L16"/>
  <c r="I16"/>
  <c r="F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Q13" l="1"/>
  <c r="S13" s="1"/>
  <c r="Q17"/>
  <c r="S17" s="1"/>
  <c r="T24" i="15"/>
  <c r="V24" s="1"/>
  <c r="T14"/>
  <c r="V14" s="1"/>
  <c r="T15"/>
  <c r="V15" s="1"/>
  <c r="T16"/>
  <c r="V16" s="1"/>
  <c r="T17"/>
  <c r="V17" s="1"/>
  <c r="T18"/>
  <c r="V18" s="1"/>
  <c r="T19"/>
  <c r="V19" s="1"/>
  <c r="Q15" i="4"/>
  <c r="S15" s="1"/>
  <c r="Q14"/>
  <c r="S14" s="1"/>
  <c r="Q16"/>
  <c r="S16" s="1"/>
  <c r="P90" i="6" l="1"/>
  <c r="R90" s="1"/>
  <c r="O90"/>
  <c r="L90"/>
  <c r="I90"/>
  <c r="F90"/>
  <c r="P89"/>
  <c r="R89" s="1"/>
  <c r="O89"/>
  <c r="L89"/>
  <c r="I89"/>
  <c r="F89"/>
  <c r="P88"/>
  <c r="R88" s="1"/>
  <c r="O88"/>
  <c r="L88"/>
  <c r="I88"/>
  <c r="F88"/>
  <c r="O141" i="15"/>
  <c r="L141"/>
  <c r="I141"/>
  <c r="F141"/>
  <c r="T141" l="1"/>
  <c r="V141" s="1"/>
  <c r="Q88" i="6"/>
  <c r="S88" s="1"/>
  <c r="Q90"/>
  <c r="S90" s="1"/>
  <c r="Q89"/>
  <c r="S89" s="1"/>
  <c r="P59" l="1"/>
  <c r="R59" s="1"/>
  <c r="O59"/>
  <c r="L59"/>
  <c r="I59"/>
  <c r="F59"/>
  <c r="P58"/>
  <c r="R58" s="1"/>
  <c r="O58"/>
  <c r="L58"/>
  <c r="I58"/>
  <c r="F58"/>
  <c r="N17" i="1"/>
  <c r="K17"/>
  <c r="H17"/>
  <c r="E17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6"/>
  <c r="R6" s="1"/>
  <c r="O6"/>
  <c r="L6"/>
  <c r="I6"/>
  <c r="F6"/>
  <c r="K109" i="15"/>
  <c r="Q9" i="1" l="1"/>
  <c r="S9" s="1"/>
  <c r="Q11"/>
  <c r="S11" s="1"/>
  <c r="Q13"/>
  <c r="S13" s="1"/>
  <c r="Q15"/>
  <c r="S15" s="1"/>
  <c r="S109" i="15"/>
  <c r="U109" s="1"/>
  <c r="K135"/>
  <c r="Q6" i="1"/>
  <c r="S6" s="1"/>
  <c r="Q58" i="6"/>
  <c r="S58" s="1"/>
  <c r="Q59"/>
  <c r="S59" s="1"/>
  <c r="Q7" i="1"/>
  <c r="S7" s="1"/>
  <c r="Q8"/>
  <c r="S8" s="1"/>
  <c r="Q10"/>
  <c r="S10" s="1"/>
  <c r="Q12"/>
  <c r="S12" s="1"/>
  <c r="Q14"/>
  <c r="S14" s="1"/>
  <c r="K140" i="15" l="1"/>
  <c r="S140" s="1"/>
  <c r="U140" s="1"/>
  <c r="K139"/>
  <c r="S139" s="1"/>
  <c r="U139" s="1"/>
  <c r="H46" i="6" l="1"/>
  <c r="P35"/>
  <c r="R35" s="1"/>
  <c r="O35"/>
  <c r="L35"/>
  <c r="I35"/>
  <c r="F35"/>
  <c r="P34"/>
  <c r="R34" s="1"/>
  <c r="O34"/>
  <c r="L34"/>
  <c r="I34"/>
  <c r="F34"/>
  <c r="P44"/>
  <c r="R44" s="1"/>
  <c r="O44"/>
  <c r="L44"/>
  <c r="I44"/>
  <c r="F44"/>
  <c r="P36"/>
  <c r="R36" s="1"/>
  <c r="O36"/>
  <c r="L36"/>
  <c r="I36"/>
  <c r="F36"/>
  <c r="P33"/>
  <c r="R33" s="1"/>
  <c r="O33"/>
  <c r="L33"/>
  <c r="I33"/>
  <c r="F33"/>
  <c r="P32"/>
  <c r="R32" s="1"/>
  <c r="O32"/>
  <c r="L32"/>
  <c r="I32"/>
  <c r="F32"/>
  <c r="Q32" l="1"/>
  <c r="S32" s="1"/>
  <c r="Q35"/>
  <c r="S35" s="1"/>
  <c r="Q44"/>
  <c r="S44" s="1"/>
  <c r="Q34"/>
  <c r="S34" s="1"/>
  <c r="Q33"/>
  <c r="S33" s="1"/>
  <c r="Q36"/>
  <c r="S36" s="1"/>
  <c r="P13" i="17" l="1"/>
  <c r="P14" s="1"/>
  <c r="O13"/>
  <c r="O14" s="1"/>
  <c r="L13"/>
  <c r="L14" s="1"/>
  <c r="I13"/>
  <c r="I14" s="1"/>
  <c r="F13"/>
  <c r="F14" s="1"/>
  <c r="N8"/>
  <c r="N15" s="1"/>
  <c r="K8"/>
  <c r="H8"/>
  <c r="E8"/>
  <c r="E15" s="1"/>
  <c r="P7"/>
  <c r="P8" s="1"/>
  <c r="O7"/>
  <c r="O8" s="1"/>
  <c r="L7"/>
  <c r="L8" s="1"/>
  <c r="I7"/>
  <c r="I8" s="1"/>
  <c r="F7"/>
  <c r="F8" s="1"/>
  <c r="K15"/>
  <c r="P4"/>
  <c r="R4" s="1"/>
  <c r="O4"/>
  <c r="L4"/>
  <c r="I4"/>
  <c r="F4"/>
  <c r="M1"/>
  <c r="P20" i="16"/>
  <c r="P21" s="1"/>
  <c r="O20"/>
  <c r="O21" s="1"/>
  <c r="L20"/>
  <c r="L21" s="1"/>
  <c r="I20"/>
  <c r="I21" s="1"/>
  <c r="F20"/>
  <c r="F21" s="1"/>
  <c r="P9"/>
  <c r="P12" s="1"/>
  <c r="O9"/>
  <c r="O12" s="1"/>
  <c r="L9"/>
  <c r="L12" s="1"/>
  <c r="I9"/>
  <c r="I12" s="1"/>
  <c r="F9"/>
  <c r="F12" s="1"/>
  <c r="K22"/>
  <c r="E22"/>
  <c r="P6"/>
  <c r="P8" s="1"/>
  <c r="O6"/>
  <c r="O8" s="1"/>
  <c r="L6"/>
  <c r="L8" s="1"/>
  <c r="I6"/>
  <c r="I8" s="1"/>
  <c r="F6"/>
  <c r="F8" s="1"/>
  <c r="N22"/>
  <c r="H22"/>
  <c r="P3"/>
  <c r="R3" s="1"/>
  <c r="O3"/>
  <c r="L3"/>
  <c r="I3"/>
  <c r="F3"/>
  <c r="M1"/>
  <c r="N167" i="15"/>
  <c r="K167"/>
  <c r="H167"/>
  <c r="E167"/>
  <c r="O166"/>
  <c r="L166"/>
  <c r="I166"/>
  <c r="F166"/>
  <c r="O145"/>
  <c r="L145"/>
  <c r="I145"/>
  <c r="F145"/>
  <c r="O144"/>
  <c r="L144"/>
  <c r="I144"/>
  <c r="F144"/>
  <c r="N143"/>
  <c r="K143"/>
  <c r="H143"/>
  <c r="E143"/>
  <c r="O142"/>
  <c r="L142"/>
  <c r="I142"/>
  <c r="F142"/>
  <c r="R142" s="1"/>
  <c r="O140"/>
  <c r="L140"/>
  <c r="I140"/>
  <c r="F140"/>
  <c r="O139"/>
  <c r="L139"/>
  <c r="I139"/>
  <c r="F139"/>
  <c r="O138"/>
  <c r="L138"/>
  <c r="I138"/>
  <c r="F138"/>
  <c r="O137"/>
  <c r="L137"/>
  <c r="I137"/>
  <c r="F137"/>
  <c r="O136"/>
  <c r="L136"/>
  <c r="I136"/>
  <c r="F136"/>
  <c r="O110"/>
  <c r="L110"/>
  <c r="I110"/>
  <c r="F110"/>
  <c r="O109"/>
  <c r="L109"/>
  <c r="I109"/>
  <c r="F109"/>
  <c r="O108"/>
  <c r="L108"/>
  <c r="I108"/>
  <c r="F108"/>
  <c r="O107"/>
  <c r="L107"/>
  <c r="I107"/>
  <c r="F107"/>
  <c r="O106"/>
  <c r="O135" s="1"/>
  <c r="L106"/>
  <c r="L135" s="1"/>
  <c r="I106"/>
  <c r="I135" s="1"/>
  <c r="F106"/>
  <c r="F135" s="1"/>
  <c r="O88"/>
  <c r="L88"/>
  <c r="I88"/>
  <c r="F88"/>
  <c r="O87"/>
  <c r="L87"/>
  <c r="I87"/>
  <c r="F87"/>
  <c r="O86"/>
  <c r="L86"/>
  <c r="I86"/>
  <c r="F86"/>
  <c r="O85"/>
  <c r="L85"/>
  <c r="I85"/>
  <c r="F85"/>
  <c r="O84"/>
  <c r="L84"/>
  <c r="H84"/>
  <c r="F84"/>
  <c r="O83"/>
  <c r="O105" s="1"/>
  <c r="L83"/>
  <c r="L105" s="1"/>
  <c r="I83"/>
  <c r="F83"/>
  <c r="N82"/>
  <c r="K82"/>
  <c r="H82"/>
  <c r="E82"/>
  <c r="O81"/>
  <c r="L81"/>
  <c r="I81"/>
  <c r="F81"/>
  <c r="O80"/>
  <c r="L80"/>
  <c r="I80"/>
  <c r="F80"/>
  <c r="O79"/>
  <c r="L79"/>
  <c r="I79"/>
  <c r="F79"/>
  <c r="O78"/>
  <c r="L78"/>
  <c r="I78"/>
  <c r="F78"/>
  <c r="O77"/>
  <c r="L77"/>
  <c r="I77"/>
  <c r="F77"/>
  <c r="N76"/>
  <c r="K76"/>
  <c r="H76"/>
  <c r="E76"/>
  <c r="O75"/>
  <c r="L75"/>
  <c r="I75"/>
  <c r="F75"/>
  <c r="O65"/>
  <c r="L65"/>
  <c r="I65"/>
  <c r="F65"/>
  <c r="O64"/>
  <c r="L64"/>
  <c r="I64"/>
  <c r="F64"/>
  <c r="O63"/>
  <c r="L63"/>
  <c r="I63"/>
  <c r="F63"/>
  <c r="N62"/>
  <c r="H62"/>
  <c r="E62"/>
  <c r="O61"/>
  <c r="L61"/>
  <c r="I61"/>
  <c r="F61"/>
  <c r="O52"/>
  <c r="L52"/>
  <c r="I52"/>
  <c r="F52"/>
  <c r="O51"/>
  <c r="L51"/>
  <c r="I51"/>
  <c r="F51"/>
  <c r="O50"/>
  <c r="L50"/>
  <c r="I50"/>
  <c r="F50"/>
  <c r="O49"/>
  <c r="L49"/>
  <c r="I49"/>
  <c r="F49"/>
  <c r="O48"/>
  <c r="L48"/>
  <c r="I48"/>
  <c r="F48"/>
  <c r="O47"/>
  <c r="L47"/>
  <c r="I47"/>
  <c r="F47"/>
  <c r="O46"/>
  <c r="L46"/>
  <c r="I46"/>
  <c r="F46"/>
  <c r="O45"/>
  <c r="L45"/>
  <c r="I45"/>
  <c r="F45"/>
  <c r="O44"/>
  <c r="L44"/>
  <c r="I44"/>
  <c r="F44"/>
  <c r="O43"/>
  <c r="L43"/>
  <c r="I43"/>
  <c r="F43"/>
  <c r="N42"/>
  <c r="K42"/>
  <c r="H42"/>
  <c r="E42"/>
  <c r="O41"/>
  <c r="L41"/>
  <c r="I41"/>
  <c r="F41"/>
  <c r="O34"/>
  <c r="L34"/>
  <c r="I34"/>
  <c r="F34"/>
  <c r="O33"/>
  <c r="L33"/>
  <c r="I33"/>
  <c r="F33"/>
  <c r="O32"/>
  <c r="L32"/>
  <c r="I32"/>
  <c r="F32"/>
  <c r="O31"/>
  <c r="L31"/>
  <c r="I31"/>
  <c r="F31"/>
  <c r="O30"/>
  <c r="L30"/>
  <c r="I30"/>
  <c r="F30"/>
  <c r="O29"/>
  <c r="L29"/>
  <c r="I29"/>
  <c r="F29"/>
  <c r="O28"/>
  <c r="L28"/>
  <c r="I28"/>
  <c r="F28"/>
  <c r="O27"/>
  <c r="L27"/>
  <c r="I27"/>
  <c r="F27"/>
  <c r="N26"/>
  <c r="K26"/>
  <c r="H26"/>
  <c r="E26"/>
  <c r="O25"/>
  <c r="L25"/>
  <c r="I25"/>
  <c r="F25"/>
  <c r="O13"/>
  <c r="L13"/>
  <c r="I13"/>
  <c r="F13"/>
  <c r="O12"/>
  <c r="I12"/>
  <c r="F12"/>
  <c r="O11"/>
  <c r="L11"/>
  <c r="I11"/>
  <c r="F11"/>
  <c r="O10"/>
  <c r="L10"/>
  <c r="I10"/>
  <c r="F10"/>
  <c r="O9"/>
  <c r="L9"/>
  <c r="I9"/>
  <c r="F9"/>
  <c r="O8"/>
  <c r="L8"/>
  <c r="I8"/>
  <c r="F8"/>
  <c r="O7"/>
  <c r="L7"/>
  <c r="I7"/>
  <c r="F7"/>
  <c r="O6"/>
  <c r="L6"/>
  <c r="I6"/>
  <c r="F6"/>
  <c r="S3"/>
  <c r="U3" s="1"/>
  <c r="O3"/>
  <c r="L3"/>
  <c r="I3"/>
  <c r="F3"/>
  <c r="R3" s="1"/>
  <c r="M1"/>
  <c r="F26" l="1"/>
  <c r="T25"/>
  <c r="V25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41"/>
  <c r="V41" s="1"/>
  <c r="T44"/>
  <c r="V44" s="1"/>
  <c r="T43"/>
  <c r="V43" s="1"/>
  <c r="T13"/>
  <c r="V13" s="1"/>
  <c r="H105"/>
  <c r="S84"/>
  <c r="U84" s="1"/>
  <c r="I62"/>
  <c r="T45"/>
  <c r="V45" s="1"/>
  <c r="T46"/>
  <c r="V46" s="1"/>
  <c r="T47"/>
  <c r="V47" s="1"/>
  <c r="T48"/>
  <c r="V48" s="1"/>
  <c r="T49"/>
  <c r="V49" s="1"/>
  <c r="T50"/>
  <c r="V50" s="1"/>
  <c r="T51"/>
  <c r="V51" s="1"/>
  <c r="T52"/>
  <c r="V52" s="1"/>
  <c r="T61"/>
  <c r="V61" s="1"/>
  <c r="T63"/>
  <c r="V63" s="1"/>
  <c r="T64"/>
  <c r="V64" s="1"/>
  <c r="T65"/>
  <c r="V65" s="1"/>
  <c r="T75"/>
  <c r="V75" s="1"/>
  <c r="T77"/>
  <c r="V77" s="1"/>
  <c r="T78"/>
  <c r="V78" s="1"/>
  <c r="T79"/>
  <c r="V79" s="1"/>
  <c r="T80"/>
  <c r="V80" s="1"/>
  <c r="T81"/>
  <c r="V81" s="1"/>
  <c r="T83"/>
  <c r="V83" s="1"/>
  <c r="T85"/>
  <c r="V85" s="1"/>
  <c r="T86"/>
  <c r="V86" s="1"/>
  <c r="T87"/>
  <c r="V87" s="1"/>
  <c r="T88"/>
  <c r="V88" s="1"/>
  <c r="T106"/>
  <c r="V106" s="1"/>
  <c r="T107"/>
  <c r="V107" s="1"/>
  <c r="T108"/>
  <c r="V108" s="1"/>
  <c r="T109"/>
  <c r="V109" s="1"/>
  <c r="T110"/>
  <c r="V110" s="1"/>
  <c r="T136"/>
  <c r="V136" s="1"/>
  <c r="T137"/>
  <c r="V137" s="1"/>
  <c r="T138"/>
  <c r="V138" s="1"/>
  <c r="T139"/>
  <c r="V139" s="1"/>
  <c r="T140"/>
  <c r="V140" s="1"/>
  <c r="T142"/>
  <c r="V142" s="1"/>
  <c r="T144"/>
  <c r="V144" s="1"/>
  <c r="T145"/>
  <c r="V145" s="1"/>
  <c r="T166"/>
  <c r="V166" s="1"/>
  <c r="R143"/>
  <c r="R168" s="1"/>
  <c r="T6"/>
  <c r="T7"/>
  <c r="V7" s="1"/>
  <c r="T8"/>
  <c r="V8" s="1"/>
  <c r="T9"/>
  <c r="V9" s="1"/>
  <c r="T10"/>
  <c r="V10" s="1"/>
  <c r="T11"/>
  <c r="V11" s="1"/>
  <c r="T12"/>
  <c r="V12" s="1"/>
  <c r="H15" i="17"/>
  <c r="I26" i="15"/>
  <c r="O26"/>
  <c r="E168"/>
  <c r="K168"/>
  <c r="F42"/>
  <c r="F82"/>
  <c r="F143"/>
  <c r="F167"/>
  <c r="L167"/>
  <c r="L143"/>
  <c r="S167"/>
  <c r="S135"/>
  <c r="L42"/>
  <c r="S42"/>
  <c r="O62"/>
  <c r="F76"/>
  <c r="L76"/>
  <c r="S76"/>
  <c r="S143"/>
  <c r="L82"/>
  <c r="S82"/>
  <c r="T3"/>
  <c r="V3" s="1"/>
  <c r="L26"/>
  <c r="H168"/>
  <c r="N168"/>
  <c r="I42"/>
  <c r="O42"/>
  <c r="F62"/>
  <c r="L62"/>
  <c r="S62"/>
  <c r="I76"/>
  <c r="O76"/>
  <c r="I82"/>
  <c r="O82"/>
  <c r="F105"/>
  <c r="I143"/>
  <c r="O143"/>
  <c r="I167"/>
  <c r="O167"/>
  <c r="Q4" i="17"/>
  <c r="S4" s="1"/>
  <c r="F15"/>
  <c r="L15"/>
  <c r="I15"/>
  <c r="O15"/>
  <c r="Q7"/>
  <c r="Q13"/>
  <c r="Q14" s="1"/>
  <c r="P15"/>
  <c r="R7"/>
  <c r="R8" s="1"/>
  <c r="R13"/>
  <c r="R14" s="1"/>
  <c r="Q3" i="16"/>
  <c r="S3" s="1"/>
  <c r="I22"/>
  <c r="F22"/>
  <c r="L22"/>
  <c r="O22"/>
  <c r="Q6"/>
  <c r="Q8" s="1"/>
  <c r="Q9"/>
  <c r="Q12" s="1"/>
  <c r="Q20"/>
  <c r="Q21" s="1"/>
  <c r="P22"/>
  <c r="R6"/>
  <c r="R8" s="1"/>
  <c r="R9"/>
  <c r="R12" s="1"/>
  <c r="R20"/>
  <c r="R21" s="1"/>
  <c r="U6" i="15"/>
  <c r="S26"/>
  <c r="U42"/>
  <c r="U62"/>
  <c r="U76"/>
  <c r="U82"/>
  <c r="I84"/>
  <c r="T84" s="1"/>
  <c r="V84" s="1"/>
  <c r="U135"/>
  <c r="U143"/>
  <c r="U167"/>
  <c r="I105" l="1"/>
  <c r="I168" s="1"/>
  <c r="F168"/>
  <c r="O168"/>
  <c r="L168"/>
  <c r="T143"/>
  <c r="T76"/>
  <c r="T42"/>
  <c r="T62"/>
  <c r="T135"/>
  <c r="R15" i="17"/>
  <c r="S13"/>
  <c r="S14" s="1"/>
  <c r="Q8"/>
  <c r="Q15" s="1"/>
  <c r="S7"/>
  <c r="S8" s="1"/>
  <c r="Q22" i="16"/>
  <c r="S20"/>
  <c r="S21" s="1"/>
  <c r="S9"/>
  <c r="S12" s="1"/>
  <c r="S6"/>
  <c r="S8" s="1"/>
  <c r="R22"/>
  <c r="T82" i="15"/>
  <c r="V82"/>
  <c r="T26"/>
  <c r="T167"/>
  <c r="V167"/>
  <c r="U26"/>
  <c r="V105"/>
  <c r="V76"/>
  <c r="V62"/>
  <c r="V42"/>
  <c r="V6"/>
  <c r="V26" s="1"/>
  <c r="V143"/>
  <c r="V135"/>
  <c r="U105"/>
  <c r="T105"/>
  <c r="S105"/>
  <c r="S168" s="1"/>
  <c r="U168" l="1"/>
  <c r="T168"/>
  <c r="S15" i="17"/>
  <c r="S22" i="16"/>
  <c r="V168" i="15"/>
  <c r="P47" i="14" l="1"/>
  <c r="P50" s="1"/>
  <c r="O47"/>
  <c r="L47"/>
  <c r="L50" s="1"/>
  <c r="I47"/>
  <c r="I50" s="1"/>
  <c r="F47"/>
  <c r="P42"/>
  <c r="O42"/>
  <c r="O46" s="1"/>
  <c r="L42"/>
  <c r="L46" s="1"/>
  <c r="I42"/>
  <c r="F42"/>
  <c r="F46" s="1"/>
  <c r="P36"/>
  <c r="O36"/>
  <c r="L36"/>
  <c r="I36"/>
  <c r="I41" s="1"/>
  <c r="F36"/>
  <c r="P17"/>
  <c r="O17"/>
  <c r="O35" s="1"/>
  <c r="L17"/>
  <c r="L35" s="1"/>
  <c r="I17"/>
  <c r="F17"/>
  <c r="F35" s="1"/>
  <c r="P9"/>
  <c r="P16" s="1"/>
  <c r="O9"/>
  <c r="O16" s="1"/>
  <c r="L9"/>
  <c r="L16" s="1"/>
  <c r="I9"/>
  <c r="F9"/>
  <c r="F16" s="1"/>
  <c r="P7"/>
  <c r="R7" s="1"/>
  <c r="O7"/>
  <c r="L7"/>
  <c r="I7"/>
  <c r="F7"/>
  <c r="E50"/>
  <c r="E8"/>
  <c r="N50"/>
  <c r="K50"/>
  <c r="H50"/>
  <c r="O50"/>
  <c r="N8"/>
  <c r="N51" s="1"/>
  <c r="K8"/>
  <c r="H8"/>
  <c r="H51" s="1"/>
  <c r="P4"/>
  <c r="R4" s="1"/>
  <c r="O4"/>
  <c r="L4"/>
  <c r="I4"/>
  <c r="F4"/>
  <c r="M1"/>
  <c r="E51" l="1"/>
  <c r="K51"/>
  <c r="Q17"/>
  <c r="I35"/>
  <c r="Q42"/>
  <c r="Q46" s="1"/>
  <c r="I46"/>
  <c r="Q9"/>
  <c r="Q16" s="1"/>
  <c r="I16"/>
  <c r="R17"/>
  <c r="R35" s="1"/>
  <c r="P35"/>
  <c r="R42"/>
  <c r="R46" s="1"/>
  <c r="P46"/>
  <c r="F41"/>
  <c r="L41"/>
  <c r="O41"/>
  <c r="P41"/>
  <c r="Q4"/>
  <c r="S4" s="1"/>
  <c r="Q7"/>
  <c r="S7" s="1"/>
  <c r="Q36"/>
  <c r="Q47"/>
  <c r="S47" s="1"/>
  <c r="R47"/>
  <c r="R50" s="1"/>
  <c r="F50"/>
  <c r="S42"/>
  <c r="S46" s="1"/>
  <c r="R36"/>
  <c r="S9"/>
  <c r="S16" s="1"/>
  <c r="R9"/>
  <c r="R16" s="1"/>
  <c r="F8"/>
  <c r="P8"/>
  <c r="I8"/>
  <c r="L8"/>
  <c r="O8"/>
  <c r="I51" l="1"/>
  <c r="Q50"/>
  <c r="L51"/>
  <c r="O51"/>
  <c r="F51"/>
  <c r="S17"/>
  <c r="S35" s="1"/>
  <c r="Q35"/>
  <c r="P51"/>
  <c r="R41"/>
  <c r="S36"/>
  <c r="Q41"/>
  <c r="Q8"/>
  <c r="R8"/>
  <c r="R51" s="1"/>
  <c r="S50"/>
  <c r="Q51" l="1"/>
  <c r="S41"/>
  <c r="S8"/>
  <c r="S51" l="1"/>
  <c r="N12" i="13"/>
  <c r="K12"/>
  <c r="H12"/>
  <c r="E12"/>
  <c r="P11"/>
  <c r="P12" s="1"/>
  <c r="O11"/>
  <c r="O12" s="1"/>
  <c r="L11"/>
  <c r="L12" s="1"/>
  <c r="I11"/>
  <c r="I12" s="1"/>
  <c r="F11"/>
  <c r="F12" s="1"/>
  <c r="P8"/>
  <c r="P10" s="1"/>
  <c r="O8"/>
  <c r="O10" s="1"/>
  <c r="L8"/>
  <c r="L10" s="1"/>
  <c r="I8"/>
  <c r="I10" s="1"/>
  <c r="F8"/>
  <c r="F10" s="1"/>
  <c r="N7"/>
  <c r="N13" s="1"/>
  <c r="K7"/>
  <c r="H7"/>
  <c r="H13" s="1"/>
  <c r="E7"/>
  <c r="E13" s="1"/>
  <c r="P6"/>
  <c r="O6"/>
  <c r="L6"/>
  <c r="I6"/>
  <c r="F6"/>
  <c r="P3"/>
  <c r="R3" s="1"/>
  <c r="O3"/>
  <c r="L3"/>
  <c r="I3"/>
  <c r="F3"/>
  <c r="M1"/>
  <c r="K13" l="1"/>
  <c r="Q3"/>
  <c r="S3" s="1"/>
  <c r="Q6"/>
  <c r="F7"/>
  <c r="F13" s="1"/>
  <c r="I7"/>
  <c r="I13" s="1"/>
  <c r="L7"/>
  <c r="L13" s="1"/>
  <c r="O7"/>
  <c r="O13" s="1"/>
  <c r="Q8"/>
  <c r="Q10" s="1"/>
  <c r="Q11"/>
  <c r="Q12" s="1"/>
  <c r="R6"/>
  <c r="P7"/>
  <c r="P13" s="1"/>
  <c r="R8"/>
  <c r="R10" s="1"/>
  <c r="R11"/>
  <c r="R12" s="1"/>
  <c r="P16" i="12"/>
  <c r="P18" s="1"/>
  <c r="O16"/>
  <c r="O18" s="1"/>
  <c r="L16"/>
  <c r="L18" s="1"/>
  <c r="I16"/>
  <c r="I18" s="1"/>
  <c r="F16"/>
  <c r="F18" s="1"/>
  <c r="N15"/>
  <c r="K15"/>
  <c r="H15"/>
  <c r="E15"/>
  <c r="P14"/>
  <c r="P15" s="1"/>
  <c r="O14"/>
  <c r="L14"/>
  <c r="L15" s="1"/>
  <c r="I14"/>
  <c r="F14"/>
  <c r="F15" s="1"/>
  <c r="P11"/>
  <c r="P13" s="1"/>
  <c r="O11"/>
  <c r="O13" s="1"/>
  <c r="L11"/>
  <c r="L13" s="1"/>
  <c r="I11"/>
  <c r="I13" s="1"/>
  <c r="F11"/>
  <c r="F13" s="1"/>
  <c r="N10"/>
  <c r="K10"/>
  <c r="H10"/>
  <c r="E10"/>
  <c r="E19" s="1"/>
  <c r="P9"/>
  <c r="O9"/>
  <c r="O10" s="1"/>
  <c r="L9"/>
  <c r="I9"/>
  <c r="F9"/>
  <c r="F10" s="1"/>
  <c r="K19"/>
  <c r="P6"/>
  <c r="O6"/>
  <c r="O8" s="1"/>
  <c r="L6"/>
  <c r="L8" s="1"/>
  <c r="I6"/>
  <c r="I8" s="1"/>
  <c r="F6"/>
  <c r="F8" s="1"/>
  <c r="P3"/>
  <c r="R3" s="1"/>
  <c r="O3"/>
  <c r="L3"/>
  <c r="I3"/>
  <c r="F3"/>
  <c r="M1"/>
  <c r="R6" l="1"/>
  <c r="R8" s="1"/>
  <c r="P8"/>
  <c r="H19"/>
  <c r="F19"/>
  <c r="N19"/>
  <c r="I10"/>
  <c r="R7" i="13"/>
  <c r="R13" s="1"/>
  <c r="Q7"/>
  <c r="Q13" s="1"/>
  <c r="S11"/>
  <c r="S12" s="1"/>
  <c r="S8"/>
  <c r="S10" s="1"/>
  <c r="S6"/>
  <c r="I15" i="12"/>
  <c r="I19" s="1"/>
  <c r="O15"/>
  <c r="O19" s="1"/>
  <c r="Q3"/>
  <c r="S3" s="1"/>
  <c r="Q6"/>
  <c r="L10"/>
  <c r="L19" s="1"/>
  <c r="P10"/>
  <c r="Q9"/>
  <c r="Q11"/>
  <c r="Q13" s="1"/>
  <c r="Q14"/>
  <c r="Q16"/>
  <c r="Q18" s="1"/>
  <c r="R9"/>
  <c r="R11"/>
  <c r="R13" s="1"/>
  <c r="R14"/>
  <c r="R15" s="1"/>
  <c r="R16"/>
  <c r="R18" s="1"/>
  <c r="S6" l="1"/>
  <c r="S8" s="1"/>
  <c r="Q8"/>
  <c r="P19"/>
  <c r="R10"/>
  <c r="R19" s="1"/>
  <c r="S7" i="13"/>
  <c r="S13" s="1"/>
  <c r="Q15" i="12"/>
  <c r="Q10"/>
  <c r="S16"/>
  <c r="S18" s="1"/>
  <c r="S14"/>
  <c r="S15" s="1"/>
  <c r="S11"/>
  <c r="S13" s="1"/>
  <c r="S9"/>
  <c r="Q19" l="1"/>
  <c r="S10"/>
  <c r="S19" s="1"/>
  <c r="N14" i="7"/>
  <c r="K14"/>
  <c r="H14"/>
  <c r="E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6"/>
  <c r="O6"/>
  <c r="L6"/>
  <c r="I6"/>
  <c r="F6"/>
  <c r="P129" i="11"/>
  <c r="R129" s="1"/>
  <c r="O129"/>
  <c r="L129"/>
  <c r="I129"/>
  <c r="F129"/>
  <c r="P112"/>
  <c r="R112" s="1"/>
  <c r="O112"/>
  <c r="L112"/>
  <c r="I112"/>
  <c r="F112"/>
  <c r="P111"/>
  <c r="R111" s="1"/>
  <c r="O111"/>
  <c r="L111"/>
  <c r="I111"/>
  <c r="F111"/>
  <c r="P109"/>
  <c r="R109" s="1"/>
  <c r="O109"/>
  <c r="L109"/>
  <c r="I109"/>
  <c r="F109"/>
  <c r="P107"/>
  <c r="R107" s="1"/>
  <c r="O107"/>
  <c r="L107"/>
  <c r="I107"/>
  <c r="F107"/>
  <c r="P106"/>
  <c r="R106" s="1"/>
  <c r="O106"/>
  <c r="L106"/>
  <c r="I106"/>
  <c r="F106"/>
  <c r="P105"/>
  <c r="R105" s="1"/>
  <c r="O105"/>
  <c r="L105"/>
  <c r="I105"/>
  <c r="F105"/>
  <c r="P103"/>
  <c r="R103" s="1"/>
  <c r="R104" s="1"/>
  <c r="O103"/>
  <c r="L103"/>
  <c r="I103"/>
  <c r="F103"/>
  <c r="P101"/>
  <c r="R101" s="1"/>
  <c r="O101"/>
  <c r="L101"/>
  <c r="I101"/>
  <c r="F101"/>
  <c r="P100"/>
  <c r="R100" s="1"/>
  <c r="O100"/>
  <c r="L100"/>
  <c r="I100"/>
  <c r="F100"/>
  <c r="P99"/>
  <c r="R99" s="1"/>
  <c r="O99"/>
  <c r="L99"/>
  <c r="I99"/>
  <c r="F99"/>
  <c r="P98"/>
  <c r="R98" s="1"/>
  <c r="O98"/>
  <c r="L98"/>
  <c r="I98"/>
  <c r="F98"/>
  <c r="P97"/>
  <c r="R97" s="1"/>
  <c r="O97"/>
  <c r="L97"/>
  <c r="I97"/>
  <c r="F97"/>
  <c r="P96"/>
  <c r="R96" s="1"/>
  <c r="O96"/>
  <c r="L96"/>
  <c r="I96"/>
  <c r="F96"/>
  <c r="P95"/>
  <c r="R95" s="1"/>
  <c r="O95"/>
  <c r="L95"/>
  <c r="I95"/>
  <c r="F95"/>
  <c r="P94"/>
  <c r="R94" s="1"/>
  <c r="O94"/>
  <c r="L94"/>
  <c r="I94"/>
  <c r="F94"/>
  <c r="P92"/>
  <c r="R92" s="1"/>
  <c r="O92"/>
  <c r="L92"/>
  <c r="I92"/>
  <c r="F92"/>
  <c r="P91"/>
  <c r="R91" s="1"/>
  <c r="O91"/>
  <c r="L91"/>
  <c r="I91"/>
  <c r="F91"/>
  <c r="P90"/>
  <c r="R90" s="1"/>
  <c r="O90"/>
  <c r="L90"/>
  <c r="I90"/>
  <c r="F90"/>
  <c r="P89"/>
  <c r="R89" s="1"/>
  <c r="O89"/>
  <c r="L89"/>
  <c r="I89"/>
  <c r="F89"/>
  <c r="P88"/>
  <c r="R88" s="1"/>
  <c r="O88"/>
  <c r="L88"/>
  <c r="I88"/>
  <c r="F88"/>
  <c r="P87"/>
  <c r="R87" s="1"/>
  <c r="O87"/>
  <c r="L87"/>
  <c r="I87"/>
  <c r="F87"/>
  <c r="P86"/>
  <c r="R86" s="1"/>
  <c r="O86"/>
  <c r="L86"/>
  <c r="I86"/>
  <c r="F86"/>
  <c r="P85"/>
  <c r="R85" s="1"/>
  <c r="O85"/>
  <c r="L85"/>
  <c r="I85"/>
  <c r="F85"/>
  <c r="P84"/>
  <c r="R84" s="1"/>
  <c r="O84"/>
  <c r="L84"/>
  <c r="I84"/>
  <c r="F84"/>
  <c r="P82"/>
  <c r="R82" s="1"/>
  <c r="O82"/>
  <c r="L82"/>
  <c r="I82"/>
  <c r="F82"/>
  <c r="P81"/>
  <c r="R81" s="1"/>
  <c r="O81"/>
  <c r="L81"/>
  <c r="I81"/>
  <c r="F81"/>
  <c r="P80"/>
  <c r="R80" s="1"/>
  <c r="O80"/>
  <c r="L80"/>
  <c r="I80"/>
  <c r="F80"/>
  <c r="P79"/>
  <c r="R79" s="1"/>
  <c r="O79"/>
  <c r="L79"/>
  <c r="I79"/>
  <c r="F79"/>
  <c r="P77"/>
  <c r="R77" s="1"/>
  <c r="O77"/>
  <c r="L77"/>
  <c r="I77"/>
  <c r="F77"/>
  <c r="P76"/>
  <c r="R76" s="1"/>
  <c r="O76"/>
  <c r="L76"/>
  <c r="I76"/>
  <c r="F76"/>
  <c r="P75"/>
  <c r="R75" s="1"/>
  <c r="O75"/>
  <c r="L75"/>
  <c r="I75"/>
  <c r="F75"/>
  <c r="P74"/>
  <c r="R74" s="1"/>
  <c r="O74"/>
  <c r="L74"/>
  <c r="I74"/>
  <c r="F74"/>
  <c r="P72"/>
  <c r="R72" s="1"/>
  <c r="O72"/>
  <c r="L72"/>
  <c r="I72"/>
  <c r="F72"/>
  <c r="P71"/>
  <c r="R71" s="1"/>
  <c r="O71"/>
  <c r="L71"/>
  <c r="I71"/>
  <c r="F71"/>
  <c r="P70"/>
  <c r="R70" s="1"/>
  <c r="O70"/>
  <c r="L70"/>
  <c r="I70"/>
  <c r="F70"/>
  <c r="P69"/>
  <c r="R69" s="1"/>
  <c r="O69"/>
  <c r="L69"/>
  <c r="I69"/>
  <c r="F69"/>
  <c r="P68"/>
  <c r="R68" s="1"/>
  <c r="O68"/>
  <c r="L68"/>
  <c r="I68"/>
  <c r="F68"/>
  <c r="P67"/>
  <c r="R67" s="1"/>
  <c r="O67"/>
  <c r="L67"/>
  <c r="I67"/>
  <c r="F67"/>
  <c r="P66"/>
  <c r="R66" s="1"/>
  <c r="O66"/>
  <c r="L66"/>
  <c r="I66"/>
  <c r="F66"/>
  <c r="P64"/>
  <c r="R64" s="1"/>
  <c r="O64"/>
  <c r="L64"/>
  <c r="I64"/>
  <c r="F64"/>
  <c r="P56"/>
  <c r="R56" s="1"/>
  <c r="O56"/>
  <c r="L56"/>
  <c r="I56"/>
  <c r="F56"/>
  <c r="P55"/>
  <c r="R55" s="1"/>
  <c r="O55"/>
  <c r="L55"/>
  <c r="I55"/>
  <c r="F55"/>
  <c r="P54"/>
  <c r="R54" s="1"/>
  <c r="O54"/>
  <c r="L54"/>
  <c r="I54"/>
  <c r="F54"/>
  <c r="P53"/>
  <c r="R53" s="1"/>
  <c r="O53"/>
  <c r="L53"/>
  <c r="I53"/>
  <c r="F53"/>
  <c r="P35"/>
  <c r="R35" s="1"/>
  <c r="O35"/>
  <c r="L35"/>
  <c r="I35"/>
  <c r="F35"/>
  <c r="P34"/>
  <c r="R34" s="1"/>
  <c r="O34"/>
  <c r="L34"/>
  <c r="I34"/>
  <c r="F34"/>
  <c r="P33"/>
  <c r="R33" s="1"/>
  <c r="O33"/>
  <c r="L33"/>
  <c r="I33"/>
  <c r="F33"/>
  <c r="P32"/>
  <c r="R32" s="1"/>
  <c r="O32"/>
  <c r="L32"/>
  <c r="I32"/>
  <c r="F32"/>
  <c r="P31"/>
  <c r="O31"/>
  <c r="L31"/>
  <c r="I31"/>
  <c r="F31"/>
  <c r="P30"/>
  <c r="R30" s="1"/>
  <c r="O30"/>
  <c r="L30"/>
  <c r="I30"/>
  <c r="F30"/>
  <c r="P29"/>
  <c r="R29" s="1"/>
  <c r="O29"/>
  <c r="L29"/>
  <c r="I29"/>
  <c r="F29"/>
  <c r="P17"/>
  <c r="R17" s="1"/>
  <c r="O17"/>
  <c r="L17"/>
  <c r="I17"/>
  <c r="F17"/>
  <c r="P16"/>
  <c r="R16" s="1"/>
  <c r="O16"/>
  <c r="L16"/>
  <c r="I16"/>
  <c r="F16"/>
  <c r="P15"/>
  <c r="R15" s="1"/>
  <c r="O15"/>
  <c r="L15"/>
  <c r="I15"/>
  <c r="F15"/>
  <c r="P6"/>
  <c r="O6"/>
  <c r="O14" s="1"/>
  <c r="L6"/>
  <c r="L14" s="1"/>
  <c r="I6"/>
  <c r="F6"/>
  <c r="F14" s="1"/>
  <c r="P130"/>
  <c r="P104"/>
  <c r="O130"/>
  <c r="N130"/>
  <c r="O110"/>
  <c r="N110"/>
  <c r="O104"/>
  <c r="N104"/>
  <c r="O93"/>
  <c r="N93"/>
  <c r="N78"/>
  <c r="N73"/>
  <c r="N65"/>
  <c r="N28"/>
  <c r="L130"/>
  <c r="K130"/>
  <c r="L110"/>
  <c r="K110"/>
  <c r="L104"/>
  <c r="K104"/>
  <c r="L102"/>
  <c r="K102"/>
  <c r="L93"/>
  <c r="K93"/>
  <c r="L83"/>
  <c r="K83"/>
  <c r="K78"/>
  <c r="K73"/>
  <c r="K65"/>
  <c r="K28"/>
  <c r="H130"/>
  <c r="I110"/>
  <c r="H110"/>
  <c r="I104"/>
  <c r="H104"/>
  <c r="I102"/>
  <c r="H102"/>
  <c r="I93"/>
  <c r="H93"/>
  <c r="I83"/>
  <c r="H83"/>
  <c r="I78"/>
  <c r="H78"/>
  <c r="I73"/>
  <c r="H73"/>
  <c r="H65"/>
  <c r="E130"/>
  <c r="E110"/>
  <c r="F104"/>
  <c r="E104"/>
  <c r="E102"/>
  <c r="E93"/>
  <c r="E83"/>
  <c r="E78"/>
  <c r="E73"/>
  <c r="E65"/>
  <c r="E52"/>
  <c r="E28"/>
  <c r="P3"/>
  <c r="R3" s="1"/>
  <c r="O3"/>
  <c r="L3"/>
  <c r="I3"/>
  <c r="F3"/>
  <c r="M1"/>
  <c r="R2" s="1"/>
  <c r="F9" i="9"/>
  <c r="F8"/>
  <c r="F7"/>
  <c r="F6"/>
  <c r="P240"/>
  <c r="R240" s="1"/>
  <c r="O240"/>
  <c r="L240"/>
  <c r="I240"/>
  <c r="F240"/>
  <c r="P234"/>
  <c r="R234" s="1"/>
  <c r="O234"/>
  <c r="L234"/>
  <c r="I234"/>
  <c r="F234"/>
  <c r="P233"/>
  <c r="R233" s="1"/>
  <c r="O233"/>
  <c r="L233"/>
  <c r="I233"/>
  <c r="F233"/>
  <c r="P231"/>
  <c r="R231" s="1"/>
  <c r="O231"/>
  <c r="L231"/>
  <c r="I231"/>
  <c r="F231"/>
  <c r="P230"/>
  <c r="R230" s="1"/>
  <c r="O230"/>
  <c r="L230"/>
  <c r="I230"/>
  <c r="F230"/>
  <c r="P229"/>
  <c r="R229" s="1"/>
  <c r="O229"/>
  <c r="L229"/>
  <c r="I229"/>
  <c r="F229"/>
  <c r="P228"/>
  <c r="R228" s="1"/>
  <c r="O228"/>
  <c r="L228"/>
  <c r="I228"/>
  <c r="F228"/>
  <c r="P227"/>
  <c r="R227" s="1"/>
  <c r="O227"/>
  <c r="L227"/>
  <c r="I227"/>
  <c r="F227"/>
  <c r="P225"/>
  <c r="R225" s="1"/>
  <c r="O225"/>
  <c r="L225"/>
  <c r="I225"/>
  <c r="F225"/>
  <c r="P216"/>
  <c r="R216" s="1"/>
  <c r="O216"/>
  <c r="L216"/>
  <c r="I216"/>
  <c r="F216"/>
  <c r="P215"/>
  <c r="R215" s="1"/>
  <c r="O215"/>
  <c r="L215"/>
  <c r="I215"/>
  <c r="F215"/>
  <c r="P214"/>
  <c r="R214" s="1"/>
  <c r="O214"/>
  <c r="L214"/>
  <c r="I214"/>
  <c r="F214"/>
  <c r="P213"/>
  <c r="R213" s="1"/>
  <c r="O213"/>
  <c r="L213"/>
  <c r="I213"/>
  <c r="F213"/>
  <c r="P212"/>
  <c r="R212" s="1"/>
  <c r="O212"/>
  <c r="L212"/>
  <c r="I212"/>
  <c r="F212"/>
  <c r="R211"/>
  <c r="O211"/>
  <c r="L211"/>
  <c r="I211"/>
  <c r="F211"/>
  <c r="P209"/>
  <c r="R209" s="1"/>
  <c r="O209"/>
  <c r="L209"/>
  <c r="I209"/>
  <c r="F209"/>
  <c r="P206"/>
  <c r="R206" s="1"/>
  <c r="O206"/>
  <c r="L206"/>
  <c r="I206"/>
  <c r="F206"/>
  <c r="P205"/>
  <c r="R205" s="1"/>
  <c r="O205"/>
  <c r="L205"/>
  <c r="I205"/>
  <c r="F205"/>
  <c r="P204"/>
  <c r="R204" s="1"/>
  <c r="O204"/>
  <c r="L204"/>
  <c r="I204"/>
  <c r="F204"/>
  <c r="P202"/>
  <c r="R202" s="1"/>
  <c r="R203" s="1"/>
  <c r="O202"/>
  <c r="O203" s="1"/>
  <c r="L202"/>
  <c r="L203" s="1"/>
  <c r="I202"/>
  <c r="F202"/>
  <c r="P182"/>
  <c r="R182" s="1"/>
  <c r="O182"/>
  <c r="L182"/>
  <c r="I182"/>
  <c r="F182"/>
  <c r="P181"/>
  <c r="R181" s="1"/>
  <c r="O181"/>
  <c r="L181"/>
  <c r="I181"/>
  <c r="F181"/>
  <c r="P180"/>
  <c r="R180" s="1"/>
  <c r="O180"/>
  <c r="L180"/>
  <c r="I180"/>
  <c r="F180"/>
  <c r="P179"/>
  <c r="R179" s="1"/>
  <c r="O179"/>
  <c r="L179"/>
  <c r="I179"/>
  <c r="F179"/>
  <c r="P178"/>
  <c r="R178" s="1"/>
  <c r="O178"/>
  <c r="L178"/>
  <c r="I178"/>
  <c r="F178"/>
  <c r="P177"/>
  <c r="R177" s="1"/>
  <c r="O177"/>
  <c r="L177"/>
  <c r="I177"/>
  <c r="F177"/>
  <c r="P176"/>
  <c r="R176" s="1"/>
  <c r="O176"/>
  <c r="L176"/>
  <c r="I176"/>
  <c r="F176"/>
  <c r="P174"/>
  <c r="R174" s="1"/>
  <c r="O174"/>
  <c r="L174"/>
  <c r="I174"/>
  <c r="F174"/>
  <c r="P169"/>
  <c r="R169" s="1"/>
  <c r="O169"/>
  <c r="L169"/>
  <c r="I169"/>
  <c r="F169"/>
  <c r="P168"/>
  <c r="R168" s="1"/>
  <c r="O168"/>
  <c r="L168"/>
  <c r="I168"/>
  <c r="F168"/>
  <c r="P167"/>
  <c r="R167" s="1"/>
  <c r="O167"/>
  <c r="L167"/>
  <c r="I167"/>
  <c r="F167"/>
  <c r="P166"/>
  <c r="R166" s="1"/>
  <c r="O166"/>
  <c r="L166"/>
  <c r="I166"/>
  <c r="F166"/>
  <c r="P165"/>
  <c r="R165" s="1"/>
  <c r="O165"/>
  <c r="L165"/>
  <c r="I165"/>
  <c r="F165"/>
  <c r="P164"/>
  <c r="R164" s="1"/>
  <c r="O164"/>
  <c r="L164"/>
  <c r="I164"/>
  <c r="F164"/>
  <c r="P163"/>
  <c r="R163" s="1"/>
  <c r="O163"/>
  <c r="L163"/>
  <c r="I163"/>
  <c r="F163"/>
  <c r="P162"/>
  <c r="R162" s="1"/>
  <c r="O162"/>
  <c r="L162"/>
  <c r="I162"/>
  <c r="F162"/>
  <c r="P161"/>
  <c r="R161" s="1"/>
  <c r="O161"/>
  <c r="L161"/>
  <c r="I161"/>
  <c r="F161"/>
  <c r="P160"/>
  <c r="R160" s="1"/>
  <c r="O160"/>
  <c r="L160"/>
  <c r="I160"/>
  <c r="F160"/>
  <c r="P159"/>
  <c r="R159" s="1"/>
  <c r="O159"/>
  <c r="L159"/>
  <c r="I159"/>
  <c r="F159"/>
  <c r="P146"/>
  <c r="R146" s="1"/>
  <c r="O146"/>
  <c r="L146"/>
  <c r="I146"/>
  <c r="F146"/>
  <c r="P145"/>
  <c r="R145" s="1"/>
  <c r="O145"/>
  <c r="L145"/>
  <c r="I145"/>
  <c r="F145"/>
  <c r="P144"/>
  <c r="R144" s="1"/>
  <c r="O144"/>
  <c r="L144"/>
  <c r="I144"/>
  <c r="F144"/>
  <c r="P143"/>
  <c r="R143" s="1"/>
  <c r="O143"/>
  <c r="L143"/>
  <c r="I143"/>
  <c r="F143"/>
  <c r="P142"/>
  <c r="R142" s="1"/>
  <c r="O142"/>
  <c r="L142"/>
  <c r="I142"/>
  <c r="F142"/>
  <c r="P141"/>
  <c r="R141" s="1"/>
  <c r="O141"/>
  <c r="L141"/>
  <c r="I141"/>
  <c r="F141"/>
  <c r="P140"/>
  <c r="R140" s="1"/>
  <c r="O140"/>
  <c r="L140"/>
  <c r="I140"/>
  <c r="F140"/>
  <c r="P139"/>
  <c r="R139" s="1"/>
  <c r="O139"/>
  <c r="L139"/>
  <c r="I139"/>
  <c r="F139"/>
  <c r="P138"/>
  <c r="R138" s="1"/>
  <c r="O138"/>
  <c r="L138"/>
  <c r="I138"/>
  <c r="F138"/>
  <c r="P137"/>
  <c r="R137" s="1"/>
  <c r="O137"/>
  <c r="L137"/>
  <c r="I137"/>
  <c r="F137"/>
  <c r="P136"/>
  <c r="R136" s="1"/>
  <c r="O136"/>
  <c r="L136"/>
  <c r="I136"/>
  <c r="F136"/>
  <c r="P134"/>
  <c r="R134" s="1"/>
  <c r="O134"/>
  <c r="L134"/>
  <c r="I134"/>
  <c r="F134"/>
  <c r="P110"/>
  <c r="R110" s="1"/>
  <c r="O110"/>
  <c r="L110"/>
  <c r="I110"/>
  <c r="F110"/>
  <c r="P109"/>
  <c r="R109" s="1"/>
  <c r="O109"/>
  <c r="L109"/>
  <c r="I109"/>
  <c r="F109"/>
  <c r="P108"/>
  <c r="R108" s="1"/>
  <c r="O108"/>
  <c r="L108"/>
  <c r="I108"/>
  <c r="F108"/>
  <c r="P107"/>
  <c r="R107" s="1"/>
  <c r="O107"/>
  <c r="L107"/>
  <c r="I107"/>
  <c r="F107"/>
  <c r="P106"/>
  <c r="R106" s="1"/>
  <c r="O106"/>
  <c r="L106"/>
  <c r="I106"/>
  <c r="F106"/>
  <c r="P105"/>
  <c r="R105" s="1"/>
  <c r="O105"/>
  <c r="L105"/>
  <c r="I105"/>
  <c r="F105"/>
  <c r="P103"/>
  <c r="R103" s="1"/>
  <c r="O103"/>
  <c r="L103"/>
  <c r="I103"/>
  <c r="F103"/>
  <c r="P91"/>
  <c r="R91" s="1"/>
  <c r="O91"/>
  <c r="L91"/>
  <c r="I91"/>
  <c r="F91"/>
  <c r="P90"/>
  <c r="R90" s="1"/>
  <c r="O90"/>
  <c r="L90"/>
  <c r="I90"/>
  <c r="F90"/>
  <c r="P89"/>
  <c r="R89" s="1"/>
  <c r="O89"/>
  <c r="L89"/>
  <c r="I89"/>
  <c r="F89"/>
  <c r="P88"/>
  <c r="R88" s="1"/>
  <c r="O88"/>
  <c r="L88"/>
  <c r="I88"/>
  <c r="F88"/>
  <c r="P87"/>
  <c r="R87" s="1"/>
  <c r="O87"/>
  <c r="L87"/>
  <c r="I87"/>
  <c r="F87"/>
  <c r="P86"/>
  <c r="R86" s="1"/>
  <c r="O86"/>
  <c r="L86"/>
  <c r="I86"/>
  <c r="F86"/>
  <c r="P84"/>
  <c r="R84" s="1"/>
  <c r="O84"/>
  <c r="L84"/>
  <c r="I84"/>
  <c r="F84"/>
  <c r="P81"/>
  <c r="R81" s="1"/>
  <c r="O81"/>
  <c r="L81"/>
  <c r="I81"/>
  <c r="F81"/>
  <c r="P80"/>
  <c r="R80" s="1"/>
  <c r="O80"/>
  <c r="L80"/>
  <c r="I80"/>
  <c r="F80"/>
  <c r="P78"/>
  <c r="R78" s="1"/>
  <c r="O78"/>
  <c r="L78"/>
  <c r="I78"/>
  <c r="F78"/>
  <c r="P63"/>
  <c r="R63" s="1"/>
  <c r="O63"/>
  <c r="L63"/>
  <c r="I63"/>
  <c r="F63"/>
  <c r="P62"/>
  <c r="R62" s="1"/>
  <c r="O62"/>
  <c r="L62"/>
  <c r="I62"/>
  <c r="F62"/>
  <c r="P61"/>
  <c r="R61" s="1"/>
  <c r="O61"/>
  <c r="L61"/>
  <c r="I61"/>
  <c r="F61"/>
  <c r="P60"/>
  <c r="R60" s="1"/>
  <c r="O60"/>
  <c r="L60"/>
  <c r="I60"/>
  <c r="F60"/>
  <c r="P59"/>
  <c r="R59" s="1"/>
  <c r="O59"/>
  <c r="L59"/>
  <c r="I59"/>
  <c r="F59"/>
  <c r="P42"/>
  <c r="R42" s="1"/>
  <c r="O42"/>
  <c r="L42"/>
  <c r="F42"/>
  <c r="P41"/>
  <c r="R41" s="1"/>
  <c r="O41"/>
  <c r="L41"/>
  <c r="F41"/>
  <c r="P40"/>
  <c r="R40" s="1"/>
  <c r="O40"/>
  <c r="L40"/>
  <c r="F40"/>
  <c r="P39"/>
  <c r="R39" s="1"/>
  <c r="O39"/>
  <c r="L39"/>
  <c r="F39"/>
  <c r="P38"/>
  <c r="R38" s="1"/>
  <c r="O38"/>
  <c r="L38"/>
  <c r="F38"/>
  <c r="P37"/>
  <c r="R37" s="1"/>
  <c r="O37"/>
  <c r="L37"/>
  <c r="F37"/>
  <c r="P36"/>
  <c r="O36"/>
  <c r="L36"/>
  <c r="F36"/>
  <c r="P35"/>
  <c r="R35" s="1"/>
  <c r="O35"/>
  <c r="L35"/>
  <c r="F35"/>
  <c r="F58" s="1"/>
  <c r="P33"/>
  <c r="R33" s="1"/>
  <c r="O33"/>
  <c r="L33"/>
  <c r="I33"/>
  <c r="F33"/>
  <c r="P16"/>
  <c r="R16" s="1"/>
  <c r="O16"/>
  <c r="L16"/>
  <c r="I16"/>
  <c r="F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12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P8"/>
  <c r="R8" s="1"/>
  <c r="O8"/>
  <c r="L8"/>
  <c r="I8"/>
  <c r="P7"/>
  <c r="R7" s="1"/>
  <c r="O7"/>
  <c r="L7"/>
  <c r="I7"/>
  <c r="R6"/>
  <c r="O6"/>
  <c r="L6"/>
  <c r="I6"/>
  <c r="N241"/>
  <c r="N232"/>
  <c r="N226"/>
  <c r="N210"/>
  <c r="N203"/>
  <c r="N175"/>
  <c r="N158"/>
  <c r="N104"/>
  <c r="N85"/>
  <c r="N79"/>
  <c r="N34"/>
  <c r="K241"/>
  <c r="K232"/>
  <c r="K226"/>
  <c r="K210"/>
  <c r="K203"/>
  <c r="K201"/>
  <c r="K135"/>
  <c r="K85"/>
  <c r="K79"/>
  <c r="K34"/>
  <c r="H241"/>
  <c r="H232"/>
  <c r="H226"/>
  <c r="H210"/>
  <c r="H203"/>
  <c r="H175"/>
  <c r="H158"/>
  <c r="H135"/>
  <c r="H85"/>
  <c r="H34"/>
  <c r="P104" l="1"/>
  <c r="P241"/>
  <c r="O85"/>
  <c r="L73" i="11"/>
  <c r="L85" i="9"/>
  <c r="P203"/>
  <c r="O83" i="11"/>
  <c r="L14" i="7"/>
  <c r="P14"/>
  <c r="F28" i="11"/>
  <c r="L28"/>
  <c r="Q16"/>
  <c r="I52"/>
  <c r="F65"/>
  <c r="O73"/>
  <c r="F78"/>
  <c r="F93"/>
  <c r="Q7" i="7"/>
  <c r="Q9"/>
  <c r="Q11"/>
  <c r="Q13"/>
  <c r="F135" i="9"/>
  <c r="F130" i="11"/>
  <c r="Q205" i="9"/>
  <c r="S205" s="1"/>
  <c r="L210"/>
  <c r="L79"/>
  <c r="P226"/>
  <c r="I130" i="11"/>
  <c r="Q202" i="9"/>
  <c r="Q203" s="1"/>
  <c r="R93" i="11"/>
  <c r="F14" i="7"/>
  <c r="L78" i="11"/>
  <c r="R78"/>
  <c r="F110"/>
  <c r="R85" i="9"/>
  <c r="Q81"/>
  <c r="S81" s="1"/>
  <c r="K242"/>
  <c r="N242"/>
  <c r="P83" i="11"/>
  <c r="F83"/>
  <c r="H242" i="9"/>
  <c r="I104"/>
  <c r="R83" i="11"/>
  <c r="O79" i="9"/>
  <c r="F52" i="11"/>
  <c r="O65"/>
  <c r="F73"/>
  <c r="O78"/>
  <c r="F102"/>
  <c r="P78"/>
  <c r="P93"/>
  <c r="P110"/>
  <c r="I28"/>
  <c r="Q69"/>
  <c r="S69" s="1"/>
  <c r="Q71"/>
  <c r="Q74"/>
  <c r="S74" s="1"/>
  <c r="Q76"/>
  <c r="S76" s="1"/>
  <c r="Q79"/>
  <c r="S79" s="1"/>
  <c r="O102"/>
  <c r="Q103"/>
  <c r="Q104" s="1"/>
  <c r="R110"/>
  <c r="Q30"/>
  <c r="S30" s="1"/>
  <c r="Q32"/>
  <c r="S32" s="1"/>
  <c r="Q34"/>
  <c r="S34" s="1"/>
  <c r="Q106"/>
  <c r="O28"/>
  <c r="Q109"/>
  <c r="P158" i="9"/>
  <c r="Q136"/>
  <c r="S136" s="1"/>
  <c r="O158"/>
  <c r="Q110"/>
  <c r="S110" s="1"/>
  <c r="Q108"/>
  <c r="S108" s="1"/>
  <c r="L135"/>
  <c r="Q106"/>
  <c r="S106" s="1"/>
  <c r="P79"/>
  <c r="O135"/>
  <c r="O210"/>
  <c r="Q138"/>
  <c r="S138" s="1"/>
  <c r="Q209"/>
  <c r="O175"/>
  <c r="Q142"/>
  <c r="Q6" i="11"/>
  <c r="Q14" s="1"/>
  <c r="I14"/>
  <c r="L52"/>
  <c r="O52"/>
  <c r="Q81"/>
  <c r="S81" s="1"/>
  <c r="Q84"/>
  <c r="S84" s="1"/>
  <c r="Q86"/>
  <c r="S86" s="1"/>
  <c r="Q88"/>
  <c r="S88" s="1"/>
  <c r="Q90"/>
  <c r="R102"/>
  <c r="R6"/>
  <c r="R14" s="1"/>
  <c r="P14"/>
  <c r="Q67"/>
  <c r="S67" s="1"/>
  <c r="Q78" i="9"/>
  <c r="S78" s="1"/>
  <c r="R12"/>
  <c r="R34" s="1"/>
  <c r="Q94" i="11"/>
  <c r="S94" s="1"/>
  <c r="Q98"/>
  <c r="S98" s="1"/>
  <c r="Q100"/>
  <c r="S100" s="1"/>
  <c r="P102"/>
  <c r="Q62" i="9"/>
  <c r="S62" s="1"/>
  <c r="Q60"/>
  <c r="S60" s="1"/>
  <c r="L226"/>
  <c r="R226"/>
  <c r="Q159"/>
  <c r="S159" s="1"/>
  <c r="Q212"/>
  <c r="S212" s="1"/>
  <c r="Q167"/>
  <c r="S167" s="1"/>
  <c r="Q176"/>
  <c r="S176" s="1"/>
  <c r="O201"/>
  <c r="Q180"/>
  <c r="S180" s="1"/>
  <c r="O226"/>
  <c r="Q214"/>
  <c r="S214" s="1"/>
  <c r="Q216"/>
  <c r="Q227"/>
  <c r="O232"/>
  <c r="L232"/>
  <c r="Q229"/>
  <c r="S229" s="1"/>
  <c r="Q231"/>
  <c r="L241"/>
  <c r="R241"/>
  <c r="Q234"/>
  <c r="S234" s="1"/>
  <c r="O241"/>
  <c r="I58"/>
  <c r="O58"/>
  <c r="L158"/>
  <c r="L175"/>
  <c r="L65" i="11"/>
  <c r="Q53"/>
  <c r="S53" s="1"/>
  <c r="Q55"/>
  <c r="S55" s="1"/>
  <c r="Q64"/>
  <c r="S64" s="1"/>
  <c r="E131"/>
  <c r="Q169" i="9"/>
  <c r="Q165"/>
  <c r="S165" s="1"/>
  <c r="Q163"/>
  <c r="S163" s="1"/>
  <c r="Q161"/>
  <c r="S161" s="1"/>
  <c r="Q91" i="11"/>
  <c r="S91" s="1"/>
  <c r="Q146" i="9"/>
  <c r="S146" s="1"/>
  <c r="Q144"/>
  <c r="S144" s="1"/>
  <c r="Q140"/>
  <c r="S140" s="1"/>
  <c r="Q96" i="11"/>
  <c r="L201" i="9"/>
  <c r="R31" i="11"/>
  <c r="R52" s="1"/>
  <c r="P52"/>
  <c r="Q42" i="9"/>
  <c r="S42" s="1"/>
  <c r="Q40"/>
  <c r="S40" s="1"/>
  <c r="Q38"/>
  <c r="S38" s="1"/>
  <c r="L58"/>
  <c r="R36"/>
  <c r="R58" s="1"/>
  <c r="P58"/>
  <c r="Q36"/>
  <c r="Q15" i="11"/>
  <c r="S15" s="1"/>
  <c r="S16"/>
  <c r="Q17"/>
  <c r="S17" s="1"/>
  <c r="Q29"/>
  <c r="S29" s="1"/>
  <c r="Q31"/>
  <c r="Q33"/>
  <c r="S33" s="1"/>
  <c r="Q35"/>
  <c r="S35" s="1"/>
  <c r="Q54"/>
  <c r="S54" s="1"/>
  <c r="Q56"/>
  <c r="S56" s="1"/>
  <c r="Q66"/>
  <c r="S66" s="1"/>
  <c r="Q68"/>
  <c r="S68" s="1"/>
  <c r="Q70"/>
  <c r="S70" s="1"/>
  <c r="S71"/>
  <c r="Q72"/>
  <c r="S72" s="1"/>
  <c r="Q75"/>
  <c r="S75" s="1"/>
  <c r="Q77"/>
  <c r="S77" s="1"/>
  <c r="Q80"/>
  <c r="S80" s="1"/>
  <c r="Q82"/>
  <c r="S82" s="1"/>
  <c r="Q85"/>
  <c r="Q87"/>
  <c r="Q89"/>
  <c r="Q112"/>
  <c r="S112" s="1"/>
  <c r="S85"/>
  <c r="S87"/>
  <c r="S89"/>
  <c r="Q92"/>
  <c r="Q95"/>
  <c r="S95" s="1"/>
  <c r="S96"/>
  <c r="Q97"/>
  <c r="S97" s="1"/>
  <c r="Q99"/>
  <c r="S99" s="1"/>
  <c r="Q101"/>
  <c r="S101" s="1"/>
  <c r="S103"/>
  <c r="S104" s="1"/>
  <c r="Q105"/>
  <c r="S105" s="1"/>
  <c r="Q107"/>
  <c r="S107" s="1"/>
  <c r="Q111"/>
  <c r="S111" s="1"/>
  <c r="Q129"/>
  <c r="S129" s="1"/>
  <c r="I79" i="9"/>
  <c r="I85"/>
  <c r="I135"/>
  <c r="I158"/>
  <c r="I175"/>
  <c r="I203"/>
  <c r="I210"/>
  <c r="I226"/>
  <c r="I232"/>
  <c r="I241"/>
  <c r="P85"/>
  <c r="P135"/>
  <c r="P175"/>
  <c r="P210"/>
  <c r="P232"/>
  <c r="P242" s="1"/>
  <c r="Q35"/>
  <c r="S35" s="1"/>
  <c r="Q37"/>
  <c r="S37" s="1"/>
  <c r="Q39"/>
  <c r="S39" s="1"/>
  <c r="Q41"/>
  <c r="S41" s="1"/>
  <c r="Q59"/>
  <c r="S59" s="1"/>
  <c r="Q61"/>
  <c r="S61" s="1"/>
  <c r="Q63"/>
  <c r="S63" s="1"/>
  <c r="Q80"/>
  <c r="Q84"/>
  <c r="S84" s="1"/>
  <c r="L104"/>
  <c r="Q105"/>
  <c r="S105" s="1"/>
  <c r="Q107"/>
  <c r="S107" s="1"/>
  <c r="Q109"/>
  <c r="S109" s="1"/>
  <c r="Q134"/>
  <c r="S134" s="1"/>
  <c r="R158"/>
  <c r="Q137"/>
  <c r="S137" s="1"/>
  <c r="Q139"/>
  <c r="S139" s="1"/>
  <c r="Q141"/>
  <c r="S141" s="1"/>
  <c r="S142"/>
  <c r="Q143"/>
  <c r="S143" s="1"/>
  <c r="Q145"/>
  <c r="S145" s="1"/>
  <c r="R175"/>
  <c r="Q160"/>
  <c r="S160" s="1"/>
  <c r="Q162"/>
  <c r="S162" s="1"/>
  <c r="Q164"/>
  <c r="S164" s="1"/>
  <c r="Q166"/>
  <c r="S166" s="1"/>
  <c r="Q168"/>
  <c r="S168" s="1"/>
  <c r="S169"/>
  <c r="Q174"/>
  <c r="S174" s="1"/>
  <c r="Q177"/>
  <c r="S177" s="1"/>
  <c r="Q179"/>
  <c r="S179" s="1"/>
  <c r="Q204"/>
  <c r="S204" s="1"/>
  <c r="Q206"/>
  <c r="S206" s="1"/>
  <c r="Q211"/>
  <c r="Q213"/>
  <c r="S213" s="1"/>
  <c r="Q215"/>
  <c r="S215" s="1"/>
  <c r="Q225"/>
  <c r="S225" s="1"/>
  <c r="Q228"/>
  <c r="Q230"/>
  <c r="S230" s="1"/>
  <c r="Q233"/>
  <c r="S233" s="1"/>
  <c r="Q240"/>
  <c r="S240" s="1"/>
  <c r="I65" i="11"/>
  <c r="I131" s="1"/>
  <c r="P65"/>
  <c r="R201" i="9"/>
  <c r="Q181"/>
  <c r="S181" s="1"/>
  <c r="Q178"/>
  <c r="S178" s="1"/>
  <c r="O34"/>
  <c r="Q6"/>
  <c r="S6" s="1"/>
  <c r="Q7"/>
  <c r="S7" s="1"/>
  <c r="Q8"/>
  <c r="S8" s="1"/>
  <c r="Q9"/>
  <c r="S9" s="1"/>
  <c r="I34"/>
  <c r="Q182"/>
  <c r="S182" s="1"/>
  <c r="I201"/>
  <c r="P34"/>
  <c r="Q33"/>
  <c r="S33" s="1"/>
  <c r="Q11"/>
  <c r="S11" s="1"/>
  <c r="Q16"/>
  <c r="S16" s="1"/>
  <c r="Q15"/>
  <c r="S15" s="1"/>
  <c r="Q14"/>
  <c r="S14" s="1"/>
  <c r="Q13"/>
  <c r="S13" s="1"/>
  <c r="L34"/>
  <c r="Q12"/>
  <c r="S12" s="1"/>
  <c r="Q10"/>
  <c r="S10" s="1"/>
  <c r="I14" i="7"/>
  <c r="O14"/>
  <c r="Q8"/>
  <c r="S8" s="1"/>
  <c r="Q10"/>
  <c r="S10" s="1"/>
  <c r="Q12"/>
  <c r="S12" s="1"/>
  <c r="S7"/>
  <c r="S9"/>
  <c r="S11"/>
  <c r="S13"/>
  <c r="Q6"/>
  <c r="S6" s="1"/>
  <c r="R6"/>
  <c r="O104" i="9"/>
  <c r="Q88"/>
  <c r="S88" s="1"/>
  <c r="Q90"/>
  <c r="S90" s="1"/>
  <c r="Q103"/>
  <c r="S103" s="1"/>
  <c r="Q86"/>
  <c r="S86" s="1"/>
  <c r="Q87"/>
  <c r="Q89"/>
  <c r="S89" s="1"/>
  <c r="Q91"/>
  <c r="S91" s="1"/>
  <c r="R130" i="11"/>
  <c r="S106"/>
  <c r="S109"/>
  <c r="S90"/>
  <c r="R73"/>
  <c r="P73"/>
  <c r="R65"/>
  <c r="R28"/>
  <c r="P28"/>
  <c r="H131"/>
  <c r="K131"/>
  <c r="N131"/>
  <c r="Q3"/>
  <c r="S3" s="1"/>
  <c r="S227" i="9"/>
  <c r="R232"/>
  <c r="S231"/>
  <c r="S216"/>
  <c r="S209"/>
  <c r="R210"/>
  <c r="S202"/>
  <c r="S203" s="1"/>
  <c r="P201"/>
  <c r="R135"/>
  <c r="R104"/>
  <c r="R79"/>
  <c r="F241"/>
  <c r="E241"/>
  <c r="F232"/>
  <c r="E232"/>
  <c r="E242" s="1"/>
  <c r="F226"/>
  <c r="E226"/>
  <c r="F210"/>
  <c r="E210"/>
  <c r="F203"/>
  <c r="E203"/>
  <c r="F201"/>
  <c r="E201"/>
  <c r="F175"/>
  <c r="E175"/>
  <c r="F158"/>
  <c r="E158"/>
  <c r="E135"/>
  <c r="F104"/>
  <c r="E104"/>
  <c r="F85"/>
  <c r="E85"/>
  <c r="F79"/>
  <c r="E79"/>
  <c r="F34"/>
  <c r="E34"/>
  <c r="S6" i="11" l="1"/>
  <c r="S14" s="1"/>
  <c r="O131"/>
  <c r="F131"/>
  <c r="R242" i="9"/>
  <c r="Q78" i="11"/>
  <c r="L242" i="9"/>
  <c r="Q175"/>
  <c r="L131" i="11"/>
  <c r="Q93"/>
  <c r="R131"/>
  <c r="Q83"/>
  <c r="S92"/>
  <c r="O242" i="9"/>
  <c r="Q158"/>
  <c r="S78" i="11"/>
  <c r="S83"/>
  <c r="Q110"/>
  <c r="Q102"/>
  <c r="Q232" i="9"/>
  <c r="Q210"/>
  <c r="S241"/>
  <c r="Q65" i="11"/>
  <c r="Q201" i="9"/>
  <c r="Q52" i="11"/>
  <c r="S31"/>
  <c r="S52" s="1"/>
  <c r="S36" i="9"/>
  <c r="S58" s="1"/>
  <c r="Q58"/>
  <c r="S110" i="11"/>
  <c r="Q28"/>
  <c r="S93"/>
  <c r="Q130"/>
  <c r="Q73"/>
  <c r="S210" i="9"/>
  <c r="F242"/>
  <c r="S175"/>
  <c r="Q85"/>
  <c r="Q79"/>
  <c r="I242"/>
  <c r="S228"/>
  <c r="S232" s="1"/>
  <c r="S242" s="1"/>
  <c r="S158"/>
  <c r="Q241"/>
  <c r="Q242" s="1"/>
  <c r="Q226"/>
  <c r="Q135"/>
  <c r="S211"/>
  <c r="S226" s="1"/>
  <c r="S80"/>
  <c r="S85" s="1"/>
  <c r="S102" i="11"/>
  <c r="S201" i="9"/>
  <c r="Q34"/>
  <c r="S34"/>
  <c r="R14" i="7"/>
  <c r="S14"/>
  <c r="Q14"/>
  <c r="Q104" i="9"/>
  <c r="S87"/>
  <c r="S104" s="1"/>
  <c r="S130" i="11"/>
  <c r="P131"/>
  <c r="S73"/>
  <c r="S65"/>
  <c r="S28"/>
  <c r="S135" i="9"/>
  <c r="S79"/>
  <c r="P3"/>
  <c r="R3" s="1"/>
  <c r="O3"/>
  <c r="L3"/>
  <c r="I3"/>
  <c r="F3"/>
  <c r="M1"/>
  <c r="R2" s="1"/>
  <c r="N23" i="7"/>
  <c r="N24" s="1"/>
  <c r="K23"/>
  <c r="K24" s="1"/>
  <c r="H23"/>
  <c r="H24" s="1"/>
  <c r="E23"/>
  <c r="E24" s="1"/>
  <c r="P22"/>
  <c r="R22" s="1"/>
  <c r="O22"/>
  <c r="L22"/>
  <c r="I22"/>
  <c r="F22"/>
  <c r="P21"/>
  <c r="R21" s="1"/>
  <c r="O21"/>
  <c r="L21"/>
  <c r="I21"/>
  <c r="F21"/>
  <c r="P20"/>
  <c r="R20" s="1"/>
  <c r="O20"/>
  <c r="L20"/>
  <c r="I20"/>
  <c r="F20"/>
  <c r="P19"/>
  <c r="R19" s="1"/>
  <c r="O19"/>
  <c r="L19"/>
  <c r="I19"/>
  <c r="F19"/>
  <c r="P18"/>
  <c r="R18" s="1"/>
  <c r="O18"/>
  <c r="L18"/>
  <c r="I18"/>
  <c r="F18"/>
  <c r="P17"/>
  <c r="R17" s="1"/>
  <c r="O17"/>
  <c r="L17"/>
  <c r="I17"/>
  <c r="F17"/>
  <c r="P16"/>
  <c r="R16" s="1"/>
  <c r="O16"/>
  <c r="L16"/>
  <c r="I16"/>
  <c r="F16"/>
  <c r="P15"/>
  <c r="O15"/>
  <c r="L15"/>
  <c r="I15"/>
  <c r="F15"/>
  <c r="P3"/>
  <c r="R3" s="1"/>
  <c r="O3"/>
  <c r="L3"/>
  <c r="I3"/>
  <c r="F3"/>
  <c r="M1"/>
  <c r="P91" i="6"/>
  <c r="R91" s="1"/>
  <c r="O91"/>
  <c r="L91"/>
  <c r="I91"/>
  <c r="F91"/>
  <c r="P84"/>
  <c r="R84" s="1"/>
  <c r="O84"/>
  <c r="L84"/>
  <c r="I84"/>
  <c r="F84"/>
  <c r="P83"/>
  <c r="R83" s="1"/>
  <c r="O83"/>
  <c r="L83"/>
  <c r="I83"/>
  <c r="F83"/>
  <c r="P57"/>
  <c r="R57" s="1"/>
  <c r="O57"/>
  <c r="L57"/>
  <c r="I57"/>
  <c r="F57"/>
  <c r="P56"/>
  <c r="R56" s="1"/>
  <c r="O56"/>
  <c r="L56"/>
  <c r="I56"/>
  <c r="F56"/>
  <c r="P55"/>
  <c r="R55" s="1"/>
  <c r="O55"/>
  <c r="L55"/>
  <c r="I55"/>
  <c r="F55"/>
  <c r="P54"/>
  <c r="R54" s="1"/>
  <c r="O54"/>
  <c r="L54"/>
  <c r="I54"/>
  <c r="F54"/>
  <c r="P52"/>
  <c r="R52" s="1"/>
  <c r="O52"/>
  <c r="L52"/>
  <c r="I52"/>
  <c r="F52"/>
  <c r="P50"/>
  <c r="R50" s="1"/>
  <c r="O50"/>
  <c r="L50"/>
  <c r="I50"/>
  <c r="F50"/>
  <c r="P49"/>
  <c r="R49" s="1"/>
  <c r="O49"/>
  <c r="L49"/>
  <c r="I49"/>
  <c r="F49"/>
  <c r="P48"/>
  <c r="R48" s="1"/>
  <c r="O48"/>
  <c r="L48"/>
  <c r="I48"/>
  <c r="F48"/>
  <c r="P47"/>
  <c r="R47" s="1"/>
  <c r="O47"/>
  <c r="L47"/>
  <c r="I47"/>
  <c r="F47"/>
  <c r="H53"/>
  <c r="K53"/>
  <c r="N53"/>
  <c r="P45"/>
  <c r="R45" s="1"/>
  <c r="O45"/>
  <c r="L45"/>
  <c r="I45"/>
  <c r="F45"/>
  <c r="P31"/>
  <c r="R31" s="1"/>
  <c r="O31"/>
  <c r="L31"/>
  <c r="I31"/>
  <c r="F31"/>
  <c r="P30"/>
  <c r="R30" s="1"/>
  <c r="O30"/>
  <c r="L30"/>
  <c r="I30"/>
  <c r="F30"/>
  <c r="P29"/>
  <c r="R29" s="1"/>
  <c r="O29"/>
  <c r="L29"/>
  <c r="I29"/>
  <c r="F29"/>
  <c r="P25"/>
  <c r="O25"/>
  <c r="O28" s="1"/>
  <c r="L25"/>
  <c r="L28" s="1"/>
  <c r="I25"/>
  <c r="I28" s="1"/>
  <c r="F25"/>
  <c r="F28" s="1"/>
  <c r="P23"/>
  <c r="R23" s="1"/>
  <c r="O23"/>
  <c r="L23"/>
  <c r="I23"/>
  <c r="F23"/>
  <c r="P16"/>
  <c r="R16" s="1"/>
  <c r="O16"/>
  <c r="L16"/>
  <c r="I16"/>
  <c r="F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8"/>
  <c r="R8" s="1"/>
  <c r="R9" s="1"/>
  <c r="O8"/>
  <c r="O9" s="1"/>
  <c r="L8"/>
  <c r="I8"/>
  <c r="I9" s="1"/>
  <c r="F8"/>
  <c r="P6"/>
  <c r="R6" s="1"/>
  <c r="R7" s="1"/>
  <c r="O6"/>
  <c r="O7" s="1"/>
  <c r="L6"/>
  <c r="L7" s="1"/>
  <c r="I6"/>
  <c r="I7" s="1"/>
  <c r="F6"/>
  <c r="P9"/>
  <c r="N92"/>
  <c r="N75"/>
  <c r="N46"/>
  <c r="N24"/>
  <c r="N9"/>
  <c r="N7"/>
  <c r="K92"/>
  <c r="K75"/>
  <c r="K46"/>
  <c r="L9"/>
  <c r="K9"/>
  <c r="K7"/>
  <c r="H92"/>
  <c r="H75"/>
  <c r="H9"/>
  <c r="H7"/>
  <c r="E92"/>
  <c r="E75"/>
  <c r="E53"/>
  <c r="E46"/>
  <c r="E9"/>
  <c r="E7"/>
  <c r="P3"/>
  <c r="R3" s="1"/>
  <c r="O3"/>
  <c r="L3"/>
  <c r="I3"/>
  <c r="F3"/>
  <c r="M1"/>
  <c r="O12" i="5"/>
  <c r="N12"/>
  <c r="H12"/>
  <c r="E12"/>
  <c r="P3"/>
  <c r="R3" s="1"/>
  <c r="O3"/>
  <c r="L3"/>
  <c r="I3"/>
  <c r="F3"/>
  <c r="M1"/>
  <c r="N20" i="4"/>
  <c r="K20"/>
  <c r="H20"/>
  <c r="P18"/>
  <c r="P19" s="1"/>
  <c r="O18"/>
  <c r="O19" s="1"/>
  <c r="L18"/>
  <c r="L19" s="1"/>
  <c r="I18"/>
  <c r="I19" s="1"/>
  <c r="F18"/>
  <c r="F19" s="1"/>
  <c r="P11"/>
  <c r="P12" s="1"/>
  <c r="O11"/>
  <c r="O12" s="1"/>
  <c r="L11"/>
  <c r="L12" s="1"/>
  <c r="I11"/>
  <c r="I12" s="1"/>
  <c r="F11"/>
  <c r="F12" s="1"/>
  <c r="P3"/>
  <c r="R3" s="1"/>
  <c r="O3"/>
  <c r="L3"/>
  <c r="I3"/>
  <c r="F3"/>
  <c r="M1"/>
  <c r="P16" i="1"/>
  <c r="O16"/>
  <c r="O17" s="1"/>
  <c r="L16"/>
  <c r="L17" s="1"/>
  <c r="I16"/>
  <c r="I17" s="1"/>
  <c r="F16"/>
  <c r="N18"/>
  <c r="K18"/>
  <c r="H18"/>
  <c r="E18"/>
  <c r="P3"/>
  <c r="R3" s="1"/>
  <c r="O3"/>
  <c r="L3"/>
  <c r="I3"/>
  <c r="F3"/>
  <c r="M1"/>
  <c r="O53" i="6" l="1"/>
  <c r="Q3" i="4"/>
  <c r="S3" s="1"/>
  <c r="F17" i="1"/>
  <c r="F18" s="1"/>
  <c r="R16"/>
  <c r="R17" s="1"/>
  <c r="P17"/>
  <c r="P18" s="1"/>
  <c r="P20" i="4"/>
  <c r="I75" i="6"/>
  <c r="Q3" i="7"/>
  <c r="S3" s="1"/>
  <c r="R25" i="6"/>
  <c r="R28" s="1"/>
  <c r="P28"/>
  <c r="I24"/>
  <c r="F24"/>
  <c r="F9"/>
  <c r="L24"/>
  <c r="Q131" i="11"/>
  <c r="Q3" i="9"/>
  <c r="S3" s="1"/>
  <c r="P7" i="6"/>
  <c r="P46"/>
  <c r="F53"/>
  <c r="O75"/>
  <c r="I92"/>
  <c r="O92"/>
  <c r="P24"/>
  <c r="R24"/>
  <c r="Q11"/>
  <c r="S11" s="1"/>
  <c r="Q13"/>
  <c r="S13" s="1"/>
  <c r="Q15"/>
  <c r="S15" s="1"/>
  <c r="Q23"/>
  <c r="S23" s="1"/>
  <c r="O46"/>
  <c r="O24"/>
  <c r="L46"/>
  <c r="P75"/>
  <c r="P53"/>
  <c r="F75"/>
  <c r="F92"/>
  <c r="Q49"/>
  <c r="S49" s="1"/>
  <c r="Q52"/>
  <c r="Q83"/>
  <c r="S83" s="1"/>
  <c r="L92"/>
  <c r="Q3"/>
  <c r="S3" s="1"/>
  <c r="I46"/>
  <c r="Q55"/>
  <c r="Q31"/>
  <c r="S31" s="1"/>
  <c r="L75"/>
  <c r="Q57"/>
  <c r="S57" s="1"/>
  <c r="L53"/>
  <c r="Q47"/>
  <c r="S47" s="1"/>
  <c r="F46"/>
  <c r="Q6"/>
  <c r="Q7" s="1"/>
  <c r="Q10"/>
  <c r="S10" s="1"/>
  <c r="Q12"/>
  <c r="S12" s="1"/>
  <c r="Q14"/>
  <c r="S14" s="1"/>
  <c r="Q16"/>
  <c r="S16" s="1"/>
  <c r="Q25"/>
  <c r="Q28" s="1"/>
  <c r="R46"/>
  <c r="Q30"/>
  <c r="S30" s="1"/>
  <c r="Q45"/>
  <c r="S45" s="1"/>
  <c r="I53"/>
  <c r="Q48"/>
  <c r="S48" s="1"/>
  <c r="Q50"/>
  <c r="S50" s="1"/>
  <c r="Q54"/>
  <c r="S54" s="1"/>
  <c r="S55"/>
  <c r="Q56"/>
  <c r="S56" s="1"/>
  <c r="Q84"/>
  <c r="S84" s="1"/>
  <c r="Q91"/>
  <c r="Q3" i="5"/>
  <c r="S3" s="1"/>
  <c r="I12"/>
  <c r="P23" i="7"/>
  <c r="P24" s="1"/>
  <c r="S131" i="11"/>
  <c r="F23" i="7"/>
  <c r="F24" s="1"/>
  <c r="L23"/>
  <c r="L24" s="1"/>
  <c r="Q16"/>
  <c r="S16" s="1"/>
  <c r="Q18"/>
  <c r="S18" s="1"/>
  <c r="Q20"/>
  <c r="S20" s="1"/>
  <c r="Q22"/>
  <c r="S22" s="1"/>
  <c r="I23"/>
  <c r="I24" s="1"/>
  <c r="O23"/>
  <c r="O24" s="1"/>
  <c r="Q17"/>
  <c r="S17" s="1"/>
  <c r="Q19"/>
  <c r="S19" s="1"/>
  <c r="Q21"/>
  <c r="S21" s="1"/>
  <c r="Q15"/>
  <c r="R15"/>
  <c r="R23" s="1"/>
  <c r="N93" i="6"/>
  <c r="R92"/>
  <c r="P92"/>
  <c r="R75"/>
  <c r="R53"/>
  <c r="S52"/>
  <c r="Q29"/>
  <c r="H93"/>
  <c r="K93"/>
  <c r="Q8"/>
  <c r="F7"/>
  <c r="E93"/>
  <c r="K12" i="5"/>
  <c r="L12"/>
  <c r="E20" i="4"/>
  <c r="Q18"/>
  <c r="Q19" s="1"/>
  <c r="R18"/>
  <c r="R19" s="1"/>
  <c r="R11"/>
  <c r="R12" s="1"/>
  <c r="Q11"/>
  <c r="F20"/>
  <c r="I20"/>
  <c r="L20"/>
  <c r="O20"/>
  <c r="Q3" i="1"/>
  <c r="S3" s="1"/>
  <c r="Q16"/>
  <c r="L18"/>
  <c r="O18"/>
  <c r="R18" l="1"/>
  <c r="S16"/>
  <c r="S17" s="1"/>
  <c r="Q17"/>
  <c r="S11" i="4"/>
  <c r="S12" s="1"/>
  <c r="Q12"/>
  <c r="F93" i="6"/>
  <c r="S6"/>
  <c r="S7" s="1"/>
  <c r="O93"/>
  <c r="P93"/>
  <c r="S25"/>
  <c r="S28" s="1"/>
  <c r="I93"/>
  <c r="L93"/>
  <c r="Q92"/>
  <c r="Q24"/>
  <c r="S91"/>
  <c r="S92" s="1"/>
  <c r="S18" i="4"/>
  <c r="S19" s="1"/>
  <c r="Q53" i="6"/>
  <c r="Q75"/>
  <c r="S24"/>
  <c r="P12" i="5"/>
  <c r="R24" i="7"/>
  <c r="Q23"/>
  <c r="Q24" s="1"/>
  <c r="S15"/>
  <c r="R93" i="6"/>
  <c r="S75"/>
  <c r="S53"/>
  <c r="Q46"/>
  <c r="S29"/>
  <c r="S46" s="1"/>
  <c r="Q9"/>
  <c r="S8"/>
  <c r="S9" s="1"/>
  <c r="R12" i="5"/>
  <c r="F12"/>
  <c r="Q12"/>
  <c r="Q20" i="4"/>
  <c r="R20"/>
  <c r="Q18" i="1"/>
  <c r="I18"/>
  <c r="S18"/>
  <c r="S20" i="4" l="1"/>
  <c r="Q93" i="6"/>
  <c r="S23" i="7"/>
  <c r="S24" s="1"/>
  <c r="S93" i="6"/>
  <c r="S12" i="5"/>
  <c r="N113" i="69"/>
  <c r="K113"/>
  <c r="H113"/>
  <c r="F113"/>
  <c r="S113"/>
  <c r="U113"/>
  <c r="T113"/>
  <c r="V113"/>
  <c r="E113"/>
  <c r="R113"/>
  <c r="Q113"/>
  <c r="L113"/>
  <c r="O113"/>
  <c r="I113"/>
  <c r="E219" i="104"/>
</calcChain>
</file>

<file path=xl/sharedStrings.xml><?xml version="1.0" encoding="utf-8"?>
<sst xmlns="http://schemas.openxmlformats.org/spreadsheetml/2006/main" count="17665" uniqueCount="618">
  <si>
    <t xml:space="preserve">ORDER  NO. KEC/BB/73000  DT  </t>
  </si>
  <si>
    <t>DOC.NO.VIL/PLN/F/02</t>
  </si>
  <si>
    <t>Order</t>
  </si>
  <si>
    <t>Despatch</t>
  </si>
  <si>
    <t xml:space="preserve"> DISPATCHED</t>
  </si>
  <si>
    <t>Balance</t>
  </si>
  <si>
    <t>Gr.</t>
  </si>
  <si>
    <t>Section</t>
  </si>
  <si>
    <t>SW</t>
  </si>
  <si>
    <t>Length (Mtrs)</t>
  </si>
  <si>
    <t>Pcs</t>
  </si>
  <si>
    <t>Qty (MT)</t>
  </si>
  <si>
    <t>Vehicle No./dt</t>
  </si>
  <si>
    <t>HT</t>
  </si>
  <si>
    <t>MS</t>
  </si>
  <si>
    <t>HT-BSEN 10025 S355J2 (NON  POWERGRID)</t>
  </si>
  <si>
    <t>MS-BSEN 10025 S255J2 (NON  POWERGRID)</t>
  </si>
  <si>
    <t>LOI-2019  03.04.23</t>
  </si>
  <si>
    <t>110X110X10</t>
  </si>
  <si>
    <t>LOI-2020  03.04.23</t>
  </si>
  <si>
    <t>April -W-7  -TI215</t>
  </si>
  <si>
    <t>April -W-7  HS317</t>
  </si>
  <si>
    <t>MS-ASTM GR A36 (NON  POWERGRID)</t>
  </si>
  <si>
    <t>HT-ASTM  (NON  POWERGRID)</t>
  </si>
  <si>
    <t xml:space="preserve">MS </t>
  </si>
  <si>
    <t>110X110X8</t>
  </si>
  <si>
    <t>90X90X6</t>
  </si>
  <si>
    <t>LOI-2021  03.04.23</t>
  </si>
  <si>
    <t>HT-ASTM GR 60 (NON  POWERGRID)</t>
  </si>
  <si>
    <t>April -W-15  TM113</t>
  </si>
  <si>
    <t>MS-BSEN 10025 S275JR (NON  POWERGRID)</t>
  </si>
  <si>
    <t>110X110X6</t>
  </si>
  <si>
    <t>110X110X7</t>
  </si>
  <si>
    <t>110X110X9</t>
  </si>
  <si>
    <t>75X75X5</t>
  </si>
  <si>
    <t>75X75X6</t>
  </si>
  <si>
    <t>90X90X5</t>
  </si>
  <si>
    <t>90X90X7</t>
  </si>
  <si>
    <t>LOI-2022  03.04.23</t>
  </si>
  <si>
    <t>April -W-15  TM211</t>
  </si>
  <si>
    <t>110X110X10N</t>
  </si>
  <si>
    <t>LOI-2028  03.04.23</t>
  </si>
  <si>
    <t>LOI-12  07.04.23</t>
  </si>
  <si>
    <t>OMWN</t>
  </si>
  <si>
    <t>GCCIA Saudi</t>
  </si>
  <si>
    <t>100X100X6</t>
  </si>
  <si>
    <t>100X100X7</t>
  </si>
  <si>
    <t>120X120X10</t>
  </si>
  <si>
    <t>120X120X7</t>
  </si>
  <si>
    <t>120X120X8</t>
  </si>
  <si>
    <t>120X120X9</t>
  </si>
  <si>
    <t>130X130X10</t>
  </si>
  <si>
    <t>130X130X11</t>
  </si>
  <si>
    <t>130X130X12</t>
  </si>
  <si>
    <t>130X130X13</t>
  </si>
  <si>
    <t>130X130X8</t>
  </si>
  <si>
    <t>130X130X9</t>
  </si>
  <si>
    <t>80X80X5</t>
  </si>
  <si>
    <t>80X80X6</t>
  </si>
  <si>
    <t>April -W-15 M309A</t>
  </si>
  <si>
    <t>100X100X10</t>
  </si>
  <si>
    <t>100X100X8</t>
  </si>
  <si>
    <t>LOI-13  07.04.23</t>
  </si>
  <si>
    <t>SAUDI</t>
  </si>
  <si>
    <t>MH46AR8099</t>
  </si>
  <si>
    <t>09.04.23</t>
  </si>
  <si>
    <t>65X65X5</t>
  </si>
  <si>
    <t>LOI-41  10.04.23</t>
  </si>
  <si>
    <t>OMAN</t>
  </si>
  <si>
    <t>April -W-2  TM211</t>
  </si>
  <si>
    <t>April -W-3  TM113</t>
  </si>
  <si>
    <t>LOI-42  10.04.23</t>
  </si>
  <si>
    <t>275 JR</t>
  </si>
  <si>
    <t>A36M</t>
  </si>
  <si>
    <t>A572 GR 50</t>
  </si>
  <si>
    <t>150X150X14</t>
  </si>
  <si>
    <t>275JR</t>
  </si>
  <si>
    <t>LOI-7  5.04.23</t>
  </si>
  <si>
    <t xml:space="preserve">  SAUDI / MEXICO/ OMAN</t>
  </si>
  <si>
    <t>April -W-3  TM113/211</t>
  </si>
  <si>
    <t>HT-ASTM GR 50 (NON  POWERGRID)</t>
  </si>
  <si>
    <t>MS-BSEN 10025 S255JR (NON  POWERGRID)</t>
  </si>
  <si>
    <t xml:space="preserve"> </t>
  </si>
  <si>
    <t xml:space="preserve">ORDER  NO. KEC/BB/7300030625  DT  </t>
  </si>
  <si>
    <t xml:space="preserve">ORDER  NO. KEC/BB/7300030628  DT  </t>
  </si>
  <si>
    <t xml:space="preserve">ORDER  NO. KEC/BB/7300030632  DT  </t>
  </si>
  <si>
    <t>MH40Y4044</t>
  </si>
  <si>
    <t>10.04.23</t>
  </si>
  <si>
    <t>MH40Y2044</t>
  </si>
  <si>
    <t>MH40Y3944</t>
  </si>
  <si>
    <t>11.04.23</t>
  </si>
  <si>
    <t>MH46AR4423</t>
  </si>
  <si>
    <t>12.04.23</t>
  </si>
  <si>
    <t>MH46AF3590</t>
  </si>
  <si>
    <t>13.04.23</t>
  </si>
  <si>
    <t>14.04.23</t>
  </si>
  <si>
    <t>15.04.23</t>
  </si>
  <si>
    <t>16.04.23</t>
  </si>
  <si>
    <t>17.04.23</t>
  </si>
  <si>
    <t>18.04.23</t>
  </si>
  <si>
    <t>73~30632 275 JR  TRADING</t>
  </si>
  <si>
    <t>18.04.22</t>
  </si>
  <si>
    <t>MH40Y 4044</t>
  </si>
  <si>
    <t>19.04.23</t>
  </si>
  <si>
    <t>20.04.23</t>
  </si>
  <si>
    <t>21.04.23</t>
  </si>
  <si>
    <t>NH46AR4423</t>
  </si>
  <si>
    <t>MH40Y5844</t>
  </si>
  <si>
    <t>22.04.23</t>
  </si>
  <si>
    <t>23.04.23</t>
  </si>
  <si>
    <t>23.04.24</t>
  </si>
  <si>
    <t>MH40Y4944</t>
  </si>
  <si>
    <t>24.04.23</t>
  </si>
  <si>
    <t>25.04.23</t>
  </si>
  <si>
    <t>MH40Y9844</t>
  </si>
  <si>
    <t>26.04.23</t>
  </si>
  <si>
    <t>27.04.23</t>
  </si>
  <si>
    <t>BANGLADESH -TC116</t>
  </si>
  <si>
    <t xml:space="preserve">May -W-1 </t>
  </si>
  <si>
    <t>LOI-122  27.04.23</t>
  </si>
  <si>
    <t>HT-355 JO (NON  POWERGRID)</t>
  </si>
  <si>
    <t>MS-275JR (NON  POWERGRID)</t>
  </si>
  <si>
    <t>100X100X12</t>
  </si>
  <si>
    <t>120X120X12</t>
  </si>
  <si>
    <t>150X150X10</t>
  </si>
  <si>
    <t>150X150X12</t>
  </si>
  <si>
    <t>150X150X15</t>
  </si>
  <si>
    <t>150X150X16</t>
  </si>
  <si>
    <t>150X150X18</t>
  </si>
  <si>
    <t>28.04.24</t>
  </si>
  <si>
    <t>29.04.23</t>
  </si>
  <si>
    <t>30.04.23</t>
  </si>
  <si>
    <t>02.05.23</t>
  </si>
  <si>
    <t>04.05.23</t>
  </si>
  <si>
    <t>06.05.23</t>
  </si>
  <si>
    <t>06.05.6</t>
  </si>
  <si>
    <t>LOI-138  07.05.23</t>
  </si>
  <si>
    <t>May -W-3</t>
  </si>
  <si>
    <t>MOLDOVA -TI209</t>
  </si>
  <si>
    <t>355J2</t>
  </si>
  <si>
    <t>HT- E350A (NON  POWERGRID)</t>
  </si>
  <si>
    <t>MS-E250A  (NON  POWERGRID)</t>
  </si>
  <si>
    <t>LOI-180  13.05.23</t>
  </si>
  <si>
    <t>ESSEL- B827</t>
  </si>
  <si>
    <t>May -W-2</t>
  </si>
  <si>
    <t>E350A</t>
  </si>
  <si>
    <t>150X150X17</t>
  </si>
  <si>
    <t>HT-355 J2 (NON  POWERGRID)</t>
  </si>
  <si>
    <t>MS-275J2 (NON  POWERGRID)</t>
  </si>
  <si>
    <t>Alternate Section 150X18</t>
  </si>
  <si>
    <t>MH40BG1844</t>
  </si>
  <si>
    <t>16.05.23</t>
  </si>
  <si>
    <t>LOI-214  25.05.23</t>
  </si>
  <si>
    <t>SAUDI-TM211</t>
  </si>
  <si>
    <t>JUN -W-1</t>
  </si>
  <si>
    <t>STERLITE-TB207</t>
  </si>
  <si>
    <t>LOI-215  25.05.23</t>
  </si>
  <si>
    <t>90X90X7N</t>
  </si>
  <si>
    <t>25.05.23</t>
  </si>
  <si>
    <t>LOI-216  25.05.23</t>
  </si>
  <si>
    <t>BANGLADESH-TC326</t>
  </si>
  <si>
    <t>150X150X20</t>
  </si>
  <si>
    <t>MEXICO-HS317</t>
  </si>
  <si>
    <t>LOI-217  25.05.23</t>
  </si>
  <si>
    <t>STERLITE-TB401</t>
  </si>
  <si>
    <t>MAY -W-4</t>
  </si>
  <si>
    <t>LOI-218  25.05.23</t>
  </si>
  <si>
    <t>26.05.23</t>
  </si>
  <si>
    <t>28.05.23</t>
  </si>
  <si>
    <t>29.05.23</t>
  </si>
  <si>
    <t>30.05.23</t>
  </si>
  <si>
    <t>90X90X5 alternate</t>
  </si>
  <si>
    <t>01.06.23</t>
  </si>
  <si>
    <t>LOI-267  2.06.23</t>
  </si>
  <si>
    <t>70X70X5</t>
  </si>
  <si>
    <t>03.06.23</t>
  </si>
  <si>
    <t>04.06.2023</t>
  </si>
  <si>
    <t>06.06.23</t>
  </si>
  <si>
    <t>11.06.23</t>
  </si>
  <si>
    <t>13.06.23</t>
  </si>
  <si>
    <t>100X100X9</t>
  </si>
  <si>
    <t>70X70X6</t>
  </si>
  <si>
    <t>14.06.23</t>
  </si>
  <si>
    <t>16.06.23</t>
  </si>
  <si>
    <t>ESSEL-B827</t>
  </si>
  <si>
    <t>JULY -W-1</t>
  </si>
  <si>
    <t>LOI-336  15.06.23</t>
  </si>
  <si>
    <t>LOI- 337  15.06.23</t>
  </si>
  <si>
    <t>JULY W-1</t>
  </si>
  <si>
    <t>LOI- 338  15.06.23</t>
  </si>
  <si>
    <t>JUN W-3</t>
  </si>
  <si>
    <t>LENGTH</t>
  </si>
  <si>
    <t>PCS</t>
  </si>
  <si>
    <t>QTY(MT)</t>
  </si>
  <si>
    <t>HT-110X9 - 10.20 - 344 PCS</t>
  </si>
  <si>
    <t>20.06.23</t>
  </si>
  <si>
    <t>22.06.23</t>
  </si>
  <si>
    <t>23.06.23</t>
  </si>
  <si>
    <t>24.06.23</t>
  </si>
  <si>
    <t>25.06.23</t>
  </si>
  <si>
    <t>26.06.23</t>
  </si>
  <si>
    <t>27.06.23</t>
  </si>
  <si>
    <t>28.06.23</t>
  </si>
  <si>
    <t>ESSEL</t>
  </si>
  <si>
    <t>29.06.23</t>
  </si>
  <si>
    <t>MH40AK5044</t>
  </si>
  <si>
    <t>30.06.23</t>
  </si>
  <si>
    <t>01.07.23</t>
  </si>
  <si>
    <t>02.07.23</t>
  </si>
  <si>
    <t>03.07.23</t>
  </si>
  <si>
    <t>LOI-416  03.07.23</t>
  </si>
  <si>
    <t>MEXICO/OMAN-HS317/TM113</t>
  </si>
  <si>
    <t>150X150X13</t>
  </si>
  <si>
    <t>HT-E350A  (NON  POWERGRID)</t>
  </si>
  <si>
    <t>LOI-419  03.07.23</t>
  </si>
  <si>
    <t>LOI-420  03.07.23</t>
  </si>
  <si>
    <t xml:space="preserve">HT </t>
  </si>
  <si>
    <t>MS-E250A  ( POWERGRID WITHOUT CIP)</t>
  </si>
  <si>
    <t>HT-E350A  ( POWERGRID WITH CIP)</t>
  </si>
  <si>
    <t>MS-E250A  ( POWERGRID WITH CIP)</t>
  </si>
  <si>
    <t>HT-E350A  ( POWERGRID WITHOUT CIP)</t>
  </si>
  <si>
    <t>PG-TA325</t>
  </si>
  <si>
    <t>PG-TA310</t>
  </si>
  <si>
    <t>LOI-428  03.07.23</t>
  </si>
  <si>
    <t>LOI-429  03.07.23</t>
  </si>
  <si>
    <t>LOI-431  03.07.23</t>
  </si>
  <si>
    <t>ESSEL-B-827</t>
  </si>
  <si>
    <t>JULY -W-2</t>
  </si>
  <si>
    <t>HT-E350A  ( NON POWERGRID )</t>
  </si>
  <si>
    <t>MS-E250A  ( NON POWERGRID )</t>
  </si>
  <si>
    <t>MOROCCO-TM204</t>
  </si>
  <si>
    <t>LOI-432  03.07.23</t>
  </si>
  <si>
    <t>HT-355 JR  ( NON POWERGRID )</t>
  </si>
  <si>
    <t>MS-275 JR  ( NON POWERGRID )</t>
  </si>
  <si>
    <t>80X80X6.5</t>
  </si>
  <si>
    <t>04.07.23</t>
  </si>
  <si>
    <t>06.07.23</t>
  </si>
  <si>
    <t>LOI-437  03.07.23</t>
  </si>
  <si>
    <t>LOI-442  03.07.23</t>
  </si>
  <si>
    <t>LOI-443  03.07.23</t>
  </si>
  <si>
    <t>LOI-444  03.07.23</t>
  </si>
  <si>
    <t>GEORGIA-TI215</t>
  </si>
  <si>
    <t>HT-355 J2  ( NON POWERGRID )</t>
  </si>
  <si>
    <t>MS-275 J2  ( NON POWERGRID )</t>
  </si>
  <si>
    <t>90X90X8</t>
  </si>
  <si>
    <t>LOI-445  03.07.23</t>
  </si>
  <si>
    <t>BANGLADESH TC-326</t>
  </si>
  <si>
    <t>LOI-493  03.07.23</t>
  </si>
  <si>
    <t>LOI-496  03.07.23</t>
  </si>
  <si>
    <t>LOI-497  03.07.23</t>
  </si>
  <si>
    <t>110X110X7N</t>
  </si>
  <si>
    <t>110X110X8N</t>
  </si>
  <si>
    <t>120X120X8N</t>
  </si>
  <si>
    <t>120X120X9N</t>
  </si>
  <si>
    <t>130X130X8N</t>
  </si>
  <si>
    <t>150X150X11</t>
  </si>
  <si>
    <t>80X80X5N</t>
  </si>
  <si>
    <t>07.07.23</t>
  </si>
  <si>
    <t>LOI-436  03.07.23</t>
  </si>
  <si>
    <t>BANGLADESH- AUG-TC-326</t>
  </si>
  <si>
    <t>AUG -W-1</t>
  </si>
  <si>
    <t>HT-355 JO  ( NON POWERGRID )</t>
  </si>
  <si>
    <t>LOI-438  03.07.23</t>
  </si>
  <si>
    <t>HT-ASTM GR 60  ( NON POWERGRID )</t>
  </si>
  <si>
    <t>MS-ASTM A36 GR  ( NON POWERGRID )</t>
  </si>
  <si>
    <t>LOI-430  03.07.23</t>
  </si>
  <si>
    <t>LOI-433  03.07.23</t>
  </si>
  <si>
    <t>LOI-494  03.07.23</t>
  </si>
  <si>
    <t>LOI-495  03.07.23</t>
  </si>
  <si>
    <t>AUG -W-2</t>
  </si>
  <si>
    <t>LOI-498  03.07.23</t>
  </si>
  <si>
    <t>MOLDOVE-TI209</t>
  </si>
  <si>
    <t>JULY  -W-2</t>
  </si>
  <si>
    <t>150X15014</t>
  </si>
  <si>
    <t>150X15018</t>
  </si>
  <si>
    <t>JULY -W-3</t>
  </si>
  <si>
    <t>LOI-500  03.07.23</t>
  </si>
  <si>
    <t>LOI-501  03.07.23</t>
  </si>
  <si>
    <t>08.07.23</t>
  </si>
  <si>
    <t>09.07.23</t>
  </si>
  <si>
    <t>10.07.23</t>
  </si>
  <si>
    <t>11.07.23</t>
  </si>
  <si>
    <t>12.07.23</t>
  </si>
  <si>
    <t>13.07.23</t>
  </si>
  <si>
    <t>FAB REJ EMIR AD</t>
  </si>
  <si>
    <t>LOI- 405  20.06.23</t>
  </si>
  <si>
    <t>14.07.23</t>
  </si>
  <si>
    <t>15.07.23</t>
  </si>
  <si>
    <t>MH40AK9944</t>
  </si>
  <si>
    <t>16.07.23</t>
  </si>
  <si>
    <t>17.07.23</t>
  </si>
  <si>
    <t>18.07.23</t>
  </si>
  <si>
    <t>LOI-499  03.07.23</t>
  </si>
  <si>
    <t>MH40Y5644</t>
  </si>
  <si>
    <t>20.07.23</t>
  </si>
  <si>
    <t>MH40Y3144</t>
  </si>
  <si>
    <t>21.07.23</t>
  </si>
  <si>
    <t>22.07.23</t>
  </si>
  <si>
    <t>M H40Y4944</t>
  </si>
  <si>
    <t>23.07.23</t>
  </si>
  <si>
    <t>24.07.23</t>
  </si>
  <si>
    <t>MH40BG0544</t>
  </si>
  <si>
    <t>25.07.23</t>
  </si>
  <si>
    <t>26.07.23</t>
  </si>
  <si>
    <t>27.07.23</t>
  </si>
  <si>
    <t>LOI-563  28.07.23</t>
  </si>
  <si>
    <t>LOI-564  28.07.23</t>
  </si>
  <si>
    <t>HT-E350A  (NON POWERGRID)</t>
  </si>
  <si>
    <t>MS-E250A  (NON POWERGRID)</t>
  </si>
  <si>
    <t>INDIGRID-SB210</t>
  </si>
  <si>
    <t>AUG  -W-1</t>
  </si>
  <si>
    <t>LOI-565  28.07.23</t>
  </si>
  <si>
    <t>LOI-566  03.07.23</t>
  </si>
  <si>
    <t>LOI-567  28.07.23</t>
  </si>
  <si>
    <t>LOI-568  28.07.23</t>
  </si>
  <si>
    <t>75X75X4</t>
  </si>
  <si>
    <t>28.07.23</t>
  </si>
  <si>
    <t>29.07.23</t>
  </si>
  <si>
    <t>MH40AK5144</t>
  </si>
  <si>
    <t>30.07.23</t>
  </si>
  <si>
    <t>31.07.23</t>
  </si>
  <si>
    <t>01.08.23</t>
  </si>
  <si>
    <t>mh40y3144</t>
  </si>
  <si>
    <t>mh40y3944</t>
  </si>
  <si>
    <t>03.08.23</t>
  </si>
  <si>
    <t>MH40Y9744</t>
  </si>
  <si>
    <t>04.08.23</t>
  </si>
  <si>
    <t>05.08.23</t>
  </si>
  <si>
    <t>06.08.23</t>
  </si>
  <si>
    <t>GR INFRATB302</t>
  </si>
  <si>
    <t>AUG -W-3</t>
  </si>
  <si>
    <t>LOI-612  01.08.23</t>
  </si>
  <si>
    <t>LOI-613  01.08.23</t>
  </si>
  <si>
    <t>SEP -W-1</t>
  </si>
  <si>
    <t>Zellinskis HS409</t>
  </si>
  <si>
    <t>LOI-619  28.07.23</t>
  </si>
  <si>
    <t>AUG  -W-2</t>
  </si>
  <si>
    <t>LOI-642  03.08.23</t>
  </si>
  <si>
    <t>LOI-643  03.08.23</t>
  </si>
  <si>
    <t>OCT  -W-3</t>
  </si>
  <si>
    <t>LOI-645  03.08.23</t>
  </si>
  <si>
    <t>07.08.23</t>
  </si>
  <si>
    <t>19.08.23</t>
  </si>
  <si>
    <t>08.08.23</t>
  </si>
  <si>
    <t>09.08.23</t>
  </si>
  <si>
    <t>09.8.23</t>
  </si>
  <si>
    <t>MH46Af3590</t>
  </si>
  <si>
    <t>10.08.23</t>
  </si>
  <si>
    <t>11.08.23</t>
  </si>
  <si>
    <t>Wrong</t>
  </si>
  <si>
    <t>Wrong DISPA</t>
  </si>
  <si>
    <t>12.08.23</t>
  </si>
  <si>
    <t>13.08.23</t>
  </si>
  <si>
    <t>14.08.23</t>
  </si>
  <si>
    <t>16.08.23</t>
  </si>
  <si>
    <t>17.08.23</t>
  </si>
  <si>
    <t>18.08.23</t>
  </si>
  <si>
    <t>Aug  -W-2</t>
  </si>
  <si>
    <t>LOI-612  19.08.23</t>
  </si>
  <si>
    <t>GR INFRA-TB302</t>
  </si>
  <si>
    <t>Aug  -W-3</t>
  </si>
  <si>
    <t>ORDER  NO. KEC/BB/</t>
  </si>
  <si>
    <t>LOI-709  12.08.23</t>
  </si>
  <si>
    <t>LOI-710  12.08.23</t>
  </si>
  <si>
    <t>MEXICOL-HS317</t>
  </si>
  <si>
    <t>Aug  -W-4</t>
  </si>
  <si>
    <t>HT-ASTM GR 50  ( NON POWERGRID )</t>
  </si>
  <si>
    <t>MS-ASTM A36  ( NON POWERGRID )</t>
  </si>
  <si>
    <t>LOI-711  12.08.23</t>
  </si>
  <si>
    <t>GEORGIA- TI215</t>
  </si>
  <si>
    <t>HT-355J2  ( NON POWERGRID )</t>
  </si>
  <si>
    <t>MS-275J2  ( NON POWERGRID )</t>
  </si>
  <si>
    <t>LOI-712  12.08.23</t>
  </si>
  <si>
    <t>LOI-713  12.08.23</t>
  </si>
  <si>
    <t>LOI-714  12.08.23</t>
  </si>
  <si>
    <t>SEP  -W-2</t>
  </si>
  <si>
    <t>LOI-715  12.08.23</t>
  </si>
  <si>
    <t>355JO</t>
  </si>
  <si>
    <t>355JR</t>
  </si>
  <si>
    <t>A572 GR 60</t>
  </si>
  <si>
    <t>HT-ASTM GR 60,355 JO    ( NON POWERGRID )</t>
  </si>
  <si>
    <t>LOI-716  12.08.23</t>
  </si>
  <si>
    <t>OMAN-TM113</t>
  </si>
  <si>
    <t>Sep  -W-2</t>
  </si>
  <si>
    <t>HT-ASTM GR 60, ( NON POWERGRID )</t>
  </si>
  <si>
    <t>ORDER  NO. KEC/JBP/</t>
  </si>
  <si>
    <t>27.605 MT</t>
  </si>
  <si>
    <t>CANCELED</t>
  </si>
  <si>
    <t>20.08.23</t>
  </si>
  <si>
    <t>MH40AK2944</t>
  </si>
  <si>
    <t>20.08.24</t>
  </si>
  <si>
    <t>21.08.23</t>
  </si>
  <si>
    <t>MH40AK4944</t>
  </si>
  <si>
    <t>21.08.24</t>
  </si>
  <si>
    <t>22.08.23</t>
  </si>
  <si>
    <t>23.08.23</t>
  </si>
  <si>
    <t>24.08.23</t>
  </si>
  <si>
    <t>25.08.23</t>
  </si>
  <si>
    <t>NL02Q8700</t>
  </si>
  <si>
    <t>26.08.23</t>
  </si>
  <si>
    <t>27.08.23</t>
  </si>
  <si>
    <t>28.08.23</t>
  </si>
  <si>
    <r>
      <t xml:space="preserve">LOI-614  01.08.23 </t>
    </r>
    <r>
      <rPr>
        <b/>
        <sz val="14"/>
        <rFont val="Times New Roman"/>
        <family val="1"/>
      </rPr>
      <t>HOLD</t>
    </r>
  </si>
  <si>
    <t>LOI-764  29.08.23</t>
  </si>
  <si>
    <t>GEORGIA-/BANGLADESH TI215</t>
  </si>
  <si>
    <t>HT-355J2/ 355JO  ( NON POWERGRID )</t>
  </si>
  <si>
    <t>MS-275J2/275 JO  ( NON POWERGRID )</t>
  </si>
  <si>
    <t>LOI-765  29.08.23</t>
  </si>
  <si>
    <t>Sep   -W-1</t>
  </si>
  <si>
    <t>29.08.23</t>
  </si>
  <si>
    <t>HT-355 JO    ( NON POWERGRID )</t>
  </si>
  <si>
    <t>MS-275 JO  ( NON POWERGRID )</t>
  </si>
  <si>
    <t>LOI-749  28.08.23</t>
  </si>
  <si>
    <t>Sep  -W-4</t>
  </si>
  <si>
    <t xml:space="preserve">6.56 MT Cancel </t>
  </si>
  <si>
    <t>30.08.23</t>
  </si>
  <si>
    <t>31.08.31</t>
  </si>
  <si>
    <t>31.08.23</t>
  </si>
  <si>
    <t>01.09.23</t>
  </si>
  <si>
    <t>03.09.23</t>
  </si>
  <si>
    <t>04.09.23</t>
  </si>
  <si>
    <t>05.09.23</t>
  </si>
  <si>
    <t>07.09.23</t>
  </si>
  <si>
    <t>08.09.2023</t>
  </si>
  <si>
    <t>09.09.23</t>
  </si>
  <si>
    <t>10.09.23</t>
  </si>
  <si>
    <t>11.09.23</t>
  </si>
  <si>
    <t>12.09.23</t>
  </si>
  <si>
    <t>12.09.23 ADD</t>
  </si>
  <si>
    <t>02.09.23</t>
  </si>
  <si>
    <t>16.09.23</t>
  </si>
  <si>
    <t>18.09.23</t>
  </si>
  <si>
    <t>LOI-832  19.09.23</t>
  </si>
  <si>
    <t>SEP -W-3</t>
  </si>
  <si>
    <t>LOI-833  19.09.23</t>
  </si>
  <si>
    <t>MALAYSIA-O010A PUERTO- HS317</t>
  </si>
  <si>
    <t>OCT  -W-1</t>
  </si>
  <si>
    <t>HT-355 JR    ASTM GR 50  ( NON POWERGRID )</t>
  </si>
  <si>
    <t>MS-A36  ( NON POWERGRID )</t>
  </si>
  <si>
    <t>75X75X8</t>
  </si>
  <si>
    <t>ASTM GR 50</t>
  </si>
  <si>
    <t>A36</t>
  </si>
  <si>
    <t>19.09.23</t>
  </si>
  <si>
    <t>21.09.23</t>
  </si>
  <si>
    <t>22.09.23</t>
  </si>
  <si>
    <t>ADD LOI-834</t>
  </si>
  <si>
    <r>
      <t>LOI-614  01.08.23</t>
    </r>
    <r>
      <rPr>
        <b/>
        <sz val="16"/>
        <color rgb="FFFF0000"/>
        <rFont val="Times New Roman"/>
        <family val="1"/>
      </rPr>
      <t xml:space="preserve"> Ok Rolling </t>
    </r>
  </si>
  <si>
    <t>Shift to jabalpur</t>
  </si>
  <si>
    <t>23.09.23</t>
  </si>
  <si>
    <t>MH40Y3944, MH40Y4044</t>
  </si>
  <si>
    <t>23.09.23,  24.09.23</t>
  </si>
  <si>
    <t>27.09.23</t>
  </si>
  <si>
    <t>28.09.23</t>
  </si>
  <si>
    <t>29.09.23</t>
  </si>
  <si>
    <t>30.09.23</t>
  </si>
  <si>
    <t>MH40AK3044</t>
  </si>
  <si>
    <t>01.10.23</t>
  </si>
  <si>
    <t>02.10.23</t>
  </si>
  <si>
    <t>03.10.23</t>
  </si>
  <si>
    <t>04.10.23</t>
  </si>
  <si>
    <t>LOI-896  29.09.23</t>
  </si>
  <si>
    <t>MALAYSIA &amp;BANGLADESH</t>
  </si>
  <si>
    <t>90X90X9</t>
  </si>
  <si>
    <t>HT-355 JR   ( NON POWERGRID )</t>
  </si>
  <si>
    <t>MS-275JR  ( NON POWERGRID )</t>
  </si>
  <si>
    <t>05.10.23</t>
  </si>
  <si>
    <t>LOI-897  29.09.23</t>
  </si>
  <si>
    <t>ZILLINKIS</t>
  </si>
  <si>
    <t>HT-355 J2   ( NON POWERGRID )</t>
  </si>
  <si>
    <t>06.10.23</t>
  </si>
  <si>
    <t>08.10.23</t>
  </si>
  <si>
    <t>11.10.23</t>
  </si>
  <si>
    <t>12.10.23</t>
  </si>
  <si>
    <t>ADD</t>
  </si>
  <si>
    <t>15.10.23</t>
  </si>
  <si>
    <t>NOV  -W-1</t>
  </si>
  <si>
    <t>MOLDOVA-TI209</t>
  </si>
  <si>
    <t>LOI-972  18.10.23</t>
  </si>
  <si>
    <t>LOI-975  18.10.23</t>
  </si>
  <si>
    <t>OCT -W-3</t>
  </si>
  <si>
    <t>21.10.23</t>
  </si>
  <si>
    <t>LOI-1006  23.10.23</t>
  </si>
  <si>
    <t>MOLDOVA</t>
  </si>
  <si>
    <t>29.10.23</t>
  </si>
  <si>
    <t>NOV -W-2</t>
  </si>
  <si>
    <t>LOI-1022  28.10.23</t>
  </si>
  <si>
    <t>30.10.23</t>
  </si>
  <si>
    <t>31.10.23</t>
  </si>
  <si>
    <t>LOI-1030  30.10.23</t>
  </si>
  <si>
    <t>STERLITE</t>
  </si>
  <si>
    <t>HT-E350A  ( NON POWERGRID)</t>
  </si>
  <si>
    <t>01.11.23</t>
  </si>
  <si>
    <t>02.11.23</t>
  </si>
  <si>
    <t>Nov  -W-1</t>
  </si>
  <si>
    <t>LOI-1044  02.11.23</t>
  </si>
  <si>
    <t>MALAYSIA-O010A</t>
  </si>
  <si>
    <t>355 JR</t>
  </si>
  <si>
    <t>LOI-1045  02.11.23</t>
  </si>
  <si>
    <t>ZILLINSKIS-HS409</t>
  </si>
  <si>
    <t>LOI-1046  02.11.23</t>
  </si>
  <si>
    <t>SAUDI-M410A</t>
  </si>
  <si>
    <t>Nov  -W-2</t>
  </si>
  <si>
    <t>HT-ASTM GR 50   ( NON POWERGRID )</t>
  </si>
  <si>
    <t>MS-ASTM A36   ( NON POWERGRID )</t>
  </si>
  <si>
    <t>120X120X11</t>
  </si>
  <si>
    <t>80X80X7</t>
  </si>
  <si>
    <t>KUDUS-SB316</t>
  </si>
  <si>
    <t>LOI-1047  02.11.23</t>
  </si>
  <si>
    <t>80X80X8</t>
  </si>
  <si>
    <t>LOI-1048  02.11.23</t>
  </si>
  <si>
    <t>LOI-1049  02.11.23</t>
  </si>
  <si>
    <t>05.11.23</t>
  </si>
  <si>
    <t>06.11.23</t>
  </si>
  <si>
    <t>07.11.23</t>
  </si>
  <si>
    <t>MH40AK3944</t>
  </si>
  <si>
    <t>08.11.23</t>
  </si>
  <si>
    <t>09.11.23</t>
  </si>
  <si>
    <t>10.11.23</t>
  </si>
  <si>
    <t>11.11.23</t>
  </si>
  <si>
    <t>15.11.23</t>
  </si>
  <si>
    <t>16.11.23</t>
  </si>
  <si>
    <t>17.11.23</t>
  </si>
  <si>
    <t>18.11.23</t>
  </si>
  <si>
    <t>20.11.23</t>
  </si>
  <si>
    <t>21.11.23</t>
  </si>
  <si>
    <t>22.11.23</t>
  </si>
  <si>
    <t>23.11.23</t>
  </si>
  <si>
    <t>MH0AK5044</t>
  </si>
  <si>
    <t>24.11.23</t>
  </si>
  <si>
    <t>25.11.23</t>
  </si>
  <si>
    <t>26.11.23</t>
  </si>
  <si>
    <t>27.11.23</t>
  </si>
  <si>
    <t>355J2 (150X150X15</t>
  </si>
  <si>
    <t>Dec   -W-1</t>
  </si>
  <si>
    <t>LOI-1032  22.11.23</t>
  </si>
  <si>
    <t>Oman--TM-113</t>
  </si>
  <si>
    <t>HT-ASTM GR 60   ( NON POWERGRID )</t>
  </si>
  <si>
    <t>LOI-1133  22.11.23</t>
  </si>
  <si>
    <t>DEC  -W-1</t>
  </si>
  <si>
    <t>28.11.23</t>
  </si>
  <si>
    <t>29.11.23</t>
  </si>
  <si>
    <t>30.11.23</t>
  </si>
  <si>
    <t>01.12.23</t>
  </si>
  <si>
    <t>LOI-1190  01.12.23</t>
  </si>
  <si>
    <t>LOI-1191  01.12.23</t>
  </si>
  <si>
    <t>02.12.23</t>
  </si>
  <si>
    <t>MH409744</t>
  </si>
  <si>
    <t>03.12.23</t>
  </si>
  <si>
    <t>04.12.23</t>
  </si>
  <si>
    <t>MH40Y1455</t>
  </si>
  <si>
    <t>05.12.23</t>
  </si>
  <si>
    <t>MH40AF3590</t>
  </si>
  <si>
    <t>05.12.23.</t>
  </si>
  <si>
    <t>06.12.23</t>
  </si>
  <si>
    <t>MH49Y4944</t>
  </si>
  <si>
    <t>07.12.23</t>
  </si>
  <si>
    <t>08.12.23</t>
  </si>
  <si>
    <t>09.12.23</t>
  </si>
  <si>
    <t xml:space="preserve">10 PCS ADD </t>
  </si>
  <si>
    <t>10.12.23</t>
  </si>
  <si>
    <t>MH31CQ3544</t>
  </si>
  <si>
    <t>11.12.23</t>
  </si>
  <si>
    <t>12.12.23</t>
  </si>
  <si>
    <t>MH40Y1355</t>
  </si>
  <si>
    <t>13.12.23</t>
  </si>
  <si>
    <t>14.12.23</t>
  </si>
  <si>
    <t>15.12.23</t>
  </si>
  <si>
    <t>LOI-1331  15.12.23</t>
  </si>
  <si>
    <t xml:space="preserve">KPTCL- SB303
</t>
  </si>
  <si>
    <t>JAN -W-1</t>
  </si>
  <si>
    <t>LOI-1332  15.12.23</t>
  </si>
  <si>
    <t>HT-E350A  (  POWERGRID)</t>
  </si>
  <si>
    <t>MS-E250A  (  POWERGRID )</t>
  </si>
  <si>
    <t>LOI-1333  15.12.23</t>
  </si>
  <si>
    <t>SAUDI-M211A</t>
  </si>
  <si>
    <t>JAN  -W-1</t>
  </si>
  <si>
    <t>LOI-1334  15.12.23</t>
  </si>
  <si>
    <t>17.12.23</t>
  </si>
  <si>
    <t>GEORGIA-TI-215</t>
  </si>
  <si>
    <t>LOI-1356  18.12.23</t>
  </si>
  <si>
    <t>LOI-1357  18.12.23</t>
  </si>
  <si>
    <t>JAN  -W-2</t>
  </si>
  <si>
    <t>MALAYSIA-O001B</t>
  </si>
  <si>
    <t>LOI-1358  18.12.23</t>
  </si>
  <si>
    <t>18.12.23</t>
  </si>
  <si>
    <t>MH40Y5044</t>
  </si>
  <si>
    <t>LOI-1131  22.11.23</t>
  </si>
  <si>
    <t>19.12.23</t>
  </si>
  <si>
    <t>22.12.23</t>
  </si>
  <si>
    <t>INDIGRID-/ ADANI KUDUS-SB210-316</t>
  </si>
  <si>
    <t>FEB  -W-1</t>
  </si>
  <si>
    <t>HT-E350A   ( NON POWERGRID )</t>
  </si>
  <si>
    <t>LOI-1395  27.12.23</t>
  </si>
  <si>
    <t>AUSNET-HS420</t>
  </si>
  <si>
    <t>HT-355 JO   ( NON POWERGRID )</t>
  </si>
  <si>
    <t>LOI-1396  27.12.23</t>
  </si>
  <si>
    <t>110X110X12</t>
  </si>
  <si>
    <t>70X70X8</t>
  </si>
  <si>
    <t>LOI-1397  27.12.23</t>
  </si>
  <si>
    <t>150X150X19</t>
  </si>
  <si>
    <t>LOI-1439  28.12.23</t>
  </si>
  <si>
    <t>SUNZIA-HS314</t>
  </si>
  <si>
    <t>102X102.6.4</t>
  </si>
  <si>
    <t>29.12.23</t>
  </si>
  <si>
    <t>02.01.24</t>
  </si>
  <si>
    <t>03.01.24</t>
  </si>
  <si>
    <t>03.01.23</t>
  </si>
  <si>
    <t>04.11.23</t>
  </si>
  <si>
    <t>04.01.23</t>
  </si>
  <si>
    <t>05.01.24</t>
  </si>
  <si>
    <t>05.01.23</t>
  </si>
  <si>
    <t>06.01.24</t>
  </si>
  <si>
    <t>06.01.44</t>
  </si>
  <si>
    <t>07.01.24</t>
  </si>
  <si>
    <t>07.01.2024</t>
  </si>
  <si>
    <t>08.01.24</t>
  </si>
  <si>
    <t>PERU-HS419</t>
  </si>
  <si>
    <t>LOI-1456  09.01.24</t>
  </si>
</sst>
</file>

<file path=xl/styles.xml><?xml version="1.0" encoding="utf-8"?>
<styleSheet xmlns="http://schemas.openxmlformats.org/spreadsheetml/2006/main">
  <numFmts count="1">
    <numFmt numFmtId="164" formatCode="0.000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33CC"/>
      <name val="Times New Roman"/>
      <family val="1"/>
    </font>
    <font>
      <b/>
      <sz val="11"/>
      <color rgb="FF0033CC"/>
      <name val="Calibri"/>
      <family val="2"/>
      <scheme val="minor"/>
    </font>
    <font>
      <sz val="11"/>
      <color rgb="FF0033CC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</font>
    <font>
      <sz val="11"/>
      <color theme="1"/>
      <name val="Times New Roman"/>
      <family val="1"/>
    </font>
    <font>
      <sz val="12"/>
      <name val="Arial"/>
      <family val="2"/>
    </font>
    <font>
      <b/>
      <sz val="11"/>
      <color rgb="FFFF0000"/>
      <name val="Times New Roman"/>
      <family val="1"/>
    </font>
    <font>
      <sz val="10"/>
      <color rgb="FFFF0000"/>
      <name val="Times New Roman"/>
      <family val="1"/>
    </font>
    <font>
      <b/>
      <sz val="16"/>
      <color rgb="FFFF0000"/>
      <name val="Times New Roman"/>
      <family val="1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sz val="12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right"/>
    </xf>
    <xf numFmtId="164" fontId="2" fillId="2" borderId="0" xfId="0" applyNumberFormat="1" applyFont="1" applyFill="1" applyBorder="1"/>
    <xf numFmtId="1" fontId="2" fillId="2" borderId="0" xfId="0" applyNumberFormat="1" applyFont="1" applyFill="1" applyBorder="1"/>
    <xf numFmtId="0" fontId="3" fillId="0" borderId="0" xfId="0" applyFont="1" applyBorder="1" applyAlignment="1"/>
    <xf numFmtId="0" fontId="4" fillId="2" borderId="0" xfId="0" applyFont="1" applyFill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/>
    <xf numFmtId="0" fontId="2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/>
    <xf numFmtId="164" fontId="9" fillId="2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0" fontId="0" fillId="0" borderId="1" xfId="0" applyNumberFormat="1" applyBorder="1"/>
    <xf numFmtId="164" fontId="9" fillId="2" borderId="1" xfId="0" applyNumberFormat="1" applyFont="1" applyFill="1" applyBorder="1"/>
    <xf numFmtId="1" fontId="9" fillId="2" borderId="1" xfId="0" applyNumberFormat="1" applyFont="1" applyFill="1" applyBorder="1" applyAlignment="1">
      <alignment horizontal="right" vertical="top"/>
    </xf>
    <xf numFmtId="1" fontId="9" fillId="2" borderId="1" xfId="0" applyNumberFormat="1" applyFont="1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right"/>
    </xf>
    <xf numFmtId="0" fontId="2" fillId="0" borderId="1" xfId="0" applyFont="1" applyBorder="1" applyAlignment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64" fontId="0" fillId="0" borderId="0" xfId="0" applyNumberFormat="1"/>
    <xf numFmtId="2" fontId="0" fillId="0" borderId="1" xfId="0" applyNumberFormat="1" applyBorder="1"/>
    <xf numFmtId="1" fontId="1" fillId="0" borderId="1" xfId="0" applyNumberFormat="1" applyFont="1" applyBorder="1"/>
    <xf numFmtId="164" fontId="2" fillId="2" borderId="1" xfId="0" applyNumberFormat="1" applyFont="1" applyFill="1" applyBorder="1" applyAlignment="1">
      <alignment horizontal="right"/>
    </xf>
    <xf numFmtId="0" fontId="1" fillId="6" borderId="1" xfId="0" applyFont="1" applyFill="1" applyBorder="1"/>
    <xf numFmtId="1" fontId="1" fillId="6" borderId="1" xfId="0" applyNumberFormat="1" applyFont="1" applyFill="1" applyBorder="1"/>
    <xf numFmtId="164" fontId="1" fillId="6" borderId="1" xfId="0" applyNumberFormat="1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0" borderId="1" xfId="0" applyFont="1" applyBorder="1"/>
    <xf numFmtId="1" fontId="10" fillId="2" borderId="1" xfId="0" applyNumberFormat="1" applyFont="1" applyFill="1" applyBorder="1"/>
    <xf numFmtId="0" fontId="0" fillId="2" borderId="1" xfId="0" applyNumberFormat="1" applyFill="1" applyBorder="1"/>
    <xf numFmtId="0" fontId="11" fillId="0" borderId="0" xfId="0" applyFont="1"/>
    <xf numFmtId="164" fontId="1" fillId="4" borderId="1" xfId="0" applyNumberFormat="1" applyFont="1" applyFill="1" applyBorder="1"/>
    <xf numFmtId="1" fontId="0" fillId="0" borderId="0" xfId="0" applyNumberFormat="1"/>
    <xf numFmtId="1" fontId="0" fillId="7" borderId="0" xfId="0" applyNumberFormat="1" applyFill="1"/>
    <xf numFmtId="1" fontId="0" fillId="7" borderId="0" xfId="0" applyNumberFormat="1" applyFill="1" applyBorder="1"/>
    <xf numFmtId="0" fontId="0" fillId="7" borderId="0" xfId="0" applyFill="1"/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/>
    <xf numFmtId="14" fontId="0" fillId="0" borderId="1" xfId="0" applyNumberFormat="1" applyBorder="1"/>
    <xf numFmtId="1" fontId="1" fillId="6" borderId="1" xfId="0" applyNumberFormat="1" applyFont="1" applyFill="1" applyBorder="1" applyAlignment="1">
      <alignment horizontal="right"/>
    </xf>
    <xf numFmtId="164" fontId="1" fillId="6" borderId="1" xfId="0" applyNumberFormat="1" applyFont="1" applyFill="1" applyBorder="1" applyAlignment="1">
      <alignment horizontal="right"/>
    </xf>
    <xf numFmtId="0" fontId="12" fillId="0" borderId="0" xfId="0" applyFont="1"/>
    <xf numFmtId="0" fontId="12" fillId="0" borderId="1" xfId="0" applyFont="1" applyBorder="1"/>
    <xf numFmtId="2" fontId="12" fillId="0" borderId="1" xfId="0" applyNumberFormat="1" applyFont="1" applyBorder="1"/>
    <xf numFmtId="164" fontId="12" fillId="0" borderId="1" xfId="0" applyNumberFormat="1" applyFont="1" applyBorder="1"/>
    <xf numFmtId="1" fontId="12" fillId="0" borderId="1" xfId="0" applyNumberFormat="1" applyFont="1" applyBorder="1"/>
    <xf numFmtId="164" fontId="10" fillId="2" borderId="1" xfId="0" applyNumberFormat="1" applyFont="1" applyFill="1" applyBorder="1" applyAlignment="1">
      <alignment horizontal="right"/>
    </xf>
    <xf numFmtId="164" fontId="12" fillId="0" borderId="1" xfId="0" applyNumberFormat="1" applyFont="1" applyBorder="1" applyAlignment="1">
      <alignment horizontal="center"/>
    </xf>
    <xf numFmtId="0" fontId="12" fillId="0" borderId="1" xfId="0" applyNumberFormat="1" applyFont="1" applyBorder="1"/>
    <xf numFmtId="164" fontId="10" fillId="2" borderId="1" xfId="0" applyNumberFormat="1" applyFont="1" applyFill="1" applyBorder="1"/>
    <xf numFmtId="1" fontId="10" fillId="2" borderId="1" xfId="0" applyNumberFormat="1" applyFont="1" applyFill="1" applyBorder="1" applyAlignment="1">
      <alignment horizontal="right" vertical="top"/>
    </xf>
    <xf numFmtId="2" fontId="3" fillId="0" borderId="1" xfId="0" applyNumberFormat="1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164" fontId="12" fillId="0" borderId="0" xfId="0" applyNumberFormat="1" applyFont="1"/>
    <xf numFmtId="2" fontId="1" fillId="6" borderId="1" xfId="0" applyNumberFormat="1" applyFont="1" applyFill="1" applyBorder="1"/>
    <xf numFmtId="0" fontId="13" fillId="0" borderId="0" xfId="0" applyFont="1"/>
    <xf numFmtId="0" fontId="0" fillId="4" borderId="1" xfId="0" applyNumberFormat="1" applyFill="1" applyBorder="1"/>
    <xf numFmtId="0" fontId="14" fillId="2" borderId="0" xfId="0" applyFont="1" applyFill="1" applyBorder="1" applyAlignment="1"/>
    <xf numFmtId="164" fontId="0" fillId="0" borderId="1" xfId="0" applyNumberFormat="1" applyBorder="1" applyAlignment="1"/>
    <xf numFmtId="164" fontId="1" fillId="6" borderId="1" xfId="0" applyNumberFormat="1" applyFont="1" applyFill="1" applyBorder="1" applyAlignment="1"/>
    <xf numFmtId="164" fontId="1" fillId="0" borderId="1" xfId="0" applyNumberFormat="1" applyFont="1" applyBorder="1" applyAlignment="1"/>
    <xf numFmtId="164" fontId="1" fillId="2" borderId="1" xfId="0" applyNumberFormat="1" applyFont="1" applyFill="1" applyBorder="1"/>
    <xf numFmtId="1" fontId="9" fillId="2" borderId="1" xfId="0" applyNumberFormat="1" applyFont="1" applyFill="1" applyBorder="1" applyAlignment="1">
      <alignment horizontal="right"/>
    </xf>
    <xf numFmtId="0" fontId="3" fillId="6" borderId="1" xfId="0" applyFont="1" applyFill="1" applyBorder="1"/>
    <xf numFmtId="1" fontId="3" fillId="6" borderId="1" xfId="0" applyNumberFormat="1" applyFont="1" applyFill="1" applyBorder="1"/>
    <xf numFmtId="164" fontId="3" fillId="6" borderId="1" xfId="0" applyNumberFormat="1" applyFont="1" applyFill="1" applyBorder="1"/>
    <xf numFmtId="1" fontId="10" fillId="2" borderId="1" xfId="0" applyNumberFormat="1" applyFont="1" applyFill="1" applyBorder="1" applyAlignment="1">
      <alignment horizontal="right"/>
    </xf>
    <xf numFmtId="164" fontId="12" fillId="0" borderId="1" xfId="0" applyNumberFormat="1" applyFont="1" applyBorder="1" applyAlignment="1"/>
    <xf numFmtId="164" fontId="3" fillId="0" borderId="1" xfId="0" applyNumberFormat="1" applyFont="1" applyBorder="1" applyAlignment="1"/>
    <xf numFmtId="164" fontId="3" fillId="2" borderId="1" xfId="0" applyNumberFormat="1" applyFont="1" applyFill="1" applyBorder="1"/>
    <xf numFmtId="0" fontId="0" fillId="4" borderId="0" xfId="0" applyFill="1"/>
    <xf numFmtId="0" fontId="1" fillId="4" borderId="0" xfId="0" applyFont="1" applyFill="1"/>
    <xf numFmtId="0" fontId="16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left" vertical="top"/>
    </xf>
    <xf numFmtId="2" fontId="16" fillId="0" borderId="1" xfId="0" applyNumberFormat="1" applyFont="1" applyBorder="1" applyAlignment="1">
      <alignment horizontal="left" vertical="top"/>
    </xf>
    <xf numFmtId="164" fontId="16" fillId="0" borderId="1" xfId="0" applyNumberFormat="1" applyFont="1" applyBorder="1" applyAlignment="1">
      <alignment horizontal="center" vertical="top"/>
    </xf>
    <xf numFmtId="0" fontId="2" fillId="4" borderId="1" xfId="0" applyFont="1" applyFill="1" applyBorder="1" applyAlignment="1">
      <alignment horizontal="right" vertical="center" wrapText="1"/>
    </xf>
    <xf numFmtId="1" fontId="16" fillId="0" borderId="1" xfId="0" applyNumberFormat="1" applyFont="1" applyBorder="1" applyAlignment="1">
      <alignment horizontal="right" vertical="top"/>
    </xf>
    <xf numFmtId="1" fontId="17" fillId="0" borderId="1" xfId="0" applyNumberFormat="1" applyFont="1" applyBorder="1" applyAlignment="1">
      <alignment horizontal="right" vertical="top"/>
    </xf>
    <xf numFmtId="164" fontId="18" fillId="8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0" fillId="0" borderId="1" xfId="0" applyFont="1" applyBorder="1"/>
    <xf numFmtId="2" fontId="0" fillId="0" borderId="1" xfId="0" applyNumberFormat="1" applyFont="1" applyBorder="1"/>
    <xf numFmtId="164" fontId="0" fillId="0" borderId="1" xfId="0" applyNumberFormat="1" applyFont="1" applyBorder="1"/>
    <xf numFmtId="1" fontId="0" fillId="0" borderId="1" xfId="0" applyNumberFormat="1" applyFont="1" applyBorder="1"/>
    <xf numFmtId="164" fontId="19" fillId="2" borderId="1" xfId="0" applyNumberFormat="1" applyFont="1" applyFill="1" applyBorder="1" applyAlignment="1">
      <alignment horizontal="right"/>
    </xf>
    <xf numFmtId="164" fontId="0" fillId="0" borderId="1" xfId="0" applyNumberFormat="1" applyFont="1" applyBorder="1" applyAlignment="1">
      <alignment horizontal="center"/>
    </xf>
    <xf numFmtId="0" fontId="0" fillId="0" borderId="1" xfId="0" applyNumberFormat="1" applyFont="1" applyBorder="1"/>
    <xf numFmtId="164" fontId="19" fillId="2" borderId="1" xfId="0" applyNumberFormat="1" applyFont="1" applyFill="1" applyBorder="1"/>
    <xf numFmtId="1" fontId="19" fillId="2" borderId="1" xfId="0" applyNumberFormat="1" applyFont="1" applyFill="1" applyBorder="1" applyAlignment="1">
      <alignment horizontal="right" vertical="top"/>
    </xf>
    <xf numFmtId="1" fontId="19" fillId="2" borderId="1" xfId="0" applyNumberFormat="1" applyFont="1" applyFill="1" applyBorder="1"/>
    <xf numFmtId="0" fontId="0" fillId="0" borderId="0" xfId="0" applyFont="1"/>
    <xf numFmtId="164" fontId="0" fillId="0" borderId="0" xfId="0" applyNumberFormat="1" applyFont="1"/>
    <xf numFmtId="164" fontId="0" fillId="0" borderId="1" xfId="0" applyNumberFormat="1" applyFont="1" applyBorder="1" applyAlignment="1"/>
    <xf numFmtId="164" fontId="20" fillId="2" borderId="1" xfId="0" applyNumberFormat="1" applyFont="1" applyFill="1" applyBorder="1" applyAlignment="1">
      <alignment horizontal="right"/>
    </xf>
    <xf numFmtId="0" fontId="21" fillId="2" borderId="0" xfId="0" applyFont="1" applyFill="1" applyBorder="1" applyAlignment="1"/>
    <xf numFmtId="0" fontId="21" fillId="2" borderId="0" xfId="0" applyFont="1" applyFill="1" applyBorder="1" applyAlignment="1">
      <alignment horizontal="right"/>
    </xf>
    <xf numFmtId="164" fontId="21" fillId="2" borderId="0" xfId="0" applyNumberFormat="1" applyFont="1" applyFill="1" applyBorder="1"/>
    <xf numFmtId="1" fontId="21" fillId="2" borderId="0" xfId="0" applyNumberFormat="1" applyFont="1" applyFill="1" applyBorder="1"/>
    <xf numFmtId="0" fontId="22" fillId="2" borderId="0" xfId="0" applyFont="1" applyFill="1"/>
    <xf numFmtId="0" fontId="21" fillId="0" borderId="0" xfId="0" applyFont="1" applyBorder="1" applyAlignment="1">
      <alignment horizontal="left"/>
    </xf>
    <xf numFmtId="0" fontId="21" fillId="0" borderId="0" xfId="0" applyFont="1" applyFill="1" applyBorder="1" applyAlignment="1"/>
    <xf numFmtId="0" fontId="21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21" fillId="0" borderId="1" xfId="0" applyFont="1" applyBorder="1" applyAlignment="1"/>
    <xf numFmtId="0" fontId="2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center" vertical="top"/>
    </xf>
    <xf numFmtId="0" fontId="24" fillId="2" borderId="1" xfId="0" applyFont="1" applyFill="1" applyBorder="1" applyAlignment="1">
      <alignment horizontal="left" vertical="top"/>
    </xf>
    <xf numFmtId="2" fontId="24" fillId="2" borderId="1" xfId="0" applyNumberFormat="1" applyFont="1" applyFill="1" applyBorder="1" applyAlignment="1">
      <alignment horizontal="left" vertical="top"/>
    </xf>
    <xf numFmtId="164" fontId="24" fillId="2" borderId="1" xfId="0" applyNumberFormat="1" applyFont="1" applyFill="1" applyBorder="1" applyAlignment="1">
      <alignment horizontal="center" vertical="top"/>
    </xf>
    <xf numFmtId="1" fontId="24" fillId="2" borderId="1" xfId="0" applyNumberFormat="1" applyFont="1" applyFill="1" applyBorder="1" applyAlignment="1">
      <alignment horizontal="right" vertical="top"/>
    </xf>
    <xf numFmtId="164" fontId="12" fillId="0" borderId="1" xfId="0" applyNumberFormat="1" applyFont="1" applyBorder="1" applyAlignment="1">
      <alignment horizontal="right"/>
    </xf>
    <xf numFmtId="0" fontId="12" fillId="0" borderId="1" xfId="0" applyNumberFormat="1" applyFont="1" applyBorder="1" applyAlignment="1">
      <alignment horizontal="right"/>
    </xf>
    <xf numFmtId="1" fontId="25" fillId="2" borderId="1" xfId="0" applyNumberFormat="1" applyFont="1" applyFill="1" applyBorder="1" applyAlignment="1">
      <alignment horizontal="right" vertical="top"/>
    </xf>
    <xf numFmtId="164" fontId="26" fillId="2" borderId="1" xfId="0" applyNumberFormat="1" applyFont="1" applyFill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2" fillId="2" borderId="0" xfId="0" applyFont="1" applyFill="1"/>
    <xf numFmtId="1" fontId="3" fillId="6" borderId="1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164" fontId="27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164" fontId="1" fillId="9" borderId="1" xfId="0" applyNumberFormat="1" applyFont="1" applyFill="1" applyBorder="1"/>
    <xf numFmtId="164" fontId="9" fillId="2" borderId="2" xfId="0" applyNumberFormat="1" applyFont="1" applyFill="1" applyBorder="1" applyAlignment="1">
      <alignment horizontal="right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16" fontId="1" fillId="3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16" fontId="3" fillId="3" borderId="0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worksheet" Target="worksheets/sheet110.xml"/><Relationship Id="rId115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zoomScale="75" zoomScaleNormal="75" workbookViewId="0">
      <pane ySplit="5" topLeftCell="A6" activePane="bottomLeft" state="frozen"/>
      <selection activeCell="A4" sqref="A4"/>
      <selection pane="bottomLeft" activeCell="O17" sqref="O1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LOI-1030  30.10.23</v>
      </c>
      <c r="D1" s="1"/>
      <c r="E1" s="2"/>
      <c r="F1" s="2"/>
      <c r="G1" s="143" t="s">
        <v>489</v>
      </c>
      <c r="H1" s="144"/>
      <c r="I1" s="145" t="s">
        <v>484</v>
      </c>
      <c r="J1" s="144"/>
      <c r="K1" s="3"/>
      <c r="L1" s="4"/>
      <c r="M1" s="4"/>
      <c r="N1" s="3"/>
      <c r="O1" s="4"/>
      <c r="P1" s="146" t="str">
        <f>+F2</f>
        <v>LOI-1030  30.10.23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490</v>
      </c>
      <c r="B2" s="8"/>
      <c r="C2" s="9"/>
      <c r="D2" s="9"/>
      <c r="E2" s="10"/>
      <c r="F2" s="146" t="s">
        <v>488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LOI-1030  30.10.23</v>
      </c>
      <c r="V2" s="146"/>
    </row>
    <row r="3" spans="1:22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140" t="s">
        <v>13</v>
      </c>
      <c r="B6" s="26" t="s">
        <v>315</v>
      </c>
      <c r="C6" s="26">
        <v>4.6500000000000004</v>
      </c>
      <c r="D6" s="27">
        <v>7.5</v>
      </c>
      <c r="E6" s="28">
        <v>66</v>
      </c>
      <c r="F6" s="16">
        <f t="shared" ref="F6:F8" si="0">(C6*D6*E6/1000)</f>
        <v>2.3017500000000002</v>
      </c>
      <c r="G6" s="17"/>
      <c r="H6" s="18"/>
      <c r="I6" s="19">
        <f t="shared" ref="I6:I8" si="1">(C6*D6*H6/1000)</f>
        <v>0</v>
      </c>
      <c r="J6" s="16"/>
      <c r="K6" s="18"/>
      <c r="L6" s="19">
        <f t="shared" ref="L6:L8" si="2">(C6*D6*K6/1000)</f>
        <v>0</v>
      </c>
      <c r="M6" s="16"/>
      <c r="N6" s="18"/>
      <c r="O6" s="19">
        <f t="shared" ref="O6:O8" si="3">(C6*D6*N6/1000)</f>
        <v>0</v>
      </c>
      <c r="P6" s="16"/>
      <c r="Q6" s="18"/>
      <c r="R6" s="19">
        <f t="shared" ref="R6:R8" si="4">(C6*D6*Q6/1000)</f>
        <v>0</v>
      </c>
      <c r="S6" s="20">
        <f t="shared" ref="S6:T8" si="5">+H6+K6+Q6+N6</f>
        <v>0</v>
      </c>
      <c r="T6" s="19">
        <f t="shared" si="5"/>
        <v>0</v>
      </c>
      <c r="U6" s="21">
        <f t="shared" ref="U6:V8" si="6">E6-S6</f>
        <v>66</v>
      </c>
      <c r="V6" s="19">
        <f t="shared" si="6"/>
        <v>2.3017500000000002</v>
      </c>
    </row>
    <row r="7" spans="1:22">
      <c r="A7" s="140" t="s">
        <v>13</v>
      </c>
      <c r="B7" s="26" t="s">
        <v>315</v>
      </c>
      <c r="C7" s="26">
        <v>4.6500000000000004</v>
      </c>
      <c r="D7" s="27">
        <v>10.5</v>
      </c>
      <c r="E7" s="28">
        <v>210</v>
      </c>
      <c r="F7" s="16">
        <f t="shared" si="0"/>
        <v>10.25325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210</v>
      </c>
      <c r="V7" s="19">
        <f t="shared" si="6"/>
        <v>10.25325</v>
      </c>
    </row>
    <row r="8" spans="1:22">
      <c r="A8" s="140" t="s">
        <v>13</v>
      </c>
      <c r="B8" s="26" t="s">
        <v>315</v>
      </c>
      <c r="C8" s="26">
        <v>4.6500000000000004</v>
      </c>
      <c r="D8" s="27">
        <v>11.5</v>
      </c>
      <c r="E8" s="28">
        <v>216</v>
      </c>
      <c r="F8" s="16">
        <f t="shared" si="0"/>
        <v>11.550600000000001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5"/>
        <v>0</v>
      </c>
      <c r="U8" s="21">
        <f t="shared" si="6"/>
        <v>216</v>
      </c>
      <c r="V8" s="19">
        <f t="shared" si="6"/>
        <v>11.550600000000001</v>
      </c>
    </row>
    <row r="9" spans="1:22">
      <c r="A9" s="140"/>
      <c r="B9" s="26"/>
      <c r="C9" s="26"/>
      <c r="D9" s="27"/>
      <c r="E9" s="31">
        <f t="shared" ref="E9:F9" si="7">SUM(E6:E8)</f>
        <v>492</v>
      </c>
      <c r="F9" s="38">
        <f t="shared" si="7"/>
        <v>24.105600000000003</v>
      </c>
      <c r="G9" s="17"/>
      <c r="H9" s="31">
        <f t="shared" ref="H9:I9" si="8">SUM(H6:H8)</f>
        <v>0</v>
      </c>
      <c r="I9" s="38">
        <f t="shared" si="8"/>
        <v>0</v>
      </c>
      <c r="J9" s="16"/>
      <c r="K9" s="31">
        <f t="shared" ref="K9:L9" si="9">SUM(K6:K8)</f>
        <v>0</v>
      </c>
      <c r="L9" s="38">
        <f t="shared" si="9"/>
        <v>0</v>
      </c>
      <c r="M9" s="16"/>
      <c r="N9" s="31">
        <f t="shared" ref="N9:O9" si="10">SUM(N6:N8)</f>
        <v>0</v>
      </c>
      <c r="O9" s="38">
        <f t="shared" si="10"/>
        <v>0</v>
      </c>
      <c r="P9" s="16"/>
      <c r="Q9" s="31">
        <f t="shared" ref="Q9:V9" si="11">SUM(Q6:Q8)</f>
        <v>0</v>
      </c>
      <c r="R9" s="38">
        <f t="shared" si="11"/>
        <v>0</v>
      </c>
      <c r="S9" s="31">
        <f t="shared" si="11"/>
        <v>0</v>
      </c>
      <c r="T9" s="38">
        <f t="shared" si="11"/>
        <v>0</v>
      </c>
      <c r="U9" s="31">
        <f t="shared" si="11"/>
        <v>492</v>
      </c>
      <c r="V9" s="38">
        <f t="shared" si="11"/>
        <v>24.105600000000003</v>
      </c>
    </row>
    <row r="10" spans="1:22">
      <c r="A10" s="140" t="s">
        <v>13</v>
      </c>
      <c r="B10" s="26" t="s">
        <v>34</v>
      </c>
      <c r="C10" s="26">
        <v>5.77</v>
      </c>
      <c r="D10" s="27">
        <v>7.5</v>
      </c>
      <c r="E10" s="28">
        <v>124</v>
      </c>
      <c r="F10" s="16">
        <f t="shared" ref="F10:F14" si="12">(C10*D10*E10/1000)</f>
        <v>5.3660999999999994</v>
      </c>
      <c r="G10" s="17"/>
      <c r="H10" s="18"/>
      <c r="I10" s="19">
        <f t="shared" ref="I10:I14" si="13">(C10*D10*H10/1000)</f>
        <v>0</v>
      </c>
      <c r="J10" s="16"/>
      <c r="K10" s="18"/>
      <c r="L10" s="19">
        <f t="shared" ref="L10:L14" si="14">(C10*D10*K10/1000)</f>
        <v>0</v>
      </c>
      <c r="M10" s="16"/>
      <c r="N10" s="18"/>
      <c r="O10" s="19">
        <f t="shared" ref="O10:O14" si="15">(C10*D10*N10/1000)</f>
        <v>0</v>
      </c>
      <c r="P10" s="16"/>
      <c r="Q10" s="18"/>
      <c r="R10" s="19">
        <f t="shared" ref="R10:R14" si="16">(C10*D10*Q10/1000)</f>
        <v>0</v>
      </c>
      <c r="S10" s="20">
        <f t="shared" ref="S10:T14" si="17">+H10+K10+Q10+N10</f>
        <v>0</v>
      </c>
      <c r="T10" s="19">
        <f t="shared" si="17"/>
        <v>0</v>
      </c>
      <c r="U10" s="21">
        <f t="shared" ref="U10:V14" si="18">E10-S10</f>
        <v>124</v>
      </c>
      <c r="V10" s="19">
        <f t="shared" si="18"/>
        <v>5.3660999999999994</v>
      </c>
    </row>
    <row r="11" spans="1:22">
      <c r="A11" s="140" t="s">
        <v>13</v>
      </c>
      <c r="B11" s="26" t="s">
        <v>34</v>
      </c>
      <c r="C11" s="26">
        <v>5.77</v>
      </c>
      <c r="D11" s="27">
        <v>10</v>
      </c>
      <c r="E11" s="28">
        <v>426</v>
      </c>
      <c r="F11" s="16">
        <f t="shared" si="12"/>
        <v>24.580199999999998</v>
      </c>
      <c r="G11" s="17"/>
      <c r="H11" s="18"/>
      <c r="I11" s="19">
        <f t="shared" si="13"/>
        <v>0</v>
      </c>
      <c r="J11" s="16"/>
      <c r="K11" s="18"/>
      <c r="L11" s="19">
        <f t="shared" si="14"/>
        <v>0</v>
      </c>
      <c r="M11" s="16"/>
      <c r="N11" s="18"/>
      <c r="O11" s="19">
        <f t="shared" si="15"/>
        <v>0</v>
      </c>
      <c r="P11" s="16"/>
      <c r="Q11" s="18"/>
      <c r="R11" s="19">
        <f t="shared" si="16"/>
        <v>0</v>
      </c>
      <c r="S11" s="20">
        <f t="shared" si="17"/>
        <v>0</v>
      </c>
      <c r="T11" s="19">
        <f t="shared" si="17"/>
        <v>0</v>
      </c>
      <c r="U11" s="21">
        <f t="shared" si="18"/>
        <v>426</v>
      </c>
      <c r="V11" s="19">
        <f t="shared" si="18"/>
        <v>24.580199999999998</v>
      </c>
    </row>
    <row r="12" spans="1:22">
      <c r="A12" s="140" t="s">
        <v>13</v>
      </c>
      <c r="B12" s="26" t="s">
        <v>34</v>
      </c>
      <c r="C12" s="26">
        <v>5.77</v>
      </c>
      <c r="D12" s="27">
        <v>11</v>
      </c>
      <c r="E12" s="28">
        <v>82</v>
      </c>
      <c r="F12" s="16">
        <f t="shared" si="12"/>
        <v>5.2045399999999997</v>
      </c>
      <c r="G12" s="17"/>
      <c r="H12" s="18"/>
      <c r="I12" s="19">
        <f t="shared" si="13"/>
        <v>0</v>
      </c>
      <c r="J12" s="16"/>
      <c r="K12" s="18"/>
      <c r="L12" s="19">
        <f t="shared" si="14"/>
        <v>0</v>
      </c>
      <c r="M12" s="16"/>
      <c r="N12" s="18"/>
      <c r="O12" s="19">
        <f t="shared" si="15"/>
        <v>0</v>
      </c>
      <c r="P12" s="16"/>
      <c r="Q12" s="18"/>
      <c r="R12" s="19">
        <f t="shared" si="16"/>
        <v>0</v>
      </c>
      <c r="S12" s="20">
        <f t="shared" si="17"/>
        <v>0</v>
      </c>
      <c r="T12" s="19">
        <f t="shared" si="17"/>
        <v>0</v>
      </c>
      <c r="U12" s="21">
        <f t="shared" si="18"/>
        <v>82</v>
      </c>
      <c r="V12" s="19">
        <f t="shared" si="18"/>
        <v>5.2045399999999997</v>
      </c>
    </row>
    <row r="13" spans="1:22">
      <c r="A13" s="140" t="s">
        <v>13</v>
      </c>
      <c r="B13" s="26" t="s">
        <v>34</v>
      </c>
      <c r="C13" s="26">
        <v>5.77</v>
      </c>
      <c r="D13" s="27">
        <v>11.5</v>
      </c>
      <c r="E13" s="28">
        <v>263</v>
      </c>
      <c r="F13" s="16">
        <f t="shared" si="12"/>
        <v>17.451364999999999</v>
      </c>
      <c r="G13" s="17"/>
      <c r="H13" s="18"/>
      <c r="I13" s="19">
        <f t="shared" si="13"/>
        <v>0</v>
      </c>
      <c r="J13" s="16"/>
      <c r="K13" s="18"/>
      <c r="L13" s="19">
        <f t="shared" si="14"/>
        <v>0</v>
      </c>
      <c r="M13" s="16"/>
      <c r="N13" s="18"/>
      <c r="O13" s="19">
        <f t="shared" si="15"/>
        <v>0</v>
      </c>
      <c r="P13" s="16"/>
      <c r="Q13" s="18"/>
      <c r="R13" s="19">
        <f t="shared" si="16"/>
        <v>0</v>
      </c>
      <c r="S13" s="20">
        <f t="shared" si="17"/>
        <v>0</v>
      </c>
      <c r="T13" s="19">
        <f t="shared" si="17"/>
        <v>0</v>
      </c>
      <c r="U13" s="21">
        <f t="shared" si="18"/>
        <v>263</v>
      </c>
      <c r="V13" s="19">
        <f t="shared" si="18"/>
        <v>17.451364999999999</v>
      </c>
    </row>
    <row r="14" spans="1:22">
      <c r="A14" s="140" t="s">
        <v>13</v>
      </c>
      <c r="B14" s="26" t="s">
        <v>34</v>
      </c>
      <c r="C14" s="26">
        <v>5.77</v>
      </c>
      <c r="D14" s="27">
        <v>12</v>
      </c>
      <c r="E14" s="28">
        <v>290</v>
      </c>
      <c r="F14" s="16">
        <f t="shared" si="12"/>
        <v>20.079599999999999</v>
      </c>
      <c r="G14" s="17"/>
      <c r="H14" s="18"/>
      <c r="I14" s="19">
        <f t="shared" si="13"/>
        <v>0</v>
      </c>
      <c r="J14" s="16"/>
      <c r="K14" s="18"/>
      <c r="L14" s="19">
        <f t="shared" si="14"/>
        <v>0</v>
      </c>
      <c r="M14" s="16"/>
      <c r="N14" s="18"/>
      <c r="O14" s="19">
        <f t="shared" si="15"/>
        <v>0</v>
      </c>
      <c r="P14" s="16"/>
      <c r="Q14" s="18"/>
      <c r="R14" s="19">
        <f t="shared" si="16"/>
        <v>0</v>
      </c>
      <c r="S14" s="20">
        <f t="shared" si="17"/>
        <v>0</v>
      </c>
      <c r="T14" s="19">
        <f t="shared" si="17"/>
        <v>0</v>
      </c>
      <c r="U14" s="21">
        <f t="shared" si="18"/>
        <v>290</v>
      </c>
      <c r="V14" s="19">
        <f t="shared" si="18"/>
        <v>20.079599999999999</v>
      </c>
    </row>
    <row r="15" spans="1:22">
      <c r="A15" s="140"/>
      <c r="B15" s="26"/>
      <c r="C15" s="26"/>
      <c r="D15" s="27"/>
      <c r="E15" s="31">
        <f t="shared" ref="E15:F15" si="19">SUM(E10:E14)</f>
        <v>1185</v>
      </c>
      <c r="F15" s="38">
        <f t="shared" si="19"/>
        <v>72.681804999999997</v>
      </c>
      <c r="G15" s="17"/>
      <c r="H15" s="31">
        <f t="shared" ref="H15:I15" si="20">SUM(H10:H14)</f>
        <v>0</v>
      </c>
      <c r="I15" s="38">
        <f t="shared" si="20"/>
        <v>0</v>
      </c>
      <c r="J15" s="16"/>
      <c r="K15" s="31">
        <f t="shared" ref="K15:L15" si="21">SUM(K10:K14)</f>
        <v>0</v>
      </c>
      <c r="L15" s="38">
        <f t="shared" si="21"/>
        <v>0</v>
      </c>
      <c r="M15" s="16"/>
      <c r="N15" s="31">
        <f t="shared" ref="N15:O15" si="22">SUM(N10:N14)</f>
        <v>0</v>
      </c>
      <c r="O15" s="38">
        <f t="shared" si="22"/>
        <v>0</v>
      </c>
      <c r="P15" s="16"/>
      <c r="Q15" s="31">
        <f t="shared" ref="Q15:V15" si="23">SUM(Q10:Q14)</f>
        <v>0</v>
      </c>
      <c r="R15" s="38">
        <f t="shared" si="23"/>
        <v>0</v>
      </c>
      <c r="S15" s="31">
        <f t="shared" si="23"/>
        <v>0</v>
      </c>
      <c r="T15" s="38">
        <f t="shared" si="23"/>
        <v>0</v>
      </c>
      <c r="U15" s="31">
        <f t="shared" si="23"/>
        <v>1185</v>
      </c>
      <c r="V15" s="38">
        <f t="shared" si="23"/>
        <v>72.681804999999997</v>
      </c>
    </row>
    <row r="16" spans="1:22">
      <c r="A16" s="140" t="s">
        <v>13</v>
      </c>
      <c r="B16" s="26" t="s">
        <v>35</v>
      </c>
      <c r="C16" s="26">
        <v>6.86</v>
      </c>
      <c r="D16" s="27">
        <v>7.1</v>
      </c>
      <c r="E16" s="28">
        <v>191</v>
      </c>
      <c r="F16" s="16">
        <f t="shared" ref="F16:F18" si="24">(C16*D16*E16/1000)</f>
        <v>9.3028460000000006</v>
      </c>
      <c r="G16" s="17"/>
      <c r="H16" s="18"/>
      <c r="I16" s="19">
        <f t="shared" ref="I16:I18" si="25">(C16*D16*H16/1000)</f>
        <v>0</v>
      </c>
      <c r="J16" s="16"/>
      <c r="K16" s="18"/>
      <c r="L16" s="19">
        <f t="shared" ref="L16:L18" si="26">(C16*D16*K16/1000)</f>
        <v>0</v>
      </c>
      <c r="M16" s="16"/>
      <c r="N16" s="18"/>
      <c r="O16" s="19">
        <f t="shared" ref="O16:O18" si="27">(C16*D16*N16/1000)</f>
        <v>0</v>
      </c>
      <c r="P16" s="16"/>
      <c r="Q16" s="18"/>
      <c r="R16" s="19">
        <f t="shared" ref="R16:R18" si="28">(C16*D16*Q16/1000)</f>
        <v>0</v>
      </c>
      <c r="S16" s="20">
        <f t="shared" ref="S16:T18" si="29">+H16+K16+Q16+N16</f>
        <v>0</v>
      </c>
      <c r="T16" s="19">
        <f t="shared" si="29"/>
        <v>0</v>
      </c>
      <c r="U16" s="21">
        <f t="shared" ref="U16:V18" si="30">E16-S16</f>
        <v>191</v>
      </c>
      <c r="V16" s="19">
        <f t="shared" si="30"/>
        <v>9.3028460000000006</v>
      </c>
    </row>
    <row r="17" spans="1:22">
      <c r="A17" s="140" t="s">
        <v>13</v>
      </c>
      <c r="B17" s="26" t="s">
        <v>35</v>
      </c>
      <c r="C17" s="26">
        <v>6.86</v>
      </c>
      <c r="D17" s="27">
        <v>8.9499999999999993</v>
      </c>
      <c r="E17" s="28">
        <v>194</v>
      </c>
      <c r="F17" s="16">
        <f t="shared" si="24"/>
        <v>11.911018</v>
      </c>
      <c r="G17" s="17"/>
      <c r="H17" s="18"/>
      <c r="I17" s="19">
        <f t="shared" si="25"/>
        <v>0</v>
      </c>
      <c r="J17" s="16"/>
      <c r="K17" s="18"/>
      <c r="L17" s="19">
        <f t="shared" si="26"/>
        <v>0</v>
      </c>
      <c r="M17" s="16"/>
      <c r="N17" s="18"/>
      <c r="O17" s="19">
        <f t="shared" si="27"/>
        <v>0</v>
      </c>
      <c r="P17" s="16"/>
      <c r="Q17" s="18"/>
      <c r="R17" s="19">
        <f t="shared" si="28"/>
        <v>0</v>
      </c>
      <c r="S17" s="20">
        <f t="shared" si="29"/>
        <v>0</v>
      </c>
      <c r="T17" s="19">
        <f t="shared" si="29"/>
        <v>0</v>
      </c>
      <c r="U17" s="21">
        <f t="shared" si="30"/>
        <v>194</v>
      </c>
      <c r="V17" s="19">
        <f t="shared" si="30"/>
        <v>11.911018</v>
      </c>
    </row>
    <row r="18" spans="1:22">
      <c r="A18" s="140" t="s">
        <v>13</v>
      </c>
      <c r="B18" s="26" t="s">
        <v>35</v>
      </c>
      <c r="C18" s="26">
        <v>6.86</v>
      </c>
      <c r="D18" s="27">
        <v>11.2</v>
      </c>
      <c r="E18" s="28">
        <v>256</v>
      </c>
      <c r="F18" s="16">
        <f t="shared" si="24"/>
        <v>19.668991999999999</v>
      </c>
      <c r="G18" s="17"/>
      <c r="H18" s="18"/>
      <c r="I18" s="19">
        <f t="shared" si="25"/>
        <v>0</v>
      </c>
      <c r="J18" s="16"/>
      <c r="K18" s="18"/>
      <c r="L18" s="19">
        <f t="shared" si="26"/>
        <v>0</v>
      </c>
      <c r="M18" s="16"/>
      <c r="N18" s="18"/>
      <c r="O18" s="19">
        <f t="shared" si="27"/>
        <v>0</v>
      </c>
      <c r="P18" s="16"/>
      <c r="Q18" s="18"/>
      <c r="R18" s="19">
        <f t="shared" si="28"/>
        <v>0</v>
      </c>
      <c r="S18" s="20">
        <f t="shared" si="29"/>
        <v>0</v>
      </c>
      <c r="T18" s="19">
        <f t="shared" si="29"/>
        <v>0</v>
      </c>
      <c r="U18" s="21">
        <f t="shared" si="30"/>
        <v>256</v>
      </c>
      <c r="V18" s="19">
        <f t="shared" si="30"/>
        <v>19.668991999999999</v>
      </c>
    </row>
    <row r="19" spans="1:22">
      <c r="A19" s="140"/>
      <c r="B19" s="26"/>
      <c r="C19" s="26"/>
      <c r="D19" s="27"/>
      <c r="E19" s="31">
        <f t="shared" ref="E19:F19" si="31">SUM(E16:E18)</f>
        <v>641</v>
      </c>
      <c r="F19" s="38">
        <f t="shared" si="31"/>
        <v>40.882856000000004</v>
      </c>
      <c r="G19" s="17"/>
      <c r="H19" s="31">
        <f t="shared" ref="H19:I19" si="32">SUM(H16:H18)</f>
        <v>0</v>
      </c>
      <c r="I19" s="38">
        <f t="shared" si="32"/>
        <v>0</v>
      </c>
      <c r="J19" s="16"/>
      <c r="K19" s="31">
        <f t="shared" ref="K19:L19" si="33">SUM(K16:K18)</f>
        <v>0</v>
      </c>
      <c r="L19" s="38">
        <f t="shared" si="33"/>
        <v>0</v>
      </c>
      <c r="M19" s="16"/>
      <c r="N19" s="31">
        <f t="shared" ref="N19:O19" si="34">SUM(N16:N18)</f>
        <v>0</v>
      </c>
      <c r="O19" s="38">
        <f t="shared" si="34"/>
        <v>0</v>
      </c>
      <c r="P19" s="16"/>
      <c r="Q19" s="31">
        <f t="shared" ref="Q19:V19" si="35">SUM(Q16:Q18)</f>
        <v>0</v>
      </c>
      <c r="R19" s="38">
        <f t="shared" si="35"/>
        <v>0</v>
      </c>
      <c r="S19" s="31">
        <f t="shared" si="35"/>
        <v>0</v>
      </c>
      <c r="T19" s="38">
        <f t="shared" si="35"/>
        <v>0</v>
      </c>
      <c r="U19" s="31">
        <f t="shared" si="35"/>
        <v>641</v>
      </c>
      <c r="V19" s="38">
        <f t="shared" si="35"/>
        <v>40.882856000000004</v>
      </c>
    </row>
    <row r="20" spans="1:22">
      <c r="A20" s="140" t="s">
        <v>14</v>
      </c>
      <c r="B20" s="26" t="s">
        <v>35</v>
      </c>
      <c r="C20" s="26">
        <v>6.86</v>
      </c>
      <c r="D20" s="27">
        <v>11.85</v>
      </c>
      <c r="E20" s="28">
        <v>63</v>
      </c>
      <c r="F20" s="16">
        <f>(C20*D20*E20/1000)</f>
        <v>5.1213329999999999</v>
      </c>
      <c r="G20" s="17"/>
      <c r="H20" s="18"/>
      <c r="I20" s="19">
        <f>(C20*D20*H20/1000)</f>
        <v>0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0</v>
      </c>
      <c r="T20" s="19">
        <f>+I20+L20+R20+O20</f>
        <v>0</v>
      </c>
      <c r="U20" s="21">
        <f>E20-S20</f>
        <v>63</v>
      </c>
      <c r="V20" s="19">
        <f>F20-T20</f>
        <v>5.1213329999999999</v>
      </c>
    </row>
    <row r="21" spans="1:22">
      <c r="A21" s="140"/>
      <c r="B21" s="26"/>
      <c r="C21" s="26"/>
      <c r="D21" s="27"/>
      <c r="E21" s="31">
        <f t="shared" ref="E21:F21" si="36">SUM(E20)</f>
        <v>63</v>
      </c>
      <c r="F21" s="38">
        <f t="shared" si="36"/>
        <v>5.1213329999999999</v>
      </c>
      <c r="G21" s="17"/>
      <c r="H21" s="31">
        <f t="shared" ref="H21:I21" si="37">SUM(H20)</f>
        <v>0</v>
      </c>
      <c r="I21" s="38">
        <f t="shared" si="37"/>
        <v>0</v>
      </c>
      <c r="J21" s="16"/>
      <c r="K21" s="31">
        <f t="shared" ref="K21:L21" si="38">SUM(K20)</f>
        <v>0</v>
      </c>
      <c r="L21" s="38">
        <f t="shared" si="38"/>
        <v>0</v>
      </c>
      <c r="M21" s="16"/>
      <c r="N21" s="31">
        <f t="shared" ref="N21:O21" si="39">SUM(N20)</f>
        <v>0</v>
      </c>
      <c r="O21" s="38">
        <f t="shared" si="39"/>
        <v>0</v>
      </c>
      <c r="P21" s="16"/>
      <c r="Q21" s="31">
        <f t="shared" ref="Q21:V21" si="40">SUM(Q20)</f>
        <v>0</v>
      </c>
      <c r="R21" s="38">
        <f t="shared" si="40"/>
        <v>0</v>
      </c>
      <c r="S21" s="31">
        <f t="shared" si="40"/>
        <v>0</v>
      </c>
      <c r="T21" s="38">
        <f t="shared" si="40"/>
        <v>0</v>
      </c>
      <c r="U21" s="31">
        <f t="shared" si="40"/>
        <v>63</v>
      </c>
      <c r="V21" s="38">
        <f t="shared" si="40"/>
        <v>5.1213329999999999</v>
      </c>
    </row>
    <row r="22" spans="1:22">
      <c r="A22" s="33"/>
      <c r="B22" s="33"/>
      <c r="C22" s="33"/>
      <c r="D22" s="34"/>
      <c r="E22" s="34">
        <f>SUM(E6:E21)/2</f>
        <v>2381</v>
      </c>
      <c r="F22" s="35">
        <f>SUM(F6:F21)/2</f>
        <v>142.79159399999998</v>
      </c>
      <c r="G22" s="17"/>
      <c r="H22" s="34">
        <f>SUM(H6:H21)/2</f>
        <v>0</v>
      </c>
      <c r="I22" s="35">
        <f>SUM(I6:I21)/2</f>
        <v>0</v>
      </c>
      <c r="J22" s="16"/>
      <c r="K22" s="34">
        <f>SUM(K6:K21)/2</f>
        <v>0</v>
      </c>
      <c r="L22" s="35">
        <f>SUM(L6:L21)/2</f>
        <v>0</v>
      </c>
      <c r="M22" s="16"/>
      <c r="N22" s="34">
        <f>SUM(N6:N21)/2</f>
        <v>0</v>
      </c>
      <c r="O22" s="35">
        <f>SUM(O6:O21)/2</f>
        <v>0</v>
      </c>
      <c r="P22" s="16"/>
      <c r="Q22" s="34">
        <f t="shared" ref="Q22:V22" si="41">SUM(Q6:Q21)/2</f>
        <v>0</v>
      </c>
      <c r="R22" s="35">
        <f t="shared" si="41"/>
        <v>0</v>
      </c>
      <c r="S22" s="34">
        <f t="shared" si="41"/>
        <v>0</v>
      </c>
      <c r="T22" s="35">
        <f t="shared" si="41"/>
        <v>0</v>
      </c>
      <c r="U22" s="34">
        <f t="shared" si="41"/>
        <v>2381</v>
      </c>
      <c r="V22" s="35">
        <f t="shared" si="41"/>
        <v>142.79159399999998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U18"/>
  <sheetViews>
    <sheetView zoomScale="75" zoomScaleNormal="75" workbookViewId="0">
      <pane ySplit="5" topLeftCell="A6" activePane="bottomLeft" state="frozen"/>
      <selection pane="bottomLeft" activeCell="Q29" sqref="Q2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bestFit="1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3"/>
      <c r="H1" s="144"/>
      <c r="I1" s="145" t="s">
        <v>20</v>
      </c>
      <c r="J1" s="144"/>
      <c r="K1" s="3"/>
      <c r="L1" s="4"/>
      <c r="M1" s="146" t="str">
        <f>+F2</f>
        <v>LOI-2019  03.04.23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15</v>
      </c>
      <c r="B2" s="8"/>
      <c r="C2" s="9"/>
      <c r="D2" s="9"/>
      <c r="E2" s="10"/>
      <c r="F2" s="146" t="s">
        <v>17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16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13</v>
      </c>
      <c r="B6" s="26" t="s">
        <v>18</v>
      </c>
      <c r="C6" s="26">
        <v>16.600000000000001</v>
      </c>
      <c r="D6" s="27">
        <v>12</v>
      </c>
      <c r="E6" s="28">
        <v>12</v>
      </c>
      <c r="F6" s="16">
        <f t="shared" ref="F6:F15" si="0">(C6*D6*E6/1000)</f>
        <v>2.3904000000000001</v>
      </c>
      <c r="G6" s="17" t="s">
        <v>91</v>
      </c>
      <c r="H6" s="18"/>
      <c r="I6" s="19">
        <f t="shared" ref="I6:I15" si="1">(C6*D6*H6/1000)</f>
        <v>0</v>
      </c>
      <c r="J6" s="16"/>
      <c r="K6" s="18"/>
      <c r="L6" s="19">
        <f t="shared" ref="L6:L15" si="2">(C6*D6*K6/1000)</f>
        <v>0</v>
      </c>
      <c r="M6" s="16"/>
      <c r="N6" s="18"/>
      <c r="O6" s="19">
        <f t="shared" ref="O6:O15" si="3">(C6*D6*N6/1000)</f>
        <v>0</v>
      </c>
      <c r="P6" s="20">
        <f t="shared" ref="P6:P15" si="4">+H6+K6+N6</f>
        <v>0</v>
      </c>
      <c r="Q6" s="19">
        <f t="shared" ref="Q6:Q15" si="5">+I6+L6+O6</f>
        <v>0</v>
      </c>
      <c r="R6" s="21">
        <f t="shared" ref="R6:R15" si="6">E6-P6</f>
        <v>12</v>
      </c>
      <c r="S6" s="19">
        <f t="shared" ref="S6:S15" si="7">F6-Q6</f>
        <v>2.3904000000000001</v>
      </c>
      <c r="U6" s="29"/>
    </row>
    <row r="7" spans="1:21">
      <c r="A7" s="26" t="s">
        <v>13</v>
      </c>
      <c r="B7" s="26" t="s">
        <v>18</v>
      </c>
      <c r="C7" s="26">
        <v>16.600000000000001</v>
      </c>
      <c r="D7" s="27">
        <v>7</v>
      </c>
      <c r="E7" s="28"/>
      <c r="F7" s="16">
        <f t="shared" si="0"/>
        <v>0</v>
      </c>
      <c r="G7" s="17" t="s">
        <v>92</v>
      </c>
      <c r="H7" s="18">
        <v>4</v>
      </c>
      <c r="I7" s="19">
        <f t="shared" si="1"/>
        <v>0.46480000000000005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20">
        <f t="shared" si="4"/>
        <v>4</v>
      </c>
      <c r="Q7" s="19">
        <f t="shared" si="5"/>
        <v>0.46480000000000005</v>
      </c>
      <c r="R7" s="21">
        <f t="shared" si="6"/>
        <v>-4</v>
      </c>
      <c r="S7" s="19">
        <f t="shared" si="7"/>
        <v>-0.46480000000000005</v>
      </c>
      <c r="U7" s="29"/>
    </row>
    <row r="8" spans="1:21">
      <c r="A8" s="26" t="s">
        <v>13</v>
      </c>
      <c r="B8" s="26" t="s">
        <v>18</v>
      </c>
      <c r="C8" s="26">
        <v>16.600000000000001</v>
      </c>
      <c r="D8" s="27">
        <v>7.2</v>
      </c>
      <c r="E8" s="28"/>
      <c r="F8" s="16">
        <f t="shared" si="0"/>
        <v>0</v>
      </c>
      <c r="G8" s="17"/>
      <c r="H8" s="18">
        <v>1</v>
      </c>
      <c r="I8" s="19">
        <f t="shared" si="1"/>
        <v>0.11952000000000002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20">
        <f t="shared" si="4"/>
        <v>1</v>
      </c>
      <c r="Q8" s="19">
        <f t="shared" si="5"/>
        <v>0.11952000000000002</v>
      </c>
      <c r="R8" s="21">
        <f t="shared" si="6"/>
        <v>-1</v>
      </c>
      <c r="S8" s="19">
        <f t="shared" si="7"/>
        <v>-0.11952000000000002</v>
      </c>
      <c r="U8" s="29"/>
    </row>
    <row r="9" spans="1:21">
      <c r="A9" s="26" t="s">
        <v>13</v>
      </c>
      <c r="B9" s="26" t="s">
        <v>18</v>
      </c>
      <c r="C9" s="26">
        <v>16.600000000000001</v>
      </c>
      <c r="D9" s="27">
        <v>8</v>
      </c>
      <c r="E9" s="28"/>
      <c r="F9" s="16">
        <f t="shared" si="0"/>
        <v>0</v>
      </c>
      <c r="G9" s="17"/>
      <c r="H9" s="18">
        <v>1</v>
      </c>
      <c r="I9" s="19">
        <f t="shared" si="1"/>
        <v>0.1328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20">
        <f t="shared" si="4"/>
        <v>1</v>
      </c>
      <c r="Q9" s="19">
        <f t="shared" si="5"/>
        <v>0.1328</v>
      </c>
      <c r="R9" s="21">
        <f t="shared" si="6"/>
        <v>-1</v>
      </c>
      <c r="S9" s="19">
        <f t="shared" si="7"/>
        <v>-0.1328</v>
      </c>
      <c r="U9" s="29"/>
    </row>
    <row r="10" spans="1:21">
      <c r="A10" s="26" t="s">
        <v>13</v>
      </c>
      <c r="B10" s="26" t="s">
        <v>18</v>
      </c>
      <c r="C10" s="26">
        <v>16.600000000000001</v>
      </c>
      <c r="D10" s="27">
        <v>8.1</v>
      </c>
      <c r="E10" s="28"/>
      <c r="F10" s="16">
        <f t="shared" si="0"/>
        <v>0</v>
      </c>
      <c r="G10" s="17"/>
      <c r="H10" s="18">
        <v>1</v>
      </c>
      <c r="I10" s="19">
        <f t="shared" si="1"/>
        <v>0.13446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20">
        <f t="shared" si="4"/>
        <v>1</v>
      </c>
      <c r="Q10" s="19">
        <f t="shared" si="5"/>
        <v>0.13446</v>
      </c>
      <c r="R10" s="21">
        <f t="shared" si="6"/>
        <v>-1</v>
      </c>
      <c r="S10" s="19">
        <f t="shared" si="7"/>
        <v>-0.13446</v>
      </c>
      <c r="U10" s="29"/>
    </row>
    <row r="11" spans="1:21">
      <c r="A11" s="26" t="s">
        <v>13</v>
      </c>
      <c r="B11" s="26" t="s">
        <v>18</v>
      </c>
      <c r="C11" s="26">
        <v>16.600000000000001</v>
      </c>
      <c r="D11" s="27">
        <v>8.5</v>
      </c>
      <c r="E11" s="28"/>
      <c r="F11" s="16">
        <f t="shared" si="0"/>
        <v>0</v>
      </c>
      <c r="G11" s="17"/>
      <c r="H11" s="18">
        <v>2</v>
      </c>
      <c r="I11" s="19">
        <f t="shared" si="1"/>
        <v>0.28220000000000006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20">
        <f t="shared" si="4"/>
        <v>2</v>
      </c>
      <c r="Q11" s="19">
        <f t="shared" si="5"/>
        <v>0.28220000000000006</v>
      </c>
      <c r="R11" s="21">
        <f t="shared" si="6"/>
        <v>-2</v>
      </c>
      <c r="S11" s="19">
        <f t="shared" si="7"/>
        <v>-0.28220000000000006</v>
      </c>
      <c r="U11" s="29"/>
    </row>
    <row r="12" spans="1:21">
      <c r="A12" s="26" t="s">
        <v>13</v>
      </c>
      <c r="B12" s="26" t="s">
        <v>18</v>
      </c>
      <c r="C12" s="26">
        <v>16.600000000000001</v>
      </c>
      <c r="D12" s="27">
        <v>8.6999999999999993</v>
      </c>
      <c r="E12" s="28"/>
      <c r="F12" s="16">
        <f t="shared" si="0"/>
        <v>0</v>
      </c>
      <c r="G12" s="17"/>
      <c r="H12" s="18">
        <v>1</v>
      </c>
      <c r="I12" s="19">
        <f t="shared" si="1"/>
        <v>0.14441999999999999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20">
        <f t="shared" si="4"/>
        <v>1</v>
      </c>
      <c r="Q12" s="19">
        <f t="shared" si="5"/>
        <v>0.14441999999999999</v>
      </c>
      <c r="R12" s="21">
        <f t="shared" si="6"/>
        <v>-1</v>
      </c>
      <c r="S12" s="19">
        <f t="shared" si="7"/>
        <v>-0.14441999999999999</v>
      </c>
      <c r="U12" s="29"/>
    </row>
    <row r="13" spans="1:21">
      <c r="A13" s="26" t="s">
        <v>13</v>
      </c>
      <c r="B13" s="26" t="s">
        <v>18</v>
      </c>
      <c r="C13" s="26">
        <v>16.600000000000001</v>
      </c>
      <c r="D13" s="27">
        <v>10.5</v>
      </c>
      <c r="E13" s="28"/>
      <c r="F13" s="16">
        <f t="shared" si="0"/>
        <v>0</v>
      </c>
      <c r="G13" s="17"/>
      <c r="H13" s="18">
        <v>1</v>
      </c>
      <c r="I13" s="19">
        <f t="shared" si="1"/>
        <v>0.17430000000000001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20">
        <f t="shared" si="4"/>
        <v>1</v>
      </c>
      <c r="Q13" s="19">
        <f t="shared" si="5"/>
        <v>0.17430000000000001</v>
      </c>
      <c r="R13" s="21">
        <f t="shared" si="6"/>
        <v>-1</v>
      </c>
      <c r="S13" s="19">
        <f t="shared" si="7"/>
        <v>-0.17430000000000001</v>
      </c>
      <c r="U13" s="29"/>
    </row>
    <row r="14" spans="1:21">
      <c r="A14" s="26" t="s">
        <v>13</v>
      </c>
      <c r="B14" s="26" t="s">
        <v>18</v>
      </c>
      <c r="C14" s="26">
        <v>16.600000000000001</v>
      </c>
      <c r="D14" s="27">
        <v>11</v>
      </c>
      <c r="E14" s="28"/>
      <c r="F14" s="16">
        <f t="shared" si="0"/>
        <v>0</v>
      </c>
      <c r="G14" s="17"/>
      <c r="H14" s="18">
        <v>1</v>
      </c>
      <c r="I14" s="19">
        <f t="shared" si="1"/>
        <v>0.18260000000000001</v>
      </c>
      <c r="J14" s="16"/>
      <c r="K14" s="18"/>
      <c r="L14" s="19">
        <f t="shared" si="2"/>
        <v>0</v>
      </c>
      <c r="M14" s="16"/>
      <c r="N14" s="18"/>
      <c r="O14" s="19">
        <f t="shared" si="3"/>
        <v>0</v>
      </c>
      <c r="P14" s="20">
        <f t="shared" si="4"/>
        <v>1</v>
      </c>
      <c r="Q14" s="19">
        <f t="shared" si="5"/>
        <v>0.18260000000000001</v>
      </c>
      <c r="R14" s="21">
        <f t="shared" si="6"/>
        <v>-1</v>
      </c>
      <c r="S14" s="19">
        <f t="shared" si="7"/>
        <v>-0.18260000000000001</v>
      </c>
      <c r="U14" s="29"/>
    </row>
    <row r="15" spans="1:21">
      <c r="A15" s="26" t="s">
        <v>13</v>
      </c>
      <c r="B15" s="26" t="s">
        <v>18</v>
      </c>
      <c r="C15" s="26">
        <v>16.600000000000001</v>
      </c>
      <c r="D15" s="27">
        <v>11.6</v>
      </c>
      <c r="E15" s="28"/>
      <c r="F15" s="16">
        <f t="shared" si="0"/>
        <v>0</v>
      </c>
      <c r="G15" s="17"/>
      <c r="H15" s="18">
        <v>3</v>
      </c>
      <c r="I15" s="19">
        <f t="shared" si="1"/>
        <v>0.57768000000000008</v>
      </c>
      <c r="J15" s="16"/>
      <c r="K15" s="18"/>
      <c r="L15" s="19">
        <f t="shared" si="2"/>
        <v>0</v>
      </c>
      <c r="M15" s="16"/>
      <c r="N15" s="18"/>
      <c r="O15" s="19">
        <f t="shared" si="3"/>
        <v>0</v>
      </c>
      <c r="P15" s="20">
        <f t="shared" si="4"/>
        <v>3</v>
      </c>
      <c r="Q15" s="19">
        <f t="shared" si="5"/>
        <v>0.57768000000000008</v>
      </c>
      <c r="R15" s="21">
        <f t="shared" si="6"/>
        <v>-3</v>
      </c>
      <c r="S15" s="19">
        <f t="shared" si="7"/>
        <v>-0.57768000000000008</v>
      </c>
      <c r="U15" s="29"/>
    </row>
    <row r="16" spans="1:21">
      <c r="A16" s="26" t="s">
        <v>13</v>
      </c>
      <c r="B16" s="26" t="s">
        <v>18</v>
      </c>
      <c r="C16" s="26">
        <v>16.600000000000001</v>
      </c>
      <c r="D16" s="27">
        <v>11.7</v>
      </c>
      <c r="E16" s="28"/>
      <c r="F16" s="16">
        <f>(C16*D16*E16/1000)</f>
        <v>0</v>
      </c>
      <c r="G16" s="17"/>
      <c r="H16" s="18">
        <v>1</v>
      </c>
      <c r="I16" s="19">
        <f>(C16*D16*H16/1000)</f>
        <v>0.19422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20">
        <f>+H16+K16+N16</f>
        <v>1</v>
      </c>
      <c r="Q16" s="19">
        <f>+I16+L16+O16</f>
        <v>0.19422</v>
      </c>
      <c r="R16" s="21">
        <f>E16-P16</f>
        <v>-1</v>
      </c>
      <c r="S16" s="19">
        <f>F16-Q16</f>
        <v>-0.19422</v>
      </c>
      <c r="U16" s="29"/>
    </row>
    <row r="17" spans="1:21">
      <c r="A17" s="26"/>
      <c r="B17" s="26"/>
      <c r="C17" s="30"/>
      <c r="D17" s="27"/>
      <c r="E17" s="31">
        <f>SUM(E6:E16)</f>
        <v>12</v>
      </c>
      <c r="F17" s="32">
        <f>SUM(F6:F16)</f>
        <v>2.3904000000000001</v>
      </c>
      <c r="G17" s="16"/>
      <c r="H17" s="31">
        <f>SUM(H6:H16)</f>
        <v>16</v>
      </c>
      <c r="I17" s="32">
        <f>SUM(I6:I16)</f>
        <v>2.4070000000000005</v>
      </c>
      <c r="J17" s="16"/>
      <c r="K17" s="31">
        <f>SUM(K6:K16)</f>
        <v>0</v>
      </c>
      <c r="L17" s="32">
        <f>SUM(L6:L16)</f>
        <v>0</v>
      </c>
      <c r="M17" s="16"/>
      <c r="N17" s="31">
        <f t="shared" ref="N17:S17" si="8">SUM(N6:N16)</f>
        <v>0</v>
      </c>
      <c r="O17" s="32">
        <f t="shared" si="8"/>
        <v>0</v>
      </c>
      <c r="P17" s="31">
        <f t="shared" si="8"/>
        <v>16</v>
      </c>
      <c r="Q17" s="32">
        <f t="shared" si="8"/>
        <v>2.4070000000000005</v>
      </c>
      <c r="R17" s="31">
        <f t="shared" si="8"/>
        <v>-4</v>
      </c>
      <c r="S17" s="32">
        <f t="shared" si="8"/>
        <v>-1.6600000000000226E-2</v>
      </c>
      <c r="U17" s="29"/>
    </row>
    <row r="18" spans="1:21">
      <c r="A18" s="33"/>
      <c r="B18" s="33"/>
      <c r="C18" s="34"/>
      <c r="D18" s="34"/>
      <c r="E18" s="34">
        <f>SUM(E16:E17)/2</f>
        <v>6</v>
      </c>
      <c r="F18" s="35">
        <f>SUM(F16:F17)/2</f>
        <v>1.1952</v>
      </c>
      <c r="G18" s="26"/>
      <c r="H18" s="34">
        <f>SUM(H16:H17)/2</f>
        <v>8.5</v>
      </c>
      <c r="I18" s="35">
        <f>SUM(I16:I17)/2</f>
        <v>1.3006100000000003</v>
      </c>
      <c r="J18" s="26"/>
      <c r="K18" s="34">
        <f>SUM(K16:K17)/2</f>
        <v>0</v>
      </c>
      <c r="L18" s="35">
        <f>SUM(L16:L17)/2</f>
        <v>0</v>
      </c>
      <c r="M18" s="26"/>
      <c r="N18" s="34">
        <f t="shared" ref="N18:S18" si="9">SUM(N16:N17)/2</f>
        <v>0</v>
      </c>
      <c r="O18" s="35">
        <f t="shared" si="9"/>
        <v>0</v>
      </c>
      <c r="P18" s="34">
        <f t="shared" si="9"/>
        <v>8.5</v>
      </c>
      <c r="Q18" s="35">
        <f t="shared" si="9"/>
        <v>1.3006100000000003</v>
      </c>
      <c r="R18" s="34">
        <f t="shared" si="9"/>
        <v>-2.5</v>
      </c>
      <c r="S18" s="35">
        <f t="shared" si="9"/>
        <v>-0.10541000000000011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U35"/>
  <sheetViews>
    <sheetView zoomScale="75" zoomScaleNormal="75" workbookViewId="0">
      <pane ySplit="5" topLeftCell="A6" activePane="bottomLeft" state="frozen"/>
      <selection pane="bottomLeft" activeCell="L24" sqref="L24:L2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bestFit="1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3"/>
      <c r="H1" s="144"/>
      <c r="I1" s="145" t="s">
        <v>21</v>
      </c>
      <c r="J1" s="144"/>
      <c r="K1" s="3"/>
      <c r="L1" s="4"/>
      <c r="M1" s="146" t="str">
        <f>+F2</f>
        <v>LOI-2020  03.04.23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23</v>
      </c>
      <c r="B2" s="8"/>
      <c r="C2" s="9"/>
      <c r="D2" s="9"/>
      <c r="E2" s="10"/>
      <c r="F2" s="146" t="s">
        <v>19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24</v>
      </c>
      <c r="B6" s="26" t="s">
        <v>25</v>
      </c>
      <c r="C6" s="26">
        <v>13.4</v>
      </c>
      <c r="D6" s="27">
        <v>12</v>
      </c>
      <c r="E6" s="28">
        <v>1</v>
      </c>
      <c r="F6" s="16">
        <f t="shared" ref="F6:F10" si="0">(C6*D6*E6/1000)</f>
        <v>0.1608</v>
      </c>
      <c r="G6" s="17" t="s">
        <v>64</v>
      </c>
      <c r="H6" s="18"/>
      <c r="I6" s="19">
        <f t="shared" ref="I6:I10" si="1">(C6*D6*H6/1000)</f>
        <v>0</v>
      </c>
      <c r="J6" s="16"/>
      <c r="K6" s="18"/>
      <c r="L6" s="19">
        <f t="shared" ref="L6:L10" si="2">(C6*D6*K6/1000)</f>
        <v>0</v>
      </c>
      <c r="M6" s="16"/>
      <c r="N6" s="18"/>
      <c r="O6" s="19">
        <f t="shared" ref="O6:O10" si="3">(C6*D6*N6/1000)</f>
        <v>0</v>
      </c>
      <c r="P6" s="20">
        <f t="shared" ref="P6:P10" si="4">+H6+K6+N6</f>
        <v>0</v>
      </c>
      <c r="Q6" s="19">
        <f t="shared" ref="Q6:Q10" si="5">+I6+L6+O6</f>
        <v>0</v>
      </c>
      <c r="R6" s="21">
        <f t="shared" ref="R6:R10" si="6">E6-P6</f>
        <v>1</v>
      </c>
      <c r="S6" s="19">
        <f t="shared" ref="S6:S10" si="7">F6-Q6</f>
        <v>0.1608</v>
      </c>
      <c r="U6" s="29"/>
    </row>
    <row r="7" spans="1:21">
      <c r="A7" s="26" t="s">
        <v>24</v>
      </c>
      <c r="B7" s="26" t="s">
        <v>25</v>
      </c>
      <c r="C7" s="26">
        <v>13.4</v>
      </c>
      <c r="D7" s="27">
        <v>11.7</v>
      </c>
      <c r="E7" s="28"/>
      <c r="F7" s="16">
        <f t="shared" si="0"/>
        <v>0</v>
      </c>
      <c r="G7" s="17" t="s">
        <v>95</v>
      </c>
      <c r="H7" s="18">
        <v>2</v>
      </c>
      <c r="I7" s="19">
        <f t="shared" si="1"/>
        <v>0.31356000000000001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20">
        <f t="shared" si="4"/>
        <v>2</v>
      </c>
      <c r="Q7" s="19">
        <f t="shared" si="5"/>
        <v>0.31356000000000001</v>
      </c>
      <c r="R7" s="21">
        <f t="shared" si="6"/>
        <v>-2</v>
      </c>
      <c r="S7" s="19">
        <f t="shared" si="7"/>
        <v>-0.31356000000000001</v>
      </c>
      <c r="U7" s="29"/>
    </row>
    <row r="8" spans="1:21">
      <c r="A8" s="26" t="s">
        <v>24</v>
      </c>
      <c r="B8" s="26" t="s">
        <v>25</v>
      </c>
      <c r="C8" s="26">
        <v>13.4</v>
      </c>
      <c r="D8" s="27"/>
      <c r="E8" s="28"/>
      <c r="F8" s="16">
        <f t="shared" si="0"/>
        <v>0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20">
        <f t="shared" si="4"/>
        <v>0</v>
      </c>
      <c r="Q8" s="19">
        <f t="shared" si="5"/>
        <v>0</v>
      </c>
      <c r="R8" s="21">
        <f t="shared" si="6"/>
        <v>0</v>
      </c>
      <c r="S8" s="19">
        <f t="shared" si="7"/>
        <v>0</v>
      </c>
      <c r="U8" s="29"/>
    </row>
    <row r="9" spans="1:21">
      <c r="A9" s="26" t="s">
        <v>24</v>
      </c>
      <c r="B9" s="26" t="s">
        <v>25</v>
      </c>
      <c r="C9" s="26">
        <v>13.4</v>
      </c>
      <c r="D9" s="27"/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20">
        <f t="shared" si="4"/>
        <v>0</v>
      </c>
      <c r="Q9" s="19">
        <f t="shared" si="5"/>
        <v>0</v>
      </c>
      <c r="R9" s="21">
        <f t="shared" si="6"/>
        <v>0</v>
      </c>
      <c r="S9" s="19">
        <f t="shared" si="7"/>
        <v>0</v>
      </c>
      <c r="U9" s="29"/>
    </row>
    <row r="10" spans="1:21">
      <c r="A10" s="26" t="s">
        <v>24</v>
      </c>
      <c r="B10" s="26" t="s">
        <v>25</v>
      </c>
      <c r="C10" s="26">
        <v>13.4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20">
        <f t="shared" si="4"/>
        <v>0</v>
      </c>
      <c r="Q10" s="19">
        <f t="shared" si="5"/>
        <v>0</v>
      </c>
      <c r="R10" s="21">
        <f t="shared" si="6"/>
        <v>0</v>
      </c>
      <c r="S10" s="19">
        <f t="shared" si="7"/>
        <v>0</v>
      </c>
      <c r="U10" s="29"/>
    </row>
    <row r="11" spans="1:21">
      <c r="A11" s="26" t="s">
        <v>24</v>
      </c>
      <c r="B11" s="26" t="s">
        <v>25</v>
      </c>
      <c r="C11" s="26">
        <v>13.4</v>
      </c>
      <c r="D11" s="27"/>
      <c r="E11" s="28"/>
      <c r="F11" s="16">
        <f>(C11*D11*E11/1000)</f>
        <v>0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20">
        <f>+H11+K11+N11</f>
        <v>0</v>
      </c>
      <c r="Q11" s="19">
        <f>+I11+L11+O11</f>
        <v>0</v>
      </c>
      <c r="R11" s="21">
        <f>E11-P11</f>
        <v>0</v>
      </c>
      <c r="S11" s="19">
        <f>F11-Q11</f>
        <v>0</v>
      </c>
      <c r="U11" s="29"/>
    </row>
    <row r="12" spans="1:21">
      <c r="A12" s="26"/>
      <c r="B12" s="26"/>
      <c r="C12" s="30"/>
      <c r="D12" s="27"/>
      <c r="E12" s="31">
        <f t="shared" ref="E12:F12" si="8">SUM(E6:E11)</f>
        <v>1</v>
      </c>
      <c r="F12" s="32">
        <f t="shared" si="8"/>
        <v>0.1608</v>
      </c>
      <c r="G12" s="17"/>
      <c r="H12" s="31">
        <f t="shared" ref="H12" si="9">SUM(H6:H11)</f>
        <v>2</v>
      </c>
      <c r="I12" s="32">
        <f t="shared" ref="I12" si="10">SUM(I6:I11)</f>
        <v>0.31356000000000001</v>
      </c>
      <c r="J12" s="16"/>
      <c r="K12" s="31">
        <f t="shared" ref="K12" si="11">SUM(K6:K11)</f>
        <v>0</v>
      </c>
      <c r="L12" s="32">
        <f t="shared" ref="L12" si="12">SUM(L6:L11)</f>
        <v>0</v>
      </c>
      <c r="M12" s="16"/>
      <c r="N12" s="31">
        <f t="shared" ref="N12" si="13">SUM(N6:N11)</f>
        <v>0</v>
      </c>
      <c r="O12" s="32">
        <f t="shared" ref="O12" si="14">SUM(O6:O11)</f>
        <v>0</v>
      </c>
      <c r="P12" s="31">
        <f t="shared" ref="P12" si="15">SUM(P6:P11)</f>
        <v>2</v>
      </c>
      <c r="Q12" s="32">
        <f t="shared" ref="Q12" si="16">SUM(Q6:Q11)</f>
        <v>0.31356000000000001</v>
      </c>
      <c r="R12" s="31">
        <f t="shared" ref="R12" si="17">SUM(R6:R11)</f>
        <v>-1</v>
      </c>
      <c r="S12" s="32">
        <f t="shared" ref="S12" si="18">SUM(S6:S11)</f>
        <v>-0.15276000000000001</v>
      </c>
      <c r="U12" s="29"/>
    </row>
    <row r="13" spans="1:21">
      <c r="A13" s="26" t="s">
        <v>14</v>
      </c>
      <c r="B13" s="26" t="s">
        <v>26</v>
      </c>
      <c r="C13" s="26">
        <v>8.3000000000000007</v>
      </c>
      <c r="D13" s="27">
        <v>12</v>
      </c>
      <c r="E13" s="28">
        <v>19</v>
      </c>
      <c r="F13" s="16">
        <f t="shared" ref="F13:F17" si="19">(C13*D13*E13/1000)</f>
        <v>1.8924000000000001</v>
      </c>
      <c r="G13" s="17" t="s">
        <v>93</v>
      </c>
      <c r="H13" s="18"/>
      <c r="I13" s="19">
        <f t="shared" ref="I13:I17" si="20">(C13*D13*H13/1000)</f>
        <v>0</v>
      </c>
      <c r="J13" s="16"/>
      <c r="K13" s="18"/>
      <c r="L13" s="19">
        <f t="shared" ref="L13:L17" si="21">(C13*D13*K13/1000)</f>
        <v>0</v>
      </c>
      <c r="M13" s="16"/>
      <c r="N13" s="18"/>
      <c r="O13" s="19">
        <f t="shared" ref="O13:O17" si="22">(C13*D13*N13/1000)</f>
        <v>0</v>
      </c>
      <c r="P13" s="20">
        <f t="shared" ref="P13:P17" si="23">+H13+K13+N13</f>
        <v>0</v>
      </c>
      <c r="Q13" s="19">
        <f t="shared" ref="Q13:Q17" si="24">+I13+L13+O13</f>
        <v>0</v>
      </c>
      <c r="R13" s="21">
        <f t="shared" ref="R13:R17" si="25">E13-P13</f>
        <v>19</v>
      </c>
      <c r="S13" s="19">
        <f t="shared" ref="S13:S17" si="26">F13-Q13</f>
        <v>1.8924000000000001</v>
      </c>
      <c r="U13" s="29"/>
    </row>
    <row r="14" spans="1:21">
      <c r="A14" s="26" t="s">
        <v>14</v>
      </c>
      <c r="B14" s="26" t="s">
        <v>26</v>
      </c>
      <c r="C14" s="26">
        <v>8.3000000000000007</v>
      </c>
      <c r="D14" s="27">
        <v>10</v>
      </c>
      <c r="E14" s="28"/>
      <c r="F14" s="16">
        <f t="shared" si="19"/>
        <v>0</v>
      </c>
      <c r="G14" s="16" t="s">
        <v>94</v>
      </c>
      <c r="H14" s="18">
        <v>10</v>
      </c>
      <c r="I14" s="19">
        <f t="shared" si="20"/>
        <v>0.83</v>
      </c>
      <c r="J14" s="16"/>
      <c r="K14" s="18"/>
      <c r="L14" s="19">
        <f t="shared" si="21"/>
        <v>0</v>
      </c>
      <c r="M14" s="16"/>
      <c r="N14" s="18"/>
      <c r="O14" s="19">
        <f t="shared" si="22"/>
        <v>0</v>
      </c>
      <c r="P14" s="20">
        <f t="shared" si="23"/>
        <v>10</v>
      </c>
      <c r="Q14" s="19">
        <f t="shared" si="24"/>
        <v>0.83</v>
      </c>
      <c r="R14" s="21">
        <f t="shared" si="25"/>
        <v>-10</v>
      </c>
      <c r="S14" s="19">
        <f t="shared" si="26"/>
        <v>-0.83</v>
      </c>
      <c r="U14" s="29"/>
    </row>
    <row r="15" spans="1:21">
      <c r="A15" s="26" t="s">
        <v>14</v>
      </c>
      <c r="B15" s="26" t="s">
        <v>26</v>
      </c>
      <c r="C15" s="26">
        <v>8.3000000000000007</v>
      </c>
      <c r="D15" s="27">
        <v>10.5</v>
      </c>
      <c r="E15" s="28"/>
      <c r="F15" s="16">
        <f t="shared" si="19"/>
        <v>0</v>
      </c>
      <c r="G15" s="17"/>
      <c r="H15" s="18">
        <v>3</v>
      </c>
      <c r="I15" s="19">
        <f t="shared" si="20"/>
        <v>0.26145000000000007</v>
      </c>
      <c r="J15" s="16"/>
      <c r="K15" s="18"/>
      <c r="L15" s="19">
        <f t="shared" si="21"/>
        <v>0</v>
      </c>
      <c r="M15" s="16"/>
      <c r="N15" s="18"/>
      <c r="O15" s="19">
        <f t="shared" si="22"/>
        <v>0</v>
      </c>
      <c r="P15" s="20">
        <f t="shared" si="23"/>
        <v>3</v>
      </c>
      <c r="Q15" s="19">
        <f t="shared" si="24"/>
        <v>0.26145000000000007</v>
      </c>
      <c r="R15" s="21">
        <f t="shared" si="25"/>
        <v>-3</v>
      </c>
      <c r="S15" s="19">
        <f t="shared" si="26"/>
        <v>-0.26145000000000007</v>
      </c>
      <c r="U15" s="29"/>
    </row>
    <row r="16" spans="1:21">
      <c r="A16" s="26" t="s">
        <v>14</v>
      </c>
      <c r="B16" s="26" t="s">
        <v>26</v>
      </c>
      <c r="C16" s="26">
        <v>8.3000000000000007</v>
      </c>
      <c r="D16" s="27">
        <v>11.9</v>
      </c>
      <c r="E16" s="28"/>
      <c r="F16" s="16">
        <f t="shared" si="19"/>
        <v>0</v>
      </c>
      <c r="G16" s="17"/>
      <c r="H16" s="18">
        <v>7</v>
      </c>
      <c r="I16" s="19">
        <f t="shared" si="20"/>
        <v>0.69139000000000006</v>
      </c>
      <c r="J16" s="16"/>
      <c r="K16" s="18"/>
      <c r="L16" s="19">
        <f t="shared" si="21"/>
        <v>0</v>
      </c>
      <c r="M16" s="16"/>
      <c r="N16" s="18"/>
      <c r="O16" s="19">
        <f t="shared" si="22"/>
        <v>0</v>
      </c>
      <c r="P16" s="20">
        <f t="shared" si="23"/>
        <v>7</v>
      </c>
      <c r="Q16" s="19">
        <f t="shared" si="24"/>
        <v>0.69139000000000006</v>
      </c>
      <c r="R16" s="21">
        <f t="shared" si="25"/>
        <v>-7</v>
      </c>
      <c r="S16" s="19">
        <f t="shared" si="26"/>
        <v>-0.69139000000000006</v>
      </c>
      <c r="U16" s="29"/>
    </row>
    <row r="17" spans="1:21">
      <c r="A17" s="26" t="s">
        <v>14</v>
      </c>
      <c r="B17" s="26" t="s">
        <v>26</v>
      </c>
      <c r="C17" s="26">
        <v>8.3000000000000007</v>
      </c>
      <c r="D17" s="27">
        <v>9.5</v>
      </c>
      <c r="E17" s="28"/>
      <c r="F17" s="16">
        <f t="shared" si="19"/>
        <v>0</v>
      </c>
      <c r="G17" s="17"/>
      <c r="H17" s="18">
        <v>2</v>
      </c>
      <c r="I17" s="19">
        <f t="shared" si="20"/>
        <v>0.15770000000000001</v>
      </c>
      <c r="J17" s="16"/>
      <c r="K17" s="18"/>
      <c r="L17" s="19">
        <f t="shared" si="21"/>
        <v>0</v>
      </c>
      <c r="M17" s="16"/>
      <c r="N17" s="18"/>
      <c r="O17" s="19">
        <f t="shared" si="22"/>
        <v>0</v>
      </c>
      <c r="P17" s="20">
        <f t="shared" si="23"/>
        <v>2</v>
      </c>
      <c r="Q17" s="19">
        <f t="shared" si="24"/>
        <v>0.15770000000000001</v>
      </c>
      <c r="R17" s="21">
        <f t="shared" si="25"/>
        <v>-2</v>
      </c>
      <c r="S17" s="19">
        <f t="shared" si="26"/>
        <v>-0.15770000000000001</v>
      </c>
      <c r="U17" s="29"/>
    </row>
    <row r="18" spans="1:21">
      <c r="A18" s="26" t="s">
        <v>14</v>
      </c>
      <c r="B18" s="26" t="s">
        <v>26</v>
      </c>
      <c r="C18" s="26">
        <v>8.3000000000000007</v>
      </c>
      <c r="D18" s="27"/>
      <c r="E18" s="28"/>
      <c r="F18" s="16">
        <f>(C18*D18*E18/1000)</f>
        <v>0</v>
      </c>
      <c r="G18" s="17"/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20">
        <f>+H18+K18+N18</f>
        <v>0</v>
      </c>
      <c r="Q18" s="19">
        <f>+I18+L18+O18</f>
        <v>0</v>
      </c>
      <c r="R18" s="21">
        <f>E18-P18</f>
        <v>0</v>
      </c>
      <c r="S18" s="19">
        <f>F18-Q18</f>
        <v>0</v>
      </c>
      <c r="U18" s="29"/>
    </row>
    <row r="19" spans="1:21">
      <c r="A19" s="26"/>
      <c r="B19" s="26"/>
      <c r="C19" s="30"/>
      <c r="D19" s="27"/>
      <c r="E19" s="31">
        <f t="shared" ref="E19:F19" si="27">SUM(E13:E18)</f>
        <v>19</v>
      </c>
      <c r="F19" s="32">
        <f t="shared" si="27"/>
        <v>1.8924000000000001</v>
      </c>
      <c r="G19" s="16"/>
      <c r="H19" s="31">
        <f t="shared" ref="H19" si="28">SUM(H13:H18)</f>
        <v>22</v>
      </c>
      <c r="I19" s="32">
        <f t="shared" ref="I19" si="29">SUM(I13:I18)</f>
        <v>1.9405400000000002</v>
      </c>
      <c r="J19" s="16"/>
      <c r="K19" s="31">
        <f t="shared" ref="K19" si="30">SUM(K13:K18)</f>
        <v>0</v>
      </c>
      <c r="L19" s="32">
        <f t="shared" ref="L19" si="31">SUM(L13:L18)</f>
        <v>0</v>
      </c>
      <c r="M19" s="16"/>
      <c r="N19" s="31">
        <f t="shared" ref="N19" si="32">SUM(N13:N18)</f>
        <v>0</v>
      </c>
      <c r="O19" s="32">
        <f t="shared" ref="O19" si="33">SUM(O13:O18)</f>
        <v>0</v>
      </c>
      <c r="P19" s="31">
        <f t="shared" ref="P19" si="34">SUM(P13:P18)</f>
        <v>22</v>
      </c>
      <c r="Q19" s="32">
        <f t="shared" ref="Q19" si="35">SUM(Q13:Q18)</f>
        <v>1.9405400000000002</v>
      </c>
      <c r="R19" s="31">
        <f t="shared" ref="R19" si="36">SUM(R13:R18)</f>
        <v>-3</v>
      </c>
      <c r="S19" s="32">
        <f t="shared" ref="S19" si="37">SUM(S13:S18)</f>
        <v>-4.8139999999999905E-2</v>
      </c>
      <c r="U19" s="29"/>
    </row>
    <row r="20" spans="1:21">
      <c r="A20" s="33"/>
      <c r="B20" s="33"/>
      <c r="C20" s="34"/>
      <c r="D20" s="34"/>
      <c r="E20" s="34">
        <f>SUM(E11:E19)/2</f>
        <v>19.5</v>
      </c>
      <c r="F20" s="35">
        <f>SUM(F11:F19)/2</f>
        <v>1.9727999999999999</v>
      </c>
      <c r="G20" s="26"/>
      <c r="H20" s="34">
        <f>SUM(H11:H19)/2</f>
        <v>23</v>
      </c>
      <c r="I20" s="35">
        <f>SUM(I11:I19)/2</f>
        <v>2.0973200000000003</v>
      </c>
      <c r="J20" s="26"/>
      <c r="K20" s="34">
        <f>SUM(K11:K19)/2</f>
        <v>0</v>
      </c>
      <c r="L20" s="35">
        <f>SUM(L11:L19)/2</f>
        <v>0</v>
      </c>
      <c r="M20" s="26"/>
      <c r="N20" s="34">
        <f t="shared" ref="N20:S20" si="38">SUM(N11:N19)/2</f>
        <v>0</v>
      </c>
      <c r="O20" s="35">
        <f t="shared" si="38"/>
        <v>0</v>
      </c>
      <c r="P20" s="34">
        <f t="shared" si="38"/>
        <v>23</v>
      </c>
      <c r="Q20" s="35">
        <f t="shared" si="38"/>
        <v>2.0973200000000003</v>
      </c>
      <c r="R20" s="34">
        <f t="shared" si="38"/>
        <v>-3.5</v>
      </c>
      <c r="S20" s="35">
        <f t="shared" si="38"/>
        <v>-0.12451999999999996</v>
      </c>
    </row>
    <row r="35" spans="5:5">
      <c r="E35" t="s">
        <v>82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X168"/>
  <sheetViews>
    <sheetView zoomScale="75" zoomScaleNormal="75" workbookViewId="0">
      <pane ySplit="5" topLeftCell="A24" activePane="bottomLeft" state="frozen"/>
      <selection pane="bottomLeft" activeCell="N36" sqref="N36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/>
      <c r="H1" s="144"/>
      <c r="I1" s="145" t="s">
        <v>29</v>
      </c>
      <c r="J1" s="144"/>
      <c r="K1" s="3"/>
      <c r="L1" s="4"/>
      <c r="M1" s="146" t="str">
        <f>+F2</f>
        <v>LOI-2021  03.04.23</v>
      </c>
      <c r="N1" s="146"/>
      <c r="O1" s="5"/>
      <c r="P1" s="146">
        <f>+I2</f>
        <v>0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28</v>
      </c>
      <c r="B2" s="8"/>
      <c r="C2" s="9"/>
      <c r="D2" s="9"/>
      <c r="E2" s="10"/>
      <c r="F2" s="146" t="s">
        <v>27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+F2</f>
        <v>LOI-2021  03.04.23</v>
      </c>
      <c r="V2" s="146"/>
    </row>
    <row r="3" spans="1:24">
      <c r="A3" s="12" t="s">
        <v>30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(F3*G3*Q3/1000)</f>
        <v>0</v>
      </c>
      <c r="S3" s="20">
        <f>+H3+K3+N3</f>
        <v>0</v>
      </c>
      <c r="T3" s="19">
        <f>+I3+L3+O3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31</v>
      </c>
      <c r="C6" s="30">
        <v>10.199999999999999</v>
      </c>
      <c r="D6" s="27">
        <v>7.2</v>
      </c>
      <c r="E6" s="28">
        <v>53</v>
      </c>
      <c r="F6" s="16">
        <f t="shared" ref="F6:F25" si="0">(C6*D6*E6/1000)</f>
        <v>3.8923199999999998</v>
      </c>
      <c r="G6" s="17" t="s">
        <v>93</v>
      </c>
      <c r="H6" s="18">
        <v>3</v>
      </c>
      <c r="I6" s="19">
        <f t="shared" ref="I6:I25" si="1">(C6*D6*H6/1000)</f>
        <v>0.22031999999999999</v>
      </c>
      <c r="J6" s="17" t="s">
        <v>89</v>
      </c>
      <c r="K6" s="18">
        <v>41</v>
      </c>
      <c r="L6" s="19">
        <f t="shared" ref="L6:L25" si="2">(C6*D6*K6/1000)</f>
        <v>3.0110399999999999</v>
      </c>
      <c r="M6" s="17" t="s">
        <v>88</v>
      </c>
      <c r="N6" s="18"/>
      <c r="O6" s="19">
        <f t="shared" ref="O6:O25" si="3">(C6*D6*N6/1000)</f>
        <v>0</v>
      </c>
      <c r="P6" s="16"/>
      <c r="Q6" s="18"/>
      <c r="R6" s="19">
        <f>(D6*C6*Q6/1000)</f>
        <v>0</v>
      </c>
      <c r="S6" s="20">
        <f>+H6+K6+N6+Q6</f>
        <v>44</v>
      </c>
      <c r="T6" s="19">
        <f>+I6+L6+O6+R6</f>
        <v>3.23136</v>
      </c>
      <c r="U6" s="21">
        <f t="shared" ref="U6:V6" si="4">E6-S6</f>
        <v>9</v>
      </c>
      <c r="V6" s="19">
        <f t="shared" si="4"/>
        <v>0.66095999999999977</v>
      </c>
      <c r="X6" s="29"/>
    </row>
    <row r="7" spans="1:24">
      <c r="A7" s="26" t="s">
        <v>13</v>
      </c>
      <c r="B7" s="26" t="s">
        <v>31</v>
      </c>
      <c r="C7" s="30">
        <v>10.199999999999999</v>
      </c>
      <c r="D7" s="27">
        <v>7.25</v>
      </c>
      <c r="E7" s="28">
        <v>80</v>
      </c>
      <c r="F7" s="16">
        <f t="shared" si="0"/>
        <v>5.9159999999999995</v>
      </c>
      <c r="G7" s="17" t="s">
        <v>94</v>
      </c>
      <c r="H7" s="18">
        <v>77</v>
      </c>
      <c r="I7" s="19">
        <f t="shared" si="1"/>
        <v>5.6941499999999987</v>
      </c>
      <c r="J7" s="17" t="s">
        <v>112</v>
      </c>
      <c r="K7" s="18">
        <v>1</v>
      </c>
      <c r="L7" s="19">
        <f t="shared" si="2"/>
        <v>7.3949999999999988E-2</v>
      </c>
      <c r="M7" s="17" t="s">
        <v>134</v>
      </c>
      <c r="N7" s="18"/>
      <c r="O7" s="19">
        <f t="shared" si="3"/>
        <v>0</v>
      </c>
      <c r="P7" s="16"/>
      <c r="Q7" s="18"/>
      <c r="R7" s="19">
        <f t="shared" ref="R7:R25" si="5">(D7*C7*Q7/1000)</f>
        <v>0</v>
      </c>
      <c r="S7" s="20">
        <f t="shared" ref="S7:S25" si="6">+H7+K7+N7+Q7</f>
        <v>78</v>
      </c>
      <c r="T7" s="19">
        <f t="shared" ref="T7:T25" si="7">+I7+L7+O7+R7</f>
        <v>5.7680999999999987</v>
      </c>
      <c r="U7" s="21">
        <f t="shared" ref="U7:U25" si="8">E7-S7</f>
        <v>2</v>
      </c>
      <c r="V7" s="19">
        <f t="shared" ref="V7:V25" si="9">F7-T7</f>
        <v>0.14790000000000081</v>
      </c>
      <c r="X7" s="29"/>
    </row>
    <row r="8" spans="1:24">
      <c r="A8" s="26" t="s">
        <v>13</v>
      </c>
      <c r="B8" s="26" t="s">
        <v>31</v>
      </c>
      <c r="C8" s="30">
        <v>10.199999999999999</v>
      </c>
      <c r="D8" s="27">
        <v>8.6</v>
      </c>
      <c r="E8" s="28">
        <v>34</v>
      </c>
      <c r="F8" s="16">
        <f t="shared" si="0"/>
        <v>2.9824799999999994</v>
      </c>
      <c r="G8" s="17" t="s">
        <v>64</v>
      </c>
      <c r="H8" s="18">
        <v>13</v>
      </c>
      <c r="I8" s="19">
        <f t="shared" si="1"/>
        <v>1.1403599999999998</v>
      </c>
      <c r="J8" s="16"/>
      <c r="K8" s="18">
        <v>6</v>
      </c>
      <c r="L8" s="19">
        <f t="shared" si="2"/>
        <v>0.5263199999999999</v>
      </c>
      <c r="M8" s="16"/>
      <c r="N8" s="18"/>
      <c r="O8" s="19">
        <f t="shared" si="3"/>
        <v>0</v>
      </c>
      <c r="P8" s="16"/>
      <c r="Q8" s="18"/>
      <c r="R8" s="19">
        <f t="shared" si="5"/>
        <v>0</v>
      </c>
      <c r="S8" s="20">
        <f t="shared" si="6"/>
        <v>19</v>
      </c>
      <c r="T8" s="19">
        <f t="shared" si="7"/>
        <v>1.6666799999999997</v>
      </c>
      <c r="U8" s="21">
        <f t="shared" si="8"/>
        <v>15</v>
      </c>
      <c r="V8" s="19">
        <f t="shared" si="9"/>
        <v>1.3157999999999996</v>
      </c>
      <c r="X8" s="29"/>
    </row>
    <row r="9" spans="1:24">
      <c r="A9" s="26" t="s">
        <v>13</v>
      </c>
      <c r="B9" s="26" t="s">
        <v>31</v>
      </c>
      <c r="C9" s="30">
        <v>10.199999999999999</v>
      </c>
      <c r="D9" s="27">
        <v>8.6999999999999993</v>
      </c>
      <c r="E9" s="28">
        <v>91</v>
      </c>
      <c r="F9" s="16">
        <f t="shared" si="0"/>
        <v>8.0753399999999989</v>
      </c>
      <c r="G9" s="17" t="s">
        <v>95</v>
      </c>
      <c r="H9" s="18">
        <v>69</v>
      </c>
      <c r="I9" s="19">
        <f t="shared" si="1"/>
        <v>6.1230599999999988</v>
      </c>
      <c r="J9" s="16"/>
      <c r="K9" s="18">
        <v>35</v>
      </c>
      <c r="L9" s="19">
        <f t="shared" si="2"/>
        <v>3.1058999999999992</v>
      </c>
      <c r="M9" s="16"/>
      <c r="N9" s="18"/>
      <c r="O9" s="19">
        <f t="shared" si="3"/>
        <v>0</v>
      </c>
      <c r="P9" s="16"/>
      <c r="Q9" s="18"/>
      <c r="R9" s="19">
        <f t="shared" si="5"/>
        <v>0</v>
      </c>
      <c r="S9" s="20">
        <f t="shared" si="6"/>
        <v>104</v>
      </c>
      <c r="T9" s="19">
        <f t="shared" si="7"/>
        <v>9.2289599999999972</v>
      </c>
      <c r="U9" s="21">
        <f t="shared" si="8"/>
        <v>-13</v>
      </c>
      <c r="V9" s="19">
        <f t="shared" si="9"/>
        <v>-1.1536199999999983</v>
      </c>
      <c r="X9" s="29"/>
    </row>
    <row r="10" spans="1:24">
      <c r="A10" s="26" t="s">
        <v>13</v>
      </c>
      <c r="B10" s="26" t="s">
        <v>31</v>
      </c>
      <c r="C10" s="30">
        <v>10.199999999999999</v>
      </c>
      <c r="D10" s="27">
        <v>10.5</v>
      </c>
      <c r="E10" s="28">
        <v>41</v>
      </c>
      <c r="F10" s="16">
        <f t="shared" si="0"/>
        <v>4.3910999999999998</v>
      </c>
      <c r="G10" s="17"/>
      <c r="H10" s="18">
        <v>42</v>
      </c>
      <c r="I10" s="19">
        <f t="shared" si="1"/>
        <v>4.4981999999999998</v>
      </c>
      <c r="J10" s="16"/>
      <c r="K10" s="18">
        <v>2</v>
      </c>
      <c r="L10" s="19">
        <f t="shared" si="2"/>
        <v>0.2142</v>
      </c>
      <c r="M10" s="16"/>
      <c r="N10" s="18"/>
      <c r="O10" s="19">
        <f t="shared" si="3"/>
        <v>0</v>
      </c>
      <c r="P10" s="16"/>
      <c r="Q10" s="18"/>
      <c r="R10" s="19">
        <f t="shared" si="5"/>
        <v>0</v>
      </c>
      <c r="S10" s="20">
        <f t="shared" si="6"/>
        <v>44</v>
      </c>
      <c r="T10" s="19">
        <f t="shared" si="7"/>
        <v>4.7123999999999997</v>
      </c>
      <c r="U10" s="21">
        <f t="shared" si="8"/>
        <v>-3</v>
      </c>
      <c r="V10" s="19">
        <f t="shared" si="9"/>
        <v>-0.32129999999999992</v>
      </c>
      <c r="X10" s="29"/>
    </row>
    <row r="11" spans="1:24">
      <c r="A11" s="26" t="s">
        <v>13</v>
      </c>
      <c r="B11" s="26" t="s">
        <v>31</v>
      </c>
      <c r="C11" s="30">
        <v>10.199999999999999</v>
      </c>
      <c r="D11" s="27">
        <v>10.9</v>
      </c>
      <c r="E11" s="28">
        <v>49</v>
      </c>
      <c r="F11" s="16">
        <f t="shared" si="0"/>
        <v>5.4478200000000001</v>
      </c>
      <c r="G11" s="17" t="s">
        <v>106</v>
      </c>
      <c r="H11" s="18">
        <v>45</v>
      </c>
      <c r="I11" s="19">
        <f t="shared" si="1"/>
        <v>5.0030999999999999</v>
      </c>
      <c r="J11" s="16"/>
      <c r="K11" s="18">
        <v>5</v>
      </c>
      <c r="L11" s="19">
        <f t="shared" si="2"/>
        <v>0.55589999999999995</v>
      </c>
      <c r="M11" s="16"/>
      <c r="N11" s="18"/>
      <c r="O11" s="19">
        <f t="shared" si="3"/>
        <v>0</v>
      </c>
      <c r="P11" s="16"/>
      <c r="Q11" s="18"/>
      <c r="R11" s="19">
        <f t="shared" si="5"/>
        <v>0</v>
      </c>
      <c r="S11" s="20">
        <f t="shared" si="6"/>
        <v>50</v>
      </c>
      <c r="T11" s="19">
        <f t="shared" si="7"/>
        <v>5.5590000000000002</v>
      </c>
      <c r="U11" s="21">
        <f t="shared" si="8"/>
        <v>-1</v>
      </c>
      <c r="V11" s="19">
        <f t="shared" si="9"/>
        <v>-0.11118000000000006</v>
      </c>
      <c r="X11" s="29"/>
    </row>
    <row r="12" spans="1:24">
      <c r="A12" s="26" t="s">
        <v>13</v>
      </c>
      <c r="B12" s="26" t="s">
        <v>31</v>
      </c>
      <c r="C12" s="30">
        <v>10.199999999999999</v>
      </c>
      <c r="D12" s="27">
        <v>11.1</v>
      </c>
      <c r="E12" s="28">
        <v>42</v>
      </c>
      <c r="F12" s="16">
        <f t="shared" si="0"/>
        <v>4.7552399999999997</v>
      </c>
      <c r="G12" s="17" t="s">
        <v>105</v>
      </c>
      <c r="H12" s="18">
        <v>36</v>
      </c>
      <c r="I12" s="19">
        <f t="shared" si="1"/>
        <v>4.07592</v>
      </c>
      <c r="J12" s="16"/>
      <c r="K12" s="18">
        <v>5</v>
      </c>
      <c r="L12" s="19">
        <f t="shared" si="2"/>
        <v>0.56609999999999994</v>
      </c>
      <c r="M12" s="16"/>
      <c r="N12" s="18"/>
      <c r="O12" s="19">
        <f t="shared" si="3"/>
        <v>0</v>
      </c>
      <c r="P12" s="16"/>
      <c r="Q12" s="18"/>
      <c r="R12" s="19">
        <f t="shared" si="5"/>
        <v>0</v>
      </c>
      <c r="S12" s="20">
        <f t="shared" si="6"/>
        <v>41</v>
      </c>
      <c r="T12" s="19">
        <f t="shared" si="7"/>
        <v>4.6420199999999996</v>
      </c>
      <c r="U12" s="21">
        <f t="shared" si="8"/>
        <v>1</v>
      </c>
      <c r="V12" s="19">
        <f t="shared" si="9"/>
        <v>0.1132200000000001</v>
      </c>
      <c r="X12" s="29"/>
    </row>
    <row r="13" spans="1:24">
      <c r="A13" s="26" t="s">
        <v>13</v>
      </c>
      <c r="B13" s="26" t="s">
        <v>31</v>
      </c>
      <c r="C13" s="30">
        <v>10.199999999999999</v>
      </c>
      <c r="D13" s="27">
        <v>11.5</v>
      </c>
      <c r="E13" s="28">
        <v>79</v>
      </c>
      <c r="F13" s="16">
        <f t="shared" si="0"/>
        <v>9.2666999999999984</v>
      </c>
      <c r="G13" s="17"/>
      <c r="H13" s="18">
        <v>60</v>
      </c>
      <c r="I13" s="19">
        <f t="shared" si="1"/>
        <v>7.0380000000000003</v>
      </c>
      <c r="J13" s="16"/>
      <c r="K13" s="18">
        <v>3</v>
      </c>
      <c r="L13" s="19">
        <f t="shared" si="2"/>
        <v>0.35189999999999999</v>
      </c>
      <c r="M13" s="16"/>
      <c r="N13" s="18"/>
      <c r="O13" s="19">
        <f t="shared" si="3"/>
        <v>0</v>
      </c>
      <c r="P13" s="16"/>
      <c r="Q13" s="18"/>
      <c r="R13" s="19">
        <f t="shared" si="5"/>
        <v>0</v>
      </c>
      <c r="S13" s="20">
        <f t="shared" si="6"/>
        <v>63</v>
      </c>
      <c r="T13" s="19">
        <f t="shared" si="7"/>
        <v>7.3898999999999999</v>
      </c>
      <c r="U13" s="21">
        <f t="shared" si="8"/>
        <v>16</v>
      </c>
      <c r="V13" s="19">
        <f t="shared" si="9"/>
        <v>1.8767999999999985</v>
      </c>
      <c r="X13" s="29"/>
    </row>
    <row r="14" spans="1:24">
      <c r="A14" s="26" t="s">
        <v>13</v>
      </c>
      <c r="B14" s="26" t="s">
        <v>31</v>
      </c>
      <c r="C14" s="30">
        <v>10.199999999999999</v>
      </c>
      <c r="D14" s="27">
        <v>12</v>
      </c>
      <c r="E14" s="28">
        <v>77</v>
      </c>
      <c r="F14" s="16">
        <f t="shared" ref="F14:F24" si="10">(C14*D14*E14/1000)</f>
        <v>9.4247999999999994</v>
      </c>
      <c r="G14" s="16" t="s">
        <v>93</v>
      </c>
      <c r="H14" s="18">
        <v>68</v>
      </c>
      <c r="I14" s="19">
        <f t="shared" ref="I14:I24" si="11">(C14*D14*H14/1000)</f>
        <v>8.3231999999999982</v>
      </c>
      <c r="J14" s="16"/>
      <c r="K14" s="18">
        <v>11</v>
      </c>
      <c r="L14" s="19">
        <f t="shared" ref="L14:L24" si="12">(C14*D14*K14/1000)</f>
        <v>1.3463999999999998</v>
      </c>
      <c r="M14" s="16"/>
      <c r="N14" s="18">
        <v>3</v>
      </c>
      <c r="O14" s="19">
        <f t="shared" ref="O14:O24" si="13">(C14*D14*N14/1000)</f>
        <v>0.36719999999999997</v>
      </c>
      <c r="P14" s="16"/>
      <c r="Q14" s="18"/>
      <c r="R14" s="19">
        <f t="shared" si="5"/>
        <v>0</v>
      </c>
      <c r="S14" s="20">
        <f t="shared" si="6"/>
        <v>82</v>
      </c>
      <c r="T14" s="19">
        <f t="shared" si="7"/>
        <v>10.036799999999998</v>
      </c>
      <c r="U14" s="21">
        <f t="shared" si="8"/>
        <v>-5</v>
      </c>
      <c r="V14" s="19">
        <f t="shared" si="9"/>
        <v>-0.61199999999999832</v>
      </c>
      <c r="X14" s="29"/>
    </row>
    <row r="15" spans="1:24">
      <c r="A15" s="26" t="s">
        <v>13</v>
      </c>
      <c r="B15" s="26" t="s">
        <v>31</v>
      </c>
      <c r="C15" s="30">
        <v>10.199999999999999</v>
      </c>
      <c r="D15" s="27">
        <v>8.4</v>
      </c>
      <c r="E15" s="28"/>
      <c r="F15" s="16">
        <f t="shared" si="10"/>
        <v>0</v>
      </c>
      <c r="G15" s="16" t="s">
        <v>108</v>
      </c>
      <c r="H15" s="18">
        <v>1</v>
      </c>
      <c r="I15" s="19">
        <f t="shared" si="11"/>
        <v>8.5679999999999992E-2</v>
      </c>
      <c r="J15" s="16"/>
      <c r="K15" s="18">
        <v>1</v>
      </c>
      <c r="L15" s="19">
        <f t="shared" si="12"/>
        <v>8.5679999999999992E-2</v>
      </c>
      <c r="M15" s="16"/>
      <c r="N15" s="18"/>
      <c r="O15" s="19">
        <f t="shared" si="13"/>
        <v>0</v>
      </c>
      <c r="P15" s="16"/>
      <c r="Q15" s="18"/>
      <c r="R15" s="19">
        <f t="shared" si="5"/>
        <v>0</v>
      </c>
      <c r="S15" s="20">
        <f t="shared" si="6"/>
        <v>2</v>
      </c>
      <c r="T15" s="19">
        <f t="shared" si="7"/>
        <v>0.17135999999999998</v>
      </c>
      <c r="U15" s="21">
        <f t="shared" si="8"/>
        <v>-2</v>
      </c>
      <c r="V15" s="19">
        <f t="shared" si="9"/>
        <v>-0.17135999999999998</v>
      </c>
      <c r="X15" s="29"/>
    </row>
    <row r="16" spans="1:24">
      <c r="A16" s="26" t="s">
        <v>13</v>
      </c>
      <c r="B16" s="26" t="s">
        <v>31</v>
      </c>
      <c r="C16" s="30">
        <v>10.199999999999999</v>
      </c>
      <c r="D16" s="27">
        <v>10</v>
      </c>
      <c r="E16" s="28"/>
      <c r="F16" s="16">
        <f t="shared" si="10"/>
        <v>0</v>
      </c>
      <c r="G16" s="16"/>
      <c r="H16" s="18">
        <v>4</v>
      </c>
      <c r="I16" s="19">
        <f t="shared" si="11"/>
        <v>0.40799999999999997</v>
      </c>
      <c r="J16" s="16"/>
      <c r="K16" s="18">
        <v>5</v>
      </c>
      <c r="L16" s="19">
        <f t="shared" si="12"/>
        <v>0.51</v>
      </c>
      <c r="M16" s="16"/>
      <c r="N16" s="18"/>
      <c r="O16" s="19">
        <f t="shared" si="13"/>
        <v>0</v>
      </c>
      <c r="P16" s="16"/>
      <c r="Q16" s="18"/>
      <c r="R16" s="19">
        <f t="shared" si="5"/>
        <v>0</v>
      </c>
      <c r="S16" s="20">
        <f t="shared" si="6"/>
        <v>9</v>
      </c>
      <c r="T16" s="19">
        <f t="shared" si="7"/>
        <v>0.91799999999999993</v>
      </c>
      <c r="U16" s="21">
        <f t="shared" si="8"/>
        <v>-9</v>
      </c>
      <c r="V16" s="19">
        <f t="shared" si="9"/>
        <v>-0.91799999999999993</v>
      </c>
      <c r="X16" s="29"/>
    </row>
    <row r="17" spans="1:24">
      <c r="A17" s="26" t="s">
        <v>13</v>
      </c>
      <c r="B17" s="26" t="s">
        <v>31</v>
      </c>
      <c r="C17" s="30">
        <v>10.199999999999999</v>
      </c>
      <c r="D17" s="27">
        <v>10.3</v>
      </c>
      <c r="E17" s="28"/>
      <c r="F17" s="16">
        <f t="shared" si="10"/>
        <v>0</v>
      </c>
      <c r="G17" s="17"/>
      <c r="H17" s="18">
        <v>1</v>
      </c>
      <c r="I17" s="19">
        <f t="shared" si="11"/>
        <v>0.10506</v>
      </c>
      <c r="J17" s="16"/>
      <c r="K17" s="18"/>
      <c r="L17" s="19">
        <f t="shared" si="12"/>
        <v>0</v>
      </c>
      <c r="M17" s="16"/>
      <c r="N17" s="18"/>
      <c r="O17" s="19">
        <f t="shared" si="13"/>
        <v>0</v>
      </c>
      <c r="P17" s="16"/>
      <c r="Q17" s="18"/>
      <c r="R17" s="19">
        <f t="shared" si="5"/>
        <v>0</v>
      </c>
      <c r="S17" s="20">
        <f t="shared" si="6"/>
        <v>1</v>
      </c>
      <c r="T17" s="19">
        <f t="shared" si="7"/>
        <v>0.10506</v>
      </c>
      <c r="U17" s="21">
        <f t="shared" si="8"/>
        <v>-1</v>
      </c>
      <c r="V17" s="19">
        <f t="shared" si="9"/>
        <v>-0.10506</v>
      </c>
      <c r="X17" s="29"/>
    </row>
    <row r="18" spans="1:24">
      <c r="A18" s="26" t="s">
        <v>13</v>
      </c>
      <c r="B18" s="26" t="s">
        <v>31</v>
      </c>
      <c r="C18" s="30">
        <v>10.199999999999999</v>
      </c>
      <c r="D18" s="27">
        <v>10.199999999999999</v>
      </c>
      <c r="E18" s="28"/>
      <c r="F18" s="16">
        <f t="shared" si="10"/>
        <v>0</v>
      </c>
      <c r="G18" s="17"/>
      <c r="H18" s="18">
        <v>3</v>
      </c>
      <c r="I18" s="19">
        <f t="shared" si="11"/>
        <v>0.31212000000000001</v>
      </c>
      <c r="J18" s="16"/>
      <c r="K18" s="18"/>
      <c r="L18" s="19">
        <f t="shared" si="12"/>
        <v>0</v>
      </c>
      <c r="M18" s="16"/>
      <c r="N18" s="18"/>
      <c r="O18" s="19">
        <f t="shared" si="13"/>
        <v>0</v>
      </c>
      <c r="P18" s="16"/>
      <c r="Q18" s="18"/>
      <c r="R18" s="19">
        <f t="shared" si="5"/>
        <v>0</v>
      </c>
      <c r="S18" s="20">
        <f t="shared" si="6"/>
        <v>3</v>
      </c>
      <c r="T18" s="19">
        <f t="shared" si="7"/>
        <v>0.31212000000000001</v>
      </c>
      <c r="U18" s="21">
        <f t="shared" si="8"/>
        <v>-3</v>
      </c>
      <c r="V18" s="19">
        <f t="shared" si="9"/>
        <v>-0.31212000000000001</v>
      </c>
      <c r="X18" s="29"/>
    </row>
    <row r="19" spans="1:24">
      <c r="A19" s="26" t="s">
        <v>13</v>
      </c>
      <c r="B19" s="26" t="s">
        <v>31</v>
      </c>
      <c r="C19" s="30">
        <v>10.199999999999999</v>
      </c>
      <c r="D19" s="27">
        <v>10.25</v>
      </c>
      <c r="E19" s="28"/>
      <c r="F19" s="16">
        <f t="shared" si="10"/>
        <v>0</v>
      </c>
      <c r="G19" s="17"/>
      <c r="H19" s="18">
        <v>0</v>
      </c>
      <c r="I19" s="19">
        <f t="shared" si="11"/>
        <v>0</v>
      </c>
      <c r="J19" s="16"/>
      <c r="K19" s="18">
        <v>1</v>
      </c>
      <c r="L19" s="19">
        <f t="shared" si="12"/>
        <v>0.10455</v>
      </c>
      <c r="M19" s="16"/>
      <c r="N19" s="18"/>
      <c r="O19" s="19">
        <f>(C19*D19*N19/1000)</f>
        <v>0</v>
      </c>
      <c r="P19" s="16"/>
      <c r="Q19" s="18"/>
      <c r="R19" s="19">
        <f t="shared" si="5"/>
        <v>0</v>
      </c>
      <c r="S19" s="20">
        <f t="shared" si="6"/>
        <v>1</v>
      </c>
      <c r="T19" s="19">
        <f t="shared" si="7"/>
        <v>0.10455</v>
      </c>
      <c r="U19" s="21">
        <f t="shared" si="8"/>
        <v>-1</v>
      </c>
      <c r="V19" s="19">
        <f t="shared" si="9"/>
        <v>-0.10455</v>
      </c>
      <c r="X19" s="29"/>
    </row>
    <row r="20" spans="1:24">
      <c r="A20" s="26" t="s">
        <v>13</v>
      </c>
      <c r="B20" s="26" t="s">
        <v>31</v>
      </c>
      <c r="C20" s="30">
        <v>10.199999999999999</v>
      </c>
      <c r="D20" s="27">
        <v>8</v>
      </c>
      <c r="E20" s="28"/>
      <c r="F20" s="16">
        <f t="shared" ref="F20:F23" si="14">(C20*D20*E20/1000)</f>
        <v>0</v>
      </c>
      <c r="G20" s="17"/>
      <c r="H20" s="18">
        <v>0</v>
      </c>
      <c r="I20" s="19">
        <f t="shared" ref="I20:I23" si="15">(C20*D20*H20/1000)</f>
        <v>0</v>
      </c>
      <c r="J20" s="16"/>
      <c r="K20" s="18">
        <v>1</v>
      </c>
      <c r="L20" s="19">
        <f t="shared" ref="L20:L23" si="16">(C20*D20*K20/1000)</f>
        <v>8.1599999999999992E-2</v>
      </c>
      <c r="M20" s="16"/>
      <c r="N20" s="18"/>
      <c r="O20" s="19">
        <f t="shared" ref="O20:O23" si="17">(C20*D20*N20/1000)</f>
        <v>0</v>
      </c>
      <c r="P20" s="16"/>
      <c r="Q20" s="18"/>
      <c r="R20" s="19">
        <f t="shared" ref="R20:R23" si="18">(D20*C20*Q20/1000)</f>
        <v>0</v>
      </c>
      <c r="S20" s="20">
        <f t="shared" ref="S20:S23" si="19">+H20+K20+N20+Q20</f>
        <v>1</v>
      </c>
      <c r="T20" s="19">
        <f t="shared" ref="T20:T23" si="20">+I20+L20+O20+R20</f>
        <v>8.1599999999999992E-2</v>
      </c>
      <c r="U20" s="21">
        <f t="shared" ref="U20:U23" si="21">E20-S20</f>
        <v>-1</v>
      </c>
      <c r="V20" s="19">
        <f t="shared" ref="V20:V23" si="22">F20-T20</f>
        <v>-8.1599999999999992E-2</v>
      </c>
      <c r="X20" s="29"/>
    </row>
    <row r="21" spans="1:24">
      <c r="A21" s="26" t="s">
        <v>13</v>
      </c>
      <c r="B21" s="26" t="s">
        <v>31</v>
      </c>
      <c r="C21" s="30">
        <v>10.199999999999999</v>
      </c>
      <c r="D21" s="27">
        <v>8.4</v>
      </c>
      <c r="E21" s="28"/>
      <c r="F21" s="16">
        <f t="shared" si="14"/>
        <v>0</v>
      </c>
      <c r="G21" s="17"/>
      <c r="H21" s="18">
        <v>0</v>
      </c>
      <c r="I21" s="19">
        <f t="shared" si="15"/>
        <v>0</v>
      </c>
      <c r="J21" s="16"/>
      <c r="K21" s="18">
        <v>2</v>
      </c>
      <c r="L21" s="19">
        <f t="shared" si="16"/>
        <v>0.17135999999999998</v>
      </c>
      <c r="M21" s="16"/>
      <c r="N21" s="18"/>
      <c r="O21" s="19">
        <f t="shared" si="17"/>
        <v>0</v>
      </c>
      <c r="P21" s="16"/>
      <c r="Q21" s="18"/>
      <c r="R21" s="19">
        <f t="shared" si="18"/>
        <v>0</v>
      </c>
      <c r="S21" s="20">
        <f t="shared" si="19"/>
        <v>2</v>
      </c>
      <c r="T21" s="19">
        <f t="shared" si="20"/>
        <v>0.17135999999999998</v>
      </c>
      <c r="U21" s="21">
        <f t="shared" si="21"/>
        <v>-2</v>
      </c>
      <c r="V21" s="19">
        <f t="shared" si="22"/>
        <v>-0.17135999999999998</v>
      </c>
      <c r="X21" s="29"/>
    </row>
    <row r="22" spans="1:24">
      <c r="A22" s="26" t="s">
        <v>13</v>
      </c>
      <c r="B22" s="26" t="s">
        <v>31</v>
      </c>
      <c r="C22" s="30">
        <v>10.199999999999999</v>
      </c>
      <c r="D22" s="27">
        <v>8.6</v>
      </c>
      <c r="E22" s="28"/>
      <c r="F22" s="16">
        <f t="shared" si="14"/>
        <v>0</v>
      </c>
      <c r="G22" s="17"/>
      <c r="H22" s="18">
        <v>0</v>
      </c>
      <c r="I22" s="19">
        <f t="shared" si="15"/>
        <v>0</v>
      </c>
      <c r="J22" s="16"/>
      <c r="K22" s="18">
        <v>2</v>
      </c>
      <c r="L22" s="19">
        <f t="shared" si="16"/>
        <v>0.17543999999999996</v>
      </c>
      <c r="M22" s="16"/>
      <c r="N22" s="18"/>
      <c r="O22" s="19">
        <f t="shared" si="17"/>
        <v>0</v>
      </c>
      <c r="P22" s="16"/>
      <c r="Q22" s="18"/>
      <c r="R22" s="19">
        <f t="shared" si="18"/>
        <v>0</v>
      </c>
      <c r="S22" s="20">
        <f t="shared" si="19"/>
        <v>2</v>
      </c>
      <c r="T22" s="19">
        <f t="shared" si="20"/>
        <v>0.17543999999999996</v>
      </c>
      <c r="U22" s="21">
        <f t="shared" si="21"/>
        <v>-2</v>
      </c>
      <c r="V22" s="19">
        <f t="shared" si="22"/>
        <v>-0.17543999999999996</v>
      </c>
      <c r="X22" s="29"/>
    </row>
    <row r="23" spans="1:24">
      <c r="A23" s="26" t="s">
        <v>13</v>
      </c>
      <c r="B23" s="26" t="s">
        <v>31</v>
      </c>
      <c r="C23" s="30">
        <v>10.199999999999999</v>
      </c>
      <c r="D23" s="27"/>
      <c r="E23" s="28"/>
      <c r="F23" s="16">
        <f t="shared" si="14"/>
        <v>0</v>
      </c>
      <c r="G23" s="17"/>
      <c r="H23" s="18">
        <v>0</v>
      </c>
      <c r="I23" s="19">
        <f t="shared" si="15"/>
        <v>0</v>
      </c>
      <c r="J23" s="16"/>
      <c r="K23" s="18"/>
      <c r="L23" s="19">
        <f t="shared" si="16"/>
        <v>0</v>
      </c>
      <c r="M23" s="16"/>
      <c r="N23" s="18"/>
      <c r="O23" s="19">
        <f t="shared" si="17"/>
        <v>0</v>
      </c>
      <c r="P23" s="16"/>
      <c r="Q23" s="18"/>
      <c r="R23" s="19">
        <f t="shared" si="18"/>
        <v>0</v>
      </c>
      <c r="S23" s="20">
        <f t="shared" si="19"/>
        <v>0</v>
      </c>
      <c r="T23" s="19">
        <f t="shared" si="20"/>
        <v>0</v>
      </c>
      <c r="U23" s="21">
        <f t="shared" si="21"/>
        <v>0</v>
      </c>
      <c r="V23" s="19">
        <f t="shared" si="22"/>
        <v>0</v>
      </c>
      <c r="X23" s="29"/>
    </row>
    <row r="24" spans="1:24">
      <c r="A24" s="26" t="s">
        <v>13</v>
      </c>
      <c r="B24" s="26" t="s">
        <v>31</v>
      </c>
      <c r="C24" s="30">
        <v>10.199999999999999</v>
      </c>
      <c r="D24" s="27"/>
      <c r="E24" s="28"/>
      <c r="F24" s="16">
        <f t="shared" si="10"/>
        <v>0</v>
      </c>
      <c r="G24" s="17"/>
      <c r="H24" s="18">
        <v>0</v>
      </c>
      <c r="I24" s="19">
        <f t="shared" si="11"/>
        <v>0</v>
      </c>
      <c r="J24" s="16"/>
      <c r="K24" s="18"/>
      <c r="L24" s="19">
        <f t="shared" si="12"/>
        <v>0</v>
      </c>
      <c r="M24" s="16"/>
      <c r="N24" s="18"/>
      <c r="O24" s="19">
        <f t="shared" si="13"/>
        <v>0</v>
      </c>
      <c r="P24" s="16"/>
      <c r="Q24" s="18"/>
      <c r="R24" s="19">
        <f t="shared" si="5"/>
        <v>0</v>
      </c>
      <c r="S24" s="20">
        <f t="shared" si="6"/>
        <v>0</v>
      </c>
      <c r="T24" s="19">
        <f t="shared" si="7"/>
        <v>0</v>
      </c>
      <c r="U24" s="21">
        <f t="shared" si="8"/>
        <v>0</v>
      </c>
      <c r="V24" s="19">
        <f t="shared" si="9"/>
        <v>0</v>
      </c>
      <c r="X24" s="29"/>
    </row>
    <row r="25" spans="1:24">
      <c r="A25" s="26" t="s">
        <v>13</v>
      </c>
      <c r="B25" s="26" t="s">
        <v>31</v>
      </c>
      <c r="C25" s="30">
        <v>10.199999999999999</v>
      </c>
      <c r="D25" s="27"/>
      <c r="E25" s="28"/>
      <c r="F25" s="16">
        <f t="shared" si="0"/>
        <v>0</v>
      </c>
      <c r="G25" s="17"/>
      <c r="H25" s="18">
        <v>0</v>
      </c>
      <c r="I25" s="19">
        <f t="shared" si="1"/>
        <v>0</v>
      </c>
      <c r="J25" s="16"/>
      <c r="K25" s="18"/>
      <c r="L25" s="19">
        <f t="shared" si="2"/>
        <v>0</v>
      </c>
      <c r="M25" s="16"/>
      <c r="N25" s="18"/>
      <c r="O25" s="19">
        <f t="shared" si="3"/>
        <v>0</v>
      </c>
      <c r="P25" s="16"/>
      <c r="Q25" s="18"/>
      <c r="R25" s="19">
        <f t="shared" si="5"/>
        <v>0</v>
      </c>
      <c r="S25" s="20">
        <f t="shared" si="6"/>
        <v>0</v>
      </c>
      <c r="T25" s="19">
        <f t="shared" si="7"/>
        <v>0</v>
      </c>
      <c r="U25" s="21">
        <f t="shared" si="8"/>
        <v>0</v>
      </c>
      <c r="V25" s="19">
        <f t="shared" si="9"/>
        <v>0</v>
      </c>
      <c r="X25" s="29"/>
    </row>
    <row r="26" spans="1:24">
      <c r="A26" s="36"/>
      <c r="B26" s="36"/>
      <c r="C26" s="37"/>
      <c r="D26" s="38"/>
      <c r="E26" s="31">
        <f t="shared" ref="E26" si="23">SUM(E6:E25)</f>
        <v>546</v>
      </c>
      <c r="F26" s="38">
        <f>SUM(F6:F25)</f>
        <v>54.151799999999994</v>
      </c>
      <c r="G26" s="17"/>
      <c r="H26" s="31">
        <f t="shared" ref="H26:I26" si="24">SUM(H6:H25)</f>
        <v>422</v>
      </c>
      <c r="I26" s="38">
        <f t="shared" si="24"/>
        <v>43.027170000000005</v>
      </c>
      <c r="J26" s="16"/>
      <c r="K26" s="31">
        <f t="shared" ref="K26:L26" si="25">SUM(K6:K25)</f>
        <v>121</v>
      </c>
      <c r="L26" s="38">
        <f t="shared" si="25"/>
        <v>10.880339999999999</v>
      </c>
      <c r="M26" s="16"/>
      <c r="N26" s="31">
        <f t="shared" ref="N26:U26" si="26">SUM(N6:N25)</f>
        <v>3</v>
      </c>
      <c r="O26" s="38">
        <f t="shared" si="26"/>
        <v>0.36719999999999997</v>
      </c>
      <c r="P26" s="16"/>
      <c r="Q26" s="31">
        <f t="shared" ref="Q26:R26" si="27">SUM(Q6:Q25)</f>
        <v>0</v>
      </c>
      <c r="R26" s="38">
        <f t="shared" si="27"/>
        <v>0</v>
      </c>
      <c r="S26" s="31">
        <f t="shared" si="26"/>
        <v>546</v>
      </c>
      <c r="T26" s="38">
        <f t="shared" si="26"/>
        <v>54.274709999999999</v>
      </c>
      <c r="U26" s="31">
        <f t="shared" si="26"/>
        <v>0</v>
      </c>
      <c r="V26" s="38">
        <f>SUM(V6:V25)</f>
        <v>-0.12290999999999747</v>
      </c>
      <c r="X26" s="29"/>
    </row>
    <row r="27" spans="1:24">
      <c r="A27" s="26" t="s">
        <v>13</v>
      </c>
      <c r="B27" s="26" t="s">
        <v>32</v>
      </c>
      <c r="C27" s="30">
        <v>11.8</v>
      </c>
      <c r="D27" s="27">
        <v>6.7</v>
      </c>
      <c r="E27" s="28">
        <v>145</v>
      </c>
      <c r="F27" s="16">
        <f t="shared" ref="F27:F41" si="28">(C27*D27*E27/1000)</f>
        <v>11.463700000000001</v>
      </c>
      <c r="G27" s="16" t="s">
        <v>93</v>
      </c>
      <c r="H27" s="18">
        <v>134</v>
      </c>
      <c r="I27" s="19">
        <f t="shared" ref="I27:I41" si="29">(C27*D27*H27/1000)</f>
        <v>10.594040000000001</v>
      </c>
      <c r="J27" s="16" t="s">
        <v>93</v>
      </c>
      <c r="K27" s="18">
        <v>15</v>
      </c>
      <c r="L27" s="19">
        <f t="shared" ref="L27:L41" si="30">(C27*D27*K27/1000)</f>
        <v>1.1859000000000002</v>
      </c>
      <c r="M27" s="17" t="s">
        <v>88</v>
      </c>
      <c r="N27" s="18"/>
      <c r="O27" s="19">
        <f t="shared" ref="O27:O41" si="31">(C27*D27*N27/1000)</f>
        <v>0</v>
      </c>
      <c r="P27" s="17"/>
      <c r="Q27" s="18"/>
      <c r="R27" s="19">
        <f t="shared" ref="R27:R41" si="32">(D27*C27*Q27/1000)</f>
        <v>0</v>
      </c>
      <c r="S27" s="20">
        <f t="shared" ref="S27:S41" si="33">+H27+K27+N27+Q27</f>
        <v>149</v>
      </c>
      <c r="T27" s="19">
        <f t="shared" ref="T27:T41" si="34">+I27+L27+O27+R27</f>
        <v>11.779940000000002</v>
      </c>
      <c r="U27" s="21">
        <f t="shared" ref="U27:U41" si="35">E27-S27</f>
        <v>-4</v>
      </c>
      <c r="V27" s="19">
        <f t="shared" ref="V27:V41" si="36">F27-T27</f>
        <v>-0.31624000000000052</v>
      </c>
      <c r="X27" s="29"/>
    </row>
    <row r="28" spans="1:24">
      <c r="A28" s="26" t="s">
        <v>13</v>
      </c>
      <c r="B28" s="26" t="s">
        <v>32</v>
      </c>
      <c r="C28" s="30">
        <v>11.8</v>
      </c>
      <c r="D28" s="27">
        <v>7.4</v>
      </c>
      <c r="E28" s="28">
        <v>160</v>
      </c>
      <c r="F28" s="16">
        <f t="shared" si="28"/>
        <v>13.971200000000001</v>
      </c>
      <c r="G28" s="16" t="s">
        <v>96</v>
      </c>
      <c r="H28" s="18">
        <v>148</v>
      </c>
      <c r="I28" s="19">
        <f t="shared" si="29"/>
        <v>12.923360000000001</v>
      </c>
      <c r="J28" s="16" t="s">
        <v>108</v>
      </c>
      <c r="K28" s="18">
        <v>3</v>
      </c>
      <c r="L28" s="19">
        <f t="shared" si="30"/>
        <v>0.26196000000000003</v>
      </c>
      <c r="M28" s="17" t="s">
        <v>134</v>
      </c>
      <c r="N28" s="18"/>
      <c r="O28" s="19">
        <f t="shared" si="31"/>
        <v>0</v>
      </c>
      <c r="P28" s="17"/>
      <c r="Q28" s="18"/>
      <c r="R28" s="19">
        <f t="shared" si="32"/>
        <v>0</v>
      </c>
      <c r="S28" s="20">
        <f t="shared" si="33"/>
        <v>151</v>
      </c>
      <c r="T28" s="19">
        <f t="shared" si="34"/>
        <v>13.185320000000001</v>
      </c>
      <c r="U28" s="21">
        <f t="shared" si="35"/>
        <v>9</v>
      </c>
      <c r="V28" s="19">
        <f t="shared" si="36"/>
        <v>0.78588000000000058</v>
      </c>
      <c r="X28" s="29"/>
    </row>
    <row r="29" spans="1:24">
      <c r="A29" s="26" t="s">
        <v>13</v>
      </c>
      <c r="B29" s="26" t="s">
        <v>32</v>
      </c>
      <c r="C29" s="30">
        <v>11.8</v>
      </c>
      <c r="D29" s="27">
        <v>9.25</v>
      </c>
      <c r="E29" s="28">
        <v>20</v>
      </c>
      <c r="F29" s="16">
        <f t="shared" si="28"/>
        <v>2.1829999999999998</v>
      </c>
      <c r="G29" s="16" t="s">
        <v>91</v>
      </c>
      <c r="H29" s="18">
        <v>20</v>
      </c>
      <c r="I29" s="19">
        <f t="shared" si="29"/>
        <v>2.1829999999999998</v>
      </c>
      <c r="J29" s="16"/>
      <c r="K29" s="18"/>
      <c r="L29" s="19">
        <f t="shared" si="30"/>
        <v>0</v>
      </c>
      <c r="M29" s="16"/>
      <c r="N29" s="18"/>
      <c r="O29" s="19">
        <f t="shared" si="31"/>
        <v>0</v>
      </c>
      <c r="P29" s="16"/>
      <c r="Q29" s="18"/>
      <c r="R29" s="19">
        <f t="shared" si="32"/>
        <v>0</v>
      </c>
      <c r="S29" s="20">
        <f t="shared" si="33"/>
        <v>20</v>
      </c>
      <c r="T29" s="19">
        <f t="shared" si="34"/>
        <v>2.1829999999999998</v>
      </c>
      <c r="U29" s="21">
        <f t="shared" si="35"/>
        <v>0</v>
      </c>
      <c r="V29" s="19">
        <f t="shared" si="36"/>
        <v>0</v>
      </c>
      <c r="X29" s="29"/>
    </row>
    <row r="30" spans="1:24">
      <c r="A30" s="26" t="s">
        <v>13</v>
      </c>
      <c r="B30" s="26" t="s">
        <v>32</v>
      </c>
      <c r="C30" s="30">
        <v>11.8</v>
      </c>
      <c r="D30" s="27">
        <v>10</v>
      </c>
      <c r="E30" s="28">
        <v>74</v>
      </c>
      <c r="F30" s="16">
        <f t="shared" si="28"/>
        <v>8.7319999999999993</v>
      </c>
      <c r="G30" s="16" t="s">
        <v>99</v>
      </c>
      <c r="H30" s="18">
        <v>93</v>
      </c>
      <c r="I30" s="19">
        <f t="shared" si="29"/>
        <v>10.974</v>
      </c>
      <c r="J30" s="16"/>
      <c r="K30" s="18">
        <v>1</v>
      </c>
      <c r="L30" s="19">
        <f t="shared" si="30"/>
        <v>0.11799999999999999</v>
      </c>
      <c r="M30" s="16"/>
      <c r="N30" s="18"/>
      <c r="O30" s="19">
        <f t="shared" si="31"/>
        <v>0</v>
      </c>
      <c r="P30" s="16"/>
      <c r="Q30" s="18"/>
      <c r="R30" s="19">
        <f t="shared" si="32"/>
        <v>0</v>
      </c>
      <c r="S30" s="20">
        <f t="shared" si="33"/>
        <v>94</v>
      </c>
      <c r="T30" s="19">
        <f t="shared" si="34"/>
        <v>11.092000000000001</v>
      </c>
      <c r="U30" s="21">
        <f t="shared" si="35"/>
        <v>-20</v>
      </c>
      <c r="V30" s="19">
        <f t="shared" si="36"/>
        <v>-2.3600000000000012</v>
      </c>
      <c r="X30" s="29"/>
    </row>
    <row r="31" spans="1:24">
      <c r="A31" s="26" t="s">
        <v>13</v>
      </c>
      <c r="B31" s="26" t="s">
        <v>32</v>
      </c>
      <c r="C31" s="30">
        <v>11.8</v>
      </c>
      <c r="D31" s="27">
        <v>10.1</v>
      </c>
      <c r="E31" s="28">
        <v>20</v>
      </c>
      <c r="F31" s="16">
        <f t="shared" si="28"/>
        <v>2.3836000000000004</v>
      </c>
      <c r="G31" s="16" t="s">
        <v>89</v>
      </c>
      <c r="H31" s="18">
        <v>17</v>
      </c>
      <c r="I31" s="19">
        <f t="shared" si="29"/>
        <v>2.0260600000000002</v>
      </c>
      <c r="J31" s="16"/>
      <c r="K31" s="18">
        <v>1</v>
      </c>
      <c r="L31" s="19">
        <f t="shared" si="30"/>
        <v>0.11918000000000001</v>
      </c>
      <c r="M31" s="16"/>
      <c r="N31" s="18"/>
      <c r="O31" s="19">
        <f t="shared" si="31"/>
        <v>0</v>
      </c>
      <c r="P31" s="16"/>
      <c r="Q31" s="18"/>
      <c r="R31" s="19">
        <f t="shared" si="32"/>
        <v>0</v>
      </c>
      <c r="S31" s="20">
        <f t="shared" si="33"/>
        <v>18</v>
      </c>
      <c r="T31" s="19">
        <f t="shared" si="34"/>
        <v>2.1452400000000003</v>
      </c>
      <c r="U31" s="21">
        <f t="shared" si="35"/>
        <v>2</v>
      </c>
      <c r="V31" s="19">
        <f t="shared" si="36"/>
        <v>0.23836000000000013</v>
      </c>
      <c r="X31" s="29"/>
    </row>
    <row r="32" spans="1:24">
      <c r="A32" s="26" t="s">
        <v>13</v>
      </c>
      <c r="B32" s="26" t="s">
        <v>32</v>
      </c>
      <c r="C32" s="30">
        <v>11.8</v>
      </c>
      <c r="D32" s="27">
        <v>10.8</v>
      </c>
      <c r="E32" s="28">
        <v>163</v>
      </c>
      <c r="F32" s="16">
        <f t="shared" si="28"/>
        <v>20.77272</v>
      </c>
      <c r="G32" s="16" t="s">
        <v>101</v>
      </c>
      <c r="H32" s="18">
        <v>146</v>
      </c>
      <c r="I32" s="19">
        <f t="shared" si="29"/>
        <v>18.606240000000003</v>
      </c>
      <c r="J32" s="16"/>
      <c r="K32" s="18">
        <v>11</v>
      </c>
      <c r="L32" s="19">
        <f t="shared" si="30"/>
        <v>1.4018400000000002</v>
      </c>
      <c r="M32" s="16"/>
      <c r="N32" s="18"/>
      <c r="O32" s="19">
        <f t="shared" si="31"/>
        <v>0</v>
      </c>
      <c r="P32" s="16"/>
      <c r="Q32" s="18"/>
      <c r="R32" s="19">
        <f t="shared" si="32"/>
        <v>0</v>
      </c>
      <c r="S32" s="20">
        <f t="shared" si="33"/>
        <v>157</v>
      </c>
      <c r="T32" s="19">
        <f t="shared" si="34"/>
        <v>20.008080000000003</v>
      </c>
      <c r="U32" s="21">
        <f t="shared" si="35"/>
        <v>6</v>
      </c>
      <c r="V32" s="19">
        <f t="shared" si="36"/>
        <v>0.76463999999999643</v>
      </c>
      <c r="X32" s="29"/>
    </row>
    <row r="33" spans="1:24">
      <c r="A33" s="26" t="s">
        <v>13</v>
      </c>
      <c r="B33" s="26" t="s">
        <v>32</v>
      </c>
      <c r="C33" s="30">
        <v>11.8</v>
      </c>
      <c r="D33" s="27">
        <v>11.5</v>
      </c>
      <c r="E33" s="28">
        <v>16</v>
      </c>
      <c r="F33" s="16">
        <f t="shared" si="28"/>
        <v>2.1712000000000002</v>
      </c>
      <c r="G33" s="17" t="s">
        <v>106</v>
      </c>
      <c r="H33" s="18">
        <v>12</v>
      </c>
      <c r="I33" s="19">
        <f t="shared" si="29"/>
        <v>1.6284000000000001</v>
      </c>
      <c r="J33" s="16"/>
      <c r="K33" s="18">
        <v>3</v>
      </c>
      <c r="L33" s="19">
        <f t="shared" si="30"/>
        <v>0.40710000000000002</v>
      </c>
      <c r="M33" s="16"/>
      <c r="N33" s="18"/>
      <c r="O33" s="19">
        <f t="shared" si="31"/>
        <v>0</v>
      </c>
      <c r="P33" s="16"/>
      <c r="Q33" s="18"/>
      <c r="R33" s="19">
        <f t="shared" si="32"/>
        <v>0</v>
      </c>
      <c r="S33" s="20">
        <f t="shared" si="33"/>
        <v>15</v>
      </c>
      <c r="T33" s="19">
        <f t="shared" si="34"/>
        <v>2.0354999999999999</v>
      </c>
      <c r="U33" s="21">
        <f t="shared" si="35"/>
        <v>1</v>
      </c>
      <c r="V33" s="19">
        <f t="shared" si="36"/>
        <v>0.13570000000000038</v>
      </c>
      <c r="X33" s="29"/>
    </row>
    <row r="34" spans="1:24">
      <c r="A34" s="26" t="s">
        <v>13</v>
      </c>
      <c r="B34" s="26" t="s">
        <v>32</v>
      </c>
      <c r="C34" s="30">
        <v>11.8</v>
      </c>
      <c r="D34" s="27">
        <v>11.6</v>
      </c>
      <c r="E34" s="28">
        <v>28</v>
      </c>
      <c r="F34" s="16">
        <f t="shared" si="28"/>
        <v>3.83264</v>
      </c>
      <c r="G34" s="17" t="s">
        <v>105</v>
      </c>
      <c r="H34" s="18">
        <v>24</v>
      </c>
      <c r="I34" s="19">
        <f t="shared" si="29"/>
        <v>3.28512</v>
      </c>
      <c r="J34" s="16"/>
      <c r="K34" s="18">
        <v>1</v>
      </c>
      <c r="L34" s="19">
        <f t="shared" si="30"/>
        <v>0.13688</v>
      </c>
      <c r="M34" s="16"/>
      <c r="N34" s="18"/>
      <c r="O34" s="19">
        <f t="shared" si="31"/>
        <v>0</v>
      </c>
      <c r="P34" s="16"/>
      <c r="Q34" s="18"/>
      <c r="R34" s="19">
        <f t="shared" si="32"/>
        <v>0</v>
      </c>
      <c r="S34" s="20">
        <f t="shared" si="33"/>
        <v>25</v>
      </c>
      <c r="T34" s="19">
        <f t="shared" si="34"/>
        <v>3.4220000000000002</v>
      </c>
      <c r="U34" s="21">
        <f t="shared" si="35"/>
        <v>3</v>
      </c>
      <c r="V34" s="19">
        <f t="shared" si="36"/>
        <v>0.41063999999999989</v>
      </c>
      <c r="X34" s="29"/>
    </row>
    <row r="35" spans="1:24">
      <c r="A35" s="26" t="s">
        <v>13</v>
      </c>
      <c r="B35" s="26" t="s">
        <v>32</v>
      </c>
      <c r="C35" s="30">
        <v>11.8</v>
      </c>
      <c r="D35" s="27">
        <v>12</v>
      </c>
      <c r="E35" s="28">
        <v>27</v>
      </c>
      <c r="F35" s="16">
        <f t="shared" ref="F35:F40" si="37">(C35*D35*E35/1000)</f>
        <v>3.8232000000000008</v>
      </c>
      <c r="G35" s="16"/>
      <c r="H35" s="18">
        <v>16</v>
      </c>
      <c r="I35" s="19">
        <f t="shared" ref="I35:I40" si="38">(C35*D35*H35/1000)</f>
        <v>2.2656000000000005</v>
      </c>
      <c r="J35" s="16"/>
      <c r="K35" s="18">
        <v>1</v>
      </c>
      <c r="L35" s="19">
        <f t="shared" ref="L35:L40" si="39">(C35*D35*K35/1000)</f>
        <v>0.14160000000000003</v>
      </c>
      <c r="M35" s="16"/>
      <c r="N35" s="18">
        <v>1</v>
      </c>
      <c r="O35" s="19">
        <f t="shared" ref="O35:O40" si="40">(C35*D35*N35/1000)</f>
        <v>0.14160000000000003</v>
      </c>
      <c r="P35" s="16"/>
      <c r="Q35" s="18"/>
      <c r="R35" s="19">
        <f t="shared" ref="R35:R40" si="41">(D35*C35*Q35/1000)</f>
        <v>0</v>
      </c>
      <c r="S35" s="20">
        <f t="shared" si="33"/>
        <v>18</v>
      </c>
      <c r="T35" s="19">
        <f t="shared" si="34"/>
        <v>2.5488000000000004</v>
      </c>
      <c r="U35" s="21">
        <f t="shared" si="35"/>
        <v>9</v>
      </c>
      <c r="V35" s="19">
        <f t="shared" si="36"/>
        <v>1.2744000000000004</v>
      </c>
      <c r="X35" s="29"/>
    </row>
    <row r="36" spans="1:24">
      <c r="A36" s="26" t="s">
        <v>13</v>
      </c>
      <c r="B36" s="26" t="s">
        <v>32</v>
      </c>
      <c r="C36" s="30">
        <v>11.8</v>
      </c>
      <c r="D36" s="27">
        <v>9</v>
      </c>
      <c r="E36" s="28"/>
      <c r="F36" s="16">
        <f t="shared" si="37"/>
        <v>0</v>
      </c>
      <c r="G36" s="16"/>
      <c r="H36" s="18"/>
      <c r="I36" s="19">
        <f t="shared" si="38"/>
        <v>0</v>
      </c>
      <c r="J36" s="16"/>
      <c r="K36" s="18">
        <v>1</v>
      </c>
      <c r="L36" s="19">
        <f t="shared" si="39"/>
        <v>0.1062</v>
      </c>
      <c r="M36" s="16"/>
      <c r="N36" s="18"/>
      <c r="O36" s="19">
        <f t="shared" si="40"/>
        <v>0</v>
      </c>
      <c r="P36" s="16"/>
      <c r="Q36" s="18"/>
      <c r="R36" s="19">
        <f t="shared" si="41"/>
        <v>0</v>
      </c>
      <c r="S36" s="20">
        <f t="shared" si="33"/>
        <v>1</v>
      </c>
      <c r="T36" s="19">
        <f t="shared" si="34"/>
        <v>0.1062</v>
      </c>
      <c r="U36" s="21">
        <f t="shared" si="35"/>
        <v>-1</v>
      </c>
      <c r="V36" s="19">
        <f t="shared" si="36"/>
        <v>-0.1062</v>
      </c>
      <c r="X36" s="29"/>
    </row>
    <row r="37" spans="1:24">
      <c r="A37" s="26" t="s">
        <v>13</v>
      </c>
      <c r="B37" s="26" t="s">
        <v>32</v>
      </c>
      <c r="C37" s="30">
        <v>11.8</v>
      </c>
      <c r="D37" s="27">
        <v>11.2</v>
      </c>
      <c r="E37" s="28"/>
      <c r="F37" s="16">
        <f t="shared" si="37"/>
        <v>0</v>
      </c>
      <c r="G37" s="16"/>
      <c r="H37" s="18"/>
      <c r="I37" s="19">
        <f t="shared" si="38"/>
        <v>0</v>
      </c>
      <c r="J37" s="16"/>
      <c r="K37" s="18">
        <v>2</v>
      </c>
      <c r="L37" s="19">
        <f t="shared" si="39"/>
        <v>0.26432</v>
      </c>
      <c r="M37" s="16"/>
      <c r="N37" s="18"/>
      <c r="O37" s="19">
        <f t="shared" si="40"/>
        <v>0</v>
      </c>
      <c r="P37" s="16"/>
      <c r="Q37" s="18"/>
      <c r="R37" s="19">
        <f t="shared" si="41"/>
        <v>0</v>
      </c>
      <c r="S37" s="20">
        <f t="shared" si="33"/>
        <v>2</v>
      </c>
      <c r="T37" s="19">
        <f t="shared" si="34"/>
        <v>0.26432</v>
      </c>
      <c r="U37" s="21">
        <f t="shared" si="35"/>
        <v>-2</v>
      </c>
      <c r="V37" s="19">
        <f t="shared" si="36"/>
        <v>-0.26432</v>
      </c>
      <c r="X37" s="29"/>
    </row>
    <row r="38" spans="1:24">
      <c r="A38" s="26" t="s">
        <v>13</v>
      </c>
      <c r="B38" s="26" t="s">
        <v>32</v>
      </c>
      <c r="C38" s="30">
        <v>11.8</v>
      </c>
      <c r="D38" s="27">
        <v>11</v>
      </c>
      <c r="E38" s="28"/>
      <c r="F38" s="16">
        <f t="shared" si="37"/>
        <v>0</v>
      </c>
      <c r="G38" s="16"/>
      <c r="H38" s="18"/>
      <c r="I38" s="19">
        <f t="shared" si="38"/>
        <v>0</v>
      </c>
      <c r="J38" s="16"/>
      <c r="K38" s="18">
        <v>3</v>
      </c>
      <c r="L38" s="19">
        <f t="shared" si="39"/>
        <v>0.38940000000000002</v>
      </c>
      <c r="M38" s="16"/>
      <c r="N38" s="18"/>
      <c r="O38" s="19">
        <f t="shared" si="40"/>
        <v>0</v>
      </c>
      <c r="P38" s="16"/>
      <c r="Q38" s="18"/>
      <c r="R38" s="19">
        <f t="shared" si="41"/>
        <v>0</v>
      </c>
      <c r="S38" s="20">
        <f t="shared" si="33"/>
        <v>3</v>
      </c>
      <c r="T38" s="19">
        <f t="shared" si="34"/>
        <v>0.38940000000000002</v>
      </c>
      <c r="U38" s="21">
        <f t="shared" si="35"/>
        <v>-3</v>
      </c>
      <c r="V38" s="19">
        <f t="shared" si="36"/>
        <v>-0.38940000000000002</v>
      </c>
      <c r="X38" s="29"/>
    </row>
    <row r="39" spans="1:24">
      <c r="A39" s="26" t="s">
        <v>13</v>
      </c>
      <c r="B39" s="26" t="s">
        <v>32</v>
      </c>
      <c r="C39" s="30">
        <v>11.8</v>
      </c>
      <c r="D39" s="27">
        <v>10.7</v>
      </c>
      <c r="E39" s="28"/>
      <c r="F39" s="16">
        <f t="shared" si="37"/>
        <v>0</v>
      </c>
      <c r="G39" s="16"/>
      <c r="H39" s="18"/>
      <c r="I39" s="19">
        <f t="shared" si="38"/>
        <v>0</v>
      </c>
      <c r="J39" s="16"/>
      <c r="K39" s="18">
        <v>2</v>
      </c>
      <c r="L39" s="19">
        <f t="shared" si="39"/>
        <v>0.25252000000000002</v>
      </c>
      <c r="M39" s="16"/>
      <c r="N39" s="18"/>
      <c r="O39" s="19">
        <f t="shared" si="40"/>
        <v>0</v>
      </c>
      <c r="P39" s="16"/>
      <c r="Q39" s="18"/>
      <c r="R39" s="19">
        <f t="shared" si="41"/>
        <v>0</v>
      </c>
      <c r="S39" s="20">
        <f t="shared" si="33"/>
        <v>2</v>
      </c>
      <c r="T39" s="19">
        <f t="shared" si="34"/>
        <v>0.25252000000000002</v>
      </c>
      <c r="U39" s="21">
        <f t="shared" si="35"/>
        <v>-2</v>
      </c>
      <c r="V39" s="19">
        <f t="shared" si="36"/>
        <v>-0.25252000000000002</v>
      </c>
      <c r="X39" s="29"/>
    </row>
    <row r="40" spans="1:24">
      <c r="A40" s="26" t="s">
        <v>13</v>
      </c>
      <c r="B40" s="26" t="s">
        <v>32</v>
      </c>
      <c r="C40" s="30">
        <v>11.8</v>
      </c>
      <c r="D40" s="27"/>
      <c r="E40" s="28"/>
      <c r="F40" s="16">
        <f t="shared" si="37"/>
        <v>0</v>
      </c>
      <c r="G40" s="16"/>
      <c r="H40" s="18"/>
      <c r="I40" s="19">
        <f t="shared" si="38"/>
        <v>0</v>
      </c>
      <c r="J40" s="16"/>
      <c r="K40" s="18"/>
      <c r="L40" s="19">
        <f t="shared" si="39"/>
        <v>0</v>
      </c>
      <c r="M40" s="16"/>
      <c r="N40" s="18"/>
      <c r="O40" s="19">
        <f t="shared" si="40"/>
        <v>0</v>
      </c>
      <c r="P40" s="16"/>
      <c r="Q40" s="18"/>
      <c r="R40" s="19">
        <f t="shared" si="41"/>
        <v>0</v>
      </c>
      <c r="S40" s="20">
        <f t="shared" si="33"/>
        <v>0</v>
      </c>
      <c r="T40" s="19">
        <f t="shared" si="34"/>
        <v>0</v>
      </c>
      <c r="U40" s="21">
        <f t="shared" si="35"/>
        <v>0</v>
      </c>
      <c r="V40" s="19">
        <f t="shared" si="36"/>
        <v>0</v>
      </c>
      <c r="X40" s="29"/>
    </row>
    <row r="41" spans="1:24">
      <c r="A41" s="26" t="s">
        <v>13</v>
      </c>
      <c r="B41" s="26" t="s">
        <v>32</v>
      </c>
      <c r="C41" s="30">
        <v>11.8</v>
      </c>
      <c r="D41" s="27"/>
      <c r="E41" s="28"/>
      <c r="F41" s="16">
        <f t="shared" si="28"/>
        <v>0</v>
      </c>
      <c r="G41" s="16"/>
      <c r="H41" s="18"/>
      <c r="I41" s="19">
        <f t="shared" si="29"/>
        <v>0</v>
      </c>
      <c r="J41" s="16"/>
      <c r="K41" s="18"/>
      <c r="L41" s="19">
        <f t="shared" si="30"/>
        <v>0</v>
      </c>
      <c r="M41" s="16"/>
      <c r="N41" s="18"/>
      <c r="O41" s="19">
        <f t="shared" si="31"/>
        <v>0</v>
      </c>
      <c r="P41" s="16"/>
      <c r="Q41" s="18"/>
      <c r="R41" s="19">
        <f t="shared" si="32"/>
        <v>0</v>
      </c>
      <c r="S41" s="20">
        <f t="shared" si="33"/>
        <v>0</v>
      </c>
      <c r="T41" s="19">
        <f t="shared" si="34"/>
        <v>0</v>
      </c>
      <c r="U41" s="21">
        <f t="shared" si="35"/>
        <v>0</v>
      </c>
      <c r="V41" s="19">
        <f t="shared" si="36"/>
        <v>0</v>
      </c>
      <c r="X41" s="29"/>
    </row>
    <row r="42" spans="1:24">
      <c r="A42" s="36"/>
      <c r="B42" s="36"/>
      <c r="C42" s="37"/>
      <c r="D42" s="38"/>
      <c r="E42" s="31">
        <f t="shared" ref="E42:F42" si="42">SUM(E27:E41)</f>
        <v>653</v>
      </c>
      <c r="F42" s="38">
        <f t="shared" si="42"/>
        <v>69.33326000000001</v>
      </c>
      <c r="G42" s="17"/>
      <c r="H42" s="31">
        <f t="shared" ref="H42:I42" si="43">SUM(H27:H41)</f>
        <v>610</v>
      </c>
      <c r="I42" s="38">
        <f t="shared" si="43"/>
        <v>64.485820000000004</v>
      </c>
      <c r="J42" s="16"/>
      <c r="K42" s="31">
        <f t="shared" ref="K42:L42" si="44">SUM(K27:K41)</f>
        <v>44</v>
      </c>
      <c r="L42" s="38">
        <f t="shared" si="44"/>
        <v>4.7849000000000004</v>
      </c>
      <c r="M42" s="16"/>
      <c r="N42" s="31">
        <f t="shared" ref="N42:V42" si="45">SUM(N27:N41)</f>
        <v>1</v>
      </c>
      <c r="O42" s="38">
        <f t="shared" si="45"/>
        <v>0.14160000000000003</v>
      </c>
      <c r="P42" s="16"/>
      <c r="Q42" s="31">
        <f>SUM(Q27:Q41)</f>
        <v>0</v>
      </c>
      <c r="R42" s="38">
        <f>SUM(R27:R41)</f>
        <v>0</v>
      </c>
      <c r="S42" s="31">
        <f t="shared" si="45"/>
        <v>655</v>
      </c>
      <c r="T42" s="38">
        <f t="shared" si="45"/>
        <v>69.412319999999994</v>
      </c>
      <c r="U42" s="31">
        <f t="shared" si="45"/>
        <v>-2</v>
      </c>
      <c r="V42" s="38">
        <f t="shared" si="45"/>
        <v>-7.9060000000003905E-2</v>
      </c>
      <c r="X42" s="29"/>
    </row>
    <row r="43" spans="1:24" hidden="1">
      <c r="A43" s="26" t="s">
        <v>13</v>
      </c>
      <c r="B43" s="26" t="s">
        <v>25</v>
      </c>
      <c r="C43" s="30">
        <v>13.4</v>
      </c>
      <c r="D43" s="27">
        <v>6.8</v>
      </c>
      <c r="E43" s="28">
        <v>239</v>
      </c>
      <c r="F43" s="16">
        <f t="shared" ref="F43:F61" si="46">(C43*D43*E43/1000)</f>
        <v>21.77768</v>
      </c>
      <c r="G43" s="17" t="s">
        <v>93</v>
      </c>
      <c r="H43" s="18">
        <v>182</v>
      </c>
      <c r="I43" s="19">
        <f t="shared" ref="I43:I61" si="47">(C43*D43*H43/1000)</f>
        <v>16.583839999999999</v>
      </c>
      <c r="J43" s="17" t="s">
        <v>106</v>
      </c>
      <c r="K43" s="18">
        <v>24</v>
      </c>
      <c r="L43" s="19">
        <f t="shared" ref="L43:L61" si="48">(C43*D43*K43/1000)</f>
        <v>2.1868799999999999</v>
      </c>
      <c r="M43" s="16" t="s">
        <v>88</v>
      </c>
      <c r="N43" s="18">
        <v>28</v>
      </c>
      <c r="O43" s="19">
        <f t="shared" ref="O43:O61" si="49">(C43*D43*N43/1000)</f>
        <v>2.5513600000000003</v>
      </c>
      <c r="P43" s="16"/>
      <c r="Q43" s="18"/>
      <c r="R43" s="19">
        <f t="shared" ref="R43:R61" si="50">(D43*C43*Q43/1000)</f>
        <v>0</v>
      </c>
      <c r="S43" s="20">
        <f>+H43+K43+N43+Q43</f>
        <v>234</v>
      </c>
      <c r="T43" s="19">
        <f t="shared" ref="T43:T61" si="51">+I43+L43+O43+R43</f>
        <v>21.322079999999996</v>
      </c>
      <c r="U43" s="21">
        <f t="shared" ref="U43:U61" si="52">E43-S43</f>
        <v>5</v>
      </c>
      <c r="V43" s="19">
        <f t="shared" ref="V43:V61" si="53">F43-T43</f>
        <v>0.455600000000004</v>
      </c>
      <c r="X43" s="29"/>
    </row>
    <row r="44" spans="1:24" hidden="1">
      <c r="A44" s="26" t="s">
        <v>13</v>
      </c>
      <c r="B44" s="26" t="s">
        <v>25</v>
      </c>
      <c r="C44" s="30">
        <v>13.4</v>
      </c>
      <c r="D44" s="27">
        <v>7</v>
      </c>
      <c r="E44" s="28">
        <v>89</v>
      </c>
      <c r="F44" s="16">
        <f t="shared" si="46"/>
        <v>8.3481999999999985</v>
      </c>
      <c r="G44" s="17" t="s">
        <v>94</v>
      </c>
      <c r="H44" s="18">
        <v>80</v>
      </c>
      <c r="I44" s="19">
        <f t="shared" si="47"/>
        <v>7.5039999999999996</v>
      </c>
      <c r="J44" s="17" t="s">
        <v>105</v>
      </c>
      <c r="K44" s="18">
        <v>7</v>
      </c>
      <c r="L44" s="19">
        <f t="shared" si="48"/>
        <v>0.65660000000000007</v>
      </c>
      <c r="M44" s="16" t="s">
        <v>109</v>
      </c>
      <c r="N44" s="18"/>
      <c r="O44" s="19">
        <f t="shared" si="49"/>
        <v>0</v>
      </c>
      <c r="P44" s="16"/>
      <c r="Q44" s="18"/>
      <c r="R44" s="19">
        <f t="shared" si="50"/>
        <v>0</v>
      </c>
      <c r="S44" s="20">
        <f t="shared" ref="S44:S61" si="54">+H44+K44+N44+Q44</f>
        <v>87</v>
      </c>
      <c r="T44" s="19">
        <f t="shared" si="51"/>
        <v>8.1605999999999987</v>
      </c>
      <c r="U44" s="21">
        <f t="shared" si="52"/>
        <v>2</v>
      </c>
      <c r="V44" s="19">
        <f t="shared" si="53"/>
        <v>0.18759999999999977</v>
      </c>
      <c r="X44" s="29"/>
    </row>
    <row r="45" spans="1:24" hidden="1">
      <c r="A45" s="26" t="s">
        <v>13</v>
      </c>
      <c r="B45" s="26" t="s">
        <v>25</v>
      </c>
      <c r="C45" s="30">
        <v>13.4</v>
      </c>
      <c r="D45" s="27">
        <v>7.6</v>
      </c>
      <c r="E45" s="28">
        <v>161</v>
      </c>
      <c r="F45" s="16">
        <f t="shared" si="46"/>
        <v>16.396240000000002</v>
      </c>
      <c r="G45" s="17" t="s">
        <v>86</v>
      </c>
      <c r="H45" s="18">
        <v>145</v>
      </c>
      <c r="I45" s="19">
        <f t="shared" si="47"/>
        <v>14.766800000000002</v>
      </c>
      <c r="J45" s="16"/>
      <c r="K45" s="18">
        <v>10</v>
      </c>
      <c r="L45" s="19">
        <f t="shared" si="48"/>
        <v>1.0184000000000002</v>
      </c>
      <c r="M45" s="16"/>
      <c r="N45" s="18">
        <v>7</v>
      </c>
      <c r="O45" s="19">
        <f t="shared" si="49"/>
        <v>0.71287999999999996</v>
      </c>
      <c r="P45" s="16"/>
      <c r="Q45" s="18"/>
      <c r="R45" s="19">
        <f t="shared" si="50"/>
        <v>0</v>
      </c>
      <c r="S45" s="20">
        <f t="shared" si="54"/>
        <v>162</v>
      </c>
      <c r="T45" s="19">
        <f t="shared" si="51"/>
        <v>16.498080000000002</v>
      </c>
      <c r="U45" s="21">
        <f t="shared" si="52"/>
        <v>-1</v>
      </c>
      <c r="V45" s="19">
        <f t="shared" si="53"/>
        <v>-0.10183999999999926</v>
      </c>
      <c r="X45" s="29"/>
    </row>
    <row r="46" spans="1:24" hidden="1">
      <c r="A46" s="26" t="s">
        <v>13</v>
      </c>
      <c r="B46" s="26" t="s">
        <v>25</v>
      </c>
      <c r="C46" s="30">
        <v>13.4</v>
      </c>
      <c r="D46" s="27">
        <v>8.25</v>
      </c>
      <c r="E46" s="28">
        <v>20</v>
      </c>
      <c r="F46" s="16">
        <f t="shared" si="46"/>
        <v>2.2109999999999999</v>
      </c>
      <c r="G46" s="17" t="s">
        <v>95</v>
      </c>
      <c r="H46" s="18">
        <v>21</v>
      </c>
      <c r="I46" s="19">
        <f t="shared" si="47"/>
        <v>2.3215499999999998</v>
      </c>
      <c r="J46" s="16"/>
      <c r="K46" s="18"/>
      <c r="L46" s="19">
        <f t="shared" si="48"/>
        <v>0</v>
      </c>
      <c r="M46" s="16"/>
      <c r="N46" s="18"/>
      <c r="O46" s="19">
        <f t="shared" si="49"/>
        <v>0</v>
      </c>
      <c r="P46" s="16"/>
      <c r="Q46" s="18"/>
      <c r="R46" s="19">
        <f t="shared" si="50"/>
        <v>0</v>
      </c>
      <c r="S46" s="20">
        <f t="shared" si="54"/>
        <v>21</v>
      </c>
      <c r="T46" s="19">
        <f t="shared" si="51"/>
        <v>2.3215499999999998</v>
      </c>
      <c r="U46" s="21">
        <f t="shared" si="52"/>
        <v>-1</v>
      </c>
      <c r="V46" s="19">
        <f t="shared" si="53"/>
        <v>-0.11054999999999993</v>
      </c>
      <c r="X46" s="29"/>
    </row>
    <row r="47" spans="1:24" hidden="1">
      <c r="A47" s="26" t="s">
        <v>13</v>
      </c>
      <c r="B47" s="26" t="s">
        <v>25</v>
      </c>
      <c r="C47" s="30">
        <v>13.4</v>
      </c>
      <c r="D47" s="27">
        <v>9.4</v>
      </c>
      <c r="E47" s="28">
        <v>5</v>
      </c>
      <c r="F47" s="16">
        <f t="shared" si="46"/>
        <v>0.62980000000000003</v>
      </c>
      <c r="G47" s="16" t="s">
        <v>89</v>
      </c>
      <c r="H47" s="18">
        <v>7</v>
      </c>
      <c r="I47" s="19">
        <f t="shared" si="47"/>
        <v>0.88172000000000006</v>
      </c>
      <c r="J47" s="16"/>
      <c r="K47" s="18"/>
      <c r="L47" s="19">
        <f t="shared" si="48"/>
        <v>0</v>
      </c>
      <c r="M47" s="16"/>
      <c r="N47" s="18"/>
      <c r="O47" s="19">
        <f t="shared" si="49"/>
        <v>0</v>
      </c>
      <c r="P47" s="16"/>
      <c r="Q47" s="18"/>
      <c r="R47" s="19">
        <f t="shared" si="50"/>
        <v>0</v>
      </c>
      <c r="S47" s="20">
        <f t="shared" si="54"/>
        <v>7</v>
      </c>
      <c r="T47" s="19">
        <f t="shared" si="51"/>
        <v>0.88172000000000006</v>
      </c>
      <c r="U47" s="21">
        <f t="shared" si="52"/>
        <v>-2</v>
      </c>
      <c r="V47" s="19">
        <f t="shared" si="53"/>
        <v>-0.25192000000000003</v>
      </c>
      <c r="X47" s="29"/>
    </row>
    <row r="48" spans="1:24" hidden="1">
      <c r="A48" s="26" t="s">
        <v>13</v>
      </c>
      <c r="B48" s="26" t="s">
        <v>25</v>
      </c>
      <c r="C48" s="30">
        <v>13.4</v>
      </c>
      <c r="D48" s="27">
        <v>10.5</v>
      </c>
      <c r="E48" s="28">
        <v>250</v>
      </c>
      <c r="F48" s="16">
        <f t="shared" si="46"/>
        <v>35.175000000000004</v>
      </c>
      <c r="G48" s="16" t="s">
        <v>96</v>
      </c>
      <c r="H48" s="18">
        <f>231+19</f>
        <v>250</v>
      </c>
      <c r="I48" s="19">
        <f t="shared" si="47"/>
        <v>35.175000000000004</v>
      </c>
      <c r="J48" s="16"/>
      <c r="K48" s="18"/>
      <c r="L48" s="19">
        <f t="shared" si="48"/>
        <v>0</v>
      </c>
      <c r="M48" s="16"/>
      <c r="N48" s="18">
        <v>3</v>
      </c>
      <c r="O48" s="19">
        <f t="shared" si="49"/>
        <v>0.42210000000000003</v>
      </c>
      <c r="P48" s="16"/>
      <c r="Q48" s="18"/>
      <c r="R48" s="19">
        <f t="shared" si="50"/>
        <v>0</v>
      </c>
      <c r="S48" s="20">
        <f t="shared" si="54"/>
        <v>253</v>
      </c>
      <c r="T48" s="19">
        <f t="shared" si="51"/>
        <v>35.597100000000005</v>
      </c>
      <c r="U48" s="21">
        <f t="shared" si="52"/>
        <v>-3</v>
      </c>
      <c r="V48" s="19">
        <f t="shared" si="53"/>
        <v>-0.42210000000000036</v>
      </c>
      <c r="X48" s="29"/>
    </row>
    <row r="49" spans="1:24" hidden="1">
      <c r="A49" s="26" t="s">
        <v>13</v>
      </c>
      <c r="B49" s="26" t="s">
        <v>25</v>
      </c>
      <c r="C49" s="30">
        <v>13.4</v>
      </c>
      <c r="D49" s="27">
        <v>11.5</v>
      </c>
      <c r="E49" s="28">
        <v>80</v>
      </c>
      <c r="F49" s="16">
        <f t="shared" si="46"/>
        <v>12.327999999999999</v>
      </c>
      <c r="G49" s="17" t="s">
        <v>91</v>
      </c>
      <c r="H49" s="18">
        <v>54</v>
      </c>
      <c r="I49" s="19">
        <f t="shared" si="47"/>
        <v>8.3213999999999988</v>
      </c>
      <c r="J49" s="16"/>
      <c r="K49" s="18">
        <v>18</v>
      </c>
      <c r="L49" s="19">
        <f t="shared" si="48"/>
        <v>2.7737999999999996</v>
      </c>
      <c r="M49" s="16"/>
      <c r="N49" s="18"/>
      <c r="O49" s="19">
        <f t="shared" si="49"/>
        <v>0</v>
      </c>
      <c r="P49" s="16"/>
      <c r="Q49" s="18"/>
      <c r="R49" s="19">
        <f t="shared" si="50"/>
        <v>0</v>
      </c>
      <c r="S49" s="20">
        <f t="shared" si="54"/>
        <v>72</v>
      </c>
      <c r="T49" s="19">
        <f t="shared" si="51"/>
        <v>11.095199999999998</v>
      </c>
      <c r="U49" s="21">
        <f t="shared" si="52"/>
        <v>8</v>
      </c>
      <c r="V49" s="19">
        <f t="shared" si="53"/>
        <v>1.232800000000001</v>
      </c>
      <c r="X49" s="29"/>
    </row>
    <row r="50" spans="1:24" hidden="1">
      <c r="A50" s="26" t="s">
        <v>13</v>
      </c>
      <c r="B50" s="26" t="s">
        <v>25</v>
      </c>
      <c r="C50" s="30">
        <v>13.4</v>
      </c>
      <c r="D50" s="27">
        <v>11.6</v>
      </c>
      <c r="E50" s="28">
        <v>1</v>
      </c>
      <c r="F50" s="16">
        <f t="shared" si="46"/>
        <v>0.15543999999999999</v>
      </c>
      <c r="G50" s="17" t="s">
        <v>97</v>
      </c>
      <c r="H50" s="18">
        <v>1</v>
      </c>
      <c r="I50" s="19">
        <f t="shared" si="47"/>
        <v>0.15543999999999999</v>
      </c>
      <c r="J50" s="16"/>
      <c r="K50" s="18"/>
      <c r="L50" s="19">
        <f t="shared" si="48"/>
        <v>0</v>
      </c>
      <c r="M50" s="16"/>
      <c r="N50" s="18"/>
      <c r="O50" s="19">
        <f t="shared" si="49"/>
        <v>0</v>
      </c>
      <c r="P50" s="16"/>
      <c r="Q50" s="18"/>
      <c r="R50" s="19">
        <f t="shared" si="50"/>
        <v>0</v>
      </c>
      <c r="S50" s="20">
        <f t="shared" si="54"/>
        <v>1</v>
      </c>
      <c r="T50" s="19">
        <f t="shared" si="51"/>
        <v>0.15543999999999999</v>
      </c>
      <c r="U50" s="21">
        <f t="shared" si="52"/>
        <v>0</v>
      </c>
      <c r="V50" s="19">
        <f t="shared" si="53"/>
        <v>0</v>
      </c>
      <c r="X50" s="29"/>
    </row>
    <row r="51" spans="1:24" hidden="1">
      <c r="A51" s="26" t="s">
        <v>13</v>
      </c>
      <c r="B51" s="26" t="s">
        <v>25</v>
      </c>
      <c r="C51" s="30">
        <v>13.4</v>
      </c>
      <c r="D51" s="27">
        <v>11.8</v>
      </c>
      <c r="E51" s="28">
        <v>51</v>
      </c>
      <c r="F51" s="16">
        <f t="shared" si="46"/>
        <v>8.0641199999999991</v>
      </c>
      <c r="G51" s="16" t="s">
        <v>89</v>
      </c>
      <c r="H51" s="18">
        <v>48</v>
      </c>
      <c r="I51" s="19">
        <f t="shared" si="47"/>
        <v>7.5897600000000001</v>
      </c>
      <c r="J51" s="16"/>
      <c r="K51" s="18">
        <v>3</v>
      </c>
      <c r="L51" s="19">
        <f t="shared" si="48"/>
        <v>0.47436</v>
      </c>
      <c r="M51" s="16"/>
      <c r="N51" s="18"/>
      <c r="O51" s="19">
        <f t="shared" si="49"/>
        <v>0</v>
      </c>
      <c r="P51" s="16"/>
      <c r="Q51" s="18"/>
      <c r="R51" s="19">
        <f t="shared" si="50"/>
        <v>0</v>
      </c>
      <c r="S51" s="20">
        <f t="shared" si="54"/>
        <v>51</v>
      </c>
      <c r="T51" s="19">
        <f t="shared" si="51"/>
        <v>8.0641200000000008</v>
      </c>
      <c r="U51" s="21">
        <f t="shared" si="52"/>
        <v>0</v>
      </c>
      <c r="V51" s="19">
        <f t="shared" si="53"/>
        <v>0</v>
      </c>
      <c r="X51" s="29"/>
    </row>
    <row r="52" spans="1:24" hidden="1">
      <c r="A52" s="26" t="s">
        <v>13</v>
      </c>
      <c r="B52" s="26" t="s">
        <v>25</v>
      </c>
      <c r="C52" s="30">
        <v>13.4</v>
      </c>
      <c r="D52" s="27">
        <v>11.9</v>
      </c>
      <c r="E52" s="28">
        <v>89</v>
      </c>
      <c r="F52" s="16">
        <f t="shared" si="46"/>
        <v>14.191940000000001</v>
      </c>
      <c r="G52" s="16" t="s">
        <v>104</v>
      </c>
      <c r="H52" s="18">
        <v>86</v>
      </c>
      <c r="I52" s="19">
        <f t="shared" si="47"/>
        <v>13.713560000000001</v>
      </c>
      <c r="J52" s="16"/>
      <c r="K52" s="18">
        <v>2</v>
      </c>
      <c r="L52" s="19">
        <f t="shared" si="48"/>
        <v>0.31892000000000004</v>
      </c>
      <c r="M52" s="16"/>
      <c r="N52" s="18"/>
      <c r="O52" s="19">
        <f t="shared" si="49"/>
        <v>0</v>
      </c>
      <c r="P52" s="16"/>
      <c r="Q52" s="18"/>
      <c r="R52" s="19">
        <f t="shared" si="50"/>
        <v>0</v>
      </c>
      <c r="S52" s="20">
        <f t="shared" si="54"/>
        <v>88</v>
      </c>
      <c r="T52" s="19">
        <f t="shared" si="51"/>
        <v>14.032480000000001</v>
      </c>
      <c r="U52" s="21">
        <f t="shared" si="52"/>
        <v>1</v>
      </c>
      <c r="V52" s="19">
        <f t="shared" si="53"/>
        <v>0.15945999999999927</v>
      </c>
      <c r="X52" s="29"/>
    </row>
    <row r="53" spans="1:24" hidden="1">
      <c r="A53" s="26" t="s">
        <v>13</v>
      </c>
      <c r="B53" s="26" t="s">
        <v>25</v>
      </c>
      <c r="C53" s="30">
        <v>13.4</v>
      </c>
      <c r="D53" s="27">
        <v>12</v>
      </c>
      <c r="E53" s="28">
        <v>14</v>
      </c>
      <c r="F53" s="16">
        <f t="shared" ref="F53:F60" si="55">(C53*D53*E53/1000)</f>
        <v>2.2512000000000003</v>
      </c>
      <c r="G53" s="16" t="s">
        <v>88</v>
      </c>
      <c r="H53" s="18">
        <v>14</v>
      </c>
      <c r="I53" s="19">
        <f t="shared" ref="I53:I60" si="56">(C53*D53*H53/1000)</f>
        <v>2.2512000000000003</v>
      </c>
      <c r="J53" s="16"/>
      <c r="K53" s="18"/>
      <c r="L53" s="19">
        <f t="shared" ref="L53:L60" si="57">(C53*D53*K53/1000)</f>
        <v>0</v>
      </c>
      <c r="M53" s="16"/>
      <c r="N53" s="18">
        <v>1</v>
      </c>
      <c r="O53" s="19">
        <f t="shared" ref="O53:O60" si="58">(C53*D53*N53/1000)</f>
        <v>0.1608</v>
      </c>
      <c r="P53" s="16"/>
      <c r="Q53" s="18"/>
      <c r="R53" s="19">
        <f t="shared" ref="R53:R60" si="59">(D53*C53*Q53/1000)</f>
        <v>0</v>
      </c>
      <c r="S53" s="20">
        <f t="shared" ref="S53:S60" si="60">+H53+K53+N53+Q53</f>
        <v>15</v>
      </c>
      <c r="T53" s="19">
        <f t="shared" ref="T53:T60" si="61">+I53+L53+O53+R53</f>
        <v>2.4120000000000004</v>
      </c>
      <c r="U53" s="21">
        <f t="shared" ref="U53:U60" si="62">E53-S53</f>
        <v>-1</v>
      </c>
      <c r="V53" s="19">
        <f t="shared" ref="V53:V60" si="63">F53-T53</f>
        <v>-0.16080000000000005</v>
      </c>
      <c r="X53" s="29"/>
    </row>
    <row r="54" spans="1:24" hidden="1">
      <c r="A54" s="26" t="s">
        <v>13</v>
      </c>
      <c r="B54" s="26" t="s">
        <v>25</v>
      </c>
      <c r="C54" s="30">
        <v>13.4</v>
      </c>
      <c r="D54" s="27">
        <v>10</v>
      </c>
      <c r="E54" s="28"/>
      <c r="F54" s="16">
        <f t="shared" si="55"/>
        <v>0</v>
      </c>
      <c r="G54" s="16" t="s">
        <v>104</v>
      </c>
      <c r="H54" s="18"/>
      <c r="I54" s="19">
        <f t="shared" si="56"/>
        <v>0</v>
      </c>
      <c r="J54" s="16"/>
      <c r="K54" s="18"/>
      <c r="L54" s="19">
        <f t="shared" si="57"/>
        <v>0</v>
      </c>
      <c r="M54" s="16"/>
      <c r="N54" s="18">
        <v>1</v>
      </c>
      <c r="O54" s="19">
        <f t="shared" si="58"/>
        <v>0.13400000000000001</v>
      </c>
      <c r="P54" s="16"/>
      <c r="Q54" s="18"/>
      <c r="R54" s="19">
        <f t="shared" si="59"/>
        <v>0</v>
      </c>
      <c r="S54" s="20">
        <f t="shared" si="60"/>
        <v>1</v>
      </c>
      <c r="T54" s="19">
        <f t="shared" si="61"/>
        <v>0.13400000000000001</v>
      </c>
      <c r="U54" s="21">
        <f t="shared" si="62"/>
        <v>-1</v>
      </c>
      <c r="V54" s="19">
        <f t="shared" si="63"/>
        <v>-0.13400000000000001</v>
      </c>
      <c r="X54" s="29"/>
    </row>
    <row r="55" spans="1:24" hidden="1">
      <c r="A55" s="26" t="s">
        <v>13</v>
      </c>
      <c r="B55" s="26" t="s">
        <v>25</v>
      </c>
      <c r="C55" s="30">
        <v>13.4</v>
      </c>
      <c r="D55" s="27">
        <v>9.25</v>
      </c>
      <c r="E55" s="28"/>
      <c r="F55" s="16">
        <f t="shared" si="55"/>
        <v>0</v>
      </c>
      <c r="G55" s="16"/>
      <c r="H55" s="18"/>
      <c r="I55" s="19">
        <f t="shared" si="56"/>
        <v>0</v>
      </c>
      <c r="J55" s="16"/>
      <c r="K55" s="18"/>
      <c r="L55" s="19">
        <f t="shared" si="57"/>
        <v>0</v>
      </c>
      <c r="M55" s="16"/>
      <c r="N55" s="18">
        <v>1</v>
      </c>
      <c r="O55" s="19">
        <f t="shared" si="58"/>
        <v>0.12395</v>
      </c>
      <c r="P55" s="16"/>
      <c r="Q55" s="18"/>
      <c r="R55" s="19">
        <f t="shared" si="59"/>
        <v>0</v>
      </c>
      <c r="S55" s="20">
        <f t="shared" si="60"/>
        <v>1</v>
      </c>
      <c r="T55" s="19">
        <f t="shared" si="61"/>
        <v>0.12395</v>
      </c>
      <c r="U55" s="21">
        <f t="shared" si="62"/>
        <v>-1</v>
      </c>
      <c r="V55" s="19">
        <f t="shared" si="63"/>
        <v>-0.12395</v>
      </c>
      <c r="X55" s="29"/>
    </row>
    <row r="56" spans="1:24" hidden="1">
      <c r="A56" s="26" t="s">
        <v>13</v>
      </c>
      <c r="B56" s="26" t="s">
        <v>25</v>
      </c>
      <c r="C56" s="30">
        <v>13.4</v>
      </c>
      <c r="D56" s="27">
        <v>11.4</v>
      </c>
      <c r="E56" s="28"/>
      <c r="F56" s="16">
        <f t="shared" si="55"/>
        <v>0</v>
      </c>
      <c r="G56" s="16"/>
      <c r="H56" s="18"/>
      <c r="I56" s="19">
        <f t="shared" si="56"/>
        <v>0</v>
      </c>
      <c r="J56" s="16"/>
      <c r="K56" s="18"/>
      <c r="L56" s="19">
        <f t="shared" si="57"/>
        <v>0</v>
      </c>
      <c r="M56" s="16"/>
      <c r="N56" s="18">
        <v>1</v>
      </c>
      <c r="O56" s="19">
        <f t="shared" si="58"/>
        <v>0.15276000000000001</v>
      </c>
      <c r="P56" s="16"/>
      <c r="Q56" s="18"/>
      <c r="R56" s="19">
        <f t="shared" si="59"/>
        <v>0</v>
      </c>
      <c r="S56" s="20">
        <f t="shared" si="60"/>
        <v>1</v>
      </c>
      <c r="T56" s="19">
        <f t="shared" si="61"/>
        <v>0.15276000000000001</v>
      </c>
      <c r="U56" s="21">
        <f t="shared" si="62"/>
        <v>-1</v>
      </c>
      <c r="V56" s="19">
        <f t="shared" si="63"/>
        <v>-0.15276000000000001</v>
      </c>
      <c r="X56" s="29"/>
    </row>
    <row r="57" spans="1:24" hidden="1">
      <c r="A57" s="26" t="s">
        <v>13</v>
      </c>
      <c r="B57" s="26" t="s">
        <v>25</v>
      </c>
      <c r="C57" s="30">
        <v>13.4</v>
      </c>
      <c r="D57" s="27">
        <v>11.2</v>
      </c>
      <c r="E57" s="28"/>
      <c r="F57" s="16">
        <f t="shared" si="55"/>
        <v>0</v>
      </c>
      <c r="G57" s="16"/>
      <c r="H57" s="18"/>
      <c r="I57" s="19">
        <f t="shared" si="56"/>
        <v>0</v>
      </c>
      <c r="J57" s="16"/>
      <c r="K57" s="18"/>
      <c r="L57" s="19">
        <f t="shared" si="57"/>
        <v>0</v>
      </c>
      <c r="M57" s="16"/>
      <c r="N57" s="18">
        <v>1</v>
      </c>
      <c r="O57" s="19">
        <f t="shared" si="58"/>
        <v>0.15007999999999999</v>
      </c>
      <c r="P57" s="16"/>
      <c r="Q57" s="18"/>
      <c r="R57" s="19">
        <f t="shared" si="59"/>
        <v>0</v>
      </c>
      <c r="S57" s="20">
        <f t="shared" si="60"/>
        <v>1</v>
      </c>
      <c r="T57" s="19">
        <f t="shared" si="61"/>
        <v>0.15007999999999999</v>
      </c>
      <c r="U57" s="21">
        <f t="shared" si="62"/>
        <v>-1</v>
      </c>
      <c r="V57" s="19">
        <f t="shared" si="63"/>
        <v>-0.15007999999999999</v>
      </c>
      <c r="X57" s="29"/>
    </row>
    <row r="58" spans="1:24" hidden="1">
      <c r="A58" s="26" t="s">
        <v>13</v>
      </c>
      <c r="B58" s="26" t="s">
        <v>25</v>
      </c>
      <c r="C58" s="30">
        <v>13.4</v>
      </c>
      <c r="D58" s="27">
        <v>10.1</v>
      </c>
      <c r="E58" s="28"/>
      <c r="F58" s="16">
        <f t="shared" si="55"/>
        <v>0</v>
      </c>
      <c r="G58" s="16"/>
      <c r="H58" s="18"/>
      <c r="I58" s="19">
        <f t="shared" si="56"/>
        <v>0</v>
      </c>
      <c r="J58" s="16"/>
      <c r="K58" s="18"/>
      <c r="L58" s="19">
        <f t="shared" si="57"/>
        <v>0</v>
      </c>
      <c r="M58" s="16"/>
      <c r="N58" s="18">
        <v>3</v>
      </c>
      <c r="O58" s="19">
        <f t="shared" si="58"/>
        <v>0.40601999999999999</v>
      </c>
      <c r="P58" s="16"/>
      <c r="Q58" s="18"/>
      <c r="R58" s="19">
        <f t="shared" si="59"/>
        <v>0</v>
      </c>
      <c r="S58" s="20">
        <f t="shared" si="60"/>
        <v>3</v>
      </c>
      <c r="T58" s="19">
        <f t="shared" si="61"/>
        <v>0.40601999999999999</v>
      </c>
      <c r="U58" s="21">
        <f t="shared" si="62"/>
        <v>-3</v>
      </c>
      <c r="V58" s="19">
        <f t="shared" si="63"/>
        <v>-0.40601999999999999</v>
      </c>
      <c r="X58" s="29"/>
    </row>
    <row r="59" spans="1:24" hidden="1">
      <c r="A59" s="26" t="s">
        <v>13</v>
      </c>
      <c r="B59" s="26" t="s">
        <v>25</v>
      </c>
      <c r="C59" s="30">
        <v>13.4</v>
      </c>
      <c r="D59" s="27">
        <v>6.3</v>
      </c>
      <c r="E59" s="28"/>
      <c r="F59" s="16">
        <f t="shared" si="55"/>
        <v>0</v>
      </c>
      <c r="G59" s="16"/>
      <c r="H59" s="18"/>
      <c r="I59" s="19">
        <f t="shared" si="56"/>
        <v>0</v>
      </c>
      <c r="J59" s="16"/>
      <c r="K59" s="18"/>
      <c r="L59" s="19">
        <f t="shared" si="57"/>
        <v>0</v>
      </c>
      <c r="M59" s="16"/>
      <c r="N59" s="18">
        <v>1</v>
      </c>
      <c r="O59" s="19">
        <f t="shared" si="58"/>
        <v>8.4419999999999995E-2</v>
      </c>
      <c r="P59" s="16"/>
      <c r="Q59" s="18"/>
      <c r="R59" s="19">
        <f t="shared" si="59"/>
        <v>0</v>
      </c>
      <c r="S59" s="20">
        <f t="shared" si="60"/>
        <v>1</v>
      </c>
      <c r="T59" s="19">
        <f t="shared" si="61"/>
        <v>8.4419999999999995E-2</v>
      </c>
      <c r="U59" s="21">
        <f t="shared" si="62"/>
        <v>-1</v>
      </c>
      <c r="V59" s="19">
        <f t="shared" si="63"/>
        <v>-8.4419999999999995E-2</v>
      </c>
      <c r="X59" s="29"/>
    </row>
    <row r="60" spans="1:24" hidden="1">
      <c r="A60" s="26" t="s">
        <v>13</v>
      </c>
      <c r="B60" s="26" t="s">
        <v>25</v>
      </c>
      <c r="C60" s="30">
        <v>13.4</v>
      </c>
      <c r="D60" s="27">
        <v>6.7</v>
      </c>
      <c r="E60" s="28"/>
      <c r="F60" s="16">
        <f t="shared" si="55"/>
        <v>0</v>
      </c>
      <c r="G60" s="16"/>
      <c r="H60" s="18"/>
      <c r="I60" s="19">
        <f t="shared" si="56"/>
        <v>0</v>
      </c>
      <c r="J60" s="16"/>
      <c r="K60" s="18"/>
      <c r="L60" s="19">
        <f t="shared" si="57"/>
        <v>0</v>
      </c>
      <c r="M60" s="16"/>
      <c r="N60" s="18">
        <v>2</v>
      </c>
      <c r="O60" s="19">
        <f t="shared" si="58"/>
        <v>0.17956</v>
      </c>
      <c r="P60" s="16"/>
      <c r="Q60" s="18"/>
      <c r="R60" s="19">
        <f t="shared" si="59"/>
        <v>0</v>
      </c>
      <c r="S60" s="20">
        <f t="shared" si="60"/>
        <v>2</v>
      </c>
      <c r="T60" s="19">
        <f t="shared" si="61"/>
        <v>0.17956</v>
      </c>
      <c r="U60" s="21">
        <f t="shared" si="62"/>
        <v>-2</v>
      </c>
      <c r="V60" s="19">
        <f t="shared" si="63"/>
        <v>-0.17956</v>
      </c>
      <c r="X60" s="29"/>
    </row>
    <row r="61" spans="1:24" hidden="1">
      <c r="A61" s="26" t="s">
        <v>13</v>
      </c>
      <c r="B61" s="26" t="s">
        <v>25</v>
      </c>
      <c r="C61" s="30">
        <v>13.4</v>
      </c>
      <c r="D61" s="27"/>
      <c r="E61" s="28"/>
      <c r="F61" s="16">
        <f t="shared" si="46"/>
        <v>0</v>
      </c>
      <c r="G61" s="16"/>
      <c r="H61" s="18"/>
      <c r="I61" s="19">
        <f t="shared" si="47"/>
        <v>0</v>
      </c>
      <c r="J61" s="16"/>
      <c r="K61" s="18"/>
      <c r="L61" s="19">
        <f t="shared" si="48"/>
        <v>0</v>
      </c>
      <c r="M61" s="16"/>
      <c r="N61" s="18"/>
      <c r="O61" s="19">
        <f t="shared" si="49"/>
        <v>0</v>
      </c>
      <c r="P61" s="16"/>
      <c r="Q61" s="18"/>
      <c r="R61" s="19">
        <f t="shared" si="50"/>
        <v>0</v>
      </c>
      <c r="S61" s="20">
        <f t="shared" si="54"/>
        <v>0</v>
      </c>
      <c r="T61" s="19">
        <f t="shared" si="51"/>
        <v>0</v>
      </c>
      <c r="U61" s="21">
        <f t="shared" si="52"/>
        <v>0</v>
      </c>
      <c r="V61" s="19">
        <f t="shared" si="53"/>
        <v>0</v>
      </c>
      <c r="X61" s="29"/>
    </row>
    <row r="62" spans="1:24" hidden="1">
      <c r="A62" s="36"/>
      <c r="B62" s="36"/>
      <c r="C62" s="37"/>
      <c r="D62" s="38"/>
      <c r="E62" s="31">
        <f t="shared" ref="E62" si="64">SUM(E43:E61)</f>
        <v>999</v>
      </c>
      <c r="F62" s="38">
        <f>SUM(F43:F61)</f>
        <v>121.52862000000002</v>
      </c>
      <c r="G62" s="16"/>
      <c r="H62" s="31">
        <f t="shared" ref="H62" si="65">SUM(H43:H61)</f>
        <v>888</v>
      </c>
      <c r="I62" s="38">
        <f>SUM(I43:I61)</f>
        <v>109.26427</v>
      </c>
      <c r="J62" s="16"/>
      <c r="K62" s="31">
        <f>SUM(K43:K61)</f>
        <v>64</v>
      </c>
      <c r="L62" s="38">
        <f t="shared" ref="L62" si="66">SUM(L43:L61)</f>
        <v>7.42896</v>
      </c>
      <c r="M62" s="16"/>
      <c r="N62" s="31">
        <f t="shared" ref="N62:V62" si="67">SUM(N43:N61)</f>
        <v>49</v>
      </c>
      <c r="O62" s="38">
        <f t="shared" si="67"/>
        <v>5.0779299999999994</v>
      </c>
      <c r="P62" s="16"/>
      <c r="Q62" s="31">
        <f t="shared" ref="Q62:R62" si="68">SUM(Q43:Q61)</f>
        <v>0</v>
      </c>
      <c r="R62" s="38">
        <f t="shared" si="68"/>
        <v>0</v>
      </c>
      <c r="S62" s="31">
        <f t="shared" si="67"/>
        <v>1001</v>
      </c>
      <c r="T62" s="38">
        <f t="shared" si="67"/>
        <v>121.77115999999999</v>
      </c>
      <c r="U62" s="31">
        <f t="shared" si="67"/>
        <v>-2</v>
      </c>
      <c r="V62" s="38">
        <f t="shared" si="67"/>
        <v>-0.2425399999999957</v>
      </c>
      <c r="X62" s="29"/>
    </row>
    <row r="63" spans="1:24" hidden="1">
      <c r="A63" s="26" t="s">
        <v>13</v>
      </c>
      <c r="B63" s="26" t="s">
        <v>33</v>
      </c>
      <c r="C63" s="30">
        <v>15</v>
      </c>
      <c r="D63" s="27">
        <v>6.4</v>
      </c>
      <c r="E63" s="28">
        <v>153</v>
      </c>
      <c r="F63" s="16">
        <f t="shared" ref="F63:F75" si="69">(C63*D63*E63/1000)</f>
        <v>14.688000000000001</v>
      </c>
      <c r="G63" s="16" t="s">
        <v>93</v>
      </c>
      <c r="H63" s="18">
        <v>127</v>
      </c>
      <c r="I63" s="19">
        <f t="shared" ref="I63:I75" si="70">(C63*D63*H63/1000)</f>
        <v>12.192</v>
      </c>
      <c r="J63" s="16" t="s">
        <v>88</v>
      </c>
      <c r="K63" s="18">
        <v>11</v>
      </c>
      <c r="L63" s="19">
        <f t="shared" ref="L63:L75" si="71">(C63*D63*K63/1000)</f>
        <v>1.056</v>
      </c>
      <c r="M63" s="16" t="s">
        <v>93</v>
      </c>
      <c r="N63" s="18">
        <v>6</v>
      </c>
      <c r="O63" s="19">
        <f t="shared" ref="O63:O75" si="72">(C63*D63*N63/1000)</f>
        <v>0.57599999999999996</v>
      </c>
      <c r="P63" s="16"/>
      <c r="Q63" s="18"/>
      <c r="R63" s="19">
        <f t="shared" ref="R63:R75" si="73">(D63*C63*Q63/1000)</f>
        <v>0</v>
      </c>
      <c r="S63" s="20">
        <f t="shared" ref="S63:S75" si="74">+H63+K63+N63+Q63</f>
        <v>144</v>
      </c>
      <c r="T63" s="19">
        <f t="shared" ref="T63:T75" si="75">+I63+L63+O63+R63</f>
        <v>13.824000000000002</v>
      </c>
      <c r="U63" s="21">
        <f t="shared" ref="U63:U75" si="76">E63-S63</f>
        <v>9</v>
      </c>
      <c r="V63" s="19">
        <f t="shared" ref="V63:V75" si="77">F63-T63</f>
        <v>0.86399999999999899</v>
      </c>
      <c r="X63" s="29"/>
    </row>
    <row r="64" spans="1:24" hidden="1">
      <c r="A64" s="26" t="s">
        <v>13</v>
      </c>
      <c r="B64" s="26" t="s">
        <v>33</v>
      </c>
      <c r="C64" s="30">
        <v>15</v>
      </c>
      <c r="D64" s="27">
        <v>8.6999999999999993</v>
      </c>
      <c r="E64" s="28">
        <v>26</v>
      </c>
      <c r="F64" s="16">
        <f t="shared" si="69"/>
        <v>3.3929999999999998</v>
      </c>
      <c r="G64" s="16" t="s">
        <v>96</v>
      </c>
      <c r="H64" s="18">
        <v>21</v>
      </c>
      <c r="I64" s="19">
        <f t="shared" si="70"/>
        <v>2.7404999999999999</v>
      </c>
      <c r="J64" s="16" t="s">
        <v>109</v>
      </c>
      <c r="K64" s="18">
        <v>5</v>
      </c>
      <c r="L64" s="19">
        <f t="shared" si="71"/>
        <v>0.65249999999999997</v>
      </c>
      <c r="M64" s="16" t="s">
        <v>112</v>
      </c>
      <c r="N64" s="18">
        <v>1</v>
      </c>
      <c r="O64" s="19">
        <f t="shared" si="72"/>
        <v>0.1305</v>
      </c>
      <c r="P64" s="16"/>
      <c r="Q64" s="18"/>
      <c r="R64" s="19">
        <f t="shared" si="73"/>
        <v>0</v>
      </c>
      <c r="S64" s="20">
        <f t="shared" si="74"/>
        <v>27</v>
      </c>
      <c r="T64" s="19">
        <f t="shared" si="75"/>
        <v>3.5234999999999999</v>
      </c>
      <c r="U64" s="21">
        <f t="shared" si="76"/>
        <v>-1</v>
      </c>
      <c r="V64" s="19">
        <f t="shared" si="77"/>
        <v>-0.13050000000000006</v>
      </c>
      <c r="X64" s="29"/>
    </row>
    <row r="65" spans="1:24" hidden="1">
      <c r="A65" s="26" t="s">
        <v>13</v>
      </c>
      <c r="B65" s="26" t="s">
        <v>33</v>
      </c>
      <c r="C65" s="30">
        <v>15</v>
      </c>
      <c r="D65" s="27">
        <v>11</v>
      </c>
      <c r="E65" s="28">
        <v>14</v>
      </c>
      <c r="F65" s="16">
        <f t="shared" si="69"/>
        <v>2.31</v>
      </c>
      <c r="G65" s="16" t="s">
        <v>89</v>
      </c>
      <c r="H65" s="18">
        <v>18</v>
      </c>
      <c r="I65" s="19">
        <f t="shared" si="70"/>
        <v>2.97</v>
      </c>
      <c r="J65" s="16"/>
      <c r="K65" s="18"/>
      <c r="L65" s="19">
        <f t="shared" si="71"/>
        <v>0</v>
      </c>
      <c r="M65" s="16"/>
      <c r="N65" s="18">
        <v>1</v>
      </c>
      <c r="O65" s="19">
        <f t="shared" si="72"/>
        <v>0.16500000000000001</v>
      </c>
      <c r="P65" s="16"/>
      <c r="Q65" s="18"/>
      <c r="R65" s="19">
        <f t="shared" si="73"/>
        <v>0</v>
      </c>
      <c r="S65" s="20">
        <f t="shared" si="74"/>
        <v>19</v>
      </c>
      <c r="T65" s="19">
        <f t="shared" si="75"/>
        <v>3.1350000000000002</v>
      </c>
      <c r="U65" s="21">
        <f t="shared" si="76"/>
        <v>-5</v>
      </c>
      <c r="V65" s="19">
        <f t="shared" si="77"/>
        <v>-0.82500000000000018</v>
      </c>
      <c r="X65" s="29"/>
    </row>
    <row r="66" spans="1:24" hidden="1">
      <c r="A66" s="26" t="s">
        <v>13</v>
      </c>
      <c r="B66" s="26" t="s">
        <v>33</v>
      </c>
      <c r="C66" s="30">
        <v>15</v>
      </c>
      <c r="D66" s="27">
        <v>11.3</v>
      </c>
      <c r="E66" s="28">
        <v>19</v>
      </c>
      <c r="F66" s="16">
        <f t="shared" ref="F66:F74" si="78">(C66*D66*E66/1000)</f>
        <v>3.2204999999999999</v>
      </c>
      <c r="G66" s="16" t="s">
        <v>104</v>
      </c>
      <c r="H66" s="18">
        <v>11</v>
      </c>
      <c r="I66" s="19">
        <f t="shared" ref="I66:I74" si="79">(C66*D66*H66/1000)</f>
        <v>1.8645</v>
      </c>
      <c r="J66" s="16"/>
      <c r="K66" s="18"/>
      <c r="L66" s="19">
        <f t="shared" ref="L66:L74" si="80">(C66*D66*K66/1000)</f>
        <v>0</v>
      </c>
      <c r="M66" s="16"/>
      <c r="N66" s="18"/>
      <c r="O66" s="19">
        <f t="shared" ref="O66:O74" si="81">(C66*D66*N66/1000)</f>
        <v>0</v>
      </c>
      <c r="P66" s="16"/>
      <c r="Q66" s="18"/>
      <c r="R66" s="19">
        <f t="shared" ref="R66:R74" si="82">(D66*C66*Q66/1000)</f>
        <v>0</v>
      </c>
      <c r="S66" s="20">
        <f t="shared" si="74"/>
        <v>11</v>
      </c>
      <c r="T66" s="19">
        <f t="shared" si="75"/>
        <v>1.8645</v>
      </c>
      <c r="U66" s="21">
        <f t="shared" si="76"/>
        <v>8</v>
      </c>
      <c r="V66" s="19">
        <f t="shared" si="77"/>
        <v>1.3559999999999999</v>
      </c>
      <c r="X66" s="29"/>
    </row>
    <row r="67" spans="1:24" hidden="1">
      <c r="A67" s="26" t="s">
        <v>13</v>
      </c>
      <c r="B67" s="26" t="s">
        <v>33</v>
      </c>
      <c r="C67" s="30">
        <v>15</v>
      </c>
      <c r="D67" s="27">
        <v>6</v>
      </c>
      <c r="E67" s="28"/>
      <c r="F67" s="16">
        <f t="shared" si="78"/>
        <v>0</v>
      </c>
      <c r="G67" s="17" t="s">
        <v>106</v>
      </c>
      <c r="H67" s="18">
        <v>1</v>
      </c>
      <c r="I67" s="19">
        <f t="shared" si="79"/>
        <v>0.09</v>
      </c>
      <c r="J67" s="16"/>
      <c r="K67" s="18"/>
      <c r="L67" s="19">
        <f t="shared" si="80"/>
        <v>0</v>
      </c>
      <c r="M67" s="16"/>
      <c r="N67" s="18"/>
      <c r="O67" s="19">
        <f t="shared" si="81"/>
        <v>0</v>
      </c>
      <c r="P67" s="16"/>
      <c r="Q67" s="18"/>
      <c r="R67" s="19">
        <f t="shared" si="82"/>
        <v>0</v>
      </c>
      <c r="S67" s="20">
        <f t="shared" si="74"/>
        <v>1</v>
      </c>
      <c r="T67" s="19">
        <f t="shared" si="75"/>
        <v>0.09</v>
      </c>
      <c r="U67" s="21">
        <f t="shared" si="76"/>
        <v>-1</v>
      </c>
      <c r="V67" s="19">
        <f t="shared" si="77"/>
        <v>-0.09</v>
      </c>
      <c r="X67" s="29"/>
    </row>
    <row r="68" spans="1:24" hidden="1">
      <c r="A68" s="26" t="s">
        <v>13</v>
      </c>
      <c r="B68" s="26" t="s">
        <v>33</v>
      </c>
      <c r="C68" s="30">
        <v>15</v>
      </c>
      <c r="D68" s="27">
        <v>8.3000000000000007</v>
      </c>
      <c r="E68" s="28"/>
      <c r="F68" s="16">
        <f t="shared" si="78"/>
        <v>0</v>
      </c>
      <c r="G68" s="17" t="s">
        <v>105</v>
      </c>
      <c r="H68" s="18">
        <v>1</v>
      </c>
      <c r="I68" s="19">
        <f t="shared" si="79"/>
        <v>0.12450000000000001</v>
      </c>
      <c r="J68" s="16"/>
      <c r="K68" s="18"/>
      <c r="L68" s="19">
        <f t="shared" si="80"/>
        <v>0</v>
      </c>
      <c r="M68" s="16"/>
      <c r="N68" s="18"/>
      <c r="O68" s="19">
        <f t="shared" si="81"/>
        <v>0</v>
      </c>
      <c r="P68" s="16"/>
      <c r="Q68" s="18"/>
      <c r="R68" s="19">
        <f t="shared" si="82"/>
        <v>0</v>
      </c>
      <c r="S68" s="20">
        <f t="shared" si="74"/>
        <v>1</v>
      </c>
      <c r="T68" s="19">
        <f t="shared" si="75"/>
        <v>0.12450000000000001</v>
      </c>
      <c r="U68" s="21">
        <f t="shared" si="76"/>
        <v>-1</v>
      </c>
      <c r="V68" s="19">
        <f t="shared" si="77"/>
        <v>-0.12450000000000001</v>
      </c>
      <c r="X68" s="29"/>
    </row>
    <row r="69" spans="1:24" hidden="1">
      <c r="A69" s="26" t="s">
        <v>13</v>
      </c>
      <c r="B69" s="26" t="s">
        <v>33</v>
      </c>
      <c r="C69" s="30">
        <v>15</v>
      </c>
      <c r="D69" s="27">
        <v>6</v>
      </c>
      <c r="E69" s="28"/>
      <c r="F69" s="16">
        <f t="shared" si="78"/>
        <v>0</v>
      </c>
      <c r="G69" s="16" t="s">
        <v>93</v>
      </c>
      <c r="H69" s="18">
        <v>7</v>
      </c>
      <c r="I69" s="19">
        <f t="shared" si="79"/>
        <v>0.63</v>
      </c>
      <c r="J69" s="16"/>
      <c r="K69" s="18"/>
      <c r="L69" s="19">
        <f t="shared" si="80"/>
        <v>0</v>
      </c>
      <c r="M69" s="16"/>
      <c r="N69" s="18"/>
      <c r="O69" s="19">
        <f t="shared" si="81"/>
        <v>0</v>
      </c>
      <c r="P69" s="16"/>
      <c r="Q69" s="18"/>
      <c r="R69" s="19">
        <f t="shared" si="82"/>
        <v>0</v>
      </c>
      <c r="S69" s="20">
        <f t="shared" si="74"/>
        <v>7</v>
      </c>
      <c r="T69" s="19">
        <f t="shared" si="75"/>
        <v>0.63</v>
      </c>
      <c r="U69" s="21">
        <f t="shared" si="76"/>
        <v>-7</v>
      </c>
      <c r="V69" s="19">
        <f t="shared" si="77"/>
        <v>-0.63</v>
      </c>
      <c r="X69" s="29"/>
    </row>
    <row r="70" spans="1:24" hidden="1">
      <c r="A70" s="26" t="s">
        <v>13</v>
      </c>
      <c r="B70" s="26" t="s">
        <v>33</v>
      </c>
      <c r="C70" s="30">
        <v>15</v>
      </c>
      <c r="D70" s="27">
        <v>5.7</v>
      </c>
      <c r="E70" s="28"/>
      <c r="F70" s="16">
        <f t="shared" si="78"/>
        <v>0</v>
      </c>
      <c r="G70" s="16" t="s">
        <v>108</v>
      </c>
      <c r="H70" s="18">
        <v>1</v>
      </c>
      <c r="I70" s="19">
        <f t="shared" si="79"/>
        <v>8.5500000000000007E-2</v>
      </c>
      <c r="J70" s="16"/>
      <c r="K70" s="18"/>
      <c r="L70" s="19">
        <f t="shared" si="80"/>
        <v>0</v>
      </c>
      <c r="M70" s="16"/>
      <c r="N70" s="18">
        <v>1</v>
      </c>
      <c r="O70" s="19">
        <f t="shared" si="81"/>
        <v>8.5500000000000007E-2</v>
      </c>
      <c r="P70" s="16"/>
      <c r="Q70" s="18"/>
      <c r="R70" s="19">
        <f t="shared" si="82"/>
        <v>0</v>
      </c>
      <c r="S70" s="20">
        <f t="shared" si="74"/>
        <v>2</v>
      </c>
      <c r="T70" s="19">
        <f t="shared" si="75"/>
        <v>0.17100000000000001</v>
      </c>
      <c r="U70" s="21">
        <f t="shared" si="76"/>
        <v>-2</v>
      </c>
      <c r="V70" s="19">
        <f t="shared" si="77"/>
        <v>-0.17100000000000001</v>
      </c>
      <c r="X70" s="29"/>
    </row>
    <row r="71" spans="1:24" hidden="1">
      <c r="A71" s="26" t="s">
        <v>13</v>
      </c>
      <c r="B71" s="26" t="s">
        <v>33</v>
      </c>
      <c r="C71" s="30">
        <v>15</v>
      </c>
      <c r="D71" s="27">
        <v>5.8</v>
      </c>
      <c r="E71" s="28"/>
      <c r="F71" s="16">
        <f t="shared" si="78"/>
        <v>0</v>
      </c>
      <c r="G71" s="17"/>
      <c r="H71" s="18">
        <v>1</v>
      </c>
      <c r="I71" s="19">
        <f t="shared" si="79"/>
        <v>8.6999999999999994E-2</v>
      </c>
      <c r="J71" s="16"/>
      <c r="K71" s="18"/>
      <c r="L71" s="19">
        <f t="shared" si="80"/>
        <v>0</v>
      </c>
      <c r="M71" s="16"/>
      <c r="N71" s="18"/>
      <c r="O71" s="19">
        <f t="shared" si="81"/>
        <v>0</v>
      </c>
      <c r="P71" s="16"/>
      <c r="Q71" s="18"/>
      <c r="R71" s="19">
        <f t="shared" si="82"/>
        <v>0</v>
      </c>
      <c r="S71" s="20">
        <f t="shared" ref="S71:S74" si="83">+H71+K71+N71+Q71</f>
        <v>1</v>
      </c>
      <c r="T71" s="19">
        <f t="shared" ref="T71:T74" si="84">+I71+L71+O71+R71</f>
        <v>8.6999999999999994E-2</v>
      </c>
      <c r="U71" s="21">
        <f t="shared" ref="U71:U74" si="85">E71-S71</f>
        <v>-1</v>
      </c>
      <c r="V71" s="19">
        <f t="shared" ref="V71:V74" si="86">F71-T71</f>
        <v>-8.6999999999999994E-2</v>
      </c>
      <c r="X71" s="29"/>
    </row>
    <row r="72" spans="1:24" hidden="1">
      <c r="A72" s="26" t="s">
        <v>13</v>
      </c>
      <c r="B72" s="26" t="s">
        <v>33</v>
      </c>
      <c r="C72" s="30">
        <v>15</v>
      </c>
      <c r="D72" s="27">
        <v>9.5</v>
      </c>
      <c r="E72" s="28"/>
      <c r="F72" s="16">
        <f t="shared" si="78"/>
        <v>0</v>
      </c>
      <c r="G72" s="17"/>
      <c r="H72" s="18"/>
      <c r="I72" s="19">
        <f t="shared" si="79"/>
        <v>0</v>
      </c>
      <c r="J72" s="16"/>
      <c r="K72" s="18"/>
      <c r="L72" s="19">
        <f t="shared" si="80"/>
        <v>0</v>
      </c>
      <c r="M72" s="16"/>
      <c r="N72" s="18">
        <v>1</v>
      </c>
      <c r="O72" s="19">
        <f t="shared" si="81"/>
        <v>0.14249999999999999</v>
      </c>
      <c r="P72" s="16"/>
      <c r="Q72" s="18"/>
      <c r="R72" s="19">
        <f t="shared" si="82"/>
        <v>0</v>
      </c>
      <c r="S72" s="20">
        <f t="shared" si="83"/>
        <v>1</v>
      </c>
      <c r="T72" s="19">
        <f t="shared" si="84"/>
        <v>0.14249999999999999</v>
      </c>
      <c r="U72" s="21">
        <f t="shared" si="85"/>
        <v>-1</v>
      </c>
      <c r="V72" s="19">
        <f t="shared" si="86"/>
        <v>-0.14249999999999999</v>
      </c>
      <c r="X72" s="29"/>
    </row>
    <row r="73" spans="1:24" hidden="1">
      <c r="A73" s="26" t="s">
        <v>13</v>
      </c>
      <c r="B73" s="26" t="s">
        <v>33</v>
      </c>
      <c r="C73" s="30">
        <v>15</v>
      </c>
      <c r="D73" s="27">
        <v>5.3</v>
      </c>
      <c r="E73" s="28"/>
      <c r="F73" s="16">
        <f t="shared" si="78"/>
        <v>0</v>
      </c>
      <c r="G73" s="17"/>
      <c r="H73" s="18"/>
      <c r="I73" s="19">
        <f t="shared" si="79"/>
        <v>0</v>
      </c>
      <c r="J73" s="16"/>
      <c r="K73" s="18"/>
      <c r="L73" s="19">
        <f t="shared" si="80"/>
        <v>0</v>
      </c>
      <c r="M73" s="16"/>
      <c r="N73" s="18">
        <v>1</v>
      </c>
      <c r="O73" s="19">
        <f t="shared" si="81"/>
        <v>7.9500000000000001E-2</v>
      </c>
      <c r="P73" s="16"/>
      <c r="Q73" s="18"/>
      <c r="R73" s="19">
        <f t="shared" si="82"/>
        <v>0</v>
      </c>
      <c r="S73" s="20">
        <f t="shared" si="83"/>
        <v>1</v>
      </c>
      <c r="T73" s="19">
        <f t="shared" si="84"/>
        <v>7.9500000000000001E-2</v>
      </c>
      <c r="U73" s="21">
        <f t="shared" si="85"/>
        <v>-1</v>
      </c>
      <c r="V73" s="19">
        <f t="shared" si="86"/>
        <v>-7.9500000000000001E-2</v>
      </c>
      <c r="X73" s="29"/>
    </row>
    <row r="74" spans="1:24" hidden="1">
      <c r="A74" s="26" t="s">
        <v>13</v>
      </c>
      <c r="B74" s="26" t="s">
        <v>33</v>
      </c>
      <c r="C74" s="30">
        <v>15</v>
      </c>
      <c r="D74" s="27">
        <v>5.9</v>
      </c>
      <c r="E74" s="28"/>
      <c r="F74" s="16">
        <f t="shared" si="78"/>
        <v>0</v>
      </c>
      <c r="G74" s="17"/>
      <c r="H74" s="18"/>
      <c r="I74" s="19">
        <f t="shared" si="79"/>
        <v>0</v>
      </c>
      <c r="J74" s="16"/>
      <c r="K74" s="18"/>
      <c r="L74" s="19">
        <f t="shared" si="80"/>
        <v>0</v>
      </c>
      <c r="M74" s="16"/>
      <c r="N74" s="18">
        <v>1</v>
      </c>
      <c r="O74" s="19">
        <f t="shared" si="81"/>
        <v>8.8499999999999995E-2</v>
      </c>
      <c r="P74" s="16"/>
      <c r="Q74" s="18"/>
      <c r="R74" s="19">
        <f t="shared" si="82"/>
        <v>0</v>
      </c>
      <c r="S74" s="20">
        <f t="shared" si="83"/>
        <v>1</v>
      </c>
      <c r="T74" s="19">
        <f t="shared" si="84"/>
        <v>8.8499999999999995E-2</v>
      </c>
      <c r="U74" s="21">
        <f t="shared" si="85"/>
        <v>-1</v>
      </c>
      <c r="V74" s="19">
        <f t="shared" si="86"/>
        <v>-8.8499999999999995E-2</v>
      </c>
      <c r="X74" s="29"/>
    </row>
    <row r="75" spans="1:24" hidden="1">
      <c r="A75" s="26" t="s">
        <v>13</v>
      </c>
      <c r="B75" s="26" t="s">
        <v>33</v>
      </c>
      <c r="C75" s="30">
        <v>15</v>
      </c>
      <c r="D75" s="27">
        <v>5.0999999999999996</v>
      </c>
      <c r="E75" s="28"/>
      <c r="F75" s="16">
        <f t="shared" si="69"/>
        <v>0</v>
      </c>
      <c r="G75" s="17"/>
      <c r="H75" s="18"/>
      <c r="I75" s="19">
        <f t="shared" si="70"/>
        <v>0</v>
      </c>
      <c r="J75" s="16"/>
      <c r="K75" s="18"/>
      <c r="L75" s="19">
        <f t="shared" si="71"/>
        <v>0</v>
      </c>
      <c r="M75" s="16"/>
      <c r="N75" s="18">
        <v>1</v>
      </c>
      <c r="O75" s="19">
        <f t="shared" si="72"/>
        <v>7.6499999999999999E-2</v>
      </c>
      <c r="P75" s="16"/>
      <c r="Q75" s="18"/>
      <c r="R75" s="19">
        <f t="shared" si="73"/>
        <v>0</v>
      </c>
      <c r="S75" s="20">
        <f t="shared" si="74"/>
        <v>1</v>
      </c>
      <c r="T75" s="19">
        <f t="shared" si="75"/>
        <v>7.6499999999999999E-2</v>
      </c>
      <c r="U75" s="21">
        <f t="shared" si="76"/>
        <v>-1</v>
      </c>
      <c r="V75" s="19">
        <f t="shared" si="77"/>
        <v>-7.6499999999999999E-2</v>
      </c>
      <c r="X75" s="29"/>
    </row>
    <row r="76" spans="1:24" hidden="1">
      <c r="A76" s="36"/>
      <c r="B76" s="36"/>
      <c r="C76" s="37"/>
      <c r="D76" s="38"/>
      <c r="E76" s="31">
        <f t="shared" ref="E76" si="87">SUM(E63:E75)</f>
        <v>212</v>
      </c>
      <c r="F76" s="38">
        <f>SUM(F63:F75)</f>
        <v>23.611499999999999</v>
      </c>
      <c r="G76" s="17"/>
      <c r="H76" s="31">
        <f t="shared" ref="H76:I76" si="88">SUM(H63:H75)</f>
        <v>188</v>
      </c>
      <c r="I76" s="38">
        <f t="shared" si="88"/>
        <v>20.783999999999999</v>
      </c>
      <c r="J76" s="16"/>
      <c r="K76" s="31">
        <f t="shared" ref="K76:L76" si="89">SUM(K63:K75)</f>
        <v>16</v>
      </c>
      <c r="L76" s="38">
        <f t="shared" si="89"/>
        <v>1.7084999999999999</v>
      </c>
      <c r="M76" s="16"/>
      <c r="N76" s="31">
        <f t="shared" ref="N76:V76" si="90">SUM(N63:N75)</f>
        <v>13</v>
      </c>
      <c r="O76" s="38">
        <f t="shared" si="90"/>
        <v>1.3439999999999999</v>
      </c>
      <c r="P76" s="16"/>
      <c r="Q76" s="31">
        <f t="shared" ref="Q76:R76" si="91">SUM(Q63:Q75)</f>
        <v>0</v>
      </c>
      <c r="R76" s="38">
        <f t="shared" si="91"/>
        <v>0</v>
      </c>
      <c r="S76" s="31">
        <f t="shared" si="90"/>
        <v>217</v>
      </c>
      <c r="T76" s="38">
        <f t="shared" si="90"/>
        <v>23.836499999999997</v>
      </c>
      <c r="U76" s="31">
        <f t="shared" si="90"/>
        <v>-5</v>
      </c>
      <c r="V76" s="38">
        <f t="shared" si="90"/>
        <v>-0.22500000000000153</v>
      </c>
      <c r="X76" s="29"/>
    </row>
    <row r="77" spans="1:24" hidden="1">
      <c r="A77" s="26" t="s">
        <v>13</v>
      </c>
      <c r="B77" s="26" t="s">
        <v>34</v>
      </c>
      <c r="C77" s="30">
        <v>5.76</v>
      </c>
      <c r="D77" s="27">
        <v>10</v>
      </c>
      <c r="E77" s="28">
        <v>27</v>
      </c>
      <c r="F77" s="16">
        <f t="shared" ref="F77:F81" si="92">(C77*D77*E77/1000)</f>
        <v>1.5551999999999999</v>
      </c>
      <c r="G77" s="17" t="s">
        <v>64</v>
      </c>
      <c r="H77" s="18">
        <v>22</v>
      </c>
      <c r="I77" s="19">
        <f t="shared" ref="I77:I81" si="93">(C77*D77*H77/1000)</f>
        <v>1.2671999999999999</v>
      </c>
      <c r="J77" s="16" t="s">
        <v>86</v>
      </c>
      <c r="K77" s="18"/>
      <c r="L77" s="19">
        <f t="shared" ref="L77:L81" si="94">(C77*D77*K77/1000)</f>
        <v>0</v>
      </c>
      <c r="M77" s="16"/>
      <c r="N77" s="18"/>
      <c r="O77" s="19">
        <f t="shared" ref="O77:O81" si="95">(C77*D77*N77/1000)</f>
        <v>0</v>
      </c>
      <c r="P77" s="16"/>
      <c r="Q77" s="18"/>
      <c r="R77" s="19">
        <f t="shared" ref="R77:R81" si="96">(D77*C77*Q77/1000)</f>
        <v>0</v>
      </c>
      <c r="S77" s="20">
        <f t="shared" ref="S77:S81" si="97">+H77+K77+N77+Q77</f>
        <v>22</v>
      </c>
      <c r="T77" s="19">
        <f t="shared" ref="T77:T81" si="98">+I77+L77+O77+R77</f>
        <v>1.2671999999999999</v>
      </c>
      <c r="U77" s="21">
        <f t="shared" ref="U77:U81" si="99">E77-S77</f>
        <v>5</v>
      </c>
      <c r="V77" s="19">
        <f t="shared" ref="V77:V81" si="100">F77-T77</f>
        <v>0.28800000000000003</v>
      </c>
      <c r="X77" s="29"/>
    </row>
    <row r="78" spans="1:24" hidden="1">
      <c r="A78" s="26" t="s">
        <v>13</v>
      </c>
      <c r="B78" s="26" t="s">
        <v>34</v>
      </c>
      <c r="C78" s="30">
        <v>5.76</v>
      </c>
      <c r="D78" s="27">
        <v>11</v>
      </c>
      <c r="E78" s="28">
        <v>138</v>
      </c>
      <c r="F78" s="16">
        <f t="shared" si="92"/>
        <v>8.7436799999999995</v>
      </c>
      <c r="G78" s="17" t="s">
        <v>65</v>
      </c>
      <c r="H78" s="18">
        <v>65</v>
      </c>
      <c r="I78" s="19">
        <f t="shared" si="93"/>
        <v>4.1183999999999994</v>
      </c>
      <c r="J78" s="16" t="s">
        <v>87</v>
      </c>
      <c r="K78" s="18">
        <v>72</v>
      </c>
      <c r="L78" s="19">
        <f t="shared" si="94"/>
        <v>4.5619199999999998</v>
      </c>
      <c r="M78" s="16"/>
      <c r="N78" s="18"/>
      <c r="O78" s="19">
        <f t="shared" si="95"/>
        <v>0</v>
      </c>
      <c r="P78" s="16"/>
      <c r="Q78" s="18"/>
      <c r="R78" s="19">
        <f t="shared" si="96"/>
        <v>0</v>
      </c>
      <c r="S78" s="20">
        <f t="shared" si="97"/>
        <v>137</v>
      </c>
      <c r="T78" s="19">
        <f t="shared" si="98"/>
        <v>8.6803199999999983</v>
      </c>
      <c r="U78" s="21">
        <f t="shared" si="99"/>
        <v>1</v>
      </c>
      <c r="V78" s="19">
        <f t="shared" si="100"/>
        <v>6.3360000000001193E-2</v>
      </c>
      <c r="X78" s="29"/>
    </row>
    <row r="79" spans="1:24" hidden="1">
      <c r="A79" s="26" t="s">
        <v>13</v>
      </c>
      <c r="B79" s="26" t="s">
        <v>34</v>
      </c>
      <c r="C79" s="30">
        <v>5.76</v>
      </c>
      <c r="D79" s="27">
        <v>11.1</v>
      </c>
      <c r="E79" s="28">
        <v>40</v>
      </c>
      <c r="F79" s="16">
        <f t="shared" si="92"/>
        <v>2.5574399999999997</v>
      </c>
      <c r="G79" s="17"/>
      <c r="H79" s="18">
        <v>28</v>
      </c>
      <c r="I79" s="19">
        <f t="shared" si="93"/>
        <v>1.7902079999999998</v>
      </c>
      <c r="J79" s="16"/>
      <c r="K79" s="18">
        <v>12</v>
      </c>
      <c r="L79" s="19">
        <f t="shared" si="94"/>
        <v>0.76723200000000003</v>
      </c>
      <c r="M79" s="16"/>
      <c r="N79" s="18"/>
      <c r="O79" s="19">
        <f t="shared" si="95"/>
        <v>0</v>
      </c>
      <c r="P79" s="16"/>
      <c r="Q79" s="18"/>
      <c r="R79" s="19">
        <f t="shared" si="96"/>
        <v>0</v>
      </c>
      <c r="S79" s="20">
        <f t="shared" si="97"/>
        <v>40</v>
      </c>
      <c r="T79" s="19">
        <f t="shared" si="98"/>
        <v>2.5574399999999997</v>
      </c>
      <c r="U79" s="21">
        <f t="shared" si="99"/>
        <v>0</v>
      </c>
      <c r="V79" s="19">
        <f t="shared" si="100"/>
        <v>0</v>
      </c>
      <c r="X79" s="29"/>
    </row>
    <row r="80" spans="1:24" hidden="1">
      <c r="A80" s="26" t="s">
        <v>13</v>
      </c>
      <c r="B80" s="26" t="s">
        <v>34</v>
      </c>
      <c r="C80" s="30">
        <v>5.76</v>
      </c>
      <c r="D80" s="27">
        <v>11.9</v>
      </c>
      <c r="E80" s="28">
        <v>56</v>
      </c>
      <c r="F80" s="16">
        <f t="shared" si="92"/>
        <v>3.8384640000000001</v>
      </c>
      <c r="G80" s="17"/>
      <c r="H80" s="18">
        <v>24</v>
      </c>
      <c r="I80" s="19">
        <f t="shared" si="93"/>
        <v>1.6450560000000001</v>
      </c>
      <c r="J80" s="16"/>
      <c r="K80" s="18">
        <v>37</v>
      </c>
      <c r="L80" s="19">
        <f t="shared" si="94"/>
        <v>2.5361279999999997</v>
      </c>
      <c r="M80" s="16"/>
      <c r="N80" s="18"/>
      <c r="O80" s="19">
        <f t="shared" si="95"/>
        <v>0</v>
      </c>
      <c r="P80" s="16"/>
      <c r="Q80" s="18"/>
      <c r="R80" s="19">
        <f t="shared" si="96"/>
        <v>0</v>
      </c>
      <c r="S80" s="20">
        <f t="shared" si="97"/>
        <v>61</v>
      </c>
      <c r="T80" s="19">
        <f t="shared" si="98"/>
        <v>4.181184</v>
      </c>
      <c r="U80" s="21">
        <f t="shared" si="99"/>
        <v>-5</v>
      </c>
      <c r="V80" s="19">
        <f t="shared" si="100"/>
        <v>-0.34271999999999991</v>
      </c>
      <c r="X80" s="29"/>
    </row>
    <row r="81" spans="1:24" hidden="1">
      <c r="A81" s="26" t="s">
        <v>13</v>
      </c>
      <c r="B81" s="26" t="s">
        <v>34</v>
      </c>
      <c r="C81" s="30">
        <v>5.76</v>
      </c>
      <c r="D81" s="27">
        <v>12</v>
      </c>
      <c r="E81" s="28">
        <v>148</v>
      </c>
      <c r="F81" s="16">
        <f t="shared" si="92"/>
        <v>10.229760000000001</v>
      </c>
      <c r="G81" s="17"/>
      <c r="H81" s="18">
        <v>106</v>
      </c>
      <c r="I81" s="19">
        <f t="shared" si="93"/>
        <v>7.3267199999999999</v>
      </c>
      <c r="J81" s="16"/>
      <c r="K81" s="18">
        <v>42</v>
      </c>
      <c r="L81" s="19">
        <f t="shared" si="94"/>
        <v>2.9030399999999998</v>
      </c>
      <c r="M81" s="16"/>
      <c r="N81" s="18"/>
      <c r="O81" s="19">
        <f t="shared" si="95"/>
        <v>0</v>
      </c>
      <c r="P81" s="16"/>
      <c r="Q81" s="18"/>
      <c r="R81" s="19">
        <f t="shared" si="96"/>
        <v>0</v>
      </c>
      <c r="S81" s="20">
        <f t="shared" si="97"/>
        <v>148</v>
      </c>
      <c r="T81" s="19">
        <f t="shared" si="98"/>
        <v>10.229759999999999</v>
      </c>
      <c r="U81" s="21">
        <f t="shared" si="99"/>
        <v>0</v>
      </c>
      <c r="V81" s="19">
        <f t="shared" si="100"/>
        <v>0</v>
      </c>
      <c r="X81" s="29"/>
    </row>
    <row r="82" spans="1:24" hidden="1">
      <c r="A82" s="36"/>
      <c r="B82" s="36"/>
      <c r="C82" s="37"/>
      <c r="D82" s="38"/>
      <c r="E82" s="31">
        <f t="shared" ref="E82" si="101">SUM(E77:E81)</f>
        <v>409</v>
      </c>
      <c r="F82" s="38">
        <f>SUM(F77:F81)</f>
        <v>26.924543999999997</v>
      </c>
      <c r="G82" s="17"/>
      <c r="H82" s="31">
        <f t="shared" ref="H82:I82" si="102">SUM(H77:H81)</f>
        <v>245</v>
      </c>
      <c r="I82" s="38">
        <f t="shared" si="102"/>
        <v>16.147583999999998</v>
      </c>
      <c r="J82" s="16"/>
      <c r="K82" s="31">
        <f t="shared" ref="K82:L82" si="103">SUM(K77:K81)</f>
        <v>163</v>
      </c>
      <c r="L82" s="38">
        <f t="shared" si="103"/>
        <v>10.768319999999999</v>
      </c>
      <c r="M82" s="16"/>
      <c r="N82" s="31">
        <f t="shared" ref="N82:V82" si="104">SUM(N77:N81)</f>
        <v>0</v>
      </c>
      <c r="O82" s="38">
        <f t="shared" si="104"/>
        <v>0</v>
      </c>
      <c r="P82" s="16"/>
      <c r="Q82" s="31">
        <f t="shared" ref="Q82:R82" si="105">SUM(Q77:Q81)</f>
        <v>0</v>
      </c>
      <c r="R82" s="38">
        <f t="shared" si="105"/>
        <v>0</v>
      </c>
      <c r="S82" s="31">
        <f t="shared" si="104"/>
        <v>408</v>
      </c>
      <c r="T82" s="38">
        <f t="shared" si="104"/>
        <v>26.915903999999998</v>
      </c>
      <c r="U82" s="31">
        <f t="shared" si="104"/>
        <v>1</v>
      </c>
      <c r="V82" s="38">
        <f t="shared" si="104"/>
        <v>8.6400000000013133E-3</v>
      </c>
      <c r="X82" s="29"/>
    </row>
    <row r="83" spans="1:24" hidden="1">
      <c r="A83" s="26" t="s">
        <v>13</v>
      </c>
      <c r="B83" s="26" t="s">
        <v>35</v>
      </c>
      <c r="C83" s="30">
        <v>6.85</v>
      </c>
      <c r="D83" s="27">
        <v>9.35</v>
      </c>
      <c r="E83" s="28">
        <v>40</v>
      </c>
      <c r="F83" s="16">
        <f t="shared" ref="F83:F88" si="106">(C83*D83*E83/1000)</f>
        <v>2.5619000000000001</v>
      </c>
      <c r="G83" s="17" t="s">
        <v>64</v>
      </c>
      <c r="H83" s="18">
        <v>6</v>
      </c>
      <c r="I83" s="19">
        <f t="shared" ref="I83:I88" si="107">(C83*D83*H83/1000)</f>
        <v>0.38428499999999999</v>
      </c>
      <c r="J83" s="16" t="s">
        <v>86</v>
      </c>
      <c r="K83" s="18">
        <v>12</v>
      </c>
      <c r="L83" s="19">
        <f t="shared" ref="L83:L88" si="108">(C83*D83*K83/1000)</f>
        <v>0.76856999999999998</v>
      </c>
      <c r="M83" s="17" t="s">
        <v>91</v>
      </c>
      <c r="N83" s="18"/>
      <c r="O83" s="19">
        <f t="shared" ref="O83:O88" si="109">(C83*D83*N83/1000)</f>
        <v>0</v>
      </c>
      <c r="P83" s="17"/>
      <c r="Q83" s="18"/>
      <c r="R83" s="19">
        <f t="shared" ref="R83:R104" si="110">(D83*C83*Q83/1000)</f>
        <v>0</v>
      </c>
      <c r="S83" s="20">
        <f t="shared" ref="S83:S104" si="111">+H83+K83+N83+Q83</f>
        <v>18</v>
      </c>
      <c r="T83" s="19">
        <f t="shared" ref="T83:T104" si="112">+I83+L83+O83+R83</f>
        <v>1.152855</v>
      </c>
      <c r="U83" s="21">
        <f t="shared" ref="U83:U104" si="113">E83-S83</f>
        <v>22</v>
      </c>
      <c r="V83" s="19">
        <f t="shared" ref="V83:V104" si="114">F83-T83</f>
        <v>1.4090450000000001</v>
      </c>
      <c r="X83" s="29"/>
    </row>
    <row r="84" spans="1:24" hidden="1">
      <c r="A84" s="26" t="s">
        <v>13</v>
      </c>
      <c r="B84" s="26" t="s">
        <v>35</v>
      </c>
      <c r="C84" s="30">
        <v>6.85</v>
      </c>
      <c r="D84" s="27">
        <v>9.5500000000000007</v>
      </c>
      <c r="E84" s="28">
        <v>71</v>
      </c>
      <c r="F84" s="16">
        <f t="shared" si="106"/>
        <v>4.6446424999999998</v>
      </c>
      <c r="G84" s="17" t="s">
        <v>65</v>
      </c>
      <c r="H84" s="18">
        <f>9+14</f>
        <v>23</v>
      </c>
      <c r="I84" s="19">
        <f t="shared" si="107"/>
        <v>1.5046025000000003</v>
      </c>
      <c r="J84" s="16" t="s">
        <v>87</v>
      </c>
      <c r="K84" s="18">
        <v>32</v>
      </c>
      <c r="L84" s="19">
        <f t="shared" si="108"/>
        <v>2.0933600000000001</v>
      </c>
      <c r="M84" s="17" t="s">
        <v>97</v>
      </c>
      <c r="N84" s="18"/>
      <c r="O84" s="19">
        <f t="shared" si="109"/>
        <v>0</v>
      </c>
      <c r="P84" s="17"/>
      <c r="Q84" s="18"/>
      <c r="R84" s="19">
        <f t="shared" si="110"/>
        <v>0</v>
      </c>
      <c r="S84" s="20">
        <f t="shared" si="111"/>
        <v>55</v>
      </c>
      <c r="T84" s="19">
        <f t="shared" si="112"/>
        <v>3.5979625000000004</v>
      </c>
      <c r="U84" s="21">
        <f t="shared" si="113"/>
        <v>16</v>
      </c>
      <c r="V84" s="19">
        <f t="shared" si="114"/>
        <v>1.0466799999999994</v>
      </c>
      <c r="X84" s="29"/>
    </row>
    <row r="85" spans="1:24" hidden="1">
      <c r="A85" s="26" t="s">
        <v>13</v>
      </c>
      <c r="B85" s="26" t="s">
        <v>35</v>
      </c>
      <c r="C85" s="30">
        <v>6.85</v>
      </c>
      <c r="D85" s="27">
        <v>9.85</v>
      </c>
      <c r="E85" s="28">
        <v>160</v>
      </c>
      <c r="F85" s="16">
        <f t="shared" si="106"/>
        <v>10.795599999999999</v>
      </c>
      <c r="G85" s="17"/>
      <c r="H85" s="18">
        <v>73</v>
      </c>
      <c r="I85" s="19">
        <f t="shared" si="107"/>
        <v>4.9254924999999989</v>
      </c>
      <c r="J85" s="16"/>
      <c r="K85" s="18">
        <v>84</v>
      </c>
      <c r="L85" s="19">
        <f t="shared" si="108"/>
        <v>5.6676899999999995</v>
      </c>
      <c r="M85" s="16"/>
      <c r="N85" s="18"/>
      <c r="O85" s="19">
        <f t="shared" si="109"/>
        <v>0</v>
      </c>
      <c r="P85" s="16"/>
      <c r="Q85" s="18"/>
      <c r="R85" s="19">
        <f t="shared" si="110"/>
        <v>0</v>
      </c>
      <c r="S85" s="20">
        <f t="shared" si="111"/>
        <v>157</v>
      </c>
      <c r="T85" s="19">
        <f t="shared" si="112"/>
        <v>10.593182499999998</v>
      </c>
      <c r="U85" s="21">
        <f t="shared" si="113"/>
        <v>3</v>
      </c>
      <c r="V85" s="19">
        <f t="shared" si="114"/>
        <v>0.20241750000000103</v>
      </c>
      <c r="X85" s="29"/>
    </row>
    <row r="86" spans="1:24" hidden="1">
      <c r="A86" s="26" t="s">
        <v>13</v>
      </c>
      <c r="B86" s="26" t="s">
        <v>35</v>
      </c>
      <c r="C86" s="30">
        <v>6.85</v>
      </c>
      <c r="D86" s="27">
        <v>10.7</v>
      </c>
      <c r="E86" s="28">
        <v>31</v>
      </c>
      <c r="F86" s="16">
        <f t="shared" si="106"/>
        <v>2.2721449999999996</v>
      </c>
      <c r="G86" s="17"/>
      <c r="H86" s="18"/>
      <c r="I86" s="19">
        <f t="shared" si="107"/>
        <v>0</v>
      </c>
      <c r="J86" s="16"/>
      <c r="K86" s="18">
        <v>14</v>
      </c>
      <c r="L86" s="19">
        <f t="shared" si="108"/>
        <v>1.02613</v>
      </c>
      <c r="M86" s="16"/>
      <c r="N86" s="18"/>
      <c r="O86" s="19">
        <f t="shared" si="109"/>
        <v>0</v>
      </c>
      <c r="P86" s="16"/>
      <c r="Q86" s="18"/>
      <c r="R86" s="19">
        <f t="shared" si="110"/>
        <v>0</v>
      </c>
      <c r="S86" s="20">
        <f t="shared" si="111"/>
        <v>14</v>
      </c>
      <c r="T86" s="19">
        <f t="shared" si="112"/>
        <v>1.02613</v>
      </c>
      <c r="U86" s="21">
        <f t="shared" si="113"/>
        <v>17</v>
      </c>
      <c r="V86" s="19">
        <f t="shared" si="114"/>
        <v>1.2460149999999997</v>
      </c>
      <c r="X86" s="29"/>
    </row>
    <row r="87" spans="1:24" hidden="1">
      <c r="A87" s="26" t="s">
        <v>13</v>
      </c>
      <c r="B87" s="26" t="s">
        <v>35</v>
      </c>
      <c r="C87" s="30">
        <v>6.85</v>
      </c>
      <c r="D87" s="27">
        <v>11</v>
      </c>
      <c r="E87" s="28">
        <v>18</v>
      </c>
      <c r="F87" s="16">
        <f t="shared" si="106"/>
        <v>1.3563000000000001</v>
      </c>
      <c r="G87" s="17"/>
      <c r="H87" s="18"/>
      <c r="I87" s="19">
        <f t="shared" si="107"/>
        <v>0</v>
      </c>
      <c r="J87" s="16"/>
      <c r="K87" s="18"/>
      <c r="L87" s="19">
        <f t="shared" si="108"/>
        <v>0</v>
      </c>
      <c r="M87" s="16"/>
      <c r="N87" s="18"/>
      <c r="O87" s="19">
        <f t="shared" si="109"/>
        <v>0</v>
      </c>
      <c r="P87" s="16"/>
      <c r="Q87" s="18"/>
      <c r="R87" s="19">
        <f t="shared" si="110"/>
        <v>0</v>
      </c>
      <c r="S87" s="20">
        <f t="shared" si="111"/>
        <v>0</v>
      </c>
      <c r="T87" s="19">
        <f t="shared" si="112"/>
        <v>0</v>
      </c>
      <c r="U87" s="21">
        <f t="shared" si="113"/>
        <v>18</v>
      </c>
      <c r="V87" s="19">
        <f t="shared" si="114"/>
        <v>1.3563000000000001</v>
      </c>
      <c r="X87" s="29"/>
    </row>
    <row r="88" spans="1:24" hidden="1">
      <c r="A88" s="26" t="s">
        <v>13</v>
      </c>
      <c r="B88" s="26" t="s">
        <v>35</v>
      </c>
      <c r="C88" s="30">
        <v>6.85</v>
      </c>
      <c r="D88" s="27">
        <v>11.5</v>
      </c>
      <c r="E88" s="28">
        <v>20</v>
      </c>
      <c r="F88" s="16">
        <f t="shared" si="106"/>
        <v>1.5754999999999997</v>
      </c>
      <c r="G88" s="17"/>
      <c r="H88" s="18">
        <v>9</v>
      </c>
      <c r="I88" s="19">
        <f t="shared" si="107"/>
        <v>0.70897499999999991</v>
      </c>
      <c r="J88" s="16"/>
      <c r="K88" s="18">
        <v>11</v>
      </c>
      <c r="L88" s="19">
        <f t="shared" si="108"/>
        <v>0.86652499999999988</v>
      </c>
      <c r="M88" s="16"/>
      <c r="N88" s="18"/>
      <c r="O88" s="19">
        <f t="shared" si="109"/>
        <v>0</v>
      </c>
      <c r="P88" s="16"/>
      <c r="Q88" s="18"/>
      <c r="R88" s="19">
        <f t="shared" si="110"/>
        <v>0</v>
      </c>
      <c r="S88" s="20">
        <f t="shared" si="111"/>
        <v>20</v>
      </c>
      <c r="T88" s="19">
        <f t="shared" si="112"/>
        <v>1.5754999999999999</v>
      </c>
      <c r="U88" s="21">
        <f t="shared" si="113"/>
        <v>0</v>
      </c>
      <c r="V88" s="19">
        <f t="shared" si="114"/>
        <v>0</v>
      </c>
      <c r="X88" s="29"/>
    </row>
    <row r="89" spans="1:24" hidden="1">
      <c r="A89" s="26" t="s">
        <v>13</v>
      </c>
      <c r="B89" s="26" t="s">
        <v>35</v>
      </c>
      <c r="C89" s="30">
        <v>6.85</v>
      </c>
      <c r="D89" s="27">
        <v>12</v>
      </c>
      <c r="E89" s="28">
        <v>47</v>
      </c>
      <c r="F89" s="16">
        <f t="shared" ref="F89:F104" si="115">(C89*D89*E89/1000)</f>
        <v>3.8633999999999995</v>
      </c>
      <c r="G89" s="17"/>
      <c r="H89" s="18">
        <v>47</v>
      </c>
      <c r="I89" s="19">
        <f t="shared" ref="I89:I104" si="116">(C89*D89*H89/1000)</f>
        <v>3.8633999999999995</v>
      </c>
      <c r="J89" s="16"/>
      <c r="K89" s="18"/>
      <c r="L89" s="19">
        <f t="shared" ref="L89:L104" si="117">(C89*D89*K89/1000)</f>
        <v>0</v>
      </c>
      <c r="M89" s="16"/>
      <c r="N89" s="18"/>
      <c r="O89" s="19">
        <f t="shared" ref="O89:O104" si="118">(C89*D89*N89/1000)</f>
        <v>0</v>
      </c>
      <c r="P89" s="16"/>
      <c r="Q89" s="18"/>
      <c r="R89" s="19">
        <f t="shared" si="110"/>
        <v>0</v>
      </c>
      <c r="S89" s="20">
        <f t="shared" si="111"/>
        <v>47</v>
      </c>
      <c r="T89" s="19">
        <f t="shared" si="112"/>
        <v>3.8633999999999995</v>
      </c>
      <c r="U89" s="21">
        <f t="shared" si="113"/>
        <v>0</v>
      </c>
      <c r="V89" s="19">
        <f t="shared" si="114"/>
        <v>0</v>
      </c>
      <c r="X89" s="29"/>
    </row>
    <row r="90" spans="1:24" hidden="1">
      <c r="A90" s="26" t="s">
        <v>13</v>
      </c>
      <c r="B90" s="26" t="s">
        <v>35</v>
      </c>
      <c r="C90" s="30">
        <v>6.85</v>
      </c>
      <c r="D90" s="27">
        <v>6.5</v>
      </c>
      <c r="E90" s="28"/>
      <c r="F90" s="16">
        <f t="shared" si="115"/>
        <v>0</v>
      </c>
      <c r="G90" s="17"/>
      <c r="H90" s="18"/>
      <c r="I90" s="19">
        <f t="shared" si="116"/>
        <v>0</v>
      </c>
      <c r="J90" s="16"/>
      <c r="K90" s="18"/>
      <c r="L90" s="19">
        <f t="shared" si="117"/>
        <v>0</v>
      </c>
      <c r="M90" s="16"/>
      <c r="N90" s="18">
        <v>4</v>
      </c>
      <c r="O90" s="19">
        <f t="shared" si="118"/>
        <v>0.17809999999999998</v>
      </c>
      <c r="P90" s="16"/>
      <c r="Q90" s="18"/>
      <c r="R90" s="19">
        <f t="shared" si="110"/>
        <v>0</v>
      </c>
      <c r="S90" s="20">
        <f t="shared" si="111"/>
        <v>4</v>
      </c>
      <c r="T90" s="19">
        <f t="shared" si="112"/>
        <v>0.17809999999999998</v>
      </c>
      <c r="U90" s="21">
        <f t="shared" si="113"/>
        <v>-4</v>
      </c>
      <c r="V90" s="19">
        <f t="shared" si="114"/>
        <v>-0.17809999999999998</v>
      </c>
      <c r="X90" s="29"/>
    </row>
    <row r="91" spans="1:24" hidden="1">
      <c r="A91" s="26" t="s">
        <v>13</v>
      </c>
      <c r="B91" s="26" t="s">
        <v>35</v>
      </c>
      <c r="C91" s="30">
        <v>6.85</v>
      </c>
      <c r="D91" s="27">
        <v>6.7</v>
      </c>
      <c r="E91" s="28"/>
      <c r="F91" s="16">
        <f t="shared" si="115"/>
        <v>0</v>
      </c>
      <c r="G91" s="17"/>
      <c r="H91" s="18"/>
      <c r="I91" s="19">
        <f t="shared" si="116"/>
        <v>0</v>
      </c>
      <c r="J91" s="16"/>
      <c r="K91" s="18"/>
      <c r="L91" s="19">
        <f t="shared" si="117"/>
        <v>0</v>
      </c>
      <c r="M91" s="16"/>
      <c r="N91" s="18">
        <v>1</v>
      </c>
      <c r="O91" s="19">
        <f t="shared" si="118"/>
        <v>4.5894999999999998E-2</v>
      </c>
      <c r="P91" s="16"/>
      <c r="Q91" s="18"/>
      <c r="R91" s="19">
        <f t="shared" si="110"/>
        <v>0</v>
      </c>
      <c r="S91" s="20">
        <f t="shared" si="111"/>
        <v>1</v>
      </c>
      <c r="T91" s="19">
        <f t="shared" si="112"/>
        <v>4.5894999999999998E-2</v>
      </c>
      <c r="U91" s="21">
        <f t="shared" si="113"/>
        <v>-1</v>
      </c>
      <c r="V91" s="19">
        <f t="shared" si="114"/>
        <v>-4.5894999999999998E-2</v>
      </c>
      <c r="X91" s="29"/>
    </row>
    <row r="92" spans="1:24" hidden="1">
      <c r="A92" s="26" t="s">
        <v>13</v>
      </c>
      <c r="B92" s="26" t="s">
        <v>35</v>
      </c>
      <c r="C92" s="30">
        <v>6.85</v>
      </c>
      <c r="D92" s="27">
        <v>7</v>
      </c>
      <c r="E92" s="28"/>
      <c r="F92" s="16">
        <f t="shared" si="115"/>
        <v>0</v>
      </c>
      <c r="G92" s="17"/>
      <c r="H92" s="18"/>
      <c r="I92" s="19">
        <f t="shared" si="116"/>
        <v>0</v>
      </c>
      <c r="J92" s="16"/>
      <c r="K92" s="18"/>
      <c r="L92" s="19">
        <f t="shared" si="117"/>
        <v>0</v>
      </c>
      <c r="M92" s="16"/>
      <c r="N92" s="18">
        <v>2</v>
      </c>
      <c r="O92" s="19">
        <f t="shared" si="118"/>
        <v>9.5899999999999985E-2</v>
      </c>
      <c r="P92" s="16"/>
      <c r="Q92" s="18"/>
      <c r="R92" s="19">
        <f t="shared" si="110"/>
        <v>0</v>
      </c>
      <c r="S92" s="20">
        <f t="shared" si="111"/>
        <v>2</v>
      </c>
      <c r="T92" s="19">
        <f t="shared" si="112"/>
        <v>9.5899999999999985E-2</v>
      </c>
      <c r="U92" s="21">
        <f t="shared" si="113"/>
        <v>-2</v>
      </c>
      <c r="V92" s="19">
        <f t="shared" si="114"/>
        <v>-9.5899999999999985E-2</v>
      </c>
      <c r="X92" s="29"/>
    </row>
    <row r="93" spans="1:24" hidden="1">
      <c r="A93" s="26" t="s">
        <v>13</v>
      </c>
      <c r="B93" s="26" t="s">
        <v>35</v>
      </c>
      <c r="C93" s="30">
        <v>6.85</v>
      </c>
      <c r="D93" s="27">
        <v>7.5</v>
      </c>
      <c r="E93" s="28"/>
      <c r="F93" s="16">
        <f t="shared" si="115"/>
        <v>0</v>
      </c>
      <c r="G93" s="17"/>
      <c r="H93" s="18"/>
      <c r="I93" s="19">
        <f t="shared" si="116"/>
        <v>0</v>
      </c>
      <c r="J93" s="16"/>
      <c r="K93" s="18"/>
      <c r="L93" s="19">
        <f t="shared" si="117"/>
        <v>0</v>
      </c>
      <c r="M93" s="16"/>
      <c r="N93" s="18">
        <v>4</v>
      </c>
      <c r="O93" s="19">
        <f t="shared" si="118"/>
        <v>0.20549999999999999</v>
      </c>
      <c r="P93" s="16"/>
      <c r="Q93" s="18"/>
      <c r="R93" s="19">
        <f t="shared" si="110"/>
        <v>0</v>
      </c>
      <c r="S93" s="20">
        <f t="shared" si="111"/>
        <v>4</v>
      </c>
      <c r="T93" s="19">
        <f t="shared" si="112"/>
        <v>0.20549999999999999</v>
      </c>
      <c r="U93" s="21">
        <f t="shared" si="113"/>
        <v>-4</v>
      </c>
      <c r="V93" s="19">
        <f t="shared" si="114"/>
        <v>-0.20549999999999999</v>
      </c>
      <c r="X93" s="29"/>
    </row>
    <row r="94" spans="1:24" hidden="1">
      <c r="A94" s="26" t="s">
        <v>13</v>
      </c>
      <c r="B94" s="26" t="s">
        <v>35</v>
      </c>
      <c r="C94" s="30">
        <v>6.85</v>
      </c>
      <c r="D94" s="27">
        <v>8</v>
      </c>
      <c r="E94" s="28"/>
      <c r="F94" s="16">
        <f t="shared" si="115"/>
        <v>0</v>
      </c>
      <c r="G94" s="17"/>
      <c r="H94" s="18"/>
      <c r="I94" s="19">
        <f t="shared" si="116"/>
        <v>0</v>
      </c>
      <c r="J94" s="16"/>
      <c r="K94" s="18"/>
      <c r="L94" s="19">
        <f t="shared" si="117"/>
        <v>0</v>
      </c>
      <c r="M94" s="16"/>
      <c r="N94" s="18">
        <v>2</v>
      </c>
      <c r="O94" s="19">
        <f t="shared" si="118"/>
        <v>0.10959999999999999</v>
      </c>
      <c r="P94" s="16"/>
      <c r="Q94" s="18"/>
      <c r="R94" s="19">
        <f t="shared" si="110"/>
        <v>0</v>
      </c>
      <c r="S94" s="20">
        <f t="shared" si="111"/>
        <v>2</v>
      </c>
      <c r="T94" s="19">
        <f t="shared" si="112"/>
        <v>0.10959999999999999</v>
      </c>
      <c r="U94" s="21">
        <f t="shared" si="113"/>
        <v>-2</v>
      </c>
      <c r="V94" s="19">
        <f t="shared" si="114"/>
        <v>-0.10959999999999999</v>
      </c>
      <c r="X94" s="29"/>
    </row>
    <row r="95" spans="1:24" hidden="1">
      <c r="A95" s="26" t="s">
        <v>13</v>
      </c>
      <c r="B95" s="26" t="s">
        <v>35</v>
      </c>
      <c r="C95" s="30">
        <v>6.85</v>
      </c>
      <c r="D95" s="27">
        <v>8.1</v>
      </c>
      <c r="E95" s="28"/>
      <c r="F95" s="16">
        <f t="shared" si="115"/>
        <v>0</v>
      </c>
      <c r="G95" s="17"/>
      <c r="H95" s="18"/>
      <c r="I95" s="19">
        <f t="shared" si="116"/>
        <v>0</v>
      </c>
      <c r="J95" s="16"/>
      <c r="K95" s="18"/>
      <c r="L95" s="19">
        <f t="shared" si="117"/>
        <v>0</v>
      </c>
      <c r="M95" s="16"/>
      <c r="N95" s="18">
        <v>1</v>
      </c>
      <c r="O95" s="19">
        <f t="shared" si="118"/>
        <v>5.5484999999999993E-2</v>
      </c>
      <c r="P95" s="16"/>
      <c r="Q95" s="18"/>
      <c r="R95" s="19">
        <f t="shared" si="110"/>
        <v>0</v>
      </c>
      <c r="S95" s="20">
        <f t="shared" si="111"/>
        <v>1</v>
      </c>
      <c r="T95" s="19">
        <f t="shared" si="112"/>
        <v>5.5484999999999993E-2</v>
      </c>
      <c r="U95" s="21">
        <f t="shared" si="113"/>
        <v>-1</v>
      </c>
      <c r="V95" s="19">
        <f t="shared" si="114"/>
        <v>-5.5484999999999993E-2</v>
      </c>
      <c r="X95" s="29"/>
    </row>
    <row r="96" spans="1:24" hidden="1">
      <c r="A96" s="26" t="s">
        <v>13</v>
      </c>
      <c r="B96" s="26" t="s">
        <v>35</v>
      </c>
      <c r="C96" s="30">
        <v>6.85</v>
      </c>
      <c r="D96" s="27">
        <v>8.1999999999999993</v>
      </c>
      <c r="E96" s="28"/>
      <c r="F96" s="16">
        <f t="shared" si="115"/>
        <v>0</v>
      </c>
      <c r="G96" s="17"/>
      <c r="H96" s="18"/>
      <c r="I96" s="19">
        <f t="shared" si="116"/>
        <v>0</v>
      </c>
      <c r="J96" s="16"/>
      <c r="K96" s="18"/>
      <c r="L96" s="19">
        <f t="shared" si="117"/>
        <v>0</v>
      </c>
      <c r="M96" s="16"/>
      <c r="N96" s="18">
        <v>15</v>
      </c>
      <c r="O96" s="19">
        <f t="shared" si="118"/>
        <v>0.84254999999999991</v>
      </c>
      <c r="P96" s="16"/>
      <c r="Q96" s="18"/>
      <c r="R96" s="19">
        <f t="shared" si="110"/>
        <v>0</v>
      </c>
      <c r="S96" s="20">
        <f t="shared" si="111"/>
        <v>15</v>
      </c>
      <c r="T96" s="19">
        <f t="shared" si="112"/>
        <v>0.84254999999999991</v>
      </c>
      <c r="U96" s="21">
        <f t="shared" si="113"/>
        <v>-15</v>
      </c>
      <c r="V96" s="19">
        <f t="shared" si="114"/>
        <v>-0.84254999999999991</v>
      </c>
      <c r="X96" s="29"/>
    </row>
    <row r="97" spans="1:24" hidden="1">
      <c r="A97" s="26" t="s">
        <v>13</v>
      </c>
      <c r="B97" s="26" t="s">
        <v>35</v>
      </c>
      <c r="C97" s="30">
        <v>6.85</v>
      </c>
      <c r="D97" s="27">
        <v>8.4</v>
      </c>
      <c r="E97" s="28"/>
      <c r="F97" s="16">
        <f t="shared" si="115"/>
        <v>0</v>
      </c>
      <c r="G97" s="17"/>
      <c r="H97" s="18"/>
      <c r="I97" s="19">
        <f t="shared" si="116"/>
        <v>0</v>
      </c>
      <c r="J97" s="16"/>
      <c r="K97" s="18"/>
      <c r="L97" s="19">
        <f t="shared" si="117"/>
        <v>0</v>
      </c>
      <c r="M97" s="16"/>
      <c r="N97" s="18">
        <v>7</v>
      </c>
      <c r="O97" s="19">
        <f t="shared" si="118"/>
        <v>0.40277999999999997</v>
      </c>
      <c r="P97" s="16"/>
      <c r="Q97" s="18"/>
      <c r="R97" s="19">
        <f t="shared" si="110"/>
        <v>0</v>
      </c>
      <c r="S97" s="20">
        <f t="shared" si="111"/>
        <v>7</v>
      </c>
      <c r="T97" s="19">
        <f t="shared" si="112"/>
        <v>0.40277999999999997</v>
      </c>
      <c r="U97" s="21">
        <f t="shared" si="113"/>
        <v>-7</v>
      </c>
      <c r="V97" s="19">
        <f t="shared" si="114"/>
        <v>-0.40277999999999997</v>
      </c>
      <c r="X97" s="29"/>
    </row>
    <row r="98" spans="1:24" hidden="1">
      <c r="A98" s="26" t="s">
        <v>13</v>
      </c>
      <c r="B98" s="26" t="s">
        <v>35</v>
      </c>
      <c r="C98" s="30">
        <v>6.85</v>
      </c>
      <c r="D98" s="27">
        <v>8.5</v>
      </c>
      <c r="E98" s="28"/>
      <c r="F98" s="16">
        <f t="shared" si="115"/>
        <v>0</v>
      </c>
      <c r="G98" s="17"/>
      <c r="H98" s="18"/>
      <c r="I98" s="19">
        <f t="shared" si="116"/>
        <v>0</v>
      </c>
      <c r="J98" s="16"/>
      <c r="K98" s="18"/>
      <c r="L98" s="19">
        <f t="shared" si="117"/>
        <v>0</v>
      </c>
      <c r="M98" s="16"/>
      <c r="N98" s="18">
        <v>1</v>
      </c>
      <c r="O98" s="19">
        <f t="shared" si="118"/>
        <v>5.8224999999999992E-2</v>
      </c>
      <c r="P98" s="16"/>
      <c r="Q98" s="18"/>
      <c r="R98" s="19">
        <f t="shared" si="110"/>
        <v>0</v>
      </c>
      <c r="S98" s="20">
        <f t="shared" si="111"/>
        <v>1</v>
      </c>
      <c r="T98" s="19">
        <f t="shared" si="112"/>
        <v>5.8224999999999992E-2</v>
      </c>
      <c r="U98" s="21">
        <f t="shared" si="113"/>
        <v>-1</v>
      </c>
      <c r="V98" s="19">
        <f t="shared" si="114"/>
        <v>-5.8224999999999992E-2</v>
      </c>
      <c r="X98" s="29"/>
    </row>
    <row r="99" spans="1:24" hidden="1">
      <c r="A99" s="26" t="s">
        <v>13</v>
      </c>
      <c r="B99" s="26" t="s">
        <v>35</v>
      </c>
      <c r="C99" s="30">
        <v>6.85</v>
      </c>
      <c r="D99" s="27">
        <v>8.8000000000000007</v>
      </c>
      <c r="E99" s="28"/>
      <c r="F99" s="16">
        <f t="shared" si="115"/>
        <v>0</v>
      </c>
      <c r="G99" s="17"/>
      <c r="H99" s="18"/>
      <c r="I99" s="19">
        <f t="shared" si="116"/>
        <v>0</v>
      </c>
      <c r="J99" s="16"/>
      <c r="K99" s="18"/>
      <c r="L99" s="19">
        <f t="shared" si="117"/>
        <v>0</v>
      </c>
      <c r="M99" s="16"/>
      <c r="N99" s="18">
        <v>13</v>
      </c>
      <c r="O99" s="19">
        <f t="shared" si="118"/>
        <v>0.78364</v>
      </c>
      <c r="P99" s="16"/>
      <c r="Q99" s="18"/>
      <c r="R99" s="19">
        <f t="shared" si="110"/>
        <v>0</v>
      </c>
      <c r="S99" s="20">
        <f t="shared" si="111"/>
        <v>13</v>
      </c>
      <c r="T99" s="19">
        <f t="shared" si="112"/>
        <v>0.78364</v>
      </c>
      <c r="U99" s="21">
        <f t="shared" si="113"/>
        <v>-13</v>
      </c>
      <c r="V99" s="19">
        <f t="shared" si="114"/>
        <v>-0.78364</v>
      </c>
      <c r="X99" s="29"/>
    </row>
    <row r="100" spans="1:24" hidden="1">
      <c r="A100" s="26" t="s">
        <v>13</v>
      </c>
      <c r="B100" s="26" t="s">
        <v>35</v>
      </c>
      <c r="C100" s="30">
        <v>6.85</v>
      </c>
      <c r="D100" s="27">
        <v>9.1</v>
      </c>
      <c r="E100" s="28"/>
      <c r="F100" s="16">
        <f t="shared" si="115"/>
        <v>0</v>
      </c>
      <c r="G100" s="17"/>
      <c r="H100" s="18"/>
      <c r="I100" s="19">
        <f t="shared" si="116"/>
        <v>0</v>
      </c>
      <c r="J100" s="16"/>
      <c r="K100" s="18"/>
      <c r="L100" s="19">
        <f t="shared" si="117"/>
        <v>0</v>
      </c>
      <c r="M100" s="16"/>
      <c r="N100" s="18">
        <v>1</v>
      </c>
      <c r="O100" s="19">
        <f t="shared" si="118"/>
        <v>6.2334999999999995E-2</v>
      </c>
      <c r="P100" s="16"/>
      <c r="Q100" s="18"/>
      <c r="R100" s="19">
        <f t="shared" si="110"/>
        <v>0</v>
      </c>
      <c r="S100" s="20">
        <f t="shared" si="111"/>
        <v>1</v>
      </c>
      <c r="T100" s="19">
        <f t="shared" si="112"/>
        <v>6.2334999999999995E-2</v>
      </c>
      <c r="U100" s="21">
        <f t="shared" si="113"/>
        <v>-1</v>
      </c>
      <c r="V100" s="19">
        <f t="shared" si="114"/>
        <v>-6.2334999999999995E-2</v>
      </c>
      <c r="X100" s="29"/>
    </row>
    <row r="101" spans="1:24" hidden="1">
      <c r="A101" s="26" t="s">
        <v>13</v>
      </c>
      <c r="B101" s="26" t="s">
        <v>35</v>
      </c>
      <c r="C101" s="30">
        <v>6.85</v>
      </c>
      <c r="D101" s="27">
        <v>9.35</v>
      </c>
      <c r="E101" s="28"/>
      <c r="F101" s="16">
        <f t="shared" si="115"/>
        <v>0</v>
      </c>
      <c r="G101" s="17"/>
      <c r="H101" s="18"/>
      <c r="I101" s="19">
        <f t="shared" si="116"/>
        <v>0</v>
      </c>
      <c r="J101" s="16"/>
      <c r="K101" s="18"/>
      <c r="L101" s="19">
        <f t="shared" si="117"/>
        <v>0</v>
      </c>
      <c r="M101" s="16"/>
      <c r="N101" s="18">
        <v>4</v>
      </c>
      <c r="O101" s="19">
        <f t="shared" si="118"/>
        <v>0.25618999999999997</v>
      </c>
      <c r="P101" s="16"/>
      <c r="Q101" s="18"/>
      <c r="R101" s="19">
        <f t="shared" si="110"/>
        <v>0</v>
      </c>
      <c r="S101" s="20">
        <f t="shared" si="111"/>
        <v>4</v>
      </c>
      <c r="T101" s="19">
        <f t="shared" si="112"/>
        <v>0.25618999999999997</v>
      </c>
      <c r="U101" s="21">
        <f t="shared" si="113"/>
        <v>-4</v>
      </c>
      <c r="V101" s="19">
        <f t="shared" si="114"/>
        <v>-0.25618999999999997</v>
      </c>
      <c r="X101" s="29"/>
    </row>
    <row r="102" spans="1:24" hidden="1">
      <c r="A102" s="26" t="s">
        <v>13</v>
      </c>
      <c r="B102" s="26" t="s">
        <v>35</v>
      </c>
      <c r="C102" s="30">
        <v>6.85</v>
      </c>
      <c r="D102" s="27">
        <v>9.5</v>
      </c>
      <c r="E102" s="28"/>
      <c r="F102" s="16">
        <f t="shared" si="115"/>
        <v>0</v>
      </c>
      <c r="G102" s="17"/>
      <c r="H102" s="18"/>
      <c r="I102" s="19">
        <f t="shared" si="116"/>
        <v>0</v>
      </c>
      <c r="J102" s="16"/>
      <c r="K102" s="18"/>
      <c r="L102" s="19">
        <f t="shared" si="117"/>
        <v>0</v>
      </c>
      <c r="M102" s="16"/>
      <c r="N102" s="18">
        <v>9</v>
      </c>
      <c r="O102" s="19">
        <f t="shared" si="118"/>
        <v>0.58567500000000006</v>
      </c>
      <c r="P102" s="16"/>
      <c r="Q102" s="18"/>
      <c r="R102" s="19">
        <f t="shared" si="110"/>
        <v>0</v>
      </c>
      <c r="S102" s="20">
        <f t="shared" si="111"/>
        <v>9</v>
      </c>
      <c r="T102" s="19">
        <f t="shared" si="112"/>
        <v>0.58567500000000006</v>
      </c>
      <c r="U102" s="21">
        <f t="shared" si="113"/>
        <v>-9</v>
      </c>
      <c r="V102" s="19">
        <f t="shared" si="114"/>
        <v>-0.58567500000000006</v>
      </c>
      <c r="X102" s="29"/>
    </row>
    <row r="103" spans="1:24" hidden="1">
      <c r="A103" s="26" t="s">
        <v>13</v>
      </c>
      <c r="B103" s="26" t="s">
        <v>35</v>
      </c>
      <c r="C103" s="30">
        <v>6.85</v>
      </c>
      <c r="D103" s="27">
        <v>9.5500000000000007</v>
      </c>
      <c r="E103" s="28"/>
      <c r="F103" s="16">
        <f t="shared" si="115"/>
        <v>0</v>
      </c>
      <c r="G103" s="17"/>
      <c r="H103" s="18"/>
      <c r="I103" s="19">
        <f t="shared" si="116"/>
        <v>0</v>
      </c>
      <c r="J103" s="16"/>
      <c r="K103" s="18"/>
      <c r="L103" s="19">
        <f t="shared" si="117"/>
        <v>0</v>
      </c>
      <c r="M103" s="16"/>
      <c r="N103" s="18">
        <v>20</v>
      </c>
      <c r="O103" s="19">
        <f t="shared" si="118"/>
        <v>1.3083500000000001</v>
      </c>
      <c r="P103" s="16"/>
      <c r="Q103" s="18"/>
      <c r="R103" s="19">
        <f t="shared" si="110"/>
        <v>0</v>
      </c>
      <c r="S103" s="20">
        <f t="shared" si="111"/>
        <v>20</v>
      </c>
      <c r="T103" s="19">
        <f t="shared" si="112"/>
        <v>1.3083500000000001</v>
      </c>
      <c r="U103" s="21">
        <f t="shared" si="113"/>
        <v>-20</v>
      </c>
      <c r="V103" s="19">
        <f t="shared" si="114"/>
        <v>-1.3083500000000001</v>
      </c>
      <c r="X103" s="29"/>
    </row>
    <row r="104" spans="1:24" hidden="1">
      <c r="A104" s="26" t="s">
        <v>13</v>
      </c>
      <c r="B104" s="26" t="s">
        <v>35</v>
      </c>
      <c r="C104" s="30">
        <v>6.85</v>
      </c>
      <c r="D104" s="27">
        <v>12</v>
      </c>
      <c r="E104" s="28"/>
      <c r="F104" s="16">
        <f t="shared" si="115"/>
        <v>0</v>
      </c>
      <c r="G104" s="17"/>
      <c r="H104" s="18"/>
      <c r="I104" s="19">
        <f t="shared" si="116"/>
        <v>0</v>
      </c>
      <c r="J104" s="16"/>
      <c r="K104" s="18"/>
      <c r="L104" s="19">
        <f t="shared" si="117"/>
        <v>0</v>
      </c>
      <c r="M104" s="16"/>
      <c r="N104" s="18">
        <v>3</v>
      </c>
      <c r="O104" s="19">
        <f t="shared" si="118"/>
        <v>0.24659999999999996</v>
      </c>
      <c r="P104" s="16"/>
      <c r="Q104" s="18"/>
      <c r="R104" s="19">
        <f t="shared" si="110"/>
        <v>0</v>
      </c>
      <c r="S104" s="20">
        <f t="shared" si="111"/>
        <v>3</v>
      </c>
      <c r="T104" s="19">
        <f t="shared" si="112"/>
        <v>0.24659999999999996</v>
      </c>
      <c r="U104" s="21">
        <f t="shared" si="113"/>
        <v>-3</v>
      </c>
      <c r="V104" s="19">
        <f t="shared" si="114"/>
        <v>-0.24659999999999996</v>
      </c>
      <c r="X104" s="29"/>
    </row>
    <row r="105" spans="1:24" hidden="1">
      <c r="A105" s="36"/>
      <c r="B105" s="36"/>
      <c r="C105" s="37"/>
      <c r="D105" s="38"/>
      <c r="E105" s="31">
        <f>SUM(E83:E104)</f>
        <v>387</v>
      </c>
      <c r="F105" s="38">
        <f>SUM(F83:F104)</f>
        <v>27.069487499999994</v>
      </c>
      <c r="G105" s="17"/>
      <c r="H105" s="31">
        <f>SUM(H83:H104)</f>
        <v>158</v>
      </c>
      <c r="I105" s="38">
        <f>SUM(I83:I104)</f>
        <v>11.386754999999997</v>
      </c>
      <c r="J105" s="16"/>
      <c r="K105" s="31">
        <f>SUM(K83:K104)</f>
        <v>153</v>
      </c>
      <c r="L105" s="38">
        <f>SUM(L83:L104)</f>
        <v>10.422274999999999</v>
      </c>
      <c r="M105" s="16"/>
      <c r="N105" s="31">
        <f t="shared" ref="N105:V105" si="119">SUM(N83:N104)</f>
        <v>87</v>
      </c>
      <c r="O105" s="38">
        <f t="shared" si="119"/>
        <v>5.2368250000000005</v>
      </c>
      <c r="P105" s="16"/>
      <c r="Q105" s="31">
        <f t="shared" ref="Q105:R105" si="120">SUM(Q83:Q104)</f>
        <v>0</v>
      </c>
      <c r="R105" s="38">
        <f t="shared" si="120"/>
        <v>0</v>
      </c>
      <c r="S105" s="31">
        <f t="shared" si="119"/>
        <v>398</v>
      </c>
      <c r="T105" s="38">
        <f t="shared" si="119"/>
        <v>27.045854999999996</v>
      </c>
      <c r="U105" s="31">
        <f t="shared" si="119"/>
        <v>-11</v>
      </c>
      <c r="V105" s="38">
        <f t="shared" si="119"/>
        <v>2.3632499999999473E-2</v>
      </c>
      <c r="X105" s="29"/>
    </row>
    <row r="106" spans="1:24">
      <c r="A106" s="26" t="s">
        <v>13</v>
      </c>
      <c r="B106" s="26" t="s">
        <v>36</v>
      </c>
      <c r="C106" s="30">
        <v>6.97</v>
      </c>
      <c r="D106" s="27">
        <v>6.4</v>
      </c>
      <c r="E106" s="28">
        <v>160</v>
      </c>
      <c r="F106" s="16">
        <f t="shared" ref="F106:F110" si="121">(C106*D106*E106/1000)</f>
        <v>7.1372800000000005</v>
      </c>
      <c r="G106" s="16" t="s">
        <v>89</v>
      </c>
      <c r="H106" s="18">
        <v>50</v>
      </c>
      <c r="I106" s="19">
        <f t="shared" ref="I106:I110" si="122">(C106*D106*H106/1000)</f>
        <v>2.2303999999999999</v>
      </c>
      <c r="J106" s="16" t="s">
        <v>91</v>
      </c>
      <c r="K106" s="18">
        <v>77</v>
      </c>
      <c r="L106" s="19">
        <f t="shared" ref="L106:L110" si="123">(C106*D106*K106/1000)</f>
        <v>3.4348160000000001</v>
      </c>
      <c r="M106" s="17" t="s">
        <v>88</v>
      </c>
      <c r="N106" s="18"/>
      <c r="O106" s="19">
        <f t="shared" ref="O106:O110" si="124">(C106*D106*N106/1000)</f>
        <v>0</v>
      </c>
      <c r="P106" s="16" t="s">
        <v>93</v>
      </c>
      <c r="Q106" s="18"/>
      <c r="R106" s="19">
        <f t="shared" ref="R106:R117" si="125">(D106*C106*Q106/1000)</f>
        <v>0</v>
      </c>
      <c r="S106" s="20">
        <f>+H106+K106+N106+Q106</f>
        <v>127</v>
      </c>
      <c r="T106" s="19">
        <f t="shared" ref="T106:T117" si="126">+I106+L106+O106+R106</f>
        <v>5.665216</v>
      </c>
      <c r="U106" s="21">
        <f t="shared" ref="U106:U117" si="127">E106-S106</f>
        <v>33</v>
      </c>
      <c r="V106" s="19">
        <f t="shared" ref="V106:V117" si="128">F106-T106</f>
        <v>1.4720640000000005</v>
      </c>
      <c r="X106" s="29"/>
    </row>
    <row r="107" spans="1:24">
      <c r="A107" s="26" t="s">
        <v>13</v>
      </c>
      <c r="B107" s="26" t="s">
        <v>36</v>
      </c>
      <c r="C107" s="30">
        <v>6.97</v>
      </c>
      <c r="D107" s="27">
        <v>6.85</v>
      </c>
      <c r="E107" s="28">
        <v>80</v>
      </c>
      <c r="F107" s="16">
        <f t="shared" si="121"/>
        <v>3.8195599999999996</v>
      </c>
      <c r="G107" s="16" t="s">
        <v>90</v>
      </c>
      <c r="H107" s="18">
        <v>40</v>
      </c>
      <c r="I107" s="19">
        <f t="shared" si="122"/>
        <v>1.9097799999999998</v>
      </c>
      <c r="J107" s="16" t="s">
        <v>92</v>
      </c>
      <c r="K107" s="18">
        <v>34</v>
      </c>
      <c r="L107" s="19">
        <f t="shared" si="123"/>
        <v>1.6233129999999998</v>
      </c>
      <c r="M107" s="17" t="s">
        <v>98</v>
      </c>
      <c r="N107" s="18"/>
      <c r="O107" s="19">
        <f t="shared" si="124"/>
        <v>0</v>
      </c>
      <c r="P107" s="16" t="s">
        <v>115</v>
      </c>
      <c r="Q107" s="18">
        <v>1</v>
      </c>
      <c r="R107" s="19">
        <f t="shared" si="125"/>
        <v>4.7744499999999995E-2</v>
      </c>
      <c r="S107" s="20">
        <f t="shared" ref="S107:S117" si="129">+H107+K107+N107+Q107</f>
        <v>75</v>
      </c>
      <c r="T107" s="19">
        <f t="shared" si="126"/>
        <v>3.5808374999999995</v>
      </c>
      <c r="U107" s="21">
        <f t="shared" si="127"/>
        <v>5</v>
      </c>
      <c r="V107" s="19">
        <f t="shared" si="128"/>
        <v>0.23872250000000017</v>
      </c>
      <c r="X107" s="29"/>
    </row>
    <row r="108" spans="1:24">
      <c r="A108" s="26" t="s">
        <v>13</v>
      </c>
      <c r="B108" s="26" t="s">
        <v>36</v>
      </c>
      <c r="C108" s="30">
        <v>6.97</v>
      </c>
      <c r="D108" s="27">
        <v>8.6</v>
      </c>
      <c r="E108" s="28">
        <v>28</v>
      </c>
      <c r="F108" s="16">
        <f t="shared" si="121"/>
        <v>1.6783759999999996</v>
      </c>
      <c r="G108" s="17"/>
      <c r="H108" s="18">
        <v>13</v>
      </c>
      <c r="I108" s="19">
        <f t="shared" si="122"/>
        <v>0.77924599999999988</v>
      </c>
      <c r="J108" s="16"/>
      <c r="K108" s="18">
        <v>15</v>
      </c>
      <c r="L108" s="19">
        <f t="shared" si="123"/>
        <v>0.89912999999999987</v>
      </c>
      <c r="M108" s="16"/>
      <c r="N108" s="18"/>
      <c r="O108" s="19">
        <f t="shared" si="124"/>
        <v>0</v>
      </c>
      <c r="P108" s="16"/>
      <c r="Q108" s="18"/>
      <c r="R108" s="19">
        <f t="shared" si="125"/>
        <v>0</v>
      </c>
      <c r="S108" s="20">
        <f t="shared" si="129"/>
        <v>28</v>
      </c>
      <c r="T108" s="19">
        <f t="shared" si="126"/>
        <v>1.6783759999999996</v>
      </c>
      <c r="U108" s="21">
        <f t="shared" si="127"/>
        <v>0</v>
      </c>
      <c r="V108" s="19">
        <f t="shared" si="128"/>
        <v>0</v>
      </c>
      <c r="X108" s="29"/>
    </row>
    <row r="109" spans="1:24">
      <c r="A109" s="26" t="s">
        <v>13</v>
      </c>
      <c r="B109" s="26" t="s">
        <v>36</v>
      </c>
      <c r="C109" s="30">
        <v>6.97</v>
      </c>
      <c r="D109" s="27">
        <v>10.15</v>
      </c>
      <c r="E109" s="28">
        <v>168</v>
      </c>
      <c r="F109" s="16">
        <f t="shared" si="121"/>
        <v>11.885244</v>
      </c>
      <c r="G109" s="17"/>
      <c r="H109" s="18">
        <v>31</v>
      </c>
      <c r="I109" s="19">
        <f t="shared" si="122"/>
        <v>2.1931105000000004</v>
      </c>
      <c r="J109" s="16"/>
      <c r="K109" s="18">
        <f>13+106</f>
        <v>119</v>
      </c>
      <c r="L109" s="19">
        <f t="shared" si="123"/>
        <v>8.4187145000000001</v>
      </c>
      <c r="M109" s="16"/>
      <c r="N109" s="18"/>
      <c r="O109" s="19">
        <f t="shared" si="124"/>
        <v>0</v>
      </c>
      <c r="P109" s="16"/>
      <c r="Q109" s="18"/>
      <c r="R109" s="19">
        <f t="shared" si="125"/>
        <v>0</v>
      </c>
      <c r="S109" s="20">
        <f t="shared" si="129"/>
        <v>150</v>
      </c>
      <c r="T109" s="19">
        <f t="shared" si="126"/>
        <v>10.611825</v>
      </c>
      <c r="U109" s="21">
        <f t="shared" si="127"/>
        <v>18</v>
      </c>
      <c r="V109" s="19">
        <f t="shared" si="128"/>
        <v>1.2734190000000005</v>
      </c>
      <c r="X109" s="29"/>
    </row>
    <row r="110" spans="1:24">
      <c r="A110" s="26" t="s">
        <v>13</v>
      </c>
      <c r="B110" s="26" t="s">
        <v>36</v>
      </c>
      <c r="C110" s="30">
        <v>6.97</v>
      </c>
      <c r="D110" s="27">
        <v>10.35</v>
      </c>
      <c r="E110" s="28">
        <v>40</v>
      </c>
      <c r="F110" s="16">
        <f t="shared" si="121"/>
        <v>2.88558</v>
      </c>
      <c r="G110" s="17"/>
      <c r="H110" s="18">
        <v>22</v>
      </c>
      <c r="I110" s="19">
        <f t="shared" si="122"/>
        <v>1.5870690000000001</v>
      </c>
      <c r="J110" s="16"/>
      <c r="K110" s="18">
        <v>18</v>
      </c>
      <c r="L110" s="19">
        <f t="shared" si="123"/>
        <v>1.298511</v>
      </c>
      <c r="M110" s="16"/>
      <c r="N110" s="18"/>
      <c r="O110" s="19">
        <f t="shared" si="124"/>
        <v>0</v>
      </c>
      <c r="P110" s="16"/>
      <c r="Q110" s="18"/>
      <c r="R110" s="19">
        <f t="shared" si="125"/>
        <v>0</v>
      </c>
      <c r="S110" s="20">
        <f t="shared" si="129"/>
        <v>40</v>
      </c>
      <c r="T110" s="19">
        <f t="shared" si="126"/>
        <v>2.88558</v>
      </c>
      <c r="U110" s="21">
        <f t="shared" si="127"/>
        <v>0</v>
      </c>
      <c r="V110" s="19">
        <f t="shared" si="128"/>
        <v>0</v>
      </c>
      <c r="X110" s="29"/>
    </row>
    <row r="111" spans="1:24">
      <c r="A111" s="26" t="s">
        <v>13</v>
      </c>
      <c r="B111" s="26" t="s">
        <v>36</v>
      </c>
      <c r="C111" s="30">
        <v>6.97</v>
      </c>
      <c r="D111" s="27">
        <v>11.25</v>
      </c>
      <c r="E111" s="28">
        <v>80</v>
      </c>
      <c r="F111" s="16">
        <f t="shared" ref="F111:F117" si="130">(C111*D111*E111/1000)</f>
        <v>6.2729999999999997</v>
      </c>
      <c r="G111" s="17"/>
      <c r="H111" s="18">
        <v>22</v>
      </c>
      <c r="I111" s="19">
        <f t="shared" ref="I111:I117" si="131">(C111*D111*H111/1000)</f>
        <v>1.7250749999999999</v>
      </c>
      <c r="J111" s="16"/>
      <c r="K111" s="18">
        <v>52</v>
      </c>
      <c r="L111" s="19">
        <f t="shared" ref="L111:L117" si="132">(C111*D111*K111/1000)</f>
        <v>4.0774499999999998</v>
      </c>
      <c r="M111" s="16"/>
      <c r="N111" s="18"/>
      <c r="O111" s="19">
        <f t="shared" ref="O111:O117" si="133">(C111*D111*N111/1000)</f>
        <v>0</v>
      </c>
      <c r="P111" s="16"/>
      <c r="Q111" s="18"/>
      <c r="R111" s="19">
        <f t="shared" si="125"/>
        <v>0</v>
      </c>
      <c r="S111" s="20">
        <f t="shared" si="129"/>
        <v>74</v>
      </c>
      <c r="T111" s="19">
        <f t="shared" si="126"/>
        <v>5.8025249999999993</v>
      </c>
      <c r="U111" s="21">
        <f t="shared" si="127"/>
        <v>6</v>
      </c>
      <c r="V111" s="19">
        <f t="shared" si="128"/>
        <v>0.47047500000000042</v>
      </c>
      <c r="X111" s="29"/>
    </row>
    <row r="112" spans="1:24">
      <c r="A112" s="26" t="s">
        <v>13</v>
      </c>
      <c r="B112" s="26" t="s">
        <v>36</v>
      </c>
      <c r="C112" s="30">
        <v>6.97</v>
      </c>
      <c r="D112" s="27">
        <v>6.2</v>
      </c>
      <c r="E112" s="28"/>
      <c r="F112" s="16">
        <f t="shared" si="130"/>
        <v>0</v>
      </c>
      <c r="G112" s="17"/>
      <c r="H112" s="18"/>
      <c r="I112" s="19">
        <f t="shared" si="131"/>
        <v>0</v>
      </c>
      <c r="J112" s="16"/>
      <c r="K112" s="18"/>
      <c r="L112" s="19">
        <f t="shared" si="132"/>
        <v>0</v>
      </c>
      <c r="M112" s="16"/>
      <c r="N112" s="18">
        <v>1</v>
      </c>
      <c r="O112" s="19">
        <f t="shared" si="133"/>
        <v>4.3213999999999995E-2</v>
      </c>
      <c r="P112" s="16"/>
      <c r="Q112" s="18"/>
      <c r="R112" s="19">
        <f t="shared" si="125"/>
        <v>0</v>
      </c>
      <c r="S112" s="20">
        <f t="shared" si="129"/>
        <v>1</v>
      </c>
      <c r="T112" s="19">
        <f t="shared" si="126"/>
        <v>4.3213999999999995E-2</v>
      </c>
      <c r="U112" s="21">
        <f t="shared" si="127"/>
        <v>-1</v>
      </c>
      <c r="V112" s="19">
        <f t="shared" si="128"/>
        <v>-4.3213999999999995E-2</v>
      </c>
      <c r="X112" s="29"/>
    </row>
    <row r="113" spans="1:24">
      <c r="A113" s="26" t="s">
        <v>13</v>
      </c>
      <c r="B113" s="26" t="s">
        <v>36</v>
      </c>
      <c r="C113" s="30">
        <v>6.97</v>
      </c>
      <c r="D113" s="27">
        <v>6</v>
      </c>
      <c r="E113" s="28"/>
      <c r="F113" s="16">
        <f t="shared" si="130"/>
        <v>0</v>
      </c>
      <c r="G113" s="17"/>
      <c r="H113" s="18"/>
      <c r="I113" s="19">
        <f t="shared" si="131"/>
        <v>0</v>
      </c>
      <c r="J113" s="16"/>
      <c r="K113" s="18"/>
      <c r="L113" s="19">
        <f t="shared" si="132"/>
        <v>0</v>
      </c>
      <c r="M113" s="16"/>
      <c r="N113" s="18">
        <v>2</v>
      </c>
      <c r="O113" s="19">
        <f t="shared" si="133"/>
        <v>8.3640000000000006E-2</v>
      </c>
      <c r="P113" s="16"/>
      <c r="Q113" s="18">
        <v>2</v>
      </c>
      <c r="R113" s="19">
        <f t="shared" si="125"/>
        <v>8.3640000000000006E-2</v>
      </c>
      <c r="S113" s="20">
        <f t="shared" si="129"/>
        <v>4</v>
      </c>
      <c r="T113" s="19">
        <f t="shared" si="126"/>
        <v>0.16728000000000001</v>
      </c>
      <c r="U113" s="21">
        <f t="shared" si="127"/>
        <v>-4</v>
      </c>
      <c r="V113" s="19">
        <f t="shared" si="128"/>
        <v>-0.16728000000000001</v>
      </c>
      <c r="X113" s="29"/>
    </row>
    <row r="114" spans="1:24">
      <c r="A114" s="26" t="s">
        <v>13</v>
      </c>
      <c r="B114" s="26" t="s">
        <v>36</v>
      </c>
      <c r="C114" s="30">
        <v>6.97</v>
      </c>
      <c r="D114" s="27">
        <v>9.5</v>
      </c>
      <c r="E114" s="28"/>
      <c r="F114" s="16">
        <f t="shared" si="130"/>
        <v>0</v>
      </c>
      <c r="G114" s="17"/>
      <c r="H114" s="18"/>
      <c r="I114" s="19">
        <f t="shared" si="131"/>
        <v>0</v>
      </c>
      <c r="J114" s="16"/>
      <c r="K114" s="18"/>
      <c r="L114" s="19">
        <f t="shared" si="132"/>
        <v>0</v>
      </c>
      <c r="M114" s="16"/>
      <c r="N114" s="18">
        <v>2</v>
      </c>
      <c r="O114" s="19">
        <f t="shared" si="133"/>
        <v>0.13243000000000002</v>
      </c>
      <c r="P114" s="16"/>
      <c r="Q114" s="18">
        <v>1</v>
      </c>
      <c r="R114" s="19">
        <f t="shared" si="125"/>
        <v>6.621500000000001E-2</v>
      </c>
      <c r="S114" s="20">
        <f t="shared" si="129"/>
        <v>3</v>
      </c>
      <c r="T114" s="19">
        <f t="shared" si="126"/>
        <v>0.19864500000000002</v>
      </c>
      <c r="U114" s="21">
        <f t="shared" si="127"/>
        <v>-3</v>
      </c>
      <c r="V114" s="19">
        <f t="shared" si="128"/>
        <v>-0.19864500000000002</v>
      </c>
      <c r="X114" s="29"/>
    </row>
    <row r="115" spans="1:24">
      <c r="A115" s="26" t="s">
        <v>13</v>
      </c>
      <c r="B115" s="26" t="s">
        <v>36</v>
      </c>
      <c r="C115" s="30">
        <v>6.97</v>
      </c>
      <c r="D115" s="27">
        <v>9.8000000000000007</v>
      </c>
      <c r="E115" s="28"/>
      <c r="F115" s="16">
        <f t="shared" si="130"/>
        <v>0</v>
      </c>
      <c r="G115" s="17"/>
      <c r="H115" s="18"/>
      <c r="I115" s="19">
        <f t="shared" si="131"/>
        <v>0</v>
      </c>
      <c r="J115" s="16"/>
      <c r="K115" s="18"/>
      <c r="L115" s="19">
        <f t="shared" si="132"/>
        <v>0</v>
      </c>
      <c r="M115" s="16"/>
      <c r="N115" s="18">
        <v>5</v>
      </c>
      <c r="O115" s="19">
        <f t="shared" si="133"/>
        <v>0.34153</v>
      </c>
      <c r="P115" s="16"/>
      <c r="Q115" s="18"/>
      <c r="R115" s="19">
        <f t="shared" si="125"/>
        <v>0</v>
      </c>
      <c r="S115" s="20">
        <f t="shared" si="129"/>
        <v>5</v>
      </c>
      <c r="T115" s="19">
        <f t="shared" si="126"/>
        <v>0.34153</v>
      </c>
      <c r="U115" s="21">
        <f t="shared" si="127"/>
        <v>-5</v>
      </c>
      <c r="V115" s="19">
        <f t="shared" si="128"/>
        <v>-0.34153</v>
      </c>
      <c r="X115" s="29"/>
    </row>
    <row r="116" spans="1:24">
      <c r="A116" s="26" t="s">
        <v>13</v>
      </c>
      <c r="B116" s="26" t="s">
        <v>36</v>
      </c>
      <c r="C116" s="30">
        <v>6.97</v>
      </c>
      <c r="D116" s="27">
        <v>8</v>
      </c>
      <c r="E116" s="28"/>
      <c r="F116" s="16">
        <f t="shared" si="130"/>
        <v>0</v>
      </c>
      <c r="G116" s="17"/>
      <c r="H116" s="18"/>
      <c r="I116" s="19">
        <f t="shared" si="131"/>
        <v>0</v>
      </c>
      <c r="J116" s="16"/>
      <c r="K116" s="18"/>
      <c r="L116" s="19">
        <f t="shared" si="132"/>
        <v>0</v>
      </c>
      <c r="M116" s="16"/>
      <c r="N116" s="18">
        <v>1</v>
      </c>
      <c r="O116" s="19">
        <f t="shared" si="133"/>
        <v>5.5759999999999997E-2</v>
      </c>
      <c r="P116" s="16"/>
      <c r="Q116" s="18"/>
      <c r="R116" s="19">
        <f t="shared" si="125"/>
        <v>0</v>
      </c>
      <c r="S116" s="20">
        <f t="shared" si="129"/>
        <v>1</v>
      </c>
      <c r="T116" s="19">
        <f t="shared" si="126"/>
        <v>5.5759999999999997E-2</v>
      </c>
      <c r="U116" s="21">
        <f t="shared" si="127"/>
        <v>-1</v>
      </c>
      <c r="V116" s="19">
        <f t="shared" si="128"/>
        <v>-5.5759999999999997E-2</v>
      </c>
      <c r="X116" s="29"/>
    </row>
    <row r="117" spans="1:24">
      <c r="A117" s="26" t="s">
        <v>13</v>
      </c>
      <c r="B117" s="26" t="s">
        <v>36</v>
      </c>
      <c r="C117" s="30">
        <v>6.97</v>
      </c>
      <c r="D117" s="27">
        <v>6.9</v>
      </c>
      <c r="E117" s="28"/>
      <c r="F117" s="16">
        <f t="shared" si="130"/>
        <v>0</v>
      </c>
      <c r="G117" s="17"/>
      <c r="H117" s="18"/>
      <c r="I117" s="19">
        <f t="shared" si="131"/>
        <v>0</v>
      </c>
      <c r="J117" s="16"/>
      <c r="K117" s="18"/>
      <c r="L117" s="19">
        <f t="shared" si="132"/>
        <v>0</v>
      </c>
      <c r="M117" s="16"/>
      <c r="N117" s="18">
        <v>2</v>
      </c>
      <c r="O117" s="19">
        <f t="shared" si="133"/>
        <v>9.6186000000000008E-2</v>
      </c>
      <c r="P117" s="16"/>
      <c r="Q117" s="18"/>
      <c r="R117" s="19">
        <f t="shared" si="125"/>
        <v>0</v>
      </c>
      <c r="S117" s="20">
        <f t="shared" si="129"/>
        <v>2</v>
      </c>
      <c r="T117" s="19">
        <f t="shared" si="126"/>
        <v>9.6186000000000008E-2</v>
      </c>
      <c r="U117" s="21">
        <f t="shared" si="127"/>
        <v>-2</v>
      </c>
      <c r="V117" s="19">
        <f t="shared" si="128"/>
        <v>-9.6186000000000008E-2</v>
      </c>
      <c r="X117" s="29"/>
    </row>
    <row r="118" spans="1:24">
      <c r="A118" s="26" t="s">
        <v>13</v>
      </c>
      <c r="B118" s="26" t="s">
        <v>36</v>
      </c>
      <c r="C118" s="30">
        <v>6.97</v>
      </c>
      <c r="D118" s="27">
        <v>5.7</v>
      </c>
      <c r="E118" s="28"/>
      <c r="F118" s="16">
        <f t="shared" ref="F118:F134" si="134">(C118*D118*E118/1000)</f>
        <v>0</v>
      </c>
      <c r="G118" s="17"/>
      <c r="H118" s="18"/>
      <c r="I118" s="19">
        <f t="shared" ref="I118:I134" si="135">(C118*D118*H118/1000)</f>
        <v>0</v>
      </c>
      <c r="J118" s="16"/>
      <c r="K118" s="18"/>
      <c r="L118" s="19">
        <f t="shared" ref="L118:L134" si="136">(C118*D118*K118/1000)</f>
        <v>0</v>
      </c>
      <c r="M118" s="16"/>
      <c r="N118" s="18"/>
      <c r="O118" s="19">
        <f t="shared" ref="O118:O134" si="137">(C118*D118*N118/1000)</f>
        <v>0</v>
      </c>
      <c r="P118" s="16"/>
      <c r="Q118" s="18">
        <v>1</v>
      </c>
      <c r="R118" s="19">
        <f t="shared" ref="R118:R134" si="138">(D118*C118*Q118/1000)</f>
        <v>3.9729E-2</v>
      </c>
      <c r="S118" s="20">
        <f t="shared" ref="S118:S134" si="139">+H118+K118+N118+Q118</f>
        <v>1</v>
      </c>
      <c r="T118" s="19">
        <f t="shared" ref="T118:T134" si="140">+I118+L118+O118+R118</f>
        <v>3.9729E-2</v>
      </c>
      <c r="U118" s="21">
        <f t="shared" ref="U118:U134" si="141">E118-S118</f>
        <v>-1</v>
      </c>
      <c r="V118" s="19">
        <f t="shared" ref="V118:V134" si="142">F118-T118</f>
        <v>-3.9729E-2</v>
      </c>
      <c r="X118" s="29"/>
    </row>
    <row r="119" spans="1:24">
      <c r="A119" s="26" t="s">
        <v>13</v>
      </c>
      <c r="B119" s="26" t="s">
        <v>36</v>
      </c>
      <c r="C119" s="30">
        <v>6.97</v>
      </c>
      <c r="D119" s="27">
        <v>6.35</v>
      </c>
      <c r="E119" s="28"/>
      <c r="F119" s="16">
        <f t="shared" si="134"/>
        <v>0</v>
      </c>
      <c r="G119" s="17"/>
      <c r="H119" s="18"/>
      <c r="I119" s="19">
        <f t="shared" si="135"/>
        <v>0</v>
      </c>
      <c r="J119" s="16"/>
      <c r="K119" s="18"/>
      <c r="L119" s="19">
        <f t="shared" si="136"/>
        <v>0</v>
      </c>
      <c r="M119" s="16"/>
      <c r="N119" s="18"/>
      <c r="O119" s="19">
        <f t="shared" si="137"/>
        <v>0</v>
      </c>
      <c r="P119" s="16"/>
      <c r="Q119" s="18">
        <v>1</v>
      </c>
      <c r="R119" s="19">
        <f t="shared" si="138"/>
        <v>4.4259499999999993E-2</v>
      </c>
      <c r="S119" s="20">
        <f t="shared" si="139"/>
        <v>1</v>
      </c>
      <c r="T119" s="19">
        <f t="shared" si="140"/>
        <v>4.4259499999999993E-2</v>
      </c>
      <c r="U119" s="21">
        <f t="shared" si="141"/>
        <v>-1</v>
      </c>
      <c r="V119" s="19">
        <f t="shared" si="142"/>
        <v>-4.4259499999999993E-2</v>
      </c>
      <c r="X119" s="29"/>
    </row>
    <row r="120" spans="1:24">
      <c r="A120" s="26" t="s">
        <v>13</v>
      </c>
      <c r="B120" s="26" t="s">
        <v>36</v>
      </c>
      <c r="C120" s="30">
        <v>6.97</v>
      </c>
      <c r="D120" s="27">
        <v>6.9</v>
      </c>
      <c r="E120" s="28"/>
      <c r="F120" s="16">
        <f t="shared" si="134"/>
        <v>0</v>
      </c>
      <c r="G120" s="17"/>
      <c r="H120" s="18"/>
      <c r="I120" s="19">
        <f t="shared" si="135"/>
        <v>0</v>
      </c>
      <c r="J120" s="16"/>
      <c r="K120" s="18"/>
      <c r="L120" s="19">
        <f t="shared" si="136"/>
        <v>0</v>
      </c>
      <c r="M120" s="16"/>
      <c r="N120" s="18"/>
      <c r="O120" s="19">
        <f t="shared" si="137"/>
        <v>0</v>
      </c>
      <c r="P120" s="16"/>
      <c r="Q120" s="18">
        <v>1</v>
      </c>
      <c r="R120" s="19">
        <f t="shared" si="138"/>
        <v>4.8093000000000004E-2</v>
      </c>
      <c r="S120" s="20">
        <f t="shared" si="139"/>
        <v>1</v>
      </c>
      <c r="T120" s="19">
        <f t="shared" si="140"/>
        <v>4.8093000000000004E-2</v>
      </c>
      <c r="U120" s="21">
        <f t="shared" si="141"/>
        <v>-1</v>
      </c>
      <c r="V120" s="19">
        <f t="shared" si="142"/>
        <v>-4.8093000000000004E-2</v>
      </c>
      <c r="X120" s="29"/>
    </row>
    <row r="121" spans="1:24">
      <c r="A121" s="26" t="s">
        <v>13</v>
      </c>
      <c r="B121" s="26" t="s">
        <v>36</v>
      </c>
      <c r="C121" s="30">
        <v>6.97</v>
      </c>
      <c r="D121" s="27">
        <v>7.2</v>
      </c>
      <c r="E121" s="28"/>
      <c r="F121" s="16">
        <f t="shared" si="134"/>
        <v>0</v>
      </c>
      <c r="G121" s="17"/>
      <c r="H121" s="18"/>
      <c r="I121" s="19">
        <f t="shared" si="135"/>
        <v>0</v>
      </c>
      <c r="J121" s="16"/>
      <c r="K121" s="18"/>
      <c r="L121" s="19">
        <f t="shared" si="136"/>
        <v>0</v>
      </c>
      <c r="M121" s="16"/>
      <c r="N121" s="18"/>
      <c r="O121" s="19">
        <f t="shared" si="137"/>
        <v>0</v>
      </c>
      <c r="P121" s="16"/>
      <c r="Q121" s="18">
        <v>1</v>
      </c>
      <c r="R121" s="19">
        <f t="shared" si="138"/>
        <v>5.0183999999999999E-2</v>
      </c>
      <c r="S121" s="20">
        <f t="shared" si="139"/>
        <v>1</v>
      </c>
      <c r="T121" s="19">
        <f t="shared" si="140"/>
        <v>5.0183999999999999E-2</v>
      </c>
      <c r="U121" s="21">
        <f t="shared" si="141"/>
        <v>-1</v>
      </c>
      <c r="V121" s="19">
        <f t="shared" si="142"/>
        <v>-5.0183999999999999E-2</v>
      </c>
      <c r="X121" s="29"/>
    </row>
    <row r="122" spans="1:24">
      <c r="A122" s="26" t="s">
        <v>13</v>
      </c>
      <c r="B122" s="26" t="s">
        <v>36</v>
      </c>
      <c r="C122" s="30">
        <v>6.97</v>
      </c>
      <c r="D122" s="27">
        <v>7.5</v>
      </c>
      <c r="E122" s="28"/>
      <c r="F122" s="16">
        <f t="shared" si="134"/>
        <v>0</v>
      </c>
      <c r="G122" s="17"/>
      <c r="H122" s="18"/>
      <c r="I122" s="19">
        <f t="shared" si="135"/>
        <v>0</v>
      </c>
      <c r="J122" s="16"/>
      <c r="K122" s="18"/>
      <c r="L122" s="19">
        <f t="shared" si="136"/>
        <v>0</v>
      </c>
      <c r="M122" s="16"/>
      <c r="N122" s="18"/>
      <c r="O122" s="19">
        <f t="shared" si="137"/>
        <v>0</v>
      </c>
      <c r="P122" s="16"/>
      <c r="Q122" s="18">
        <v>1</v>
      </c>
      <c r="R122" s="19">
        <f t="shared" si="138"/>
        <v>5.2275000000000002E-2</v>
      </c>
      <c r="S122" s="20">
        <f t="shared" si="139"/>
        <v>1</v>
      </c>
      <c r="T122" s="19">
        <f t="shared" si="140"/>
        <v>5.2275000000000002E-2</v>
      </c>
      <c r="U122" s="21">
        <f t="shared" si="141"/>
        <v>-1</v>
      </c>
      <c r="V122" s="19">
        <f t="shared" si="142"/>
        <v>-5.2275000000000002E-2</v>
      </c>
      <c r="X122" s="29"/>
    </row>
    <row r="123" spans="1:24">
      <c r="A123" s="26" t="s">
        <v>13</v>
      </c>
      <c r="B123" s="26" t="s">
        <v>36</v>
      </c>
      <c r="C123" s="30">
        <v>6.97</v>
      </c>
      <c r="D123" s="27">
        <v>7.75</v>
      </c>
      <c r="E123" s="28"/>
      <c r="F123" s="16">
        <f t="shared" si="134"/>
        <v>0</v>
      </c>
      <c r="G123" s="17"/>
      <c r="H123" s="18"/>
      <c r="I123" s="19">
        <f t="shared" si="135"/>
        <v>0</v>
      </c>
      <c r="J123" s="16"/>
      <c r="K123" s="18"/>
      <c r="L123" s="19">
        <f t="shared" si="136"/>
        <v>0</v>
      </c>
      <c r="M123" s="16"/>
      <c r="N123" s="18"/>
      <c r="O123" s="19">
        <f t="shared" si="137"/>
        <v>0</v>
      </c>
      <c r="P123" s="16"/>
      <c r="Q123" s="18">
        <v>1</v>
      </c>
      <c r="R123" s="19">
        <f t="shared" si="138"/>
        <v>5.4017499999999996E-2</v>
      </c>
      <c r="S123" s="20">
        <f t="shared" si="139"/>
        <v>1</v>
      </c>
      <c r="T123" s="19">
        <f t="shared" si="140"/>
        <v>5.4017499999999996E-2</v>
      </c>
      <c r="U123" s="21">
        <f t="shared" si="141"/>
        <v>-1</v>
      </c>
      <c r="V123" s="19">
        <f t="shared" si="142"/>
        <v>-5.4017499999999996E-2</v>
      </c>
      <c r="X123" s="29"/>
    </row>
    <row r="124" spans="1:24">
      <c r="A124" s="26" t="s">
        <v>13</v>
      </c>
      <c r="B124" s="26" t="s">
        <v>36</v>
      </c>
      <c r="C124" s="30">
        <v>6.97</v>
      </c>
      <c r="D124" s="27">
        <v>8.1</v>
      </c>
      <c r="E124" s="28"/>
      <c r="F124" s="16">
        <f t="shared" si="134"/>
        <v>0</v>
      </c>
      <c r="G124" s="17"/>
      <c r="H124" s="18"/>
      <c r="I124" s="19">
        <f t="shared" si="135"/>
        <v>0</v>
      </c>
      <c r="J124" s="16"/>
      <c r="K124" s="18"/>
      <c r="L124" s="19">
        <f t="shared" si="136"/>
        <v>0</v>
      </c>
      <c r="M124" s="16"/>
      <c r="N124" s="18"/>
      <c r="O124" s="19">
        <f t="shared" si="137"/>
        <v>0</v>
      </c>
      <c r="P124" s="16"/>
      <c r="Q124" s="18">
        <v>1</v>
      </c>
      <c r="R124" s="19">
        <f t="shared" si="138"/>
        <v>5.6456999999999993E-2</v>
      </c>
      <c r="S124" s="20">
        <f t="shared" si="139"/>
        <v>1</v>
      </c>
      <c r="T124" s="19">
        <f t="shared" si="140"/>
        <v>5.6456999999999993E-2</v>
      </c>
      <c r="U124" s="21">
        <f t="shared" si="141"/>
        <v>-1</v>
      </c>
      <c r="V124" s="19">
        <f t="shared" si="142"/>
        <v>-5.6456999999999993E-2</v>
      </c>
      <c r="X124" s="29"/>
    </row>
    <row r="125" spans="1:24">
      <c r="A125" s="26" t="s">
        <v>13</v>
      </c>
      <c r="B125" s="26" t="s">
        <v>36</v>
      </c>
      <c r="C125" s="30">
        <v>6.97</v>
      </c>
      <c r="D125" s="27">
        <v>9.1</v>
      </c>
      <c r="E125" s="28"/>
      <c r="F125" s="16">
        <f t="shared" si="134"/>
        <v>0</v>
      </c>
      <c r="G125" s="17"/>
      <c r="H125" s="18"/>
      <c r="I125" s="19">
        <f t="shared" si="135"/>
        <v>0</v>
      </c>
      <c r="J125" s="16"/>
      <c r="K125" s="18"/>
      <c r="L125" s="19">
        <f t="shared" si="136"/>
        <v>0</v>
      </c>
      <c r="M125" s="16"/>
      <c r="N125" s="18"/>
      <c r="O125" s="19">
        <f t="shared" si="137"/>
        <v>0</v>
      </c>
      <c r="P125" s="16"/>
      <c r="Q125" s="18">
        <v>2</v>
      </c>
      <c r="R125" s="19">
        <f t="shared" si="138"/>
        <v>0.12685399999999999</v>
      </c>
      <c r="S125" s="20">
        <f t="shared" si="139"/>
        <v>2</v>
      </c>
      <c r="T125" s="19">
        <f t="shared" si="140"/>
        <v>0.12685399999999999</v>
      </c>
      <c r="U125" s="21">
        <f t="shared" si="141"/>
        <v>-2</v>
      </c>
      <c r="V125" s="19">
        <f t="shared" si="142"/>
        <v>-0.12685399999999999</v>
      </c>
      <c r="X125" s="29"/>
    </row>
    <row r="126" spans="1:24">
      <c r="A126" s="26" t="s">
        <v>13</v>
      </c>
      <c r="B126" s="26" t="s">
        <v>36</v>
      </c>
      <c r="C126" s="30">
        <v>6.97</v>
      </c>
      <c r="D126" s="27">
        <v>9.1999999999999993</v>
      </c>
      <c r="E126" s="28"/>
      <c r="F126" s="16">
        <f t="shared" si="134"/>
        <v>0</v>
      </c>
      <c r="G126" s="17"/>
      <c r="H126" s="18"/>
      <c r="I126" s="19">
        <f t="shared" si="135"/>
        <v>0</v>
      </c>
      <c r="J126" s="16"/>
      <c r="K126" s="18"/>
      <c r="L126" s="19">
        <f t="shared" si="136"/>
        <v>0</v>
      </c>
      <c r="M126" s="16"/>
      <c r="N126" s="18"/>
      <c r="O126" s="19">
        <f t="shared" si="137"/>
        <v>0</v>
      </c>
      <c r="P126" s="16"/>
      <c r="Q126" s="18">
        <v>3</v>
      </c>
      <c r="R126" s="19">
        <f t="shared" si="138"/>
        <v>0.19237199999999999</v>
      </c>
      <c r="S126" s="20">
        <f t="shared" si="139"/>
        <v>3</v>
      </c>
      <c r="T126" s="19">
        <f t="shared" si="140"/>
        <v>0.19237199999999999</v>
      </c>
      <c r="U126" s="21">
        <f t="shared" si="141"/>
        <v>-3</v>
      </c>
      <c r="V126" s="19">
        <f t="shared" si="142"/>
        <v>-0.19237199999999999</v>
      </c>
      <c r="X126" s="29"/>
    </row>
    <row r="127" spans="1:24">
      <c r="A127" s="26" t="s">
        <v>13</v>
      </c>
      <c r="B127" s="26" t="s">
        <v>36</v>
      </c>
      <c r="C127" s="30">
        <v>6.97</v>
      </c>
      <c r="D127" s="27">
        <v>9.4</v>
      </c>
      <c r="E127" s="28"/>
      <c r="F127" s="16">
        <f t="shared" si="134"/>
        <v>0</v>
      </c>
      <c r="G127" s="17"/>
      <c r="H127" s="18"/>
      <c r="I127" s="19">
        <f t="shared" si="135"/>
        <v>0</v>
      </c>
      <c r="J127" s="16"/>
      <c r="K127" s="18"/>
      <c r="L127" s="19">
        <f t="shared" si="136"/>
        <v>0</v>
      </c>
      <c r="M127" s="16"/>
      <c r="N127" s="18"/>
      <c r="O127" s="19">
        <f t="shared" si="137"/>
        <v>0</v>
      </c>
      <c r="P127" s="16"/>
      <c r="Q127" s="18">
        <v>2</v>
      </c>
      <c r="R127" s="19">
        <f t="shared" si="138"/>
        <v>0.13103600000000001</v>
      </c>
      <c r="S127" s="20">
        <f t="shared" si="139"/>
        <v>2</v>
      </c>
      <c r="T127" s="19">
        <f t="shared" si="140"/>
        <v>0.13103600000000001</v>
      </c>
      <c r="U127" s="21">
        <f t="shared" si="141"/>
        <v>-2</v>
      </c>
      <c r="V127" s="19">
        <f t="shared" si="142"/>
        <v>-0.13103600000000001</v>
      </c>
      <c r="X127" s="29"/>
    </row>
    <row r="128" spans="1:24">
      <c r="A128" s="26" t="s">
        <v>13</v>
      </c>
      <c r="B128" s="26" t="s">
        <v>36</v>
      </c>
      <c r="C128" s="30">
        <v>6.97</v>
      </c>
      <c r="D128" s="27">
        <v>9.9</v>
      </c>
      <c r="E128" s="28"/>
      <c r="F128" s="16">
        <f t="shared" si="134"/>
        <v>0</v>
      </c>
      <c r="G128" s="17"/>
      <c r="H128" s="18"/>
      <c r="I128" s="19">
        <f t="shared" si="135"/>
        <v>0</v>
      </c>
      <c r="J128" s="16"/>
      <c r="K128" s="18"/>
      <c r="L128" s="19">
        <f t="shared" si="136"/>
        <v>0</v>
      </c>
      <c r="M128" s="16"/>
      <c r="N128" s="18"/>
      <c r="O128" s="19">
        <f t="shared" si="137"/>
        <v>0</v>
      </c>
      <c r="P128" s="16"/>
      <c r="Q128" s="18">
        <v>1</v>
      </c>
      <c r="R128" s="19">
        <f t="shared" si="138"/>
        <v>6.9002999999999995E-2</v>
      </c>
      <c r="S128" s="20">
        <f t="shared" si="139"/>
        <v>1</v>
      </c>
      <c r="T128" s="19">
        <f t="shared" si="140"/>
        <v>6.9002999999999995E-2</v>
      </c>
      <c r="U128" s="21">
        <f t="shared" si="141"/>
        <v>-1</v>
      </c>
      <c r="V128" s="19">
        <f t="shared" si="142"/>
        <v>-6.9002999999999995E-2</v>
      </c>
      <c r="X128" s="29"/>
    </row>
    <row r="129" spans="1:24">
      <c r="A129" s="26" t="s">
        <v>13</v>
      </c>
      <c r="B129" s="26" t="s">
        <v>36</v>
      </c>
      <c r="C129" s="30">
        <v>6.97</v>
      </c>
      <c r="D129" s="27">
        <v>10.1</v>
      </c>
      <c r="E129" s="28"/>
      <c r="F129" s="16">
        <f t="shared" si="134"/>
        <v>0</v>
      </c>
      <c r="G129" s="17"/>
      <c r="H129" s="18"/>
      <c r="I129" s="19">
        <f t="shared" si="135"/>
        <v>0</v>
      </c>
      <c r="J129" s="16"/>
      <c r="K129" s="18"/>
      <c r="L129" s="19">
        <f t="shared" si="136"/>
        <v>0</v>
      </c>
      <c r="M129" s="16"/>
      <c r="N129" s="18"/>
      <c r="O129" s="19">
        <f t="shared" si="137"/>
        <v>0</v>
      </c>
      <c r="P129" s="16"/>
      <c r="Q129" s="18">
        <v>1</v>
      </c>
      <c r="R129" s="19">
        <f t="shared" si="138"/>
        <v>7.0396999999999987E-2</v>
      </c>
      <c r="S129" s="20">
        <f t="shared" si="139"/>
        <v>1</v>
      </c>
      <c r="T129" s="19">
        <f t="shared" si="140"/>
        <v>7.0396999999999987E-2</v>
      </c>
      <c r="U129" s="21">
        <f t="shared" si="141"/>
        <v>-1</v>
      </c>
      <c r="V129" s="19">
        <f t="shared" si="142"/>
        <v>-7.0396999999999987E-2</v>
      </c>
      <c r="X129" s="29"/>
    </row>
    <row r="130" spans="1:24">
      <c r="A130" s="26" t="s">
        <v>13</v>
      </c>
      <c r="B130" s="26" t="s">
        <v>36</v>
      </c>
      <c r="C130" s="30">
        <v>6.97</v>
      </c>
      <c r="D130" s="27">
        <v>10.199999999999999</v>
      </c>
      <c r="E130" s="28"/>
      <c r="F130" s="16">
        <f t="shared" si="134"/>
        <v>0</v>
      </c>
      <c r="G130" s="17"/>
      <c r="H130" s="18"/>
      <c r="I130" s="19">
        <f t="shared" si="135"/>
        <v>0</v>
      </c>
      <c r="J130" s="16"/>
      <c r="K130" s="18"/>
      <c r="L130" s="19">
        <f t="shared" si="136"/>
        <v>0</v>
      </c>
      <c r="M130" s="16"/>
      <c r="N130" s="18"/>
      <c r="O130" s="19">
        <f t="shared" si="137"/>
        <v>0</v>
      </c>
      <c r="P130" s="16"/>
      <c r="Q130" s="18">
        <v>1</v>
      </c>
      <c r="R130" s="19">
        <f t="shared" si="138"/>
        <v>7.1093999999999991E-2</v>
      </c>
      <c r="S130" s="20">
        <f t="shared" si="139"/>
        <v>1</v>
      </c>
      <c r="T130" s="19">
        <f t="shared" si="140"/>
        <v>7.1093999999999991E-2</v>
      </c>
      <c r="U130" s="21">
        <f t="shared" si="141"/>
        <v>-1</v>
      </c>
      <c r="V130" s="19">
        <f t="shared" si="142"/>
        <v>-7.1093999999999991E-2</v>
      </c>
      <c r="X130" s="29"/>
    </row>
    <row r="131" spans="1:24">
      <c r="A131" s="26" t="s">
        <v>13</v>
      </c>
      <c r="B131" s="26" t="s">
        <v>36</v>
      </c>
      <c r="C131" s="30">
        <v>6.97</v>
      </c>
      <c r="D131" s="27">
        <v>10.3</v>
      </c>
      <c r="E131" s="28"/>
      <c r="F131" s="16">
        <f t="shared" si="134"/>
        <v>0</v>
      </c>
      <c r="G131" s="17"/>
      <c r="H131" s="18"/>
      <c r="I131" s="19">
        <f t="shared" si="135"/>
        <v>0</v>
      </c>
      <c r="J131" s="16"/>
      <c r="K131" s="18"/>
      <c r="L131" s="19">
        <f t="shared" si="136"/>
        <v>0</v>
      </c>
      <c r="M131" s="16"/>
      <c r="N131" s="18"/>
      <c r="O131" s="19">
        <f t="shared" si="137"/>
        <v>0</v>
      </c>
      <c r="P131" s="16"/>
      <c r="Q131" s="18">
        <v>1</v>
      </c>
      <c r="R131" s="19">
        <f t="shared" si="138"/>
        <v>7.1790999999999994E-2</v>
      </c>
      <c r="S131" s="20">
        <f t="shared" si="139"/>
        <v>1</v>
      </c>
      <c r="T131" s="19">
        <f t="shared" si="140"/>
        <v>7.1790999999999994E-2</v>
      </c>
      <c r="U131" s="21">
        <f t="shared" si="141"/>
        <v>-1</v>
      </c>
      <c r="V131" s="19">
        <f t="shared" si="142"/>
        <v>-7.1790999999999994E-2</v>
      </c>
      <c r="X131" s="29"/>
    </row>
    <row r="132" spans="1:24">
      <c r="A132" s="26" t="s">
        <v>13</v>
      </c>
      <c r="B132" s="26" t="s">
        <v>36</v>
      </c>
      <c r="C132" s="30">
        <v>6.97</v>
      </c>
      <c r="D132" s="27">
        <v>10.9</v>
      </c>
      <c r="E132" s="28"/>
      <c r="F132" s="16">
        <f t="shared" si="134"/>
        <v>0</v>
      </c>
      <c r="G132" s="17"/>
      <c r="H132" s="18"/>
      <c r="I132" s="19">
        <f t="shared" si="135"/>
        <v>0</v>
      </c>
      <c r="J132" s="16"/>
      <c r="K132" s="18"/>
      <c r="L132" s="19">
        <f t="shared" si="136"/>
        <v>0</v>
      </c>
      <c r="M132" s="16"/>
      <c r="N132" s="18"/>
      <c r="O132" s="19">
        <f t="shared" si="137"/>
        <v>0</v>
      </c>
      <c r="P132" s="16"/>
      <c r="Q132" s="18">
        <v>2</v>
      </c>
      <c r="R132" s="19">
        <f t="shared" si="138"/>
        <v>0.151946</v>
      </c>
      <c r="S132" s="20">
        <f t="shared" si="139"/>
        <v>2</v>
      </c>
      <c r="T132" s="19">
        <f t="shared" si="140"/>
        <v>0.151946</v>
      </c>
      <c r="U132" s="21">
        <f t="shared" si="141"/>
        <v>-2</v>
      </c>
      <c r="V132" s="19">
        <f t="shared" si="142"/>
        <v>-0.151946</v>
      </c>
      <c r="X132" s="29"/>
    </row>
    <row r="133" spans="1:24">
      <c r="A133" s="26" t="s">
        <v>13</v>
      </c>
      <c r="B133" s="26" t="s">
        <v>36</v>
      </c>
      <c r="C133" s="30">
        <v>6.97</v>
      </c>
      <c r="D133" s="27">
        <v>11</v>
      </c>
      <c r="E133" s="28"/>
      <c r="F133" s="16">
        <f t="shared" si="134"/>
        <v>0</v>
      </c>
      <c r="G133" s="17"/>
      <c r="H133" s="18"/>
      <c r="I133" s="19">
        <f t="shared" si="135"/>
        <v>0</v>
      </c>
      <c r="J133" s="16"/>
      <c r="K133" s="18"/>
      <c r="L133" s="19">
        <f t="shared" si="136"/>
        <v>0</v>
      </c>
      <c r="M133" s="16"/>
      <c r="N133" s="18"/>
      <c r="O133" s="19">
        <f t="shared" si="137"/>
        <v>0</v>
      </c>
      <c r="P133" s="16"/>
      <c r="Q133" s="18">
        <v>1</v>
      </c>
      <c r="R133" s="19">
        <f t="shared" si="138"/>
        <v>7.6670000000000002E-2</v>
      </c>
      <c r="S133" s="20">
        <f>+H133+K133+N133+Q133</f>
        <v>1</v>
      </c>
      <c r="T133" s="19">
        <f t="shared" si="140"/>
        <v>7.6670000000000002E-2</v>
      </c>
      <c r="U133" s="21">
        <f t="shared" si="141"/>
        <v>-1</v>
      </c>
      <c r="V133" s="19">
        <f t="shared" si="142"/>
        <v>-7.6670000000000002E-2</v>
      </c>
      <c r="X133" s="29"/>
    </row>
    <row r="134" spans="1:24">
      <c r="A134" s="26" t="s">
        <v>13</v>
      </c>
      <c r="B134" s="26" t="s">
        <v>36</v>
      </c>
      <c r="C134" s="30">
        <v>6.97</v>
      </c>
      <c r="D134" s="27">
        <v>11.2</v>
      </c>
      <c r="E134" s="28"/>
      <c r="F134" s="16">
        <f t="shared" si="134"/>
        <v>0</v>
      </c>
      <c r="G134" s="17"/>
      <c r="H134" s="18"/>
      <c r="I134" s="19">
        <f t="shared" si="135"/>
        <v>0</v>
      </c>
      <c r="J134" s="16"/>
      <c r="K134" s="18"/>
      <c r="L134" s="19">
        <f t="shared" si="136"/>
        <v>0</v>
      </c>
      <c r="M134" s="16"/>
      <c r="N134" s="18"/>
      <c r="O134" s="19">
        <f t="shared" si="137"/>
        <v>0</v>
      </c>
      <c r="P134" s="16"/>
      <c r="Q134" s="18">
        <v>2</v>
      </c>
      <c r="R134" s="19">
        <f t="shared" si="138"/>
        <v>0.15612799999999999</v>
      </c>
      <c r="S134" s="20">
        <f t="shared" si="139"/>
        <v>2</v>
      </c>
      <c r="T134" s="19">
        <f t="shared" si="140"/>
        <v>0.15612799999999999</v>
      </c>
      <c r="U134" s="21">
        <f t="shared" si="141"/>
        <v>-2</v>
      </c>
      <c r="V134" s="19">
        <f t="shared" si="142"/>
        <v>-0.15612799999999999</v>
      </c>
      <c r="X134" s="29"/>
    </row>
    <row r="135" spans="1:24">
      <c r="A135" s="36"/>
      <c r="B135" s="36"/>
      <c r="C135" s="37"/>
      <c r="D135" s="38"/>
      <c r="E135" s="31">
        <f>SUM(E106:E134)</f>
        <v>556</v>
      </c>
      <c r="F135" s="38">
        <f>SUM(F106:F134)</f>
        <v>33.679040000000001</v>
      </c>
      <c r="G135" s="17"/>
      <c r="H135" s="31">
        <f>SUM(H106:H134)</f>
        <v>178</v>
      </c>
      <c r="I135" s="38">
        <f>SUM(I106:I134)</f>
        <v>10.424680500000001</v>
      </c>
      <c r="J135" s="16"/>
      <c r="K135" s="31">
        <f>SUM(K106:K134)</f>
        <v>315</v>
      </c>
      <c r="L135" s="38">
        <f>SUM(L106:L134)</f>
        <v>19.751934500000001</v>
      </c>
      <c r="M135" s="16"/>
      <c r="N135" s="31">
        <f>SUM(N106:N134)</f>
        <v>13</v>
      </c>
      <c r="O135" s="38">
        <f>SUM(O106:O134)</f>
        <v>0.75275999999999998</v>
      </c>
      <c r="P135" s="16"/>
      <c r="Q135" s="31">
        <f t="shared" ref="Q135:V135" si="143">SUM(Q106:Q134)</f>
        <v>27</v>
      </c>
      <c r="R135" s="38">
        <f t="shared" si="143"/>
        <v>1.6599055</v>
      </c>
      <c r="S135" s="31">
        <f t="shared" si="143"/>
        <v>533</v>
      </c>
      <c r="T135" s="38">
        <f t="shared" si="143"/>
        <v>32.589280500000008</v>
      </c>
      <c r="U135" s="31">
        <f t="shared" si="143"/>
        <v>23</v>
      </c>
      <c r="V135" s="38">
        <f t="shared" si="143"/>
        <v>1.0897595000000029</v>
      </c>
      <c r="X135" s="29"/>
    </row>
    <row r="136" spans="1:24" hidden="1">
      <c r="A136" s="26" t="s">
        <v>13</v>
      </c>
      <c r="B136" s="26" t="s">
        <v>26</v>
      </c>
      <c r="C136" s="30">
        <v>8.3000000000000007</v>
      </c>
      <c r="D136" s="27">
        <v>10</v>
      </c>
      <c r="E136" s="28">
        <v>225</v>
      </c>
      <c r="F136" s="16">
        <f t="shared" ref="F136:F142" si="144">(C136*D136*E136/1000)</f>
        <v>18.675000000000001</v>
      </c>
      <c r="G136" s="16" t="s">
        <v>86</v>
      </c>
      <c r="H136" s="18">
        <v>92</v>
      </c>
      <c r="I136" s="19">
        <f t="shared" ref="I136:I142" si="145">(C136*D136*H136/1000)</f>
        <v>7.6360000000000001</v>
      </c>
      <c r="J136" s="16" t="s">
        <v>91</v>
      </c>
      <c r="K136" s="18">
        <v>124</v>
      </c>
      <c r="L136" s="19">
        <f t="shared" ref="L136:L142" si="146">(C136*D136*K136/1000)</f>
        <v>10.292</v>
      </c>
      <c r="M136" s="16" t="s">
        <v>93</v>
      </c>
      <c r="N136" s="18">
        <v>9</v>
      </c>
      <c r="O136" s="19">
        <f t="shared" ref="O136:O142" si="147">(C136*D136*N136/1000)</f>
        <v>0.747</v>
      </c>
      <c r="P136" s="16"/>
      <c r="Q136" s="18"/>
      <c r="R136" s="19">
        <f t="shared" ref="R136:R141" si="148">(D136*C136*Q136/1000)</f>
        <v>0</v>
      </c>
      <c r="S136" s="20">
        <f t="shared" ref="S136:S142" si="149">+H136+K136+N136+Q136</f>
        <v>225</v>
      </c>
      <c r="T136" s="19">
        <f t="shared" ref="T136:T142" si="150">+I136+L136+O136+R136</f>
        <v>18.675000000000001</v>
      </c>
      <c r="U136" s="21">
        <f t="shared" ref="U136:U142" si="151">E136-S136</f>
        <v>0</v>
      </c>
      <c r="V136" s="19">
        <f t="shared" ref="V136:V142" si="152">F136-T136</f>
        <v>0</v>
      </c>
      <c r="X136" s="29"/>
    </row>
    <row r="137" spans="1:24" hidden="1">
      <c r="A137" s="26" t="s">
        <v>13</v>
      </c>
      <c r="B137" s="26" t="s">
        <v>26</v>
      </c>
      <c r="C137" s="30">
        <v>8.3000000000000007</v>
      </c>
      <c r="D137" s="27">
        <v>10.1</v>
      </c>
      <c r="E137" s="28">
        <v>33</v>
      </c>
      <c r="F137" s="16">
        <f t="shared" si="144"/>
        <v>2.7663899999999999</v>
      </c>
      <c r="G137" s="16" t="s">
        <v>87</v>
      </c>
      <c r="H137" s="18">
        <v>23</v>
      </c>
      <c r="I137" s="19">
        <f t="shared" si="145"/>
        <v>1.9280899999999999</v>
      </c>
      <c r="J137" s="16" t="s">
        <v>90</v>
      </c>
      <c r="K137" s="18"/>
      <c r="L137" s="19">
        <f t="shared" si="146"/>
        <v>0</v>
      </c>
      <c r="M137" s="16" t="s">
        <v>92</v>
      </c>
      <c r="N137" s="18">
        <v>10</v>
      </c>
      <c r="O137" s="19">
        <f t="shared" si="147"/>
        <v>0.83829999999999993</v>
      </c>
      <c r="P137" s="16"/>
      <c r="Q137" s="18"/>
      <c r="R137" s="19">
        <f t="shared" si="148"/>
        <v>0</v>
      </c>
      <c r="S137" s="20">
        <f t="shared" si="149"/>
        <v>33</v>
      </c>
      <c r="T137" s="19">
        <f t="shared" si="150"/>
        <v>2.7663899999999999</v>
      </c>
      <c r="U137" s="21">
        <f t="shared" si="151"/>
        <v>0</v>
      </c>
      <c r="V137" s="19">
        <f t="shared" si="152"/>
        <v>0</v>
      </c>
      <c r="X137" s="29"/>
    </row>
    <row r="138" spans="1:24" hidden="1">
      <c r="A138" s="26" t="s">
        <v>13</v>
      </c>
      <c r="B138" s="26" t="s">
        <v>26</v>
      </c>
      <c r="C138" s="30">
        <v>8.3000000000000007</v>
      </c>
      <c r="D138" s="27">
        <v>10.5</v>
      </c>
      <c r="E138" s="28">
        <v>100</v>
      </c>
      <c r="F138" s="16">
        <f t="shared" si="144"/>
        <v>8.7149999999999999</v>
      </c>
      <c r="G138" s="16" t="s">
        <v>88</v>
      </c>
      <c r="H138" s="18">
        <v>53</v>
      </c>
      <c r="I138" s="19">
        <f t="shared" si="145"/>
        <v>4.6189500000000008</v>
      </c>
      <c r="J138" s="16"/>
      <c r="K138" s="18">
        <v>45</v>
      </c>
      <c r="L138" s="19">
        <f t="shared" si="146"/>
        <v>3.9217500000000003</v>
      </c>
      <c r="M138" s="16"/>
      <c r="N138" s="18"/>
      <c r="O138" s="19">
        <f t="shared" si="147"/>
        <v>0</v>
      </c>
      <c r="P138" s="16"/>
      <c r="Q138" s="18"/>
      <c r="R138" s="19">
        <f t="shared" si="148"/>
        <v>0</v>
      </c>
      <c r="S138" s="20">
        <f t="shared" si="149"/>
        <v>98</v>
      </c>
      <c r="T138" s="19">
        <f t="shared" si="150"/>
        <v>8.5407000000000011</v>
      </c>
      <c r="U138" s="21">
        <f t="shared" si="151"/>
        <v>2</v>
      </c>
      <c r="V138" s="19">
        <f t="shared" si="152"/>
        <v>0.17429999999999879</v>
      </c>
      <c r="X138" s="29"/>
    </row>
    <row r="139" spans="1:24" hidden="1">
      <c r="A139" s="26" t="s">
        <v>13</v>
      </c>
      <c r="B139" s="26" t="s">
        <v>26</v>
      </c>
      <c r="C139" s="30">
        <v>8.3000000000000007</v>
      </c>
      <c r="D139" s="27">
        <v>11</v>
      </c>
      <c r="E139" s="28">
        <v>76</v>
      </c>
      <c r="F139" s="16">
        <f t="shared" si="144"/>
        <v>6.9388000000000014</v>
      </c>
      <c r="G139" s="16" t="s">
        <v>87</v>
      </c>
      <c r="H139" s="18">
        <v>59</v>
      </c>
      <c r="I139" s="19">
        <f t="shared" si="145"/>
        <v>5.3867000000000012</v>
      </c>
      <c r="J139" s="16"/>
      <c r="K139" s="18">
        <f>34-17</f>
        <v>17</v>
      </c>
      <c r="L139" s="19">
        <f t="shared" si="146"/>
        <v>1.5521</v>
      </c>
      <c r="M139" s="16"/>
      <c r="N139" s="18"/>
      <c r="O139" s="19">
        <f t="shared" si="147"/>
        <v>0</v>
      </c>
      <c r="P139" s="16"/>
      <c r="Q139" s="18"/>
      <c r="R139" s="19">
        <f t="shared" si="148"/>
        <v>0</v>
      </c>
      <c r="S139" s="20">
        <f t="shared" si="149"/>
        <v>76</v>
      </c>
      <c r="T139" s="19">
        <f t="shared" si="150"/>
        <v>6.9388000000000014</v>
      </c>
      <c r="U139" s="21">
        <f t="shared" si="151"/>
        <v>0</v>
      </c>
      <c r="V139" s="19">
        <f t="shared" si="152"/>
        <v>0</v>
      </c>
      <c r="X139" s="29"/>
    </row>
    <row r="140" spans="1:24" hidden="1">
      <c r="A140" s="26" t="s">
        <v>13</v>
      </c>
      <c r="B140" s="26" t="s">
        <v>26</v>
      </c>
      <c r="C140" s="30">
        <v>8.3000000000000007</v>
      </c>
      <c r="D140" s="27">
        <v>11.5</v>
      </c>
      <c r="E140" s="28">
        <v>265</v>
      </c>
      <c r="F140" s="16">
        <f t="shared" si="144"/>
        <v>25.294250000000002</v>
      </c>
      <c r="G140" s="16" t="s">
        <v>89</v>
      </c>
      <c r="H140" s="18">
        <v>102</v>
      </c>
      <c r="I140" s="19">
        <f t="shared" si="145"/>
        <v>9.7358999999999991</v>
      </c>
      <c r="J140" s="16"/>
      <c r="K140" s="18">
        <f>55+27</f>
        <v>82</v>
      </c>
      <c r="L140" s="19">
        <f t="shared" si="146"/>
        <v>7.8269000000000002</v>
      </c>
      <c r="M140" s="16"/>
      <c r="N140" s="18">
        <v>81</v>
      </c>
      <c r="O140" s="19">
        <f t="shared" si="147"/>
        <v>7.7314499999999997</v>
      </c>
      <c r="P140" s="16"/>
      <c r="Q140" s="18"/>
      <c r="R140" s="19">
        <f t="shared" si="148"/>
        <v>0</v>
      </c>
      <c r="S140" s="20">
        <f t="shared" si="149"/>
        <v>265</v>
      </c>
      <c r="T140" s="19">
        <f t="shared" si="150"/>
        <v>25.294249999999998</v>
      </c>
      <c r="U140" s="21">
        <f t="shared" si="151"/>
        <v>0</v>
      </c>
      <c r="V140" s="19">
        <f t="shared" si="152"/>
        <v>0</v>
      </c>
      <c r="X140" s="29"/>
    </row>
    <row r="141" spans="1:24" hidden="1">
      <c r="A141" s="26" t="s">
        <v>13</v>
      </c>
      <c r="B141" s="26" t="s">
        <v>26</v>
      </c>
      <c r="C141" s="30">
        <v>8.3000000000000007</v>
      </c>
      <c r="D141" s="27">
        <v>12</v>
      </c>
      <c r="E141" s="28">
        <v>269</v>
      </c>
      <c r="F141" s="16">
        <f t="shared" ref="F141" si="153">(C141*D141*E141/1000)</f>
        <v>26.792400000000001</v>
      </c>
      <c r="G141" s="16" t="s">
        <v>90</v>
      </c>
      <c r="H141" s="18">
        <v>182</v>
      </c>
      <c r="I141" s="19">
        <f t="shared" ref="I141" si="154">(C141*D141*H141/1000)</f>
        <v>18.127200000000002</v>
      </c>
      <c r="J141" s="16"/>
      <c r="K141" s="18">
        <v>59</v>
      </c>
      <c r="L141" s="19">
        <f t="shared" ref="L141" si="155">(C141*D141*K141/1000)</f>
        <v>5.8764000000000003</v>
      </c>
      <c r="M141" s="16"/>
      <c r="N141" s="18">
        <v>28</v>
      </c>
      <c r="O141" s="19">
        <f t="shared" ref="O141" si="156">(C141*D141*N141/1000)</f>
        <v>2.7888000000000002</v>
      </c>
      <c r="P141" s="16"/>
      <c r="Q141" s="18"/>
      <c r="R141" s="19">
        <f t="shared" si="148"/>
        <v>0</v>
      </c>
      <c r="S141" s="20">
        <f t="shared" si="149"/>
        <v>269</v>
      </c>
      <c r="T141" s="19">
        <f t="shared" si="150"/>
        <v>26.792400000000001</v>
      </c>
      <c r="U141" s="21">
        <f t="shared" si="151"/>
        <v>0</v>
      </c>
      <c r="V141" s="19">
        <f t="shared" si="152"/>
        <v>0</v>
      </c>
      <c r="X141" s="29"/>
    </row>
    <row r="142" spans="1:24" hidden="1">
      <c r="A142" s="26" t="s">
        <v>13</v>
      </c>
      <c r="B142" s="26" t="s">
        <v>26</v>
      </c>
      <c r="C142" s="30">
        <v>8.3000000000000007</v>
      </c>
      <c r="D142" s="27">
        <v>11</v>
      </c>
      <c r="E142" s="28"/>
      <c r="F142" s="16">
        <f t="shared" si="144"/>
        <v>0</v>
      </c>
      <c r="G142" s="16"/>
      <c r="H142" s="18"/>
      <c r="I142" s="19">
        <f t="shared" si="145"/>
        <v>0</v>
      </c>
      <c r="J142" s="16"/>
      <c r="K142" s="18"/>
      <c r="L142" s="19">
        <f t="shared" si="146"/>
        <v>0</v>
      </c>
      <c r="M142" s="16"/>
      <c r="N142" s="18">
        <v>2</v>
      </c>
      <c r="O142" s="19">
        <f t="shared" si="147"/>
        <v>0.18260000000000001</v>
      </c>
      <c r="P142" s="16"/>
      <c r="Q142" s="18"/>
      <c r="R142" s="19">
        <f t="shared" ref="R142" si="157">(F142*G142*Q142/1000)</f>
        <v>0</v>
      </c>
      <c r="S142" s="20">
        <f t="shared" si="149"/>
        <v>2</v>
      </c>
      <c r="T142" s="19">
        <f t="shared" si="150"/>
        <v>0.18260000000000001</v>
      </c>
      <c r="U142" s="21">
        <f t="shared" si="151"/>
        <v>-2</v>
      </c>
      <c r="V142" s="19">
        <f t="shared" si="152"/>
        <v>-0.18260000000000001</v>
      </c>
      <c r="X142" s="29"/>
    </row>
    <row r="143" spans="1:24" hidden="1">
      <c r="A143" s="36"/>
      <c r="B143" s="36"/>
      <c r="C143" s="37"/>
      <c r="D143" s="38"/>
      <c r="E143" s="31">
        <f t="shared" ref="E143" si="158">SUM(E136:E142)</f>
        <v>968</v>
      </c>
      <c r="F143" s="38">
        <f>SUM(F136:F142)</f>
        <v>89.181840000000008</v>
      </c>
      <c r="G143" s="17"/>
      <c r="H143" s="31">
        <f t="shared" ref="H143:I143" si="159">SUM(H136:H142)</f>
        <v>511</v>
      </c>
      <c r="I143" s="38">
        <f t="shared" si="159"/>
        <v>47.432840000000006</v>
      </c>
      <c r="J143" s="16"/>
      <c r="K143" s="31">
        <f t="shared" ref="K143:L143" si="160">SUM(K136:K142)</f>
        <v>327</v>
      </c>
      <c r="L143" s="38">
        <f t="shared" si="160"/>
        <v>29.469150000000003</v>
      </c>
      <c r="M143" s="16"/>
      <c r="N143" s="31">
        <f t="shared" ref="N143:V143" si="161">SUM(N136:N142)</f>
        <v>130</v>
      </c>
      <c r="O143" s="38">
        <f t="shared" si="161"/>
        <v>12.28815</v>
      </c>
      <c r="P143" s="16"/>
      <c r="Q143" s="31">
        <f t="shared" ref="Q143:R143" si="162">SUM(Q136:Q142)</f>
        <v>0</v>
      </c>
      <c r="R143" s="38">
        <f t="shared" si="162"/>
        <v>0</v>
      </c>
      <c r="S143" s="31">
        <f t="shared" si="161"/>
        <v>968</v>
      </c>
      <c r="T143" s="38">
        <f t="shared" si="161"/>
        <v>89.19014</v>
      </c>
      <c r="U143" s="31">
        <f t="shared" si="161"/>
        <v>0</v>
      </c>
      <c r="V143" s="38">
        <f t="shared" si="161"/>
        <v>-8.3000000000012231E-3</v>
      </c>
      <c r="X143" s="29"/>
    </row>
    <row r="144" spans="1:24" hidden="1">
      <c r="A144" s="26" t="s">
        <v>13</v>
      </c>
      <c r="B144" s="26" t="s">
        <v>37</v>
      </c>
      <c r="C144" s="30">
        <v>9.61</v>
      </c>
      <c r="D144" s="27">
        <v>7.85</v>
      </c>
      <c r="E144" s="28">
        <v>160</v>
      </c>
      <c r="F144" s="16">
        <f t="shared" ref="F144:F166" si="163">(C144*D144*E144/1000)</f>
        <v>12.070159999999998</v>
      </c>
      <c r="G144" s="16" t="s">
        <v>89</v>
      </c>
      <c r="H144" s="18">
        <v>136</v>
      </c>
      <c r="I144" s="19">
        <f t="shared" ref="I144:I166" si="164">(C144*D144*H144/1000)</f>
        <v>10.259635999999999</v>
      </c>
      <c r="J144" s="16" t="s">
        <v>91</v>
      </c>
      <c r="K144" s="18"/>
      <c r="L144" s="19">
        <f t="shared" ref="L144:L166" si="165">(C144*D144*K144/1000)</f>
        <v>0</v>
      </c>
      <c r="M144" s="17" t="s">
        <v>88</v>
      </c>
      <c r="N144" s="18"/>
      <c r="O144" s="19">
        <f t="shared" ref="O144:O166" si="166">(C144*D144*N144/1000)</f>
        <v>0</v>
      </c>
      <c r="P144" s="17"/>
      <c r="Q144" s="18"/>
      <c r="R144" s="19">
        <f t="shared" ref="R144:R166" si="167">(D144*C144*Q144/1000)</f>
        <v>0</v>
      </c>
      <c r="S144" s="20">
        <f t="shared" ref="S144:S166" si="168">+H144+K144+N144+Q144</f>
        <v>136</v>
      </c>
      <c r="T144" s="19">
        <f t="shared" ref="T144:T166" si="169">+I144+L144+O144+R144</f>
        <v>10.259635999999999</v>
      </c>
      <c r="U144" s="21">
        <f t="shared" ref="U144:U166" si="170">E144-S144</f>
        <v>24</v>
      </c>
      <c r="V144" s="19">
        <f t="shared" ref="V144:V166" si="171">F144-T144</f>
        <v>1.8105239999999991</v>
      </c>
      <c r="X144" s="29"/>
    </row>
    <row r="145" spans="1:24" hidden="1">
      <c r="A145" s="26" t="s">
        <v>13</v>
      </c>
      <c r="B145" s="26" t="s">
        <v>37</v>
      </c>
      <c r="C145" s="30">
        <v>9.61</v>
      </c>
      <c r="D145" s="27">
        <v>9.85</v>
      </c>
      <c r="E145" s="28">
        <v>29</v>
      </c>
      <c r="F145" s="16">
        <f t="shared" si="163"/>
        <v>2.7450964999999998</v>
      </c>
      <c r="G145" s="16" t="s">
        <v>90</v>
      </c>
      <c r="H145" s="18">
        <v>22</v>
      </c>
      <c r="I145" s="19">
        <f t="shared" si="164"/>
        <v>2.0824869999999995</v>
      </c>
      <c r="J145" s="16" t="s">
        <v>98</v>
      </c>
      <c r="K145" s="18"/>
      <c r="L145" s="19">
        <f t="shared" si="165"/>
        <v>0</v>
      </c>
      <c r="M145" s="17" t="s">
        <v>98</v>
      </c>
      <c r="N145" s="18"/>
      <c r="O145" s="19">
        <f t="shared" si="166"/>
        <v>0</v>
      </c>
      <c r="P145" s="17"/>
      <c r="Q145" s="18"/>
      <c r="R145" s="19">
        <f t="shared" si="167"/>
        <v>0</v>
      </c>
      <c r="S145" s="20">
        <f t="shared" si="168"/>
        <v>22</v>
      </c>
      <c r="T145" s="19">
        <f t="shared" si="169"/>
        <v>2.0824869999999995</v>
      </c>
      <c r="U145" s="21">
        <f t="shared" si="170"/>
        <v>7</v>
      </c>
      <c r="V145" s="19">
        <f t="shared" si="171"/>
        <v>0.6626095000000003</v>
      </c>
      <c r="X145" s="29"/>
    </row>
    <row r="146" spans="1:24" hidden="1">
      <c r="A146" s="26" t="s">
        <v>13</v>
      </c>
      <c r="B146" s="26" t="s">
        <v>37</v>
      </c>
      <c r="C146" s="30">
        <v>9.61</v>
      </c>
      <c r="D146" s="27">
        <v>10.5</v>
      </c>
      <c r="E146" s="28">
        <v>160</v>
      </c>
      <c r="F146" s="16">
        <f t="shared" ref="F146:F165" si="172">(C146*D146*E146/1000)</f>
        <v>16.1448</v>
      </c>
      <c r="G146" s="16" t="s">
        <v>91</v>
      </c>
      <c r="H146" s="18">
        <v>160</v>
      </c>
      <c r="I146" s="19">
        <f t="shared" ref="I146:I165" si="173">(C146*D146*H146/1000)</f>
        <v>16.1448</v>
      </c>
      <c r="J146" s="16"/>
      <c r="K146" s="18"/>
      <c r="L146" s="19">
        <f t="shared" ref="L146:L165" si="174">(C146*D146*K146/1000)</f>
        <v>0</v>
      </c>
      <c r="M146" s="16"/>
      <c r="N146" s="18"/>
      <c r="O146" s="19">
        <f t="shared" ref="O146:O165" si="175">(C146*D146*N146/1000)</f>
        <v>0</v>
      </c>
      <c r="P146" s="16"/>
      <c r="Q146" s="18"/>
      <c r="R146" s="19">
        <f t="shared" si="167"/>
        <v>0</v>
      </c>
      <c r="S146" s="20">
        <f t="shared" si="168"/>
        <v>160</v>
      </c>
      <c r="T146" s="19">
        <f t="shared" si="169"/>
        <v>16.1448</v>
      </c>
      <c r="U146" s="21">
        <f t="shared" si="170"/>
        <v>0</v>
      </c>
      <c r="V146" s="19">
        <f t="shared" si="171"/>
        <v>0</v>
      </c>
      <c r="X146" s="29"/>
    </row>
    <row r="147" spans="1:24" hidden="1">
      <c r="A147" s="26" t="s">
        <v>13</v>
      </c>
      <c r="B147" s="26" t="s">
        <v>37</v>
      </c>
      <c r="C147" s="30">
        <v>9.61</v>
      </c>
      <c r="D147" s="27">
        <v>5.8</v>
      </c>
      <c r="E147" s="28"/>
      <c r="F147" s="16">
        <f t="shared" si="172"/>
        <v>0</v>
      </c>
      <c r="G147" s="16" t="s">
        <v>93</v>
      </c>
      <c r="H147" s="18"/>
      <c r="I147" s="19">
        <f t="shared" si="173"/>
        <v>0</v>
      </c>
      <c r="J147" s="16"/>
      <c r="K147" s="18">
        <v>1</v>
      </c>
      <c r="L147" s="19">
        <f t="shared" si="174"/>
        <v>5.5737999999999996E-2</v>
      </c>
      <c r="M147" s="16"/>
      <c r="N147" s="18"/>
      <c r="O147" s="19">
        <f t="shared" si="175"/>
        <v>0</v>
      </c>
      <c r="P147" s="16"/>
      <c r="Q147" s="18"/>
      <c r="R147" s="19">
        <f t="shared" si="167"/>
        <v>0</v>
      </c>
      <c r="S147" s="20">
        <f t="shared" si="168"/>
        <v>1</v>
      </c>
      <c r="T147" s="19">
        <f t="shared" si="169"/>
        <v>5.5737999999999996E-2</v>
      </c>
      <c r="U147" s="21">
        <f t="shared" si="170"/>
        <v>-1</v>
      </c>
      <c r="V147" s="19">
        <f t="shared" si="171"/>
        <v>-5.5737999999999996E-2</v>
      </c>
      <c r="X147" s="29"/>
    </row>
    <row r="148" spans="1:24" hidden="1">
      <c r="A148" s="26" t="s">
        <v>13</v>
      </c>
      <c r="B148" s="26" t="s">
        <v>37</v>
      </c>
      <c r="C148" s="30">
        <v>9.61</v>
      </c>
      <c r="D148" s="27">
        <v>6.5</v>
      </c>
      <c r="E148" s="28"/>
      <c r="F148" s="16">
        <f t="shared" si="172"/>
        <v>0</v>
      </c>
      <c r="G148" s="16" t="s">
        <v>92</v>
      </c>
      <c r="H148" s="18"/>
      <c r="I148" s="19">
        <f t="shared" si="173"/>
        <v>0</v>
      </c>
      <c r="J148" s="16"/>
      <c r="K148" s="18">
        <v>1</v>
      </c>
      <c r="L148" s="19">
        <f t="shared" si="174"/>
        <v>6.2465E-2</v>
      </c>
      <c r="M148" s="16"/>
      <c r="N148" s="18"/>
      <c r="O148" s="19">
        <f t="shared" si="175"/>
        <v>0</v>
      </c>
      <c r="P148" s="16"/>
      <c r="Q148" s="18"/>
      <c r="R148" s="19">
        <f t="shared" si="167"/>
        <v>0</v>
      </c>
      <c r="S148" s="20">
        <f t="shared" si="168"/>
        <v>1</v>
      </c>
      <c r="T148" s="19">
        <f t="shared" si="169"/>
        <v>6.2465E-2</v>
      </c>
      <c r="U148" s="21">
        <f t="shared" si="170"/>
        <v>-1</v>
      </c>
      <c r="V148" s="19">
        <f t="shared" si="171"/>
        <v>-6.2465E-2</v>
      </c>
      <c r="X148" s="29"/>
    </row>
    <row r="149" spans="1:24" hidden="1">
      <c r="A149" s="26" t="s">
        <v>13</v>
      </c>
      <c r="B149" s="26" t="s">
        <v>37</v>
      </c>
      <c r="C149" s="30">
        <v>9.61</v>
      </c>
      <c r="D149" s="27">
        <v>6.9</v>
      </c>
      <c r="E149" s="28"/>
      <c r="F149" s="16">
        <f t="shared" si="172"/>
        <v>0</v>
      </c>
      <c r="G149" s="16"/>
      <c r="H149" s="18"/>
      <c r="I149" s="19">
        <f t="shared" si="173"/>
        <v>0</v>
      </c>
      <c r="J149" s="16"/>
      <c r="K149" s="18">
        <v>1</v>
      </c>
      <c r="L149" s="19">
        <f t="shared" si="174"/>
        <v>6.6308999999999993E-2</v>
      </c>
      <c r="M149" s="16"/>
      <c r="N149" s="18"/>
      <c r="O149" s="19">
        <f t="shared" si="175"/>
        <v>0</v>
      </c>
      <c r="P149" s="16"/>
      <c r="Q149" s="18"/>
      <c r="R149" s="19">
        <f t="shared" si="167"/>
        <v>0</v>
      </c>
      <c r="S149" s="20">
        <f t="shared" si="168"/>
        <v>1</v>
      </c>
      <c r="T149" s="19">
        <f t="shared" si="169"/>
        <v>6.6308999999999993E-2</v>
      </c>
      <c r="U149" s="21">
        <f t="shared" si="170"/>
        <v>-1</v>
      </c>
      <c r="V149" s="19">
        <f t="shared" si="171"/>
        <v>-6.6308999999999993E-2</v>
      </c>
      <c r="X149" s="29"/>
    </row>
    <row r="150" spans="1:24" hidden="1">
      <c r="A150" s="26" t="s">
        <v>13</v>
      </c>
      <c r="B150" s="26" t="s">
        <v>37</v>
      </c>
      <c r="C150" s="30">
        <v>9.61</v>
      </c>
      <c r="D150" s="27">
        <v>7.1</v>
      </c>
      <c r="E150" s="28"/>
      <c r="F150" s="16">
        <f t="shared" ref="F150:F153" si="176">(C150*D150*E150/1000)</f>
        <v>0</v>
      </c>
      <c r="G150" s="16"/>
      <c r="H150" s="18"/>
      <c r="I150" s="19">
        <f t="shared" ref="I150:I153" si="177">(C150*D150*H150/1000)</f>
        <v>0</v>
      </c>
      <c r="J150" s="16"/>
      <c r="K150" s="18">
        <v>1</v>
      </c>
      <c r="L150" s="19">
        <f t="shared" ref="L150:L153" si="178">(C150*D150*K150/1000)</f>
        <v>6.8231E-2</v>
      </c>
      <c r="M150" s="16"/>
      <c r="N150" s="18"/>
      <c r="O150" s="19">
        <f t="shared" ref="O150:O153" si="179">(C150*D150*N150/1000)</f>
        <v>0</v>
      </c>
      <c r="P150" s="16"/>
      <c r="Q150" s="18"/>
      <c r="R150" s="19">
        <f t="shared" si="167"/>
        <v>0</v>
      </c>
      <c r="S150" s="20">
        <f t="shared" si="168"/>
        <v>1</v>
      </c>
      <c r="T150" s="19">
        <f t="shared" si="169"/>
        <v>6.8231E-2</v>
      </c>
      <c r="U150" s="21">
        <f t="shared" si="170"/>
        <v>-1</v>
      </c>
      <c r="V150" s="19">
        <f t="shared" si="171"/>
        <v>-6.8231E-2</v>
      </c>
      <c r="X150" s="29"/>
    </row>
    <row r="151" spans="1:24" hidden="1">
      <c r="A151" s="26" t="s">
        <v>13</v>
      </c>
      <c r="B151" s="26" t="s">
        <v>37</v>
      </c>
      <c r="C151" s="30">
        <v>9.61</v>
      </c>
      <c r="D151" s="27">
        <v>7.2</v>
      </c>
      <c r="E151" s="28"/>
      <c r="F151" s="16">
        <f t="shared" si="176"/>
        <v>0</v>
      </c>
      <c r="G151" s="16"/>
      <c r="H151" s="18"/>
      <c r="I151" s="19">
        <f t="shared" si="177"/>
        <v>0</v>
      </c>
      <c r="J151" s="16"/>
      <c r="K151" s="18">
        <v>2</v>
      </c>
      <c r="L151" s="19">
        <f t="shared" si="178"/>
        <v>0.13838399999999998</v>
      </c>
      <c r="M151" s="16"/>
      <c r="N151" s="18">
        <v>1</v>
      </c>
      <c r="O151" s="19">
        <f t="shared" si="179"/>
        <v>6.919199999999999E-2</v>
      </c>
      <c r="P151" s="16"/>
      <c r="Q151" s="18"/>
      <c r="R151" s="19">
        <f t="shared" si="167"/>
        <v>0</v>
      </c>
      <c r="S151" s="20">
        <f t="shared" si="168"/>
        <v>3</v>
      </c>
      <c r="T151" s="19">
        <f t="shared" si="169"/>
        <v>0.20757599999999998</v>
      </c>
      <c r="U151" s="21">
        <f t="shared" si="170"/>
        <v>-3</v>
      </c>
      <c r="V151" s="19">
        <f t="shared" si="171"/>
        <v>-0.20757599999999998</v>
      </c>
      <c r="X151" s="29"/>
    </row>
    <row r="152" spans="1:24" hidden="1">
      <c r="A152" s="26" t="s">
        <v>13</v>
      </c>
      <c r="B152" s="26" t="s">
        <v>37</v>
      </c>
      <c r="C152" s="30">
        <v>9.61</v>
      </c>
      <c r="D152" s="27">
        <v>7.5</v>
      </c>
      <c r="E152" s="28"/>
      <c r="F152" s="16">
        <f t="shared" si="176"/>
        <v>0</v>
      </c>
      <c r="G152" s="16"/>
      <c r="H152" s="18"/>
      <c r="I152" s="19">
        <f t="shared" si="177"/>
        <v>0</v>
      </c>
      <c r="J152" s="16"/>
      <c r="K152" s="18">
        <v>2</v>
      </c>
      <c r="L152" s="19">
        <f t="shared" si="178"/>
        <v>0.14414999999999997</v>
      </c>
      <c r="M152" s="16"/>
      <c r="N152" s="18">
        <v>2</v>
      </c>
      <c r="O152" s="19">
        <f t="shared" si="179"/>
        <v>0.14414999999999997</v>
      </c>
      <c r="P152" s="16"/>
      <c r="Q152" s="18"/>
      <c r="R152" s="19">
        <f t="shared" si="167"/>
        <v>0</v>
      </c>
      <c r="S152" s="20">
        <f t="shared" si="168"/>
        <v>4</v>
      </c>
      <c r="T152" s="19">
        <f t="shared" si="169"/>
        <v>0.28829999999999995</v>
      </c>
      <c r="U152" s="21">
        <f t="shared" si="170"/>
        <v>-4</v>
      </c>
      <c r="V152" s="19">
        <f t="shared" si="171"/>
        <v>-0.28829999999999995</v>
      </c>
      <c r="X152" s="29"/>
    </row>
    <row r="153" spans="1:24" hidden="1">
      <c r="A153" s="26" t="s">
        <v>13</v>
      </c>
      <c r="B153" s="26" t="s">
        <v>37</v>
      </c>
      <c r="C153" s="30">
        <v>9.61</v>
      </c>
      <c r="D153" s="27">
        <v>9</v>
      </c>
      <c r="E153" s="28"/>
      <c r="F153" s="16">
        <f t="shared" si="176"/>
        <v>0</v>
      </c>
      <c r="G153" s="16"/>
      <c r="H153" s="18"/>
      <c r="I153" s="19">
        <f t="shared" si="177"/>
        <v>0</v>
      </c>
      <c r="J153" s="16"/>
      <c r="K153" s="18">
        <v>2</v>
      </c>
      <c r="L153" s="19">
        <f t="shared" si="178"/>
        <v>0.17297999999999999</v>
      </c>
      <c r="M153" s="16"/>
      <c r="N153" s="18"/>
      <c r="O153" s="19">
        <f t="shared" si="179"/>
        <v>0</v>
      </c>
      <c r="P153" s="16"/>
      <c r="Q153" s="18"/>
      <c r="R153" s="19">
        <f t="shared" si="167"/>
        <v>0</v>
      </c>
      <c r="S153" s="20">
        <f t="shared" si="168"/>
        <v>2</v>
      </c>
      <c r="T153" s="19">
        <f t="shared" si="169"/>
        <v>0.17297999999999999</v>
      </c>
      <c r="U153" s="21">
        <f t="shared" si="170"/>
        <v>-2</v>
      </c>
      <c r="V153" s="19">
        <f t="shared" si="171"/>
        <v>-0.17297999999999999</v>
      </c>
      <c r="X153" s="29"/>
    </row>
    <row r="154" spans="1:24" hidden="1">
      <c r="A154" s="26" t="s">
        <v>13</v>
      </c>
      <c r="B154" s="26" t="s">
        <v>37</v>
      </c>
      <c r="C154" s="30">
        <v>9.61</v>
      </c>
      <c r="D154" s="27">
        <v>10.15</v>
      </c>
      <c r="E154" s="28"/>
      <c r="F154" s="16">
        <f t="shared" si="172"/>
        <v>0</v>
      </c>
      <c r="G154" s="16"/>
      <c r="H154" s="18"/>
      <c r="I154" s="19">
        <f t="shared" si="173"/>
        <v>0</v>
      </c>
      <c r="J154" s="16"/>
      <c r="K154" s="18">
        <v>1</v>
      </c>
      <c r="L154" s="19">
        <f t="shared" si="174"/>
        <v>9.7541500000000003E-2</v>
      </c>
      <c r="M154" s="16"/>
      <c r="N154" s="18"/>
      <c r="O154" s="19">
        <f t="shared" si="175"/>
        <v>0</v>
      </c>
      <c r="P154" s="16"/>
      <c r="Q154" s="18"/>
      <c r="R154" s="19">
        <f t="shared" si="167"/>
        <v>0</v>
      </c>
      <c r="S154" s="20">
        <f t="shared" si="168"/>
        <v>1</v>
      </c>
      <c r="T154" s="19">
        <f t="shared" si="169"/>
        <v>9.7541500000000003E-2</v>
      </c>
      <c r="U154" s="21">
        <f t="shared" si="170"/>
        <v>-1</v>
      </c>
      <c r="V154" s="19">
        <f t="shared" si="171"/>
        <v>-9.7541500000000003E-2</v>
      </c>
      <c r="X154" s="29"/>
    </row>
    <row r="155" spans="1:24" hidden="1">
      <c r="A155" s="26" t="s">
        <v>13</v>
      </c>
      <c r="B155" s="26" t="s">
        <v>37</v>
      </c>
      <c r="C155" s="30">
        <v>9.61</v>
      </c>
      <c r="D155" s="27">
        <v>10.3</v>
      </c>
      <c r="E155" s="28"/>
      <c r="F155" s="16">
        <f t="shared" si="172"/>
        <v>0</v>
      </c>
      <c r="G155" s="16"/>
      <c r="H155" s="18"/>
      <c r="I155" s="19">
        <f t="shared" si="173"/>
        <v>0</v>
      </c>
      <c r="J155" s="16"/>
      <c r="K155" s="18">
        <v>1</v>
      </c>
      <c r="L155" s="19">
        <f t="shared" si="174"/>
        <v>9.8983000000000002E-2</v>
      </c>
      <c r="M155" s="16"/>
      <c r="N155" s="18"/>
      <c r="O155" s="19">
        <f t="shared" si="175"/>
        <v>0</v>
      </c>
      <c r="P155" s="16"/>
      <c r="Q155" s="18"/>
      <c r="R155" s="19">
        <f t="shared" si="167"/>
        <v>0</v>
      </c>
      <c r="S155" s="20">
        <f t="shared" si="168"/>
        <v>1</v>
      </c>
      <c r="T155" s="19">
        <f t="shared" si="169"/>
        <v>9.8983000000000002E-2</v>
      </c>
      <c r="U155" s="21">
        <f t="shared" si="170"/>
        <v>-1</v>
      </c>
      <c r="V155" s="19">
        <f t="shared" si="171"/>
        <v>-9.8983000000000002E-2</v>
      </c>
      <c r="X155" s="29"/>
    </row>
    <row r="156" spans="1:24" hidden="1">
      <c r="A156" s="26" t="s">
        <v>13</v>
      </c>
      <c r="B156" s="26" t="s">
        <v>37</v>
      </c>
      <c r="C156" s="30">
        <v>9.61</v>
      </c>
      <c r="D156" s="27">
        <v>10.45</v>
      </c>
      <c r="E156" s="28"/>
      <c r="F156" s="16">
        <f t="shared" si="172"/>
        <v>0</v>
      </c>
      <c r="G156" s="16"/>
      <c r="H156" s="18"/>
      <c r="I156" s="19">
        <f t="shared" si="173"/>
        <v>0</v>
      </c>
      <c r="J156" s="16"/>
      <c r="K156" s="18">
        <v>2</v>
      </c>
      <c r="L156" s="19">
        <f t="shared" si="174"/>
        <v>0.20084899999999997</v>
      </c>
      <c r="M156" s="16"/>
      <c r="N156" s="18"/>
      <c r="O156" s="19">
        <f t="shared" si="175"/>
        <v>0</v>
      </c>
      <c r="P156" s="16"/>
      <c r="Q156" s="18"/>
      <c r="R156" s="19">
        <f t="shared" si="167"/>
        <v>0</v>
      </c>
      <c r="S156" s="20">
        <f t="shared" si="168"/>
        <v>2</v>
      </c>
      <c r="T156" s="19">
        <f t="shared" si="169"/>
        <v>0.20084899999999997</v>
      </c>
      <c r="U156" s="21">
        <f t="shared" si="170"/>
        <v>-2</v>
      </c>
      <c r="V156" s="19">
        <f t="shared" si="171"/>
        <v>-0.20084899999999997</v>
      </c>
      <c r="X156" s="29"/>
    </row>
    <row r="157" spans="1:24" hidden="1">
      <c r="A157" s="26" t="s">
        <v>13</v>
      </c>
      <c r="B157" s="26" t="s">
        <v>37</v>
      </c>
      <c r="C157" s="30">
        <v>9.61</v>
      </c>
      <c r="D157" s="27">
        <v>11.151999999999999</v>
      </c>
      <c r="E157" s="28"/>
      <c r="F157" s="16">
        <f t="shared" si="172"/>
        <v>0</v>
      </c>
      <c r="G157" s="16"/>
      <c r="H157" s="18"/>
      <c r="I157" s="19">
        <f t="shared" si="173"/>
        <v>0</v>
      </c>
      <c r="J157" s="16"/>
      <c r="K157" s="18">
        <v>2</v>
      </c>
      <c r="L157" s="19">
        <f t="shared" si="174"/>
        <v>0.21434143999999997</v>
      </c>
      <c r="M157" s="16"/>
      <c r="N157" s="18"/>
      <c r="O157" s="19">
        <f t="shared" si="175"/>
        <v>0</v>
      </c>
      <c r="P157" s="16"/>
      <c r="Q157" s="18"/>
      <c r="R157" s="19">
        <f t="shared" si="167"/>
        <v>0</v>
      </c>
      <c r="S157" s="20">
        <f t="shared" si="168"/>
        <v>2</v>
      </c>
      <c r="T157" s="19">
        <f t="shared" si="169"/>
        <v>0.21434143999999997</v>
      </c>
      <c r="U157" s="21">
        <f t="shared" si="170"/>
        <v>-2</v>
      </c>
      <c r="V157" s="19">
        <f t="shared" si="171"/>
        <v>-0.21434143999999997</v>
      </c>
      <c r="X157" s="29"/>
    </row>
    <row r="158" spans="1:24" hidden="1">
      <c r="A158" s="26" t="s">
        <v>13</v>
      </c>
      <c r="B158" s="26" t="s">
        <v>37</v>
      </c>
      <c r="C158" s="30">
        <v>9.61</v>
      </c>
      <c r="D158" s="27">
        <v>9.4499999999999993</v>
      </c>
      <c r="E158" s="28"/>
      <c r="F158" s="16">
        <f t="shared" si="172"/>
        <v>0</v>
      </c>
      <c r="G158" s="16"/>
      <c r="H158" s="18"/>
      <c r="I158" s="19">
        <f t="shared" si="173"/>
        <v>0</v>
      </c>
      <c r="J158" s="16"/>
      <c r="K158" s="18">
        <v>1</v>
      </c>
      <c r="L158" s="19">
        <f t="shared" si="174"/>
        <v>9.0814499999999979E-2</v>
      </c>
      <c r="M158" s="16"/>
      <c r="N158" s="18"/>
      <c r="O158" s="19">
        <f t="shared" si="175"/>
        <v>0</v>
      </c>
      <c r="P158" s="16"/>
      <c r="Q158" s="18"/>
      <c r="R158" s="19">
        <f t="shared" si="167"/>
        <v>0</v>
      </c>
      <c r="S158" s="20">
        <f t="shared" si="168"/>
        <v>1</v>
      </c>
      <c r="T158" s="19">
        <f t="shared" si="169"/>
        <v>9.0814499999999979E-2</v>
      </c>
      <c r="U158" s="21">
        <f t="shared" si="170"/>
        <v>-1</v>
      </c>
      <c r="V158" s="19">
        <f t="shared" si="171"/>
        <v>-9.0814499999999979E-2</v>
      </c>
      <c r="X158" s="29"/>
    </row>
    <row r="159" spans="1:24" hidden="1">
      <c r="A159" s="26" t="s">
        <v>13</v>
      </c>
      <c r="B159" s="26" t="s">
        <v>37</v>
      </c>
      <c r="C159" s="30">
        <v>9.61</v>
      </c>
      <c r="D159" s="27">
        <v>8.6999999999999993</v>
      </c>
      <c r="E159" s="28"/>
      <c r="F159" s="16">
        <f t="shared" si="172"/>
        <v>0</v>
      </c>
      <c r="G159" s="16"/>
      <c r="H159" s="18"/>
      <c r="I159" s="19">
        <f t="shared" si="173"/>
        <v>0</v>
      </c>
      <c r="J159" s="16"/>
      <c r="K159" s="18">
        <v>1</v>
      </c>
      <c r="L159" s="19">
        <f t="shared" si="174"/>
        <v>8.3606999999999987E-2</v>
      </c>
      <c r="M159" s="16"/>
      <c r="N159" s="18"/>
      <c r="O159" s="19">
        <f t="shared" si="175"/>
        <v>0</v>
      </c>
      <c r="P159" s="16"/>
      <c r="Q159" s="18"/>
      <c r="R159" s="19">
        <f t="shared" si="167"/>
        <v>0</v>
      </c>
      <c r="S159" s="20">
        <f t="shared" si="168"/>
        <v>1</v>
      </c>
      <c r="T159" s="19">
        <f t="shared" si="169"/>
        <v>8.3606999999999987E-2</v>
      </c>
      <c r="U159" s="21">
        <f t="shared" si="170"/>
        <v>-1</v>
      </c>
      <c r="V159" s="19">
        <f t="shared" si="171"/>
        <v>-8.3606999999999987E-2</v>
      </c>
      <c r="X159" s="29"/>
    </row>
    <row r="160" spans="1:24" hidden="1">
      <c r="A160" s="26" t="s">
        <v>13</v>
      </c>
      <c r="B160" s="26" t="s">
        <v>37</v>
      </c>
      <c r="C160" s="30">
        <v>9.61</v>
      </c>
      <c r="D160" s="27">
        <v>7.9</v>
      </c>
      <c r="E160" s="28"/>
      <c r="F160" s="16">
        <f t="shared" si="172"/>
        <v>0</v>
      </c>
      <c r="G160" s="16"/>
      <c r="H160" s="18"/>
      <c r="I160" s="19">
        <f t="shared" si="173"/>
        <v>0</v>
      </c>
      <c r="J160" s="16"/>
      <c r="K160" s="18">
        <v>1</v>
      </c>
      <c r="L160" s="19">
        <f t="shared" si="174"/>
        <v>7.5919E-2</v>
      </c>
      <c r="M160" s="16"/>
      <c r="N160" s="18"/>
      <c r="O160" s="19">
        <f t="shared" si="175"/>
        <v>0</v>
      </c>
      <c r="P160" s="16"/>
      <c r="Q160" s="18"/>
      <c r="R160" s="19">
        <f t="shared" si="167"/>
        <v>0</v>
      </c>
      <c r="S160" s="20">
        <f t="shared" si="168"/>
        <v>1</v>
      </c>
      <c r="T160" s="19">
        <f t="shared" si="169"/>
        <v>7.5919E-2</v>
      </c>
      <c r="U160" s="21">
        <f t="shared" si="170"/>
        <v>-1</v>
      </c>
      <c r="V160" s="19">
        <f t="shared" si="171"/>
        <v>-7.5919E-2</v>
      </c>
      <c r="X160" s="29"/>
    </row>
    <row r="161" spans="1:24" hidden="1">
      <c r="A161" s="26" t="s">
        <v>13</v>
      </c>
      <c r="B161" s="26" t="s">
        <v>37</v>
      </c>
      <c r="C161" s="30">
        <v>9.61</v>
      </c>
      <c r="D161" s="27">
        <v>7.4</v>
      </c>
      <c r="E161" s="28"/>
      <c r="F161" s="16">
        <f t="shared" si="172"/>
        <v>0</v>
      </c>
      <c r="G161" s="16"/>
      <c r="H161" s="18"/>
      <c r="I161" s="19">
        <f t="shared" si="173"/>
        <v>0</v>
      </c>
      <c r="J161" s="16"/>
      <c r="K161" s="18">
        <v>1</v>
      </c>
      <c r="L161" s="19">
        <f t="shared" si="174"/>
        <v>7.1114000000000011E-2</v>
      </c>
      <c r="M161" s="16"/>
      <c r="N161" s="18"/>
      <c r="O161" s="19">
        <f t="shared" si="175"/>
        <v>0</v>
      </c>
      <c r="P161" s="16"/>
      <c r="Q161" s="18"/>
      <c r="R161" s="19">
        <f t="shared" si="167"/>
        <v>0</v>
      </c>
      <c r="S161" s="20">
        <f t="shared" si="168"/>
        <v>1</v>
      </c>
      <c r="T161" s="19">
        <f t="shared" si="169"/>
        <v>7.1114000000000011E-2</v>
      </c>
      <c r="U161" s="21">
        <f t="shared" si="170"/>
        <v>-1</v>
      </c>
      <c r="V161" s="19">
        <f t="shared" si="171"/>
        <v>-7.1114000000000011E-2</v>
      </c>
      <c r="X161" s="29"/>
    </row>
    <row r="162" spans="1:24" hidden="1">
      <c r="A162" s="26" t="s">
        <v>13</v>
      </c>
      <c r="B162" s="26" t="s">
        <v>37</v>
      </c>
      <c r="C162" s="30">
        <v>9.61</v>
      </c>
      <c r="D162" s="27">
        <v>6</v>
      </c>
      <c r="E162" s="28"/>
      <c r="F162" s="16">
        <f t="shared" si="172"/>
        <v>0</v>
      </c>
      <c r="G162" s="16"/>
      <c r="H162" s="18"/>
      <c r="I162" s="19">
        <f t="shared" si="173"/>
        <v>0</v>
      </c>
      <c r="J162" s="16"/>
      <c r="K162" s="18"/>
      <c r="L162" s="19">
        <f t="shared" si="174"/>
        <v>0</v>
      </c>
      <c r="M162" s="16"/>
      <c r="N162" s="18">
        <v>1</v>
      </c>
      <c r="O162" s="19">
        <f t="shared" si="175"/>
        <v>5.7659999999999996E-2</v>
      </c>
      <c r="P162" s="16"/>
      <c r="Q162" s="18"/>
      <c r="R162" s="19">
        <f t="shared" si="167"/>
        <v>0</v>
      </c>
      <c r="S162" s="20">
        <f t="shared" si="168"/>
        <v>1</v>
      </c>
      <c r="T162" s="19">
        <f t="shared" si="169"/>
        <v>5.7659999999999996E-2</v>
      </c>
      <c r="U162" s="21">
        <f t="shared" si="170"/>
        <v>-1</v>
      </c>
      <c r="V162" s="19">
        <f t="shared" si="171"/>
        <v>-5.7659999999999996E-2</v>
      </c>
      <c r="X162" s="29"/>
    </row>
    <row r="163" spans="1:24" hidden="1">
      <c r="A163" s="26" t="s">
        <v>13</v>
      </c>
      <c r="B163" s="26" t="s">
        <v>37</v>
      </c>
      <c r="C163" s="30">
        <v>9.61</v>
      </c>
      <c r="D163" s="27">
        <v>8.5</v>
      </c>
      <c r="E163" s="28"/>
      <c r="F163" s="16">
        <f t="shared" si="172"/>
        <v>0</v>
      </c>
      <c r="G163" s="16"/>
      <c r="H163" s="18"/>
      <c r="I163" s="19">
        <f t="shared" si="173"/>
        <v>0</v>
      </c>
      <c r="J163" s="16"/>
      <c r="K163" s="18"/>
      <c r="L163" s="19">
        <f t="shared" si="174"/>
        <v>0</v>
      </c>
      <c r="M163" s="16"/>
      <c r="N163" s="18">
        <v>1</v>
      </c>
      <c r="O163" s="19">
        <f t="shared" si="175"/>
        <v>8.1685000000000008E-2</v>
      </c>
      <c r="P163" s="16"/>
      <c r="Q163" s="18"/>
      <c r="R163" s="19">
        <f t="shared" si="167"/>
        <v>0</v>
      </c>
      <c r="S163" s="20">
        <f t="shared" si="168"/>
        <v>1</v>
      </c>
      <c r="T163" s="19">
        <f t="shared" si="169"/>
        <v>8.1685000000000008E-2</v>
      </c>
      <c r="U163" s="21">
        <f t="shared" si="170"/>
        <v>-1</v>
      </c>
      <c r="V163" s="19">
        <f t="shared" si="171"/>
        <v>-8.1685000000000008E-2</v>
      </c>
      <c r="X163" s="29"/>
    </row>
    <row r="164" spans="1:24" hidden="1">
      <c r="A164" s="26" t="s">
        <v>13</v>
      </c>
      <c r="B164" s="26" t="s">
        <v>37</v>
      </c>
      <c r="C164" s="30">
        <v>9.61</v>
      </c>
      <c r="D164" s="27">
        <v>9.8000000000000007</v>
      </c>
      <c r="E164" s="28"/>
      <c r="F164" s="16">
        <f t="shared" si="172"/>
        <v>0</v>
      </c>
      <c r="G164" s="16"/>
      <c r="H164" s="18"/>
      <c r="I164" s="19">
        <f t="shared" si="173"/>
        <v>0</v>
      </c>
      <c r="J164" s="16"/>
      <c r="K164" s="18"/>
      <c r="L164" s="19">
        <f t="shared" si="174"/>
        <v>0</v>
      </c>
      <c r="M164" s="16"/>
      <c r="N164" s="18">
        <v>3</v>
      </c>
      <c r="O164" s="19">
        <f t="shared" si="175"/>
        <v>0.28253400000000001</v>
      </c>
      <c r="P164" s="16"/>
      <c r="Q164" s="18"/>
      <c r="R164" s="19">
        <f t="shared" si="167"/>
        <v>0</v>
      </c>
      <c r="S164" s="20">
        <f t="shared" si="168"/>
        <v>3</v>
      </c>
      <c r="T164" s="19">
        <f t="shared" si="169"/>
        <v>0.28253400000000001</v>
      </c>
      <c r="U164" s="21">
        <f t="shared" si="170"/>
        <v>-3</v>
      </c>
      <c r="V164" s="19">
        <f t="shared" si="171"/>
        <v>-0.28253400000000001</v>
      </c>
      <c r="X164" s="29"/>
    </row>
    <row r="165" spans="1:24" hidden="1">
      <c r="A165" s="26" t="s">
        <v>13</v>
      </c>
      <c r="B165" s="26" t="s">
        <v>37</v>
      </c>
      <c r="C165" s="30">
        <v>9.61</v>
      </c>
      <c r="D165" s="27">
        <v>9.5</v>
      </c>
      <c r="E165" s="28"/>
      <c r="F165" s="16">
        <f t="shared" si="172"/>
        <v>0</v>
      </c>
      <c r="G165" s="16"/>
      <c r="H165" s="18"/>
      <c r="I165" s="19">
        <f t="shared" si="173"/>
        <v>0</v>
      </c>
      <c r="J165" s="16"/>
      <c r="K165" s="18"/>
      <c r="L165" s="19">
        <f t="shared" si="174"/>
        <v>0</v>
      </c>
      <c r="M165" s="16"/>
      <c r="N165" s="18">
        <v>1</v>
      </c>
      <c r="O165" s="19">
        <f t="shared" si="175"/>
        <v>9.1294999999999987E-2</v>
      </c>
      <c r="P165" s="16"/>
      <c r="Q165" s="18"/>
      <c r="R165" s="19">
        <f t="shared" si="167"/>
        <v>0</v>
      </c>
      <c r="S165" s="20">
        <f t="shared" si="168"/>
        <v>1</v>
      </c>
      <c r="T165" s="19">
        <f t="shared" si="169"/>
        <v>9.1294999999999987E-2</v>
      </c>
      <c r="U165" s="21">
        <f t="shared" si="170"/>
        <v>-1</v>
      </c>
      <c r="V165" s="19">
        <f t="shared" si="171"/>
        <v>-9.1294999999999987E-2</v>
      </c>
      <c r="X165" s="29"/>
    </row>
    <row r="166" spans="1:24" hidden="1">
      <c r="A166" s="26" t="s">
        <v>13</v>
      </c>
      <c r="B166" s="26" t="s">
        <v>37</v>
      </c>
      <c r="C166" s="30">
        <v>9.61</v>
      </c>
      <c r="D166" s="27">
        <v>11.5</v>
      </c>
      <c r="E166" s="28"/>
      <c r="F166" s="16">
        <f t="shared" si="163"/>
        <v>0</v>
      </c>
      <c r="G166" s="16"/>
      <c r="H166" s="18"/>
      <c r="I166" s="19">
        <f t="shared" si="164"/>
        <v>0</v>
      </c>
      <c r="J166" s="16"/>
      <c r="K166" s="18"/>
      <c r="L166" s="19">
        <f t="shared" si="165"/>
        <v>0</v>
      </c>
      <c r="M166" s="16"/>
      <c r="N166" s="18">
        <v>1</v>
      </c>
      <c r="O166" s="19">
        <f t="shared" si="166"/>
        <v>0.11051499999999999</v>
      </c>
      <c r="P166" s="16"/>
      <c r="Q166" s="18"/>
      <c r="R166" s="19">
        <f t="shared" si="167"/>
        <v>0</v>
      </c>
      <c r="S166" s="20">
        <f t="shared" si="168"/>
        <v>1</v>
      </c>
      <c r="T166" s="19">
        <f t="shared" si="169"/>
        <v>0.11051499999999999</v>
      </c>
      <c r="U166" s="21">
        <f t="shared" si="170"/>
        <v>-1</v>
      </c>
      <c r="V166" s="19">
        <f t="shared" si="171"/>
        <v>-0.11051499999999999</v>
      </c>
      <c r="X166" s="29"/>
    </row>
    <row r="167" spans="1:24" hidden="1">
      <c r="A167" s="36"/>
      <c r="B167" s="36"/>
      <c r="C167" s="37"/>
      <c r="D167" s="38"/>
      <c r="E167" s="31">
        <f t="shared" ref="E167" si="180">SUM(E144:E166)</f>
        <v>349</v>
      </c>
      <c r="F167" s="38">
        <f>SUM(F144:F166)</f>
        <v>30.960056499999997</v>
      </c>
      <c r="G167" s="16"/>
      <c r="H167" s="31">
        <f t="shared" ref="H167:I167" si="181">SUM(H144:H166)</f>
        <v>318</v>
      </c>
      <c r="I167" s="38">
        <f t="shared" si="181"/>
        <v>28.486922999999997</v>
      </c>
      <c r="J167" s="16"/>
      <c r="K167" s="31">
        <f t="shared" ref="K167:L167" si="182">SUM(K144:K166)</f>
        <v>20</v>
      </c>
      <c r="L167" s="38">
        <f t="shared" si="182"/>
        <v>1.64142644</v>
      </c>
      <c r="M167" s="16"/>
      <c r="N167" s="31">
        <f t="shared" ref="N167:V167" si="183">SUM(N144:N166)</f>
        <v>10</v>
      </c>
      <c r="O167" s="38">
        <f t="shared" si="183"/>
        <v>0.83703100000000008</v>
      </c>
      <c r="P167" s="16"/>
      <c r="Q167" s="31">
        <f t="shared" ref="Q167:R167" si="184">SUM(Q144:Q166)</f>
        <v>0</v>
      </c>
      <c r="R167" s="38">
        <f t="shared" si="184"/>
        <v>0</v>
      </c>
      <c r="S167" s="31">
        <f t="shared" si="183"/>
        <v>348</v>
      </c>
      <c r="T167" s="38">
        <f t="shared" si="183"/>
        <v>30.965380439999993</v>
      </c>
      <c r="U167" s="31">
        <f t="shared" si="183"/>
        <v>1</v>
      </c>
      <c r="V167" s="38">
        <f t="shared" si="183"/>
        <v>-5.3239400000002352E-3</v>
      </c>
      <c r="X167" s="29"/>
    </row>
    <row r="168" spans="1:24">
      <c r="A168" s="33"/>
      <c r="B168" s="33"/>
      <c r="C168" s="34"/>
      <c r="D168" s="34"/>
      <c r="E168" s="34">
        <f>SUM(E6:E167)/2</f>
        <v>5079</v>
      </c>
      <c r="F168" s="35">
        <f>SUM(F6:F167)/2</f>
        <v>476.44014800000014</v>
      </c>
      <c r="G168" s="16"/>
      <c r="H168" s="34">
        <f>SUM(H6:H167)/2</f>
        <v>3518</v>
      </c>
      <c r="I168" s="35">
        <f>SUM(I6:I167)/2</f>
        <v>351.44004250000006</v>
      </c>
      <c r="J168" s="26"/>
      <c r="K168" s="34">
        <f>SUM(K6:K167)/2</f>
        <v>1223</v>
      </c>
      <c r="L168" s="35">
        <f>SUM(L6:L167)/2</f>
        <v>96.855805939999968</v>
      </c>
      <c r="M168" s="26"/>
      <c r="N168" s="34">
        <f t="shared" ref="N168:V168" si="185">SUM(N6:N167)/2</f>
        <v>306</v>
      </c>
      <c r="O168" s="35">
        <f t="shared" si="185"/>
        <v>26.045496</v>
      </c>
      <c r="P168" s="26"/>
      <c r="Q168" s="34">
        <f t="shared" ref="Q168:R168" si="186">SUM(Q6:Q167)/2</f>
        <v>27</v>
      </c>
      <c r="R168" s="35">
        <f t="shared" si="186"/>
        <v>1.6599055</v>
      </c>
      <c r="S168" s="34">
        <f t="shared" si="185"/>
        <v>5074</v>
      </c>
      <c r="T168" s="35">
        <f t="shared" si="185"/>
        <v>476.00124993999992</v>
      </c>
      <c r="U168" s="34">
        <f t="shared" si="185"/>
        <v>5</v>
      </c>
      <c r="V168" s="35">
        <f t="shared" si="185"/>
        <v>0.43889806000000431</v>
      </c>
    </row>
  </sheetData>
  <mergeCells count="12">
    <mergeCell ref="J4:L4"/>
    <mergeCell ref="M4:O4"/>
    <mergeCell ref="S4:T4"/>
    <mergeCell ref="U4:V4"/>
    <mergeCell ref="G1:H1"/>
    <mergeCell ref="I1:J1"/>
    <mergeCell ref="M1:N1"/>
    <mergeCell ref="T1:V1"/>
    <mergeCell ref="F2:G2"/>
    <mergeCell ref="P1:Q1"/>
    <mergeCell ref="P4:R4"/>
    <mergeCell ref="U2:V2"/>
  </mergeCells>
  <pageMargins left="0.2" right="0.2" top="0.37" bottom="0.37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A1:U12"/>
  <sheetViews>
    <sheetView zoomScale="75" zoomScaleNormal="75" workbookViewId="0">
      <pane ySplit="5" topLeftCell="A6" activePane="bottomLeft" state="frozen"/>
      <selection pane="bottomLeft" activeCell="J23" sqref="J2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83</v>
      </c>
      <c r="B1" s="1"/>
      <c r="C1" s="1"/>
      <c r="D1" s="1"/>
      <c r="E1" s="2"/>
      <c r="F1" s="2"/>
      <c r="G1" s="143"/>
      <c r="H1" s="144"/>
      <c r="I1" s="145" t="s">
        <v>29</v>
      </c>
      <c r="J1" s="144"/>
      <c r="K1" s="3"/>
      <c r="L1" s="4"/>
      <c r="M1" s="146" t="str">
        <f>+F2</f>
        <v>LOI-2021  03.04.23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28</v>
      </c>
      <c r="B2" s="8"/>
      <c r="C2" s="9"/>
      <c r="D2" s="9"/>
      <c r="E2" s="10"/>
      <c r="F2" s="146" t="s">
        <v>27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30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14</v>
      </c>
      <c r="B6" s="26" t="s">
        <v>26</v>
      </c>
      <c r="C6" s="30">
        <v>8.3000000000000007</v>
      </c>
      <c r="D6" s="27">
        <v>11.65</v>
      </c>
      <c r="E6" s="28">
        <v>10</v>
      </c>
      <c r="F6" s="16">
        <f t="shared" ref="F6:F10" si="0">(C6*D6*E6/1000)</f>
        <v>0.96695000000000009</v>
      </c>
      <c r="G6" s="17" t="s">
        <v>89</v>
      </c>
      <c r="H6" s="18"/>
      <c r="I6" s="19">
        <f t="shared" ref="I6:I10" si="1">(C6*D6*H6/1000)</f>
        <v>0</v>
      </c>
      <c r="J6" s="16"/>
      <c r="K6" s="18"/>
      <c r="L6" s="19">
        <f t="shared" ref="L6:L10" si="2">(C6*D6*K6/1000)</f>
        <v>0</v>
      </c>
      <c r="M6" s="16"/>
      <c r="N6" s="18"/>
      <c r="O6" s="19">
        <f t="shared" ref="O6:O10" si="3">(C6*D6*N6/1000)</f>
        <v>0</v>
      </c>
      <c r="P6" s="20">
        <f t="shared" ref="P6:P10" si="4">+H6+K6+N6</f>
        <v>0</v>
      </c>
      <c r="Q6" s="19">
        <f t="shared" ref="Q6:Q10" si="5">+I6+L6+O6</f>
        <v>0</v>
      </c>
      <c r="R6" s="21">
        <f t="shared" ref="R6:R10" si="6">E6-P6</f>
        <v>10</v>
      </c>
      <c r="S6" s="19">
        <f t="shared" ref="S6:S10" si="7">F6-Q6</f>
        <v>0.96695000000000009</v>
      </c>
      <c r="U6" s="29"/>
    </row>
    <row r="7" spans="1:21">
      <c r="A7" s="26" t="s">
        <v>14</v>
      </c>
      <c r="B7" s="26" t="s">
        <v>26</v>
      </c>
      <c r="C7" s="30">
        <v>8.3000000000000007</v>
      </c>
      <c r="D7" s="27">
        <v>12</v>
      </c>
      <c r="E7" s="28"/>
      <c r="F7" s="16">
        <f t="shared" si="0"/>
        <v>0</v>
      </c>
      <c r="G7" s="17" t="s">
        <v>95</v>
      </c>
      <c r="H7" s="18">
        <v>6</v>
      </c>
      <c r="I7" s="19">
        <f t="shared" si="1"/>
        <v>0.59760000000000002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20">
        <f t="shared" si="4"/>
        <v>6</v>
      </c>
      <c r="Q7" s="19">
        <f t="shared" si="5"/>
        <v>0.59760000000000002</v>
      </c>
      <c r="R7" s="21">
        <f t="shared" si="6"/>
        <v>-6</v>
      </c>
      <c r="S7" s="19">
        <f t="shared" si="7"/>
        <v>-0.59760000000000002</v>
      </c>
      <c r="U7" s="29"/>
    </row>
    <row r="8" spans="1:21">
      <c r="A8" s="26" t="s">
        <v>14</v>
      </c>
      <c r="B8" s="26" t="s">
        <v>26</v>
      </c>
      <c r="C8" s="30">
        <v>8.3000000000000007</v>
      </c>
      <c r="D8" s="27">
        <v>10.5</v>
      </c>
      <c r="E8" s="28"/>
      <c r="F8" s="16">
        <f t="shared" si="0"/>
        <v>0</v>
      </c>
      <c r="G8" s="17"/>
      <c r="H8" s="18">
        <v>1</v>
      </c>
      <c r="I8" s="19">
        <f t="shared" si="1"/>
        <v>8.7150000000000005E-2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20">
        <f t="shared" si="4"/>
        <v>1</v>
      </c>
      <c r="Q8" s="19">
        <f t="shared" si="5"/>
        <v>8.7150000000000005E-2</v>
      </c>
      <c r="R8" s="21">
        <f t="shared" si="6"/>
        <v>-1</v>
      </c>
      <c r="S8" s="19">
        <f t="shared" si="7"/>
        <v>-8.7150000000000005E-2</v>
      </c>
      <c r="U8" s="29"/>
    </row>
    <row r="9" spans="1:21">
      <c r="A9" s="26" t="s">
        <v>14</v>
      </c>
      <c r="B9" s="26" t="s">
        <v>26</v>
      </c>
      <c r="C9" s="30">
        <v>8.3000000000000007</v>
      </c>
      <c r="D9" s="27">
        <v>9.6999999999999993</v>
      </c>
      <c r="E9" s="28"/>
      <c r="F9" s="16">
        <f t="shared" si="0"/>
        <v>0</v>
      </c>
      <c r="G9" s="17"/>
      <c r="H9" s="18">
        <v>5</v>
      </c>
      <c r="I9" s="19">
        <f t="shared" si="1"/>
        <v>0.40255000000000002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20">
        <f t="shared" si="4"/>
        <v>5</v>
      </c>
      <c r="Q9" s="19">
        <f t="shared" si="5"/>
        <v>0.40255000000000002</v>
      </c>
      <c r="R9" s="21">
        <f t="shared" si="6"/>
        <v>-5</v>
      </c>
      <c r="S9" s="19">
        <f t="shared" si="7"/>
        <v>-0.40255000000000002</v>
      </c>
      <c r="U9" s="29"/>
    </row>
    <row r="10" spans="1:21">
      <c r="A10" s="26" t="s">
        <v>14</v>
      </c>
      <c r="B10" s="26" t="s">
        <v>26</v>
      </c>
      <c r="C10" s="30">
        <v>8.3000000000000007</v>
      </c>
      <c r="D10" s="27">
        <v>5.7</v>
      </c>
      <c r="E10" s="28"/>
      <c r="F10" s="16">
        <f t="shared" si="0"/>
        <v>0</v>
      </c>
      <c r="G10" s="17"/>
      <c r="H10" s="18">
        <v>1</v>
      </c>
      <c r="I10" s="19">
        <f t="shared" si="1"/>
        <v>4.7310000000000005E-2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20">
        <f t="shared" si="4"/>
        <v>1</v>
      </c>
      <c r="Q10" s="19">
        <f t="shared" si="5"/>
        <v>4.7310000000000005E-2</v>
      </c>
      <c r="R10" s="21">
        <f t="shared" si="6"/>
        <v>-1</v>
      </c>
      <c r="S10" s="19">
        <f t="shared" si="7"/>
        <v>-4.7310000000000005E-2</v>
      </c>
      <c r="U10" s="29"/>
    </row>
    <row r="11" spans="1:21">
      <c r="A11" s="36"/>
      <c r="B11" s="36" t="s">
        <v>72</v>
      </c>
      <c r="C11" s="36"/>
      <c r="D11" s="38"/>
      <c r="E11" s="31">
        <f>SUM(E6:E10)</f>
        <v>10</v>
      </c>
      <c r="F11" s="38">
        <f>SUM(F6:F10)</f>
        <v>0.96695000000000009</v>
      </c>
      <c r="G11" s="17"/>
      <c r="H11" s="31">
        <f>SUM(H6:H10)</f>
        <v>13</v>
      </c>
      <c r="I11" s="38">
        <f>SUM(I6:I10)</f>
        <v>1.1346099999999999</v>
      </c>
      <c r="J11" s="16"/>
      <c r="K11" s="31">
        <f>SUM(K6:K10)</f>
        <v>0</v>
      </c>
      <c r="L11" s="38">
        <f>SUM(L6:L10)</f>
        <v>0</v>
      </c>
      <c r="M11" s="16"/>
      <c r="N11" s="31">
        <f t="shared" ref="N11:S11" si="8">SUM(N6:N10)</f>
        <v>0</v>
      </c>
      <c r="O11" s="38">
        <f t="shared" si="8"/>
        <v>0</v>
      </c>
      <c r="P11" s="31">
        <f t="shared" si="8"/>
        <v>13</v>
      </c>
      <c r="Q11" s="38">
        <f t="shared" si="8"/>
        <v>1.1346099999999999</v>
      </c>
      <c r="R11" s="31">
        <f t="shared" si="8"/>
        <v>-3</v>
      </c>
      <c r="S11" s="38">
        <f t="shared" si="8"/>
        <v>-0.16765999999999998</v>
      </c>
      <c r="U11" s="29"/>
    </row>
    <row r="12" spans="1:21">
      <c r="A12" s="33"/>
      <c r="B12" s="33"/>
      <c r="C12" s="34"/>
      <c r="D12" s="34"/>
      <c r="E12" s="34">
        <f>SUM(E11:E11)/2</f>
        <v>5</v>
      </c>
      <c r="F12" s="35">
        <f>SUM(F11:F11)/2</f>
        <v>0.48347500000000004</v>
      </c>
      <c r="G12" s="26"/>
      <c r="H12" s="34">
        <f>SUM(H11:H11)/2</f>
        <v>6.5</v>
      </c>
      <c r="I12" s="35">
        <f>SUM(I11:I11)/2</f>
        <v>0.56730499999999995</v>
      </c>
      <c r="J12" s="26"/>
      <c r="K12" s="34">
        <f>SUM(K11:K11)/2</f>
        <v>0</v>
      </c>
      <c r="L12" s="35">
        <f>SUM(L11:L11)/2</f>
        <v>0</v>
      </c>
      <c r="M12" s="26"/>
      <c r="N12" s="34">
        <f t="shared" ref="N12:S12" si="9">SUM(N11:N11)/2</f>
        <v>0</v>
      </c>
      <c r="O12" s="35">
        <f t="shared" si="9"/>
        <v>0</v>
      </c>
      <c r="P12" s="34">
        <f t="shared" si="9"/>
        <v>6.5</v>
      </c>
      <c r="Q12" s="35">
        <f t="shared" si="9"/>
        <v>0.56730499999999995</v>
      </c>
      <c r="R12" s="34">
        <f t="shared" si="9"/>
        <v>-1.5</v>
      </c>
      <c r="S12" s="35">
        <f t="shared" si="9"/>
        <v>-8.3829999999999988E-2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2" right="0.2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U93"/>
  <sheetViews>
    <sheetView zoomScale="75" zoomScaleNormal="75" workbookViewId="0">
      <pane ySplit="5" topLeftCell="A6" activePane="bottomLeft" state="frozen"/>
      <selection pane="bottomLeft" activeCell="L108" sqref="L108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3"/>
      <c r="H1" s="144"/>
      <c r="I1" s="145" t="s">
        <v>39</v>
      </c>
      <c r="J1" s="144"/>
      <c r="K1" s="3"/>
      <c r="L1" s="4"/>
      <c r="M1" s="146" t="str">
        <f>+F2</f>
        <v>LOI-2022  03.04.23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28</v>
      </c>
      <c r="B2" s="8"/>
      <c r="C2" s="9"/>
      <c r="D2" s="9"/>
      <c r="E2" s="10"/>
      <c r="F2" s="146" t="s">
        <v>38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146" t="str">
        <f>+F2</f>
        <v>LOI-2022  03.04.23</v>
      </c>
      <c r="S2" s="146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 hidden="1">
      <c r="A6" s="26" t="s">
        <v>13</v>
      </c>
      <c r="B6" s="26" t="s">
        <v>40</v>
      </c>
      <c r="C6" s="30">
        <v>16.600000000000001</v>
      </c>
      <c r="D6" s="27">
        <v>11.9</v>
      </c>
      <c r="E6" s="28">
        <v>23</v>
      </c>
      <c r="F6" s="16">
        <f>(C6*D6*E6/1000)</f>
        <v>4.5434200000000002</v>
      </c>
      <c r="G6" s="16" t="s">
        <v>91</v>
      </c>
      <c r="H6" s="18">
        <v>18</v>
      </c>
      <c r="I6" s="19">
        <f>(C6*D6*H6/1000)</f>
        <v>3.5557200000000004</v>
      </c>
      <c r="J6" s="17" t="s">
        <v>88</v>
      </c>
      <c r="K6" s="18">
        <v>5</v>
      </c>
      <c r="L6" s="19">
        <f>(C6*D6*K6/1000)</f>
        <v>0.98770000000000002</v>
      </c>
      <c r="M6" s="16"/>
      <c r="N6" s="18"/>
      <c r="O6" s="19">
        <f>(C6*D6*N6/1000)</f>
        <v>0</v>
      </c>
      <c r="P6" s="20">
        <f>+H6+K6+N6</f>
        <v>23</v>
      </c>
      <c r="Q6" s="19">
        <f>+I6+L6+O6</f>
        <v>4.5434200000000002</v>
      </c>
      <c r="R6" s="21">
        <f>E6-P6</f>
        <v>0</v>
      </c>
      <c r="S6" s="19">
        <f>F6-Q6</f>
        <v>0</v>
      </c>
      <c r="U6" s="29"/>
    </row>
    <row r="7" spans="1:21" hidden="1">
      <c r="A7" s="26"/>
      <c r="B7" s="26"/>
      <c r="C7" s="30"/>
      <c r="D7" s="38"/>
      <c r="E7" s="31">
        <f t="shared" ref="E7:F7" si="0">SUM(E6)</f>
        <v>23</v>
      </c>
      <c r="F7" s="38">
        <f t="shared" si="0"/>
        <v>4.5434200000000002</v>
      </c>
      <c r="G7" s="16" t="s">
        <v>105</v>
      </c>
      <c r="H7" s="31">
        <f t="shared" ref="H7" si="1">SUM(H6)</f>
        <v>18</v>
      </c>
      <c r="I7" s="38">
        <f t="shared" ref="I7" si="2">SUM(I6)</f>
        <v>3.5557200000000004</v>
      </c>
      <c r="J7" s="17" t="s">
        <v>109</v>
      </c>
      <c r="K7" s="31">
        <f t="shared" ref="K7" si="3">SUM(K6)</f>
        <v>5</v>
      </c>
      <c r="L7" s="38">
        <f t="shared" ref="L7" si="4">SUM(L6)</f>
        <v>0.98770000000000002</v>
      </c>
      <c r="M7" s="16"/>
      <c r="N7" s="31">
        <f t="shared" ref="N7" si="5">SUM(N6)</f>
        <v>0</v>
      </c>
      <c r="O7" s="38">
        <f t="shared" ref="O7" si="6">SUM(O6)</f>
        <v>0</v>
      </c>
      <c r="P7" s="31">
        <f t="shared" ref="P7" si="7">SUM(P6)</f>
        <v>23</v>
      </c>
      <c r="Q7" s="38">
        <f t="shared" ref="Q7" si="8">SUM(Q6)</f>
        <v>4.5434200000000002</v>
      </c>
      <c r="R7" s="31">
        <f t="shared" ref="R7" si="9">SUM(R6)</f>
        <v>0</v>
      </c>
      <c r="S7" s="38">
        <f t="shared" ref="S7" si="10">SUM(S6)</f>
        <v>0</v>
      </c>
      <c r="U7" s="29"/>
    </row>
    <row r="8" spans="1:21" hidden="1">
      <c r="A8" s="26" t="s">
        <v>13</v>
      </c>
      <c r="B8" s="26" t="s">
        <v>32</v>
      </c>
      <c r="C8" s="30">
        <v>11.8</v>
      </c>
      <c r="D8" s="27">
        <v>10.8</v>
      </c>
      <c r="E8" s="28">
        <v>4</v>
      </c>
      <c r="F8" s="16">
        <f>(C8*D8*E8/1000)</f>
        <v>0.5097600000000001</v>
      </c>
      <c r="G8" s="16" t="s">
        <v>91</v>
      </c>
      <c r="H8" s="18">
        <v>4</v>
      </c>
      <c r="I8" s="19">
        <f>(C8*D8*H8/1000)</f>
        <v>0.5097600000000001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20">
        <f>+H8+K8+N8</f>
        <v>4</v>
      </c>
      <c r="Q8" s="19">
        <f>+I8+L8+O8</f>
        <v>0.5097600000000001</v>
      </c>
      <c r="R8" s="21">
        <f>E8-P8</f>
        <v>0</v>
      </c>
      <c r="S8" s="19">
        <f>F8-Q8</f>
        <v>0</v>
      </c>
      <c r="U8" s="29"/>
    </row>
    <row r="9" spans="1:21" hidden="1">
      <c r="A9" s="26"/>
      <c r="B9" s="26"/>
      <c r="C9" s="30"/>
      <c r="D9" s="38"/>
      <c r="E9" s="31">
        <f t="shared" ref="E9:F9" si="11">SUM(E8)</f>
        <v>4</v>
      </c>
      <c r="F9" s="38">
        <f t="shared" si="11"/>
        <v>0.5097600000000001</v>
      </c>
      <c r="G9" s="16" t="s">
        <v>105</v>
      </c>
      <c r="H9" s="31">
        <f t="shared" ref="H9" si="12">SUM(H8)</f>
        <v>4</v>
      </c>
      <c r="I9" s="38">
        <f t="shared" ref="I9" si="13">SUM(I8)</f>
        <v>0.5097600000000001</v>
      </c>
      <c r="J9" s="16"/>
      <c r="K9" s="31">
        <f t="shared" ref="K9" si="14">SUM(K8)</f>
        <v>0</v>
      </c>
      <c r="L9" s="38">
        <f t="shared" ref="L9" si="15">SUM(L8)</f>
        <v>0</v>
      </c>
      <c r="M9" s="16"/>
      <c r="N9" s="31">
        <f t="shared" ref="N9" si="16">SUM(N8)</f>
        <v>0</v>
      </c>
      <c r="O9" s="38">
        <f t="shared" ref="O9" si="17">SUM(O8)</f>
        <v>0</v>
      </c>
      <c r="P9" s="31">
        <f t="shared" ref="P9" si="18">SUM(P8)</f>
        <v>4</v>
      </c>
      <c r="Q9" s="38">
        <f t="shared" ref="Q9" si="19">SUM(Q8)</f>
        <v>0.5097600000000001</v>
      </c>
      <c r="R9" s="31">
        <f t="shared" ref="R9" si="20">SUM(R8)</f>
        <v>0</v>
      </c>
      <c r="S9" s="38">
        <f t="shared" ref="S9" si="21">SUM(S8)</f>
        <v>0</v>
      </c>
      <c r="U9" s="29"/>
    </row>
    <row r="10" spans="1:21" hidden="1">
      <c r="A10" s="26" t="s">
        <v>13</v>
      </c>
      <c r="B10" s="26" t="s">
        <v>25</v>
      </c>
      <c r="C10" s="30">
        <v>13.4</v>
      </c>
      <c r="D10" s="27">
        <v>7.6</v>
      </c>
      <c r="E10" s="28">
        <v>12</v>
      </c>
      <c r="F10" s="16">
        <f t="shared" ref="F10:F23" si="22">(C10*D10*E10/1000)</f>
        <v>1.2220799999999998</v>
      </c>
      <c r="G10" s="17" t="s">
        <v>86</v>
      </c>
      <c r="H10" s="18">
        <v>0</v>
      </c>
      <c r="I10" s="19">
        <f t="shared" ref="I10:I23" si="23">(C10*D10*H10/1000)</f>
        <v>0</v>
      </c>
      <c r="J10" s="16" t="s">
        <v>91</v>
      </c>
      <c r="K10" s="18"/>
      <c r="L10" s="19">
        <f t="shared" ref="L10:L23" si="24">(C10*D10*K10/1000)</f>
        <v>0</v>
      </c>
      <c r="M10" s="16"/>
      <c r="N10" s="18"/>
      <c r="O10" s="19">
        <f t="shared" ref="O10:O23" si="25">(C10*D10*N10/1000)</f>
        <v>0</v>
      </c>
      <c r="P10" s="20">
        <f t="shared" ref="P10:P23" si="26">+H10+K10+N10</f>
        <v>0</v>
      </c>
      <c r="Q10" s="19">
        <f t="shared" ref="Q10:Q23" si="27">+I10+L10+O10</f>
        <v>0</v>
      </c>
      <c r="R10" s="21">
        <f t="shared" ref="R10:R23" si="28">E10-P10</f>
        <v>12</v>
      </c>
      <c r="S10" s="19">
        <f t="shared" ref="S10:S23" si="29">F10-Q10</f>
        <v>1.2220799999999998</v>
      </c>
      <c r="U10" s="29"/>
    </row>
    <row r="11" spans="1:21" hidden="1">
      <c r="A11" s="26" t="s">
        <v>13</v>
      </c>
      <c r="B11" s="26" t="s">
        <v>25</v>
      </c>
      <c r="C11" s="30">
        <v>13.4</v>
      </c>
      <c r="D11" s="27">
        <v>8.25</v>
      </c>
      <c r="E11" s="28">
        <v>4</v>
      </c>
      <c r="F11" s="16">
        <f t="shared" si="22"/>
        <v>0.44219999999999998</v>
      </c>
      <c r="G11" s="17" t="s">
        <v>96</v>
      </c>
      <c r="H11" s="18">
        <v>10</v>
      </c>
      <c r="I11" s="19">
        <f t="shared" si="23"/>
        <v>1.1054999999999999</v>
      </c>
      <c r="J11" s="16" t="s">
        <v>105</v>
      </c>
      <c r="K11" s="18">
        <v>2</v>
      </c>
      <c r="L11" s="19">
        <f t="shared" si="24"/>
        <v>0.22109999999999999</v>
      </c>
      <c r="M11" s="16"/>
      <c r="N11" s="18"/>
      <c r="O11" s="19">
        <f t="shared" si="25"/>
        <v>0</v>
      </c>
      <c r="P11" s="20">
        <f t="shared" si="26"/>
        <v>12</v>
      </c>
      <c r="Q11" s="19">
        <f t="shared" si="27"/>
        <v>1.3266</v>
      </c>
      <c r="R11" s="21">
        <f t="shared" si="28"/>
        <v>-8</v>
      </c>
      <c r="S11" s="19">
        <f t="shared" si="29"/>
        <v>-0.88440000000000007</v>
      </c>
      <c r="U11" s="29"/>
    </row>
    <row r="12" spans="1:21" hidden="1">
      <c r="A12" s="26" t="s">
        <v>13</v>
      </c>
      <c r="B12" s="26" t="s">
        <v>25</v>
      </c>
      <c r="C12" s="30">
        <v>13.4</v>
      </c>
      <c r="D12" s="27">
        <v>9.4</v>
      </c>
      <c r="E12" s="28">
        <v>19</v>
      </c>
      <c r="F12" s="16">
        <f t="shared" si="22"/>
        <v>2.39324</v>
      </c>
      <c r="G12" s="16" t="s">
        <v>89</v>
      </c>
      <c r="H12" s="18">
        <v>2</v>
      </c>
      <c r="I12" s="19">
        <f t="shared" si="23"/>
        <v>0.25192000000000003</v>
      </c>
      <c r="J12" s="16"/>
      <c r="K12" s="18"/>
      <c r="L12" s="19">
        <f t="shared" si="24"/>
        <v>0</v>
      </c>
      <c r="M12" s="16"/>
      <c r="N12" s="18"/>
      <c r="O12" s="19">
        <f t="shared" si="25"/>
        <v>0</v>
      </c>
      <c r="P12" s="20">
        <f t="shared" si="26"/>
        <v>2</v>
      </c>
      <c r="Q12" s="19">
        <f t="shared" si="27"/>
        <v>0.25192000000000003</v>
      </c>
      <c r="R12" s="21">
        <f t="shared" si="28"/>
        <v>17</v>
      </c>
      <c r="S12" s="19">
        <f t="shared" si="29"/>
        <v>2.1413199999999999</v>
      </c>
      <c r="U12" s="29"/>
    </row>
    <row r="13" spans="1:21" hidden="1">
      <c r="A13" s="26" t="s">
        <v>13</v>
      </c>
      <c r="B13" s="26" t="s">
        <v>25</v>
      </c>
      <c r="C13" s="30">
        <v>13.4</v>
      </c>
      <c r="D13" s="27">
        <v>10.5</v>
      </c>
      <c r="E13" s="28">
        <v>9</v>
      </c>
      <c r="F13" s="16">
        <f t="shared" si="22"/>
        <v>1.2663000000000002</v>
      </c>
      <c r="G13" s="16" t="s">
        <v>104</v>
      </c>
      <c r="H13" s="18">
        <v>2</v>
      </c>
      <c r="I13" s="19">
        <f t="shared" si="23"/>
        <v>0.28140000000000004</v>
      </c>
      <c r="J13" s="16"/>
      <c r="K13" s="18"/>
      <c r="L13" s="19">
        <f t="shared" si="24"/>
        <v>0</v>
      </c>
      <c r="M13" s="16"/>
      <c r="N13" s="18"/>
      <c r="O13" s="19">
        <f t="shared" si="25"/>
        <v>0</v>
      </c>
      <c r="P13" s="20">
        <f t="shared" si="26"/>
        <v>2</v>
      </c>
      <c r="Q13" s="19">
        <f t="shared" si="27"/>
        <v>0.28140000000000004</v>
      </c>
      <c r="R13" s="21">
        <f t="shared" si="28"/>
        <v>7</v>
      </c>
      <c r="S13" s="19">
        <f t="shared" si="29"/>
        <v>0.98490000000000011</v>
      </c>
      <c r="U13" s="29"/>
    </row>
    <row r="14" spans="1:21" hidden="1">
      <c r="A14" s="26" t="s">
        <v>13</v>
      </c>
      <c r="B14" s="26" t="s">
        <v>25</v>
      </c>
      <c r="C14" s="30">
        <v>13.4</v>
      </c>
      <c r="D14" s="27">
        <v>11.4</v>
      </c>
      <c r="E14" s="28">
        <v>38</v>
      </c>
      <c r="F14" s="16">
        <f t="shared" si="22"/>
        <v>5.8048800000000007</v>
      </c>
      <c r="G14" s="16" t="s">
        <v>88</v>
      </c>
      <c r="H14" s="18">
        <v>36</v>
      </c>
      <c r="I14" s="19">
        <f t="shared" si="23"/>
        <v>5.4993600000000002</v>
      </c>
      <c r="J14" s="16"/>
      <c r="K14" s="18">
        <v>2</v>
      </c>
      <c r="L14" s="19">
        <f t="shared" si="24"/>
        <v>0.30552000000000001</v>
      </c>
      <c r="M14" s="16"/>
      <c r="N14" s="18"/>
      <c r="O14" s="19">
        <f t="shared" si="25"/>
        <v>0</v>
      </c>
      <c r="P14" s="20">
        <f t="shared" si="26"/>
        <v>38</v>
      </c>
      <c r="Q14" s="19">
        <f t="shared" si="27"/>
        <v>5.8048800000000007</v>
      </c>
      <c r="R14" s="21">
        <f t="shared" si="28"/>
        <v>0</v>
      </c>
      <c r="S14" s="19">
        <f t="shared" si="29"/>
        <v>0</v>
      </c>
      <c r="U14" s="29"/>
    </row>
    <row r="15" spans="1:21" hidden="1">
      <c r="A15" s="26" t="s">
        <v>13</v>
      </c>
      <c r="B15" s="26" t="s">
        <v>25</v>
      </c>
      <c r="C15" s="30">
        <v>13.4</v>
      </c>
      <c r="D15" s="27">
        <v>11.6</v>
      </c>
      <c r="E15" s="28">
        <v>24</v>
      </c>
      <c r="F15" s="16">
        <f t="shared" si="22"/>
        <v>3.7305600000000001</v>
      </c>
      <c r="G15" s="16" t="s">
        <v>104</v>
      </c>
      <c r="H15" s="18">
        <v>13</v>
      </c>
      <c r="I15" s="19">
        <f t="shared" si="23"/>
        <v>2.0207199999999998</v>
      </c>
      <c r="J15" s="16"/>
      <c r="K15" s="18">
        <v>5</v>
      </c>
      <c r="L15" s="19">
        <f t="shared" si="24"/>
        <v>0.7772</v>
      </c>
      <c r="M15" s="16"/>
      <c r="N15" s="18"/>
      <c r="O15" s="19">
        <f t="shared" si="25"/>
        <v>0</v>
      </c>
      <c r="P15" s="20">
        <f t="shared" si="26"/>
        <v>18</v>
      </c>
      <c r="Q15" s="19">
        <f t="shared" si="27"/>
        <v>2.79792</v>
      </c>
      <c r="R15" s="21">
        <f t="shared" si="28"/>
        <v>6</v>
      </c>
      <c r="S15" s="19">
        <f t="shared" si="29"/>
        <v>0.93264000000000014</v>
      </c>
      <c r="U15" s="29"/>
    </row>
    <row r="16" spans="1:21" hidden="1">
      <c r="A16" s="26" t="s">
        <v>13</v>
      </c>
      <c r="B16" s="26" t="s">
        <v>25</v>
      </c>
      <c r="C16" s="30">
        <v>13.4</v>
      </c>
      <c r="D16" s="27">
        <v>11.8</v>
      </c>
      <c r="E16" s="28">
        <v>18</v>
      </c>
      <c r="F16" s="16">
        <f t="shared" si="22"/>
        <v>2.8461599999999998</v>
      </c>
      <c r="G16" s="16"/>
      <c r="H16" s="18">
        <v>0</v>
      </c>
      <c r="I16" s="19">
        <f t="shared" si="23"/>
        <v>0</v>
      </c>
      <c r="J16" s="16"/>
      <c r="K16" s="18">
        <v>26</v>
      </c>
      <c r="L16" s="19">
        <f t="shared" si="24"/>
        <v>4.1111199999999997</v>
      </c>
      <c r="M16" s="16"/>
      <c r="N16" s="18"/>
      <c r="O16" s="19">
        <f t="shared" si="25"/>
        <v>0</v>
      </c>
      <c r="P16" s="20">
        <f t="shared" si="26"/>
        <v>26</v>
      </c>
      <c r="Q16" s="19">
        <f t="shared" si="27"/>
        <v>4.1111199999999997</v>
      </c>
      <c r="R16" s="21">
        <f t="shared" si="28"/>
        <v>-8</v>
      </c>
      <c r="S16" s="19">
        <f t="shared" si="29"/>
        <v>-1.2649599999999999</v>
      </c>
      <c r="U16" s="29"/>
    </row>
    <row r="17" spans="1:21" hidden="1">
      <c r="A17" s="26" t="s">
        <v>13</v>
      </c>
      <c r="B17" s="26" t="s">
        <v>25</v>
      </c>
      <c r="C17" s="30">
        <v>13.4</v>
      </c>
      <c r="D17" s="27">
        <v>12</v>
      </c>
      <c r="E17" s="28">
        <v>1</v>
      </c>
      <c r="F17" s="16">
        <f t="shared" ref="F17:F22" si="30">(C17*D17*E17/1000)</f>
        <v>0.1608</v>
      </c>
      <c r="G17" s="17"/>
      <c r="H17" s="18">
        <v>1</v>
      </c>
      <c r="I17" s="19">
        <f t="shared" ref="I17:I22" si="31">(C17*D17*H17/1000)</f>
        <v>0.1608</v>
      </c>
      <c r="J17" s="16"/>
      <c r="K17" s="18"/>
      <c r="L17" s="19">
        <f t="shared" ref="L17:L22" si="32">(C17*D17*K17/1000)</f>
        <v>0</v>
      </c>
      <c r="M17" s="16"/>
      <c r="N17" s="18"/>
      <c r="O17" s="19">
        <f t="shared" ref="O17:O22" si="33">(C17*D17*N17/1000)</f>
        <v>0</v>
      </c>
      <c r="P17" s="20">
        <f t="shared" ref="P17:P22" si="34">+H17+K17+N17</f>
        <v>1</v>
      </c>
      <c r="Q17" s="19">
        <f t="shared" ref="Q17:Q22" si="35">+I17+L17+O17</f>
        <v>0.1608</v>
      </c>
      <c r="R17" s="21">
        <f t="shared" ref="R17:R22" si="36">E17-P17</f>
        <v>0</v>
      </c>
      <c r="S17" s="19">
        <f t="shared" ref="S17:S22" si="37">F17-Q17</f>
        <v>0</v>
      </c>
      <c r="U17" s="29"/>
    </row>
    <row r="18" spans="1:21" hidden="1">
      <c r="A18" s="26" t="s">
        <v>13</v>
      </c>
      <c r="B18" s="26" t="s">
        <v>25</v>
      </c>
      <c r="C18" s="30">
        <v>13.4</v>
      </c>
      <c r="D18" s="27">
        <v>10.4</v>
      </c>
      <c r="E18" s="28"/>
      <c r="F18" s="16">
        <f t="shared" si="30"/>
        <v>0</v>
      </c>
      <c r="G18" s="17"/>
      <c r="H18" s="18">
        <v>1</v>
      </c>
      <c r="I18" s="19">
        <f t="shared" si="31"/>
        <v>0.13936000000000001</v>
      </c>
      <c r="J18" s="16"/>
      <c r="K18" s="18"/>
      <c r="L18" s="19">
        <f t="shared" si="32"/>
        <v>0</v>
      </c>
      <c r="M18" s="16"/>
      <c r="N18" s="18"/>
      <c r="O18" s="19">
        <f t="shared" si="33"/>
        <v>0</v>
      </c>
      <c r="P18" s="20">
        <f t="shared" si="34"/>
        <v>1</v>
      </c>
      <c r="Q18" s="19">
        <f t="shared" si="35"/>
        <v>0.13936000000000001</v>
      </c>
      <c r="R18" s="21">
        <f t="shared" si="36"/>
        <v>-1</v>
      </c>
      <c r="S18" s="19">
        <f t="shared" si="37"/>
        <v>-0.13936000000000001</v>
      </c>
      <c r="U18" s="29"/>
    </row>
    <row r="19" spans="1:21" hidden="1">
      <c r="A19" s="26" t="s">
        <v>13</v>
      </c>
      <c r="B19" s="26" t="s">
        <v>25</v>
      </c>
      <c r="C19" s="30">
        <v>13.4</v>
      </c>
      <c r="D19" s="27">
        <v>10.8</v>
      </c>
      <c r="E19" s="28"/>
      <c r="F19" s="16">
        <f t="shared" si="30"/>
        <v>0</v>
      </c>
      <c r="G19" s="17"/>
      <c r="H19" s="18">
        <v>8</v>
      </c>
      <c r="I19" s="19">
        <f t="shared" si="31"/>
        <v>1.1577600000000001</v>
      </c>
      <c r="J19" s="16"/>
      <c r="K19" s="18"/>
      <c r="L19" s="19">
        <f t="shared" si="32"/>
        <v>0</v>
      </c>
      <c r="M19" s="16"/>
      <c r="N19" s="18"/>
      <c r="O19" s="19">
        <f t="shared" si="33"/>
        <v>0</v>
      </c>
      <c r="P19" s="20">
        <f t="shared" si="34"/>
        <v>8</v>
      </c>
      <c r="Q19" s="19">
        <f t="shared" si="35"/>
        <v>1.1577600000000001</v>
      </c>
      <c r="R19" s="21">
        <f t="shared" si="36"/>
        <v>-8</v>
      </c>
      <c r="S19" s="19">
        <f t="shared" si="37"/>
        <v>-1.1577600000000001</v>
      </c>
      <c r="U19" s="29"/>
    </row>
    <row r="20" spans="1:21" hidden="1">
      <c r="A20" s="26" t="s">
        <v>13</v>
      </c>
      <c r="B20" s="26" t="s">
        <v>25</v>
      </c>
      <c r="C20" s="30">
        <v>13.4</v>
      </c>
      <c r="D20" s="27">
        <v>9.6999999999999993</v>
      </c>
      <c r="E20" s="28"/>
      <c r="F20" s="16">
        <f t="shared" si="30"/>
        <v>0</v>
      </c>
      <c r="G20" s="17"/>
      <c r="H20" s="18">
        <v>1</v>
      </c>
      <c r="I20" s="19">
        <f t="shared" si="31"/>
        <v>0.12997999999999998</v>
      </c>
      <c r="J20" s="16"/>
      <c r="K20" s="18"/>
      <c r="L20" s="19">
        <f t="shared" si="32"/>
        <v>0</v>
      </c>
      <c r="M20" s="16"/>
      <c r="N20" s="18"/>
      <c r="O20" s="19">
        <f t="shared" si="33"/>
        <v>0</v>
      </c>
      <c r="P20" s="20">
        <f t="shared" si="34"/>
        <v>1</v>
      </c>
      <c r="Q20" s="19">
        <f t="shared" si="35"/>
        <v>0.12997999999999998</v>
      </c>
      <c r="R20" s="21">
        <f t="shared" si="36"/>
        <v>-1</v>
      </c>
      <c r="S20" s="19">
        <f t="shared" si="37"/>
        <v>-0.12997999999999998</v>
      </c>
      <c r="U20" s="29"/>
    </row>
    <row r="21" spans="1:21" hidden="1">
      <c r="A21" s="26" t="s">
        <v>13</v>
      </c>
      <c r="B21" s="26" t="s">
        <v>25</v>
      </c>
      <c r="C21" s="30">
        <v>13.4</v>
      </c>
      <c r="D21" s="27">
        <v>10</v>
      </c>
      <c r="E21" s="28"/>
      <c r="F21" s="16">
        <f t="shared" si="30"/>
        <v>0</v>
      </c>
      <c r="G21" s="17"/>
      <c r="H21" s="18">
        <v>14</v>
      </c>
      <c r="I21" s="19">
        <f t="shared" si="31"/>
        <v>1.8759999999999999</v>
      </c>
      <c r="J21" s="16"/>
      <c r="K21" s="18"/>
      <c r="L21" s="19">
        <f t="shared" si="32"/>
        <v>0</v>
      </c>
      <c r="M21" s="16"/>
      <c r="N21" s="18"/>
      <c r="O21" s="19">
        <f t="shared" si="33"/>
        <v>0</v>
      </c>
      <c r="P21" s="20">
        <f t="shared" si="34"/>
        <v>14</v>
      </c>
      <c r="Q21" s="19">
        <f t="shared" si="35"/>
        <v>1.8759999999999999</v>
      </c>
      <c r="R21" s="21">
        <f t="shared" si="36"/>
        <v>-14</v>
      </c>
      <c r="S21" s="19">
        <f t="shared" si="37"/>
        <v>-1.8759999999999999</v>
      </c>
      <c r="U21" s="29"/>
    </row>
    <row r="22" spans="1:21" hidden="1">
      <c r="A22" s="26" t="s">
        <v>13</v>
      </c>
      <c r="B22" s="26" t="s">
        <v>25</v>
      </c>
      <c r="C22" s="30">
        <v>13.4</v>
      </c>
      <c r="D22" s="27"/>
      <c r="E22" s="28"/>
      <c r="F22" s="16">
        <f t="shared" si="30"/>
        <v>0</v>
      </c>
      <c r="G22" s="17"/>
      <c r="H22" s="18">
        <v>0</v>
      </c>
      <c r="I22" s="19">
        <f t="shared" si="31"/>
        <v>0</v>
      </c>
      <c r="J22" s="16"/>
      <c r="K22" s="18"/>
      <c r="L22" s="19">
        <f t="shared" si="32"/>
        <v>0</v>
      </c>
      <c r="M22" s="16"/>
      <c r="N22" s="18"/>
      <c r="O22" s="19">
        <f t="shared" si="33"/>
        <v>0</v>
      </c>
      <c r="P22" s="20">
        <f t="shared" si="34"/>
        <v>0</v>
      </c>
      <c r="Q22" s="19">
        <f t="shared" si="35"/>
        <v>0</v>
      </c>
      <c r="R22" s="21">
        <f t="shared" si="36"/>
        <v>0</v>
      </c>
      <c r="S22" s="19">
        <f t="shared" si="37"/>
        <v>0</v>
      </c>
      <c r="U22" s="29"/>
    </row>
    <row r="23" spans="1:21" hidden="1">
      <c r="A23" s="26" t="s">
        <v>13</v>
      </c>
      <c r="B23" s="26" t="s">
        <v>25</v>
      </c>
      <c r="C23" s="30">
        <v>13.4</v>
      </c>
      <c r="D23" s="27"/>
      <c r="E23" s="28"/>
      <c r="F23" s="16">
        <f t="shared" si="22"/>
        <v>0</v>
      </c>
      <c r="G23" s="17"/>
      <c r="H23" s="18">
        <v>0</v>
      </c>
      <c r="I23" s="19">
        <f t="shared" si="23"/>
        <v>0</v>
      </c>
      <c r="J23" s="16"/>
      <c r="K23" s="18"/>
      <c r="L23" s="19">
        <f t="shared" si="24"/>
        <v>0</v>
      </c>
      <c r="M23" s="16"/>
      <c r="N23" s="18"/>
      <c r="O23" s="19">
        <f t="shared" si="25"/>
        <v>0</v>
      </c>
      <c r="P23" s="20">
        <f t="shared" si="26"/>
        <v>0</v>
      </c>
      <c r="Q23" s="19">
        <f t="shared" si="27"/>
        <v>0</v>
      </c>
      <c r="R23" s="21">
        <f t="shared" si="28"/>
        <v>0</v>
      </c>
      <c r="S23" s="19">
        <f t="shared" si="29"/>
        <v>0</v>
      </c>
      <c r="U23" s="29"/>
    </row>
    <row r="24" spans="1:21" hidden="1">
      <c r="A24" s="26"/>
      <c r="B24" s="26"/>
      <c r="C24" s="30"/>
      <c r="D24" s="38"/>
      <c r="E24" s="31">
        <f>SUM(E10:E23)</f>
        <v>125</v>
      </c>
      <c r="F24" s="38">
        <f>SUM(F10:F23)</f>
        <v>17.866220000000002</v>
      </c>
      <c r="G24" s="17"/>
      <c r="H24" s="31">
        <f>SUM(H10:H23)</f>
        <v>88</v>
      </c>
      <c r="I24" s="38">
        <f>SUM(I10:I23)</f>
        <v>12.622799999999998</v>
      </c>
      <c r="J24" s="16"/>
      <c r="K24" s="31">
        <f>SUM(K10:K23)</f>
        <v>35</v>
      </c>
      <c r="L24" s="38">
        <f>SUM(L10:L23)</f>
        <v>5.4149399999999996</v>
      </c>
      <c r="M24" s="16"/>
      <c r="N24" s="31">
        <f t="shared" ref="N24" si="38">SUM(N10:N23)</f>
        <v>0</v>
      </c>
      <c r="O24" s="38">
        <f t="shared" ref="O24" si="39">SUM(O10:O23)</f>
        <v>0</v>
      </c>
      <c r="P24" s="31">
        <f t="shared" ref="P24" si="40">SUM(P10:P23)</f>
        <v>123</v>
      </c>
      <c r="Q24" s="38">
        <f t="shared" ref="Q24" si="41">SUM(Q10:Q23)</f>
        <v>18.037740000000003</v>
      </c>
      <c r="R24" s="31">
        <f t="shared" ref="R24" si="42">SUM(R10:R23)</f>
        <v>2</v>
      </c>
      <c r="S24" s="38">
        <f t="shared" ref="S24" si="43">SUM(S10:S23)</f>
        <v>-0.17151999999999989</v>
      </c>
      <c r="U24" s="29"/>
    </row>
    <row r="25" spans="1:21" hidden="1">
      <c r="A25" s="26" t="s">
        <v>13</v>
      </c>
      <c r="B25" s="26" t="s">
        <v>33</v>
      </c>
      <c r="C25" s="30">
        <v>15</v>
      </c>
      <c r="D25" s="27">
        <v>11</v>
      </c>
      <c r="E25" s="28">
        <v>8</v>
      </c>
      <c r="F25" s="16">
        <f>(C25*D25*E25/1000)</f>
        <v>1.32</v>
      </c>
      <c r="G25" s="17" t="s">
        <v>88</v>
      </c>
      <c r="H25" s="18"/>
      <c r="I25" s="19">
        <f>(C25*D25*H25/1000)</f>
        <v>0</v>
      </c>
      <c r="J25" s="16"/>
      <c r="K25" s="18"/>
      <c r="L25" s="19">
        <f>(C25*D25*K25/1000)</f>
        <v>0</v>
      </c>
      <c r="M25" s="16"/>
      <c r="N25" s="18"/>
      <c r="O25" s="19">
        <f>(C25*D25*N25/1000)</f>
        <v>0</v>
      </c>
      <c r="P25" s="20">
        <f t="shared" ref="P25:Q27" si="44">+H25+K25+N25</f>
        <v>0</v>
      </c>
      <c r="Q25" s="19">
        <f t="shared" si="44"/>
        <v>0</v>
      </c>
      <c r="R25" s="21">
        <f t="shared" ref="R25:S27" si="45">E25-P25</f>
        <v>8</v>
      </c>
      <c r="S25" s="19">
        <f t="shared" si="45"/>
        <v>1.32</v>
      </c>
      <c r="U25" s="29"/>
    </row>
    <row r="26" spans="1:21" hidden="1">
      <c r="A26" s="26" t="s">
        <v>13</v>
      </c>
      <c r="B26" s="26" t="s">
        <v>33</v>
      </c>
      <c r="C26" s="30">
        <v>15</v>
      </c>
      <c r="D26" s="27">
        <v>11.3</v>
      </c>
      <c r="E26" s="28"/>
      <c r="F26" s="16">
        <f>(C26*D26*E26/1000)</f>
        <v>0</v>
      </c>
      <c r="G26" s="17" t="s">
        <v>109</v>
      </c>
      <c r="H26" s="18">
        <v>7</v>
      </c>
      <c r="I26" s="19">
        <f>(C26*D26*H26/1000)</f>
        <v>1.1865000000000001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20">
        <f t="shared" si="44"/>
        <v>7</v>
      </c>
      <c r="Q26" s="19">
        <f t="shared" si="44"/>
        <v>1.1865000000000001</v>
      </c>
      <c r="R26" s="21">
        <f t="shared" si="45"/>
        <v>-7</v>
      </c>
      <c r="S26" s="19">
        <f t="shared" si="45"/>
        <v>-1.1865000000000001</v>
      </c>
      <c r="U26" s="29"/>
    </row>
    <row r="27" spans="1:21" hidden="1">
      <c r="A27" s="26" t="s">
        <v>13</v>
      </c>
      <c r="B27" s="26" t="s">
        <v>33</v>
      </c>
      <c r="C27" s="30">
        <v>15</v>
      </c>
      <c r="D27" s="27">
        <v>6.4</v>
      </c>
      <c r="E27" s="28"/>
      <c r="F27" s="16">
        <f>(C27*D27*E27/1000)</f>
        <v>0</v>
      </c>
      <c r="G27" s="17"/>
      <c r="H27" s="18">
        <v>2</v>
      </c>
      <c r="I27" s="19">
        <f>(C27*D27*H27/1000)</f>
        <v>0.192</v>
      </c>
      <c r="J27" s="16"/>
      <c r="K27" s="18"/>
      <c r="L27" s="19">
        <f>(C27*D27*K27/1000)</f>
        <v>0</v>
      </c>
      <c r="M27" s="16"/>
      <c r="N27" s="18"/>
      <c r="O27" s="19">
        <f>(C27*D27*N27/1000)</f>
        <v>0</v>
      </c>
      <c r="P27" s="20">
        <f t="shared" si="44"/>
        <v>2</v>
      </c>
      <c r="Q27" s="19">
        <f t="shared" si="44"/>
        <v>0.192</v>
      </c>
      <c r="R27" s="21">
        <f t="shared" si="45"/>
        <v>-2</v>
      </c>
      <c r="S27" s="19">
        <f t="shared" si="45"/>
        <v>-0.192</v>
      </c>
      <c r="U27" s="29"/>
    </row>
    <row r="28" spans="1:21" hidden="1">
      <c r="A28" s="26"/>
      <c r="B28" s="26"/>
      <c r="C28" s="30"/>
      <c r="D28" s="38"/>
      <c r="E28" s="31">
        <f t="shared" ref="E28:F28" si="46">SUM(E25:E27)</f>
        <v>8</v>
      </c>
      <c r="F28" s="38">
        <f t="shared" si="46"/>
        <v>1.32</v>
      </c>
      <c r="G28" s="17"/>
      <c r="H28" s="31">
        <f t="shared" ref="H28" si="47">SUM(H25:H27)</f>
        <v>9</v>
      </c>
      <c r="I28" s="38">
        <f t="shared" ref="I28" si="48">SUM(I25:I27)</f>
        <v>1.3785000000000001</v>
      </c>
      <c r="J28" s="16"/>
      <c r="K28" s="31">
        <f t="shared" ref="K28" si="49">SUM(K25:K27)</f>
        <v>0</v>
      </c>
      <c r="L28" s="38">
        <f t="shared" ref="L28" si="50">SUM(L25:L27)</f>
        <v>0</v>
      </c>
      <c r="M28" s="16"/>
      <c r="N28" s="31">
        <f t="shared" ref="N28" si="51">SUM(N25:N27)</f>
        <v>0</v>
      </c>
      <c r="O28" s="38">
        <f t="shared" ref="O28" si="52">SUM(O25:O27)</f>
        <v>0</v>
      </c>
      <c r="P28" s="31">
        <f t="shared" ref="P28" si="53">SUM(P25:P27)</f>
        <v>9</v>
      </c>
      <c r="Q28" s="38">
        <f t="shared" ref="Q28" si="54">SUM(Q25:Q27)</f>
        <v>1.3785000000000001</v>
      </c>
      <c r="R28" s="31">
        <f t="shared" ref="R28" si="55">SUM(R25:R27)</f>
        <v>-1</v>
      </c>
      <c r="S28" s="38">
        <f t="shared" ref="S28" si="56">SUM(S25:S27)</f>
        <v>-5.8500000000000052E-2</v>
      </c>
      <c r="U28" s="29"/>
    </row>
    <row r="29" spans="1:21" hidden="1">
      <c r="A29" s="26" t="s">
        <v>13</v>
      </c>
      <c r="B29" s="26" t="s">
        <v>34</v>
      </c>
      <c r="C29" s="30">
        <v>5.76</v>
      </c>
      <c r="D29" s="27">
        <v>10</v>
      </c>
      <c r="E29" s="28">
        <v>29</v>
      </c>
      <c r="F29" s="16">
        <f t="shared" ref="F29:F45" si="57">(C29*D29*E29/1000)</f>
        <v>1.6703999999999999</v>
      </c>
      <c r="G29" s="16" t="s">
        <v>86</v>
      </c>
      <c r="H29" s="18">
        <v>1</v>
      </c>
      <c r="I29" s="19">
        <f t="shared" ref="I29:I45" si="58">(C29*D29*H29/1000)</f>
        <v>5.7599999999999991E-2</v>
      </c>
      <c r="J29" s="17" t="s">
        <v>91</v>
      </c>
      <c r="K29" s="18"/>
      <c r="L29" s="19">
        <f t="shared" ref="L29:L45" si="59">(C29*D29*K29/1000)</f>
        <v>0</v>
      </c>
      <c r="M29" s="16"/>
      <c r="N29" s="18"/>
      <c r="O29" s="19">
        <f t="shared" ref="O29:O45" si="60">(C29*D29*N29/1000)</f>
        <v>0</v>
      </c>
      <c r="P29" s="20">
        <f t="shared" ref="P29:P45" si="61">+H29+K29+N29</f>
        <v>1</v>
      </c>
      <c r="Q29" s="19">
        <f t="shared" ref="Q29:Q45" si="62">+I29+L29+O29</f>
        <v>5.7599999999999991E-2</v>
      </c>
      <c r="R29" s="21">
        <f t="shared" ref="R29:R45" si="63">E29-P29</f>
        <v>28</v>
      </c>
      <c r="S29" s="19">
        <f t="shared" ref="S29:S45" si="64">F29-Q29</f>
        <v>1.6127999999999998</v>
      </c>
      <c r="U29" s="29"/>
    </row>
    <row r="30" spans="1:21" hidden="1">
      <c r="A30" s="26" t="s">
        <v>13</v>
      </c>
      <c r="B30" s="26" t="s">
        <v>34</v>
      </c>
      <c r="C30" s="30">
        <v>5.76</v>
      </c>
      <c r="D30" s="27">
        <v>11</v>
      </c>
      <c r="E30" s="28">
        <v>35</v>
      </c>
      <c r="F30" s="16">
        <f t="shared" si="57"/>
        <v>2.2176</v>
      </c>
      <c r="G30" s="16" t="s">
        <v>87</v>
      </c>
      <c r="H30" s="18">
        <v>35</v>
      </c>
      <c r="I30" s="19">
        <f t="shared" si="58"/>
        <v>2.2176</v>
      </c>
      <c r="J30" s="17" t="s">
        <v>97</v>
      </c>
      <c r="K30" s="18"/>
      <c r="L30" s="19">
        <f t="shared" si="59"/>
        <v>0</v>
      </c>
      <c r="M30" s="16"/>
      <c r="N30" s="18"/>
      <c r="O30" s="19">
        <f t="shared" si="60"/>
        <v>0</v>
      </c>
      <c r="P30" s="20">
        <f t="shared" si="61"/>
        <v>35</v>
      </c>
      <c r="Q30" s="19">
        <f t="shared" si="62"/>
        <v>2.2176</v>
      </c>
      <c r="R30" s="21">
        <f t="shared" si="63"/>
        <v>0</v>
      </c>
      <c r="S30" s="19">
        <f t="shared" si="64"/>
        <v>0</v>
      </c>
      <c r="U30" s="29"/>
    </row>
    <row r="31" spans="1:21" hidden="1">
      <c r="A31" s="26" t="s">
        <v>13</v>
      </c>
      <c r="B31" s="26" t="s">
        <v>34</v>
      </c>
      <c r="C31" s="30">
        <v>5.76</v>
      </c>
      <c r="D31" s="27">
        <v>11.9</v>
      </c>
      <c r="E31" s="28">
        <v>24</v>
      </c>
      <c r="F31" s="16">
        <f t="shared" si="57"/>
        <v>1.6450560000000001</v>
      </c>
      <c r="G31" s="17"/>
      <c r="H31" s="18">
        <v>5</v>
      </c>
      <c r="I31" s="19">
        <f t="shared" si="58"/>
        <v>0.34271999999999997</v>
      </c>
      <c r="J31" s="16"/>
      <c r="K31" s="18"/>
      <c r="L31" s="19">
        <f t="shared" si="59"/>
        <v>0</v>
      </c>
      <c r="M31" s="16"/>
      <c r="N31" s="18"/>
      <c r="O31" s="19">
        <f t="shared" si="60"/>
        <v>0</v>
      </c>
      <c r="P31" s="20">
        <f t="shared" si="61"/>
        <v>5</v>
      </c>
      <c r="Q31" s="19">
        <f t="shared" si="62"/>
        <v>0.34271999999999997</v>
      </c>
      <c r="R31" s="21">
        <f t="shared" si="63"/>
        <v>19</v>
      </c>
      <c r="S31" s="19">
        <f t="shared" si="64"/>
        <v>1.3023360000000002</v>
      </c>
      <c r="U31" s="29"/>
    </row>
    <row r="32" spans="1:21" hidden="1">
      <c r="A32" s="26" t="s">
        <v>13</v>
      </c>
      <c r="B32" s="26" t="s">
        <v>34</v>
      </c>
      <c r="C32" s="30">
        <v>5.76</v>
      </c>
      <c r="D32" s="27">
        <v>12</v>
      </c>
      <c r="E32" s="28">
        <v>20</v>
      </c>
      <c r="F32" s="16">
        <f t="shared" ref="F32:F44" si="65">(C32*D32*E32/1000)</f>
        <v>1.3824000000000001</v>
      </c>
      <c r="G32" s="17"/>
      <c r="H32" s="18">
        <v>23</v>
      </c>
      <c r="I32" s="19">
        <f t="shared" ref="I32:I44" si="66">(C32*D32*H32/1000)</f>
        <v>1.5897600000000003</v>
      </c>
      <c r="J32" s="16"/>
      <c r="K32" s="18"/>
      <c r="L32" s="19">
        <f t="shared" ref="L32:L44" si="67">(C32*D32*K32/1000)</f>
        <v>0</v>
      </c>
      <c r="M32" s="16"/>
      <c r="N32" s="18"/>
      <c r="O32" s="19">
        <f t="shared" ref="O32:O44" si="68">(C32*D32*N32/1000)</f>
        <v>0</v>
      </c>
      <c r="P32" s="20">
        <f t="shared" ref="P32:P44" si="69">+H32+K32+N32</f>
        <v>23</v>
      </c>
      <c r="Q32" s="19">
        <f t="shared" ref="Q32:Q44" si="70">+I32+L32+O32</f>
        <v>1.5897600000000003</v>
      </c>
      <c r="R32" s="21">
        <f t="shared" ref="R32:R44" si="71">E32-P32</f>
        <v>-3</v>
      </c>
      <c r="S32" s="19">
        <f t="shared" ref="S32:S44" si="72">F32-Q32</f>
        <v>-0.20736000000000021</v>
      </c>
      <c r="U32" s="29"/>
    </row>
    <row r="33" spans="1:21" hidden="1">
      <c r="A33" s="26" t="s">
        <v>13</v>
      </c>
      <c r="B33" s="26" t="s">
        <v>34</v>
      </c>
      <c r="C33" s="30">
        <v>5.76</v>
      </c>
      <c r="D33" s="27">
        <v>10.199999999999999</v>
      </c>
      <c r="E33" s="28"/>
      <c r="F33" s="16">
        <f t="shared" si="65"/>
        <v>0</v>
      </c>
      <c r="G33" s="17"/>
      <c r="H33" s="18">
        <v>1</v>
      </c>
      <c r="I33" s="19">
        <f t="shared" si="66"/>
        <v>5.8751999999999999E-2</v>
      </c>
      <c r="J33" s="16"/>
      <c r="K33" s="18"/>
      <c r="L33" s="19">
        <f t="shared" si="67"/>
        <v>0</v>
      </c>
      <c r="M33" s="16"/>
      <c r="N33" s="18"/>
      <c r="O33" s="19">
        <f t="shared" si="68"/>
        <v>0</v>
      </c>
      <c r="P33" s="20">
        <f t="shared" si="69"/>
        <v>1</v>
      </c>
      <c r="Q33" s="19">
        <f t="shared" si="70"/>
        <v>5.8751999999999999E-2</v>
      </c>
      <c r="R33" s="21">
        <f t="shared" si="71"/>
        <v>-1</v>
      </c>
      <c r="S33" s="19">
        <f t="shared" si="72"/>
        <v>-5.8751999999999999E-2</v>
      </c>
      <c r="U33" s="29"/>
    </row>
    <row r="34" spans="1:21" hidden="1">
      <c r="A34" s="26" t="s">
        <v>13</v>
      </c>
      <c r="B34" s="26" t="s">
        <v>34</v>
      </c>
      <c r="C34" s="30">
        <v>5.76</v>
      </c>
      <c r="D34" s="27">
        <v>10.5</v>
      </c>
      <c r="E34" s="28"/>
      <c r="F34" s="16">
        <f t="shared" ref="F34:F35" si="73">(C34*D34*E34/1000)</f>
        <v>0</v>
      </c>
      <c r="G34" s="17"/>
      <c r="H34" s="18">
        <v>1</v>
      </c>
      <c r="I34" s="19">
        <f t="shared" ref="I34:I35" si="74">(C34*D34*H34/1000)</f>
        <v>6.0479999999999999E-2</v>
      </c>
      <c r="J34" s="16"/>
      <c r="K34" s="18"/>
      <c r="L34" s="19">
        <f t="shared" ref="L34:L35" si="75">(C34*D34*K34/1000)</f>
        <v>0</v>
      </c>
      <c r="M34" s="16"/>
      <c r="N34" s="18"/>
      <c r="O34" s="19">
        <f t="shared" ref="O34:O35" si="76">(C34*D34*N34/1000)</f>
        <v>0</v>
      </c>
      <c r="P34" s="20">
        <f t="shared" ref="P34:P35" si="77">+H34+K34+N34</f>
        <v>1</v>
      </c>
      <c r="Q34" s="19">
        <f t="shared" ref="Q34:Q35" si="78">+I34+L34+O34</f>
        <v>6.0479999999999999E-2</v>
      </c>
      <c r="R34" s="21">
        <f t="shared" ref="R34:R35" si="79">E34-P34</f>
        <v>-1</v>
      </c>
      <c r="S34" s="19">
        <f t="shared" ref="S34:S35" si="80">F34-Q34</f>
        <v>-6.0479999999999999E-2</v>
      </c>
      <c r="U34" s="29"/>
    </row>
    <row r="35" spans="1:21" hidden="1">
      <c r="A35" s="26" t="s">
        <v>13</v>
      </c>
      <c r="B35" s="26" t="s">
        <v>34</v>
      </c>
      <c r="C35" s="30">
        <v>5.76</v>
      </c>
      <c r="D35" s="27">
        <v>10.9</v>
      </c>
      <c r="E35" s="28"/>
      <c r="F35" s="16">
        <f t="shared" si="73"/>
        <v>0</v>
      </c>
      <c r="G35" s="17"/>
      <c r="H35" s="18">
        <v>1</v>
      </c>
      <c r="I35" s="19">
        <f t="shared" si="74"/>
        <v>6.2783999999999993E-2</v>
      </c>
      <c r="J35" s="16"/>
      <c r="K35" s="18"/>
      <c r="L35" s="19">
        <f t="shared" si="75"/>
        <v>0</v>
      </c>
      <c r="M35" s="16"/>
      <c r="N35" s="18"/>
      <c r="O35" s="19">
        <f t="shared" si="76"/>
        <v>0</v>
      </c>
      <c r="P35" s="20">
        <f t="shared" si="77"/>
        <v>1</v>
      </c>
      <c r="Q35" s="19">
        <f t="shared" si="78"/>
        <v>6.2783999999999993E-2</v>
      </c>
      <c r="R35" s="21">
        <f t="shared" si="79"/>
        <v>-1</v>
      </c>
      <c r="S35" s="19">
        <f t="shared" si="80"/>
        <v>-6.2783999999999993E-2</v>
      </c>
      <c r="U35" s="29"/>
    </row>
    <row r="36" spans="1:21" hidden="1">
      <c r="A36" s="26" t="s">
        <v>13</v>
      </c>
      <c r="B36" s="26" t="s">
        <v>34</v>
      </c>
      <c r="C36" s="30">
        <v>5.76</v>
      </c>
      <c r="D36" s="27">
        <v>11.1</v>
      </c>
      <c r="E36" s="28"/>
      <c r="F36" s="16">
        <f t="shared" si="65"/>
        <v>0</v>
      </c>
      <c r="G36" s="17"/>
      <c r="H36" s="18">
        <v>8</v>
      </c>
      <c r="I36" s="19">
        <f t="shared" si="66"/>
        <v>0.51148799999999994</v>
      </c>
      <c r="J36" s="16"/>
      <c r="K36" s="18"/>
      <c r="L36" s="19">
        <f t="shared" si="67"/>
        <v>0</v>
      </c>
      <c r="M36" s="16"/>
      <c r="N36" s="18"/>
      <c r="O36" s="19">
        <f t="shared" si="68"/>
        <v>0</v>
      </c>
      <c r="P36" s="20">
        <f t="shared" si="69"/>
        <v>8</v>
      </c>
      <c r="Q36" s="19">
        <f t="shared" si="70"/>
        <v>0.51148799999999994</v>
      </c>
      <c r="R36" s="21">
        <f t="shared" si="71"/>
        <v>-8</v>
      </c>
      <c r="S36" s="19">
        <f t="shared" si="72"/>
        <v>-0.51148799999999994</v>
      </c>
      <c r="U36" s="29"/>
    </row>
    <row r="37" spans="1:21" hidden="1">
      <c r="A37" s="26" t="s">
        <v>13</v>
      </c>
      <c r="B37" s="26" t="s">
        <v>34</v>
      </c>
      <c r="C37" s="30">
        <v>5.76</v>
      </c>
      <c r="D37" s="27">
        <v>9.1</v>
      </c>
      <c r="E37" s="28"/>
      <c r="F37" s="16">
        <f t="shared" ref="F37:F43" si="81">(C37*D37*E37/1000)</f>
        <v>0</v>
      </c>
      <c r="G37" s="17"/>
      <c r="H37" s="18"/>
      <c r="I37" s="19">
        <f t="shared" ref="I37:I43" si="82">(C37*D37*H37/1000)</f>
        <v>0</v>
      </c>
      <c r="J37" s="16"/>
      <c r="K37" s="18">
        <v>1</v>
      </c>
      <c r="L37" s="19">
        <f t="shared" ref="L37:L43" si="83">(C37*D37*K37/1000)</f>
        <v>5.2415999999999997E-2</v>
      </c>
      <c r="M37" s="16"/>
      <c r="N37" s="18"/>
      <c r="O37" s="19">
        <f t="shared" ref="O37:O43" si="84">(C37*D37*N37/1000)</f>
        <v>0</v>
      </c>
      <c r="P37" s="20">
        <f t="shared" ref="P37:P43" si="85">+H37+K37+N37</f>
        <v>1</v>
      </c>
      <c r="Q37" s="19">
        <f t="shared" ref="Q37:Q43" si="86">+I37+L37+O37</f>
        <v>5.2415999999999997E-2</v>
      </c>
      <c r="R37" s="21">
        <f t="shared" ref="R37:R43" si="87">E37-P37</f>
        <v>-1</v>
      </c>
      <c r="S37" s="19">
        <f t="shared" ref="S37:S43" si="88">F37-Q37</f>
        <v>-5.2415999999999997E-2</v>
      </c>
      <c r="U37" s="29"/>
    </row>
    <row r="38" spans="1:21" hidden="1">
      <c r="A38" s="26" t="s">
        <v>13</v>
      </c>
      <c r="B38" s="26" t="s">
        <v>34</v>
      </c>
      <c r="C38" s="30">
        <v>5.76</v>
      </c>
      <c r="D38" s="27">
        <v>10</v>
      </c>
      <c r="E38" s="28"/>
      <c r="F38" s="16">
        <f t="shared" ref="F38:F42" si="89">(C38*D38*E38/1000)</f>
        <v>0</v>
      </c>
      <c r="G38" s="17"/>
      <c r="H38" s="18"/>
      <c r="I38" s="19">
        <f t="shared" ref="I38:I42" si="90">(C38*D38*H38/1000)</f>
        <v>0</v>
      </c>
      <c r="J38" s="16"/>
      <c r="K38" s="18">
        <v>2</v>
      </c>
      <c r="L38" s="19">
        <f t="shared" ref="L38:L42" si="91">(C38*D38*K38/1000)</f>
        <v>0.11519999999999998</v>
      </c>
      <c r="M38" s="16"/>
      <c r="N38" s="18"/>
      <c r="O38" s="19">
        <f t="shared" ref="O38:O42" si="92">(C38*D38*N38/1000)</f>
        <v>0</v>
      </c>
      <c r="P38" s="20">
        <f t="shared" ref="P38:P42" si="93">+H38+K38+N38</f>
        <v>2</v>
      </c>
      <c r="Q38" s="19">
        <f t="shared" ref="Q38:Q42" si="94">+I38+L38+O38</f>
        <v>0.11519999999999998</v>
      </c>
      <c r="R38" s="21">
        <f t="shared" ref="R38:R42" si="95">E38-P38</f>
        <v>-2</v>
      </c>
      <c r="S38" s="19">
        <f t="shared" ref="S38:S42" si="96">F38-Q38</f>
        <v>-0.11519999999999998</v>
      </c>
      <c r="U38" s="29"/>
    </row>
    <row r="39" spans="1:21" hidden="1">
      <c r="A39" s="26" t="s">
        <v>13</v>
      </c>
      <c r="B39" s="26" t="s">
        <v>34</v>
      </c>
      <c r="C39" s="30">
        <v>5.76</v>
      </c>
      <c r="D39" s="27">
        <v>10.3</v>
      </c>
      <c r="E39" s="28"/>
      <c r="F39" s="16">
        <f t="shared" si="89"/>
        <v>0</v>
      </c>
      <c r="G39" s="17"/>
      <c r="H39" s="18"/>
      <c r="I39" s="19">
        <f t="shared" si="90"/>
        <v>0</v>
      </c>
      <c r="J39" s="16"/>
      <c r="K39" s="18">
        <v>1</v>
      </c>
      <c r="L39" s="19">
        <f t="shared" si="91"/>
        <v>5.9328000000000006E-2</v>
      </c>
      <c r="M39" s="16"/>
      <c r="N39" s="18"/>
      <c r="O39" s="19">
        <f t="shared" si="92"/>
        <v>0</v>
      </c>
      <c r="P39" s="20">
        <f t="shared" si="93"/>
        <v>1</v>
      </c>
      <c r="Q39" s="19">
        <f t="shared" si="94"/>
        <v>5.9328000000000006E-2</v>
      </c>
      <c r="R39" s="21">
        <f t="shared" si="95"/>
        <v>-1</v>
      </c>
      <c r="S39" s="19">
        <f t="shared" si="96"/>
        <v>-5.9328000000000006E-2</v>
      </c>
      <c r="U39" s="29"/>
    </row>
    <row r="40" spans="1:21" hidden="1">
      <c r="A40" s="26" t="s">
        <v>13</v>
      </c>
      <c r="B40" s="26" t="s">
        <v>34</v>
      </c>
      <c r="C40" s="30">
        <v>5.76</v>
      </c>
      <c r="D40" s="27">
        <v>10.6</v>
      </c>
      <c r="E40" s="28"/>
      <c r="F40" s="16">
        <f t="shared" si="89"/>
        <v>0</v>
      </c>
      <c r="G40" s="17"/>
      <c r="H40" s="18"/>
      <c r="I40" s="19">
        <f t="shared" si="90"/>
        <v>0</v>
      </c>
      <c r="J40" s="16"/>
      <c r="K40" s="18">
        <v>3</v>
      </c>
      <c r="L40" s="19">
        <f t="shared" si="91"/>
        <v>0.183168</v>
      </c>
      <c r="M40" s="16"/>
      <c r="N40" s="18"/>
      <c r="O40" s="19">
        <f t="shared" si="92"/>
        <v>0</v>
      </c>
      <c r="P40" s="20">
        <f t="shared" si="93"/>
        <v>3</v>
      </c>
      <c r="Q40" s="19">
        <f t="shared" si="94"/>
        <v>0.183168</v>
      </c>
      <c r="R40" s="21">
        <f t="shared" si="95"/>
        <v>-3</v>
      </c>
      <c r="S40" s="19">
        <f t="shared" si="96"/>
        <v>-0.183168</v>
      </c>
      <c r="U40" s="29"/>
    </row>
    <row r="41" spans="1:21" hidden="1">
      <c r="A41" s="26" t="s">
        <v>13</v>
      </c>
      <c r="B41" s="26" t="s">
        <v>34</v>
      </c>
      <c r="C41" s="30">
        <v>5.76</v>
      </c>
      <c r="D41" s="27">
        <v>10.7</v>
      </c>
      <c r="E41" s="28"/>
      <c r="F41" s="16">
        <f t="shared" si="89"/>
        <v>0</v>
      </c>
      <c r="G41" s="17"/>
      <c r="H41" s="18"/>
      <c r="I41" s="19">
        <f t="shared" si="90"/>
        <v>0</v>
      </c>
      <c r="J41" s="16"/>
      <c r="K41" s="18">
        <v>5</v>
      </c>
      <c r="L41" s="19">
        <f t="shared" si="91"/>
        <v>0.30815999999999999</v>
      </c>
      <c r="M41" s="16"/>
      <c r="N41" s="18"/>
      <c r="O41" s="19">
        <f t="shared" si="92"/>
        <v>0</v>
      </c>
      <c r="P41" s="20">
        <f t="shared" si="93"/>
        <v>5</v>
      </c>
      <c r="Q41" s="19">
        <f t="shared" si="94"/>
        <v>0.30815999999999999</v>
      </c>
      <c r="R41" s="21">
        <f t="shared" si="95"/>
        <v>-5</v>
      </c>
      <c r="S41" s="19">
        <f t="shared" si="96"/>
        <v>-0.30815999999999999</v>
      </c>
      <c r="U41" s="29"/>
    </row>
    <row r="42" spans="1:21" hidden="1">
      <c r="A42" s="26" t="s">
        <v>13</v>
      </c>
      <c r="B42" s="26" t="s">
        <v>34</v>
      </c>
      <c r="C42" s="30">
        <v>5.76</v>
      </c>
      <c r="D42" s="27">
        <v>10.8</v>
      </c>
      <c r="E42" s="28"/>
      <c r="F42" s="16">
        <f t="shared" si="89"/>
        <v>0</v>
      </c>
      <c r="G42" s="17"/>
      <c r="H42" s="18"/>
      <c r="I42" s="19">
        <f t="shared" si="90"/>
        <v>0</v>
      </c>
      <c r="J42" s="16"/>
      <c r="K42" s="18">
        <v>2</v>
      </c>
      <c r="L42" s="19">
        <f t="shared" si="91"/>
        <v>0.124416</v>
      </c>
      <c r="M42" s="16"/>
      <c r="N42" s="18"/>
      <c r="O42" s="19">
        <f t="shared" si="92"/>
        <v>0</v>
      </c>
      <c r="P42" s="20">
        <f t="shared" si="93"/>
        <v>2</v>
      </c>
      <c r="Q42" s="19">
        <f t="shared" si="94"/>
        <v>0.124416</v>
      </c>
      <c r="R42" s="21">
        <f t="shared" si="95"/>
        <v>-2</v>
      </c>
      <c r="S42" s="19">
        <f t="shared" si="96"/>
        <v>-0.124416</v>
      </c>
      <c r="U42" s="29"/>
    </row>
    <row r="43" spans="1:21" hidden="1">
      <c r="A43" s="26" t="s">
        <v>13</v>
      </c>
      <c r="B43" s="26" t="s">
        <v>34</v>
      </c>
      <c r="C43" s="30">
        <v>5.76</v>
      </c>
      <c r="D43" s="27">
        <v>11</v>
      </c>
      <c r="E43" s="28"/>
      <c r="F43" s="16">
        <f t="shared" si="81"/>
        <v>0</v>
      </c>
      <c r="G43" s="17"/>
      <c r="H43" s="18"/>
      <c r="I43" s="19">
        <f t="shared" si="82"/>
        <v>0</v>
      </c>
      <c r="J43" s="16"/>
      <c r="K43" s="18">
        <v>2</v>
      </c>
      <c r="L43" s="19">
        <f t="shared" si="83"/>
        <v>0.12672</v>
      </c>
      <c r="M43" s="16"/>
      <c r="N43" s="18"/>
      <c r="O43" s="19">
        <f t="shared" si="84"/>
        <v>0</v>
      </c>
      <c r="P43" s="20">
        <f t="shared" si="85"/>
        <v>2</v>
      </c>
      <c r="Q43" s="19">
        <f t="shared" si="86"/>
        <v>0.12672</v>
      </c>
      <c r="R43" s="21">
        <f t="shared" si="87"/>
        <v>-2</v>
      </c>
      <c r="S43" s="19">
        <f t="shared" si="88"/>
        <v>-0.12672</v>
      </c>
      <c r="U43" s="29"/>
    </row>
    <row r="44" spans="1:21" hidden="1">
      <c r="A44" s="26" t="s">
        <v>13</v>
      </c>
      <c r="B44" s="26" t="s">
        <v>34</v>
      </c>
      <c r="C44" s="30">
        <v>5.76</v>
      </c>
      <c r="D44" s="27">
        <v>11.9</v>
      </c>
      <c r="E44" s="28"/>
      <c r="F44" s="16">
        <f t="shared" si="65"/>
        <v>0</v>
      </c>
      <c r="G44" s="17"/>
      <c r="H44" s="18"/>
      <c r="I44" s="19">
        <f t="shared" si="66"/>
        <v>0</v>
      </c>
      <c r="J44" s="16"/>
      <c r="K44" s="18">
        <v>17</v>
      </c>
      <c r="L44" s="19">
        <f t="shared" si="67"/>
        <v>1.1652480000000001</v>
      </c>
      <c r="M44" s="16"/>
      <c r="N44" s="18"/>
      <c r="O44" s="19">
        <f t="shared" si="68"/>
        <v>0</v>
      </c>
      <c r="P44" s="20">
        <f t="shared" si="69"/>
        <v>17</v>
      </c>
      <c r="Q44" s="19">
        <f t="shared" si="70"/>
        <v>1.1652480000000001</v>
      </c>
      <c r="R44" s="21">
        <f t="shared" si="71"/>
        <v>-17</v>
      </c>
      <c r="S44" s="19">
        <f t="shared" si="72"/>
        <v>-1.1652480000000001</v>
      </c>
      <c r="U44" s="29"/>
    </row>
    <row r="45" spans="1:21" hidden="1">
      <c r="A45" s="26" t="s">
        <v>13</v>
      </c>
      <c r="B45" s="26" t="s">
        <v>34</v>
      </c>
      <c r="C45" s="30">
        <v>5.76</v>
      </c>
      <c r="D45" s="27">
        <v>11.95</v>
      </c>
      <c r="E45" s="28"/>
      <c r="F45" s="16">
        <f t="shared" si="57"/>
        <v>0</v>
      </c>
      <c r="G45" s="17"/>
      <c r="H45" s="18"/>
      <c r="I45" s="19">
        <f t="shared" si="58"/>
        <v>0</v>
      </c>
      <c r="J45" s="16"/>
      <c r="K45" s="18">
        <v>1</v>
      </c>
      <c r="L45" s="19">
        <f t="shared" si="59"/>
        <v>6.883199999999999E-2</v>
      </c>
      <c r="M45" s="16"/>
      <c r="N45" s="18"/>
      <c r="O45" s="19">
        <f t="shared" si="60"/>
        <v>0</v>
      </c>
      <c r="P45" s="20">
        <f t="shared" si="61"/>
        <v>1</v>
      </c>
      <c r="Q45" s="19">
        <f t="shared" si="62"/>
        <v>6.883199999999999E-2</v>
      </c>
      <c r="R45" s="21">
        <f t="shared" si="63"/>
        <v>-1</v>
      </c>
      <c r="S45" s="19">
        <f t="shared" si="64"/>
        <v>-6.883199999999999E-2</v>
      </c>
      <c r="U45" s="29"/>
    </row>
    <row r="46" spans="1:21" hidden="1">
      <c r="A46" s="26"/>
      <c r="B46" s="26"/>
      <c r="C46" s="30"/>
      <c r="D46" s="38"/>
      <c r="E46" s="31">
        <f t="shared" ref="E46" si="97">SUM(E29:E45)</f>
        <v>108</v>
      </c>
      <c r="F46" s="38">
        <f>SUM(F29:F45)</f>
        <v>6.9154560000000007</v>
      </c>
      <c r="G46" s="17"/>
      <c r="H46" s="31">
        <f>SUM(H29:H45)</f>
        <v>75</v>
      </c>
      <c r="I46" s="38">
        <f>SUM(I29:I45)</f>
        <v>4.9011839999999998</v>
      </c>
      <c r="J46" s="16"/>
      <c r="K46" s="31">
        <f t="shared" ref="K46" si="98">SUM(K29:K45)</f>
        <v>34</v>
      </c>
      <c r="L46" s="38">
        <f t="shared" ref="L46" si="99">SUM(L29:L45)</f>
        <v>2.2034880000000001</v>
      </c>
      <c r="M46" s="16"/>
      <c r="N46" s="31">
        <f t="shared" ref="N46" si="100">SUM(N29:N45)</f>
        <v>0</v>
      </c>
      <c r="O46" s="38">
        <f t="shared" ref="O46" si="101">SUM(O29:O45)</f>
        <v>0</v>
      </c>
      <c r="P46" s="31">
        <f t="shared" ref="P46" si="102">SUM(P29:P45)</f>
        <v>109</v>
      </c>
      <c r="Q46" s="38">
        <f t="shared" ref="Q46" si="103">SUM(Q29:Q45)</f>
        <v>7.104671999999999</v>
      </c>
      <c r="R46" s="31">
        <f t="shared" ref="R46" si="104">SUM(R29:R45)</f>
        <v>-1</v>
      </c>
      <c r="S46" s="38">
        <f t="shared" ref="S46" si="105">SUM(S29:S45)</f>
        <v>-0.18921600000000049</v>
      </c>
      <c r="U46" s="29"/>
    </row>
    <row r="47" spans="1:21" hidden="1">
      <c r="A47" s="26" t="s">
        <v>13</v>
      </c>
      <c r="B47" s="26" t="s">
        <v>35</v>
      </c>
      <c r="C47" s="30">
        <v>6.85</v>
      </c>
      <c r="D47" s="27">
        <v>8.4</v>
      </c>
      <c r="E47" s="28">
        <v>42</v>
      </c>
      <c r="F47" s="16">
        <f t="shared" ref="F47:F52" si="106">(C47*D47*E47/1000)</f>
        <v>2.4166799999999999</v>
      </c>
      <c r="G47" s="17" t="s">
        <v>64</v>
      </c>
      <c r="H47" s="18">
        <v>16</v>
      </c>
      <c r="I47" s="19">
        <f t="shared" ref="I47:I52" si="107">(C47*D47*H47/1000)</f>
        <v>0.92064000000000001</v>
      </c>
      <c r="J47" s="16" t="s">
        <v>86</v>
      </c>
      <c r="K47" s="18">
        <v>21</v>
      </c>
      <c r="L47" s="19">
        <f t="shared" ref="L47:L52" si="108">(C47*D47*K47/1000)</f>
        <v>1.20834</v>
      </c>
      <c r="M47" s="17" t="s">
        <v>91</v>
      </c>
      <c r="N47" s="18"/>
      <c r="O47" s="19">
        <f t="shared" ref="O47:O52" si="109">(C47*D47*N47/1000)</f>
        <v>0</v>
      </c>
      <c r="P47" s="20">
        <f t="shared" ref="P47:P52" si="110">+H47+K47+N47</f>
        <v>37</v>
      </c>
      <c r="Q47" s="19">
        <f t="shared" ref="Q47:Q52" si="111">+I47+L47+O47</f>
        <v>2.1289799999999999</v>
      </c>
      <c r="R47" s="21">
        <f t="shared" ref="R47:R52" si="112">E47-P47</f>
        <v>5</v>
      </c>
      <c r="S47" s="19">
        <f t="shared" ref="S47:S52" si="113">F47-Q47</f>
        <v>0.28770000000000007</v>
      </c>
      <c r="U47" s="29"/>
    </row>
    <row r="48" spans="1:21" hidden="1">
      <c r="A48" s="26" t="s">
        <v>13</v>
      </c>
      <c r="B48" s="26" t="s">
        <v>35</v>
      </c>
      <c r="C48" s="30">
        <v>6.85</v>
      </c>
      <c r="D48" s="27">
        <v>10.7</v>
      </c>
      <c r="E48" s="28">
        <v>16</v>
      </c>
      <c r="F48" s="16">
        <f t="shared" si="106"/>
        <v>1.1727199999999998</v>
      </c>
      <c r="G48" s="17" t="s">
        <v>65</v>
      </c>
      <c r="H48" s="18">
        <v>16</v>
      </c>
      <c r="I48" s="19">
        <f t="shared" si="107"/>
        <v>1.1727199999999998</v>
      </c>
      <c r="J48" s="16" t="s">
        <v>87</v>
      </c>
      <c r="K48" s="18"/>
      <c r="L48" s="19">
        <f t="shared" si="108"/>
        <v>0</v>
      </c>
      <c r="M48" s="17" t="s">
        <v>97</v>
      </c>
      <c r="N48" s="18"/>
      <c r="O48" s="19">
        <f t="shared" si="109"/>
        <v>0</v>
      </c>
      <c r="P48" s="20">
        <f t="shared" si="110"/>
        <v>16</v>
      </c>
      <c r="Q48" s="19">
        <f t="shared" si="111"/>
        <v>1.1727199999999998</v>
      </c>
      <c r="R48" s="21">
        <f t="shared" si="112"/>
        <v>0</v>
      </c>
      <c r="S48" s="19">
        <f t="shared" si="113"/>
        <v>0</v>
      </c>
      <c r="U48" s="29"/>
    </row>
    <row r="49" spans="1:21" hidden="1">
      <c r="A49" s="26" t="s">
        <v>13</v>
      </c>
      <c r="B49" s="26" t="s">
        <v>35</v>
      </c>
      <c r="C49" s="30">
        <v>6.85</v>
      </c>
      <c r="D49" s="27">
        <v>11</v>
      </c>
      <c r="E49" s="28">
        <v>13</v>
      </c>
      <c r="F49" s="16">
        <f t="shared" si="106"/>
        <v>0.97954999999999992</v>
      </c>
      <c r="G49" s="17"/>
      <c r="H49" s="18"/>
      <c r="I49" s="19">
        <f t="shared" si="107"/>
        <v>0</v>
      </c>
      <c r="J49" s="16"/>
      <c r="K49" s="18"/>
      <c r="L49" s="19">
        <f t="shared" si="108"/>
        <v>0</v>
      </c>
      <c r="M49" s="16"/>
      <c r="N49" s="18"/>
      <c r="O49" s="19">
        <f t="shared" si="109"/>
        <v>0</v>
      </c>
      <c r="P49" s="20">
        <f t="shared" si="110"/>
        <v>0</v>
      </c>
      <c r="Q49" s="19">
        <f t="shared" si="111"/>
        <v>0</v>
      </c>
      <c r="R49" s="21">
        <f t="shared" si="112"/>
        <v>13</v>
      </c>
      <c r="S49" s="19">
        <f t="shared" si="113"/>
        <v>0.97954999999999992</v>
      </c>
      <c r="U49" s="29"/>
    </row>
    <row r="50" spans="1:21" hidden="1">
      <c r="A50" s="26" t="s">
        <v>13</v>
      </c>
      <c r="B50" s="26" t="s">
        <v>35</v>
      </c>
      <c r="C50" s="30">
        <v>6.85</v>
      </c>
      <c r="D50" s="27">
        <v>11.5</v>
      </c>
      <c r="E50" s="28">
        <v>10</v>
      </c>
      <c r="F50" s="16">
        <f t="shared" si="106"/>
        <v>0.78774999999999984</v>
      </c>
      <c r="G50" s="17"/>
      <c r="H50" s="18"/>
      <c r="I50" s="19">
        <f t="shared" si="107"/>
        <v>0</v>
      </c>
      <c r="J50" s="16"/>
      <c r="K50" s="18">
        <v>3</v>
      </c>
      <c r="L50" s="19">
        <f t="shared" si="108"/>
        <v>0.23632499999999998</v>
      </c>
      <c r="M50" s="16"/>
      <c r="N50" s="18">
        <v>13</v>
      </c>
      <c r="O50" s="19">
        <f t="shared" si="109"/>
        <v>1.0240749999999998</v>
      </c>
      <c r="P50" s="20">
        <f t="shared" si="110"/>
        <v>16</v>
      </c>
      <c r="Q50" s="19">
        <f t="shared" si="111"/>
        <v>1.2603999999999997</v>
      </c>
      <c r="R50" s="21">
        <f t="shared" si="112"/>
        <v>-6</v>
      </c>
      <c r="S50" s="19">
        <f t="shared" si="113"/>
        <v>-0.4726499999999999</v>
      </c>
      <c r="U50" s="29"/>
    </row>
    <row r="51" spans="1:21" hidden="1">
      <c r="A51" s="26" t="s">
        <v>13</v>
      </c>
      <c r="B51" s="26" t="s">
        <v>35</v>
      </c>
      <c r="C51" s="30">
        <v>6.85</v>
      </c>
      <c r="D51" s="27">
        <v>12</v>
      </c>
      <c r="E51" s="28">
        <v>16</v>
      </c>
      <c r="F51" s="16">
        <f t="shared" ref="F51" si="114">(C51*D51*E51/1000)</f>
        <v>1.3151999999999999</v>
      </c>
      <c r="G51" s="17"/>
      <c r="H51" s="18">
        <v>13</v>
      </c>
      <c r="I51" s="19">
        <f t="shared" ref="I51" si="115">(C51*D51*H51/1000)</f>
        <v>1.0686</v>
      </c>
      <c r="J51" s="16"/>
      <c r="K51" s="18"/>
      <c r="L51" s="19">
        <f t="shared" ref="L51" si="116">(C51*D51*K51/1000)</f>
        <v>0</v>
      </c>
      <c r="M51" s="16"/>
      <c r="N51" s="18">
        <v>12</v>
      </c>
      <c r="O51" s="19">
        <f t="shared" ref="O51" si="117">(C51*D51*N51/1000)</f>
        <v>0.98639999999999983</v>
      </c>
      <c r="P51" s="20">
        <f t="shared" ref="P51" si="118">+H51+K51+N51</f>
        <v>25</v>
      </c>
      <c r="Q51" s="19">
        <f t="shared" ref="Q51" si="119">+I51+L51+O51</f>
        <v>2.0549999999999997</v>
      </c>
      <c r="R51" s="21">
        <f t="shared" ref="R51" si="120">E51-P51</f>
        <v>-9</v>
      </c>
      <c r="S51" s="19">
        <f t="shared" ref="S51" si="121">F51-Q51</f>
        <v>-0.73979999999999979</v>
      </c>
      <c r="U51" s="29"/>
    </row>
    <row r="52" spans="1:21" hidden="1">
      <c r="A52" s="26" t="s">
        <v>13</v>
      </c>
      <c r="B52" s="26" t="s">
        <v>35</v>
      </c>
      <c r="C52" s="30">
        <v>6.85</v>
      </c>
      <c r="D52" s="27">
        <v>9.85</v>
      </c>
      <c r="E52" s="28"/>
      <c r="F52" s="16">
        <f t="shared" si="106"/>
        <v>0</v>
      </c>
      <c r="G52" s="17"/>
      <c r="H52" s="18"/>
      <c r="I52" s="19">
        <f t="shared" si="107"/>
        <v>0</v>
      </c>
      <c r="J52" s="16"/>
      <c r="K52" s="18"/>
      <c r="L52" s="19">
        <f t="shared" si="108"/>
        <v>0</v>
      </c>
      <c r="M52" s="16"/>
      <c r="N52" s="18">
        <v>1</v>
      </c>
      <c r="O52" s="19">
        <f t="shared" si="109"/>
        <v>6.7472499999999991E-2</v>
      </c>
      <c r="P52" s="20">
        <f t="shared" si="110"/>
        <v>1</v>
      </c>
      <c r="Q52" s="19">
        <f t="shared" si="111"/>
        <v>6.7472499999999991E-2</v>
      </c>
      <c r="R52" s="21">
        <f t="shared" si="112"/>
        <v>-1</v>
      </c>
      <c r="S52" s="19">
        <f t="shared" si="113"/>
        <v>-6.7472499999999991E-2</v>
      </c>
      <c r="U52" s="29"/>
    </row>
    <row r="53" spans="1:21" hidden="1">
      <c r="A53" s="26"/>
      <c r="B53" s="26"/>
      <c r="C53" s="30"/>
      <c r="D53" s="38"/>
      <c r="E53" s="31">
        <f t="shared" ref="E53" si="122">SUM(E47:E52)</f>
        <v>97</v>
      </c>
      <c r="F53" s="38">
        <f>SUM(F47:F52)</f>
        <v>6.6718999999999991</v>
      </c>
      <c r="G53" s="17"/>
      <c r="H53" s="31">
        <f t="shared" ref="H53" si="123">SUM(H47:H52)</f>
        <v>45</v>
      </c>
      <c r="I53" s="38">
        <f t="shared" ref="I53" si="124">SUM(I47:I52)</f>
        <v>3.1619599999999997</v>
      </c>
      <c r="J53" s="16"/>
      <c r="K53" s="31">
        <f t="shared" ref="K53" si="125">SUM(K47:K52)</f>
        <v>24</v>
      </c>
      <c r="L53" s="38">
        <f t="shared" ref="L53" si="126">SUM(L47:L52)</f>
        <v>1.4446649999999999</v>
      </c>
      <c r="M53" s="16"/>
      <c r="N53" s="31">
        <f t="shared" ref="N53" si="127">SUM(N47:N52)</f>
        <v>26</v>
      </c>
      <c r="O53" s="38">
        <f t="shared" ref="O53" si="128">SUM(O47:O52)</f>
        <v>2.0779474999999996</v>
      </c>
      <c r="P53" s="31">
        <f t="shared" ref="P53" si="129">SUM(P47:P52)</f>
        <v>95</v>
      </c>
      <c r="Q53" s="38">
        <f t="shared" ref="Q53" si="130">SUM(Q47:Q52)</f>
        <v>6.6845724999999989</v>
      </c>
      <c r="R53" s="31">
        <f t="shared" ref="R53" si="131">SUM(R47:R52)</f>
        <v>2</v>
      </c>
      <c r="S53" s="38">
        <f t="shared" ref="S53" si="132">SUM(S47:S52)</f>
        <v>-1.2672499999999698E-2</v>
      </c>
      <c r="U53" s="29"/>
    </row>
    <row r="54" spans="1:21">
      <c r="A54" s="26" t="s">
        <v>13</v>
      </c>
      <c r="B54" s="26" t="s">
        <v>26</v>
      </c>
      <c r="C54" s="30">
        <v>8.3000000000000007</v>
      </c>
      <c r="D54" s="27">
        <v>10</v>
      </c>
      <c r="E54" s="28">
        <v>47</v>
      </c>
      <c r="F54" s="16">
        <f t="shared" ref="F54:F57" si="133">(C54*D54*E54/1000)</f>
        <v>3.9009999999999998</v>
      </c>
      <c r="G54" s="17" t="s">
        <v>91</v>
      </c>
      <c r="H54" s="18">
        <v>2</v>
      </c>
      <c r="I54" s="19">
        <f t="shared" ref="I54:I57" si="134">(C54*D54*H54/1000)</f>
        <v>0.16600000000000001</v>
      </c>
      <c r="J54" s="16"/>
      <c r="K54" s="18"/>
      <c r="L54" s="19">
        <f t="shared" ref="L54:L57" si="135">(C54*D54*K54/1000)</f>
        <v>0</v>
      </c>
      <c r="M54" s="16"/>
      <c r="N54" s="18"/>
      <c r="O54" s="19">
        <f t="shared" ref="O54:O57" si="136">(C54*D54*N54/1000)</f>
        <v>0</v>
      </c>
      <c r="P54" s="20">
        <f t="shared" ref="P54:P57" si="137">+H54+K54+N54</f>
        <v>2</v>
      </c>
      <c r="Q54" s="19">
        <f t="shared" ref="Q54:Q57" si="138">+I54+L54+O54</f>
        <v>0.16600000000000001</v>
      </c>
      <c r="R54" s="21">
        <f t="shared" ref="R54:R57" si="139">E54-P54</f>
        <v>45</v>
      </c>
      <c r="S54" s="19">
        <f t="shared" ref="S54:S57" si="140">F54-Q54</f>
        <v>3.7349999999999999</v>
      </c>
      <c r="U54" s="29"/>
    </row>
    <row r="55" spans="1:21">
      <c r="A55" s="26" t="s">
        <v>13</v>
      </c>
      <c r="B55" s="26" t="s">
        <v>26</v>
      </c>
      <c r="C55" s="30">
        <v>8.3000000000000007</v>
      </c>
      <c r="D55" s="27">
        <v>10.5</v>
      </c>
      <c r="E55" s="28">
        <v>4</v>
      </c>
      <c r="F55" s="16">
        <f t="shared" si="133"/>
        <v>0.34860000000000002</v>
      </c>
      <c r="G55" s="17" t="s">
        <v>87</v>
      </c>
      <c r="H55" s="18">
        <v>2</v>
      </c>
      <c r="I55" s="19">
        <f t="shared" si="134"/>
        <v>0.17430000000000001</v>
      </c>
      <c r="J55" s="16"/>
      <c r="K55" s="18"/>
      <c r="L55" s="19">
        <f t="shared" si="135"/>
        <v>0</v>
      </c>
      <c r="M55" s="16"/>
      <c r="N55" s="18"/>
      <c r="O55" s="19">
        <f t="shared" si="136"/>
        <v>0</v>
      </c>
      <c r="P55" s="20">
        <f t="shared" si="137"/>
        <v>2</v>
      </c>
      <c r="Q55" s="19">
        <f t="shared" si="138"/>
        <v>0.17430000000000001</v>
      </c>
      <c r="R55" s="21">
        <f t="shared" si="139"/>
        <v>2</v>
      </c>
      <c r="S55" s="19">
        <f t="shared" si="140"/>
        <v>0.17430000000000001</v>
      </c>
      <c r="U55" s="29"/>
    </row>
    <row r="56" spans="1:21">
      <c r="A56" s="26" t="s">
        <v>13</v>
      </c>
      <c r="B56" s="26" t="s">
        <v>26</v>
      </c>
      <c r="C56" s="30">
        <v>8.3000000000000007</v>
      </c>
      <c r="D56" s="27">
        <v>11</v>
      </c>
      <c r="E56" s="28">
        <v>35</v>
      </c>
      <c r="F56" s="16">
        <f t="shared" si="133"/>
        <v>3.1955000000000005</v>
      </c>
      <c r="G56" s="16" t="s">
        <v>93</v>
      </c>
      <c r="H56" s="18">
        <v>54</v>
      </c>
      <c r="I56" s="19">
        <f t="shared" si="134"/>
        <v>4.930200000000001</v>
      </c>
      <c r="J56" s="16"/>
      <c r="K56" s="18"/>
      <c r="L56" s="19">
        <f t="shared" si="135"/>
        <v>0</v>
      </c>
      <c r="M56" s="16"/>
      <c r="N56" s="18"/>
      <c r="O56" s="19">
        <f t="shared" si="136"/>
        <v>0</v>
      </c>
      <c r="P56" s="20">
        <f t="shared" si="137"/>
        <v>54</v>
      </c>
      <c r="Q56" s="19">
        <f t="shared" si="138"/>
        <v>4.930200000000001</v>
      </c>
      <c r="R56" s="21">
        <f t="shared" si="139"/>
        <v>-19</v>
      </c>
      <c r="S56" s="19">
        <f t="shared" si="140"/>
        <v>-1.7347000000000006</v>
      </c>
      <c r="U56" s="29"/>
    </row>
    <row r="57" spans="1:21">
      <c r="A57" s="26" t="s">
        <v>13</v>
      </c>
      <c r="B57" s="26" t="s">
        <v>26</v>
      </c>
      <c r="C57" s="30">
        <v>8.3000000000000007</v>
      </c>
      <c r="D57" s="27">
        <v>11.5</v>
      </c>
      <c r="E57" s="28">
        <v>41</v>
      </c>
      <c r="F57" s="16">
        <f t="shared" si="133"/>
        <v>3.9134500000000001</v>
      </c>
      <c r="G57" s="16" t="s">
        <v>92</v>
      </c>
      <c r="H57" s="18">
        <f>5+8</f>
        <v>13</v>
      </c>
      <c r="I57" s="19">
        <f t="shared" si="134"/>
        <v>1.2408500000000002</v>
      </c>
      <c r="J57" s="16"/>
      <c r="K57" s="18"/>
      <c r="L57" s="19">
        <f t="shared" si="135"/>
        <v>0</v>
      </c>
      <c r="M57" s="16"/>
      <c r="N57" s="18"/>
      <c r="O57" s="19">
        <f t="shared" si="136"/>
        <v>0</v>
      </c>
      <c r="P57" s="20">
        <f t="shared" si="137"/>
        <v>13</v>
      </c>
      <c r="Q57" s="19">
        <f t="shared" si="138"/>
        <v>1.2408500000000002</v>
      </c>
      <c r="R57" s="21">
        <f t="shared" si="139"/>
        <v>28</v>
      </c>
      <c r="S57" s="19">
        <f t="shared" si="140"/>
        <v>2.6726000000000001</v>
      </c>
      <c r="U57" s="29"/>
    </row>
    <row r="58" spans="1:21">
      <c r="A58" s="26" t="s">
        <v>13</v>
      </c>
      <c r="B58" s="26" t="s">
        <v>26</v>
      </c>
      <c r="C58" s="30">
        <v>8.3000000000000007</v>
      </c>
      <c r="D58" s="27">
        <v>12</v>
      </c>
      <c r="E58" s="28">
        <v>32</v>
      </c>
      <c r="F58" s="16">
        <f t="shared" ref="F58:F59" si="141">(C58*D58*E58/1000)</f>
        <v>3.1872000000000003</v>
      </c>
      <c r="G58" s="16" t="s">
        <v>91</v>
      </c>
      <c r="H58" s="18">
        <f>23+12</f>
        <v>35</v>
      </c>
      <c r="I58" s="19">
        <f t="shared" ref="I58:I59" si="142">(C58*D58*H58/1000)</f>
        <v>3.4860000000000007</v>
      </c>
      <c r="J58" s="16"/>
      <c r="K58" s="18"/>
      <c r="L58" s="19">
        <f t="shared" ref="L58:L59" si="143">(C58*D58*K58/1000)</f>
        <v>0</v>
      </c>
      <c r="M58" s="16"/>
      <c r="N58" s="18"/>
      <c r="O58" s="19">
        <f t="shared" ref="O58:O59" si="144">(C58*D58*N58/1000)</f>
        <v>0</v>
      </c>
      <c r="P58" s="20">
        <f t="shared" ref="P58:P59" si="145">+H58+K58+N58</f>
        <v>35</v>
      </c>
      <c r="Q58" s="19">
        <f t="shared" ref="Q58:Q59" si="146">+I58+L58+O58</f>
        <v>3.4860000000000007</v>
      </c>
      <c r="R58" s="21">
        <f t="shared" ref="R58:R59" si="147">E58-P58</f>
        <v>-3</v>
      </c>
      <c r="S58" s="19">
        <f t="shared" ref="S58:S59" si="148">F58-Q58</f>
        <v>-0.2988000000000004</v>
      </c>
      <c r="U58" s="29"/>
    </row>
    <row r="59" spans="1:21">
      <c r="A59" s="26" t="s">
        <v>13</v>
      </c>
      <c r="B59" s="26" t="s">
        <v>26</v>
      </c>
      <c r="C59" s="30">
        <v>8.3000000000000007</v>
      </c>
      <c r="D59" s="27">
        <v>10.1</v>
      </c>
      <c r="E59" s="28"/>
      <c r="F59" s="16">
        <f t="shared" si="141"/>
        <v>0</v>
      </c>
      <c r="G59" s="16" t="s">
        <v>98</v>
      </c>
      <c r="H59" s="18">
        <v>7</v>
      </c>
      <c r="I59" s="19">
        <f t="shared" si="142"/>
        <v>0.58680999999999994</v>
      </c>
      <c r="J59" s="16"/>
      <c r="K59" s="18"/>
      <c r="L59" s="19">
        <f t="shared" si="143"/>
        <v>0</v>
      </c>
      <c r="M59" s="16"/>
      <c r="N59" s="18"/>
      <c r="O59" s="19">
        <f t="shared" si="144"/>
        <v>0</v>
      </c>
      <c r="P59" s="20">
        <f t="shared" si="145"/>
        <v>7</v>
      </c>
      <c r="Q59" s="19">
        <f t="shared" si="146"/>
        <v>0.58680999999999994</v>
      </c>
      <c r="R59" s="21">
        <f t="shared" si="147"/>
        <v>-7</v>
      </c>
      <c r="S59" s="19">
        <f t="shared" si="148"/>
        <v>-0.58680999999999994</v>
      </c>
      <c r="U59" s="29"/>
    </row>
    <row r="60" spans="1:21">
      <c r="A60" s="26" t="s">
        <v>13</v>
      </c>
      <c r="B60" s="26" t="s">
        <v>26</v>
      </c>
      <c r="C60" s="30">
        <v>8.3000000000000007</v>
      </c>
      <c r="D60" s="27">
        <v>5.6</v>
      </c>
      <c r="E60" s="28"/>
      <c r="F60" s="16">
        <f t="shared" ref="F60:F74" si="149">(C60*D60*E60/1000)</f>
        <v>0</v>
      </c>
      <c r="G60" s="17"/>
      <c r="H60" s="18">
        <v>4</v>
      </c>
      <c r="I60" s="19">
        <f t="shared" ref="I60:I74" si="150">(C60*D60*H60/1000)</f>
        <v>0.18592000000000003</v>
      </c>
      <c r="J60" s="16"/>
      <c r="K60" s="18"/>
      <c r="L60" s="19">
        <f t="shared" ref="L60:L74" si="151">(C60*D60*K60/1000)</f>
        <v>0</v>
      </c>
      <c r="M60" s="16"/>
      <c r="N60" s="18"/>
      <c r="O60" s="19">
        <f t="shared" ref="O60:O74" si="152">(C60*D60*N60/1000)</f>
        <v>0</v>
      </c>
      <c r="P60" s="20">
        <f t="shared" ref="P60:P74" si="153">+H60+K60+N60</f>
        <v>4</v>
      </c>
      <c r="Q60" s="19">
        <f t="shared" ref="Q60:Q74" si="154">+I60+L60+O60</f>
        <v>0.18592000000000003</v>
      </c>
      <c r="R60" s="21">
        <f t="shared" ref="R60:R74" si="155">E60-P60</f>
        <v>-4</v>
      </c>
      <c r="S60" s="19">
        <f t="shared" ref="S60:S74" si="156">F60-Q60</f>
        <v>-0.18592000000000003</v>
      </c>
      <c r="U60" s="29"/>
    </row>
    <row r="61" spans="1:21">
      <c r="A61" s="26" t="s">
        <v>13</v>
      </c>
      <c r="B61" s="26" t="s">
        <v>26</v>
      </c>
      <c r="C61" s="30">
        <v>8.3000000000000007</v>
      </c>
      <c r="D61" s="27">
        <v>6</v>
      </c>
      <c r="E61" s="28"/>
      <c r="F61" s="16">
        <f t="shared" si="149"/>
        <v>0</v>
      </c>
      <c r="G61" s="17"/>
      <c r="H61" s="18">
        <v>3</v>
      </c>
      <c r="I61" s="19">
        <f t="shared" si="150"/>
        <v>0.14940000000000001</v>
      </c>
      <c r="J61" s="16"/>
      <c r="K61" s="18"/>
      <c r="L61" s="19">
        <f t="shared" si="151"/>
        <v>0</v>
      </c>
      <c r="M61" s="16"/>
      <c r="N61" s="18"/>
      <c r="O61" s="19">
        <f t="shared" si="152"/>
        <v>0</v>
      </c>
      <c r="P61" s="20">
        <f t="shared" si="153"/>
        <v>3</v>
      </c>
      <c r="Q61" s="19">
        <f t="shared" si="154"/>
        <v>0.14940000000000001</v>
      </c>
      <c r="R61" s="21">
        <f t="shared" si="155"/>
        <v>-3</v>
      </c>
      <c r="S61" s="19">
        <f t="shared" si="156"/>
        <v>-0.14940000000000001</v>
      </c>
      <c r="U61" s="29"/>
    </row>
    <row r="62" spans="1:21">
      <c r="A62" s="26" t="s">
        <v>13</v>
      </c>
      <c r="B62" s="26" t="s">
        <v>26</v>
      </c>
      <c r="C62" s="30">
        <v>8.3000000000000007</v>
      </c>
      <c r="D62" s="27">
        <v>6.1</v>
      </c>
      <c r="E62" s="28"/>
      <c r="F62" s="16">
        <f t="shared" si="149"/>
        <v>0</v>
      </c>
      <c r="G62" s="17"/>
      <c r="H62" s="18">
        <v>4</v>
      </c>
      <c r="I62" s="19">
        <f t="shared" si="150"/>
        <v>0.20252000000000001</v>
      </c>
      <c r="J62" s="16"/>
      <c r="K62" s="18"/>
      <c r="L62" s="19">
        <f t="shared" si="151"/>
        <v>0</v>
      </c>
      <c r="M62" s="16"/>
      <c r="N62" s="18"/>
      <c r="O62" s="19">
        <f t="shared" si="152"/>
        <v>0</v>
      </c>
      <c r="P62" s="20">
        <f t="shared" si="153"/>
        <v>4</v>
      </c>
      <c r="Q62" s="19">
        <f t="shared" si="154"/>
        <v>0.20252000000000001</v>
      </c>
      <c r="R62" s="21">
        <f t="shared" si="155"/>
        <v>-4</v>
      </c>
      <c r="S62" s="19">
        <f t="shared" si="156"/>
        <v>-0.20252000000000001</v>
      </c>
      <c r="U62" s="29"/>
    </row>
    <row r="63" spans="1:21">
      <c r="A63" s="26" t="s">
        <v>13</v>
      </c>
      <c r="B63" s="26" t="s">
        <v>26</v>
      </c>
      <c r="C63" s="30">
        <v>8.3000000000000007</v>
      </c>
      <c r="D63" s="27">
        <v>6.5</v>
      </c>
      <c r="E63" s="28"/>
      <c r="F63" s="16">
        <f t="shared" si="149"/>
        <v>0</v>
      </c>
      <c r="G63" s="17"/>
      <c r="H63" s="18">
        <v>2</v>
      </c>
      <c r="I63" s="19">
        <f t="shared" si="150"/>
        <v>0.10790000000000001</v>
      </c>
      <c r="J63" s="16"/>
      <c r="K63" s="18"/>
      <c r="L63" s="19">
        <f t="shared" si="151"/>
        <v>0</v>
      </c>
      <c r="M63" s="16"/>
      <c r="N63" s="18"/>
      <c r="O63" s="19">
        <f t="shared" si="152"/>
        <v>0</v>
      </c>
      <c r="P63" s="20">
        <f t="shared" si="153"/>
        <v>2</v>
      </c>
      <c r="Q63" s="19">
        <f t="shared" si="154"/>
        <v>0.10790000000000001</v>
      </c>
      <c r="R63" s="21">
        <f t="shared" si="155"/>
        <v>-2</v>
      </c>
      <c r="S63" s="19">
        <f t="shared" si="156"/>
        <v>-0.10790000000000001</v>
      </c>
      <c r="U63" s="29"/>
    </row>
    <row r="64" spans="1:21">
      <c r="A64" s="26" t="s">
        <v>13</v>
      </c>
      <c r="B64" s="26" t="s">
        <v>26</v>
      </c>
      <c r="C64" s="30">
        <v>8.3000000000000007</v>
      </c>
      <c r="D64" s="27">
        <v>7</v>
      </c>
      <c r="E64" s="28"/>
      <c r="F64" s="16">
        <f t="shared" si="149"/>
        <v>0</v>
      </c>
      <c r="G64" s="17"/>
      <c r="H64" s="18">
        <v>1</v>
      </c>
      <c r="I64" s="19">
        <f t="shared" si="150"/>
        <v>5.8100000000000006E-2</v>
      </c>
      <c r="J64" s="16"/>
      <c r="K64" s="18"/>
      <c r="L64" s="19">
        <f t="shared" si="151"/>
        <v>0</v>
      </c>
      <c r="M64" s="16"/>
      <c r="N64" s="18"/>
      <c r="O64" s="19">
        <f t="shared" si="152"/>
        <v>0</v>
      </c>
      <c r="P64" s="20">
        <f t="shared" si="153"/>
        <v>1</v>
      </c>
      <c r="Q64" s="19">
        <f t="shared" si="154"/>
        <v>5.8100000000000006E-2</v>
      </c>
      <c r="R64" s="21">
        <f t="shared" si="155"/>
        <v>-1</v>
      </c>
      <c r="S64" s="19">
        <f t="shared" si="156"/>
        <v>-5.8100000000000006E-2</v>
      </c>
      <c r="U64" s="29"/>
    </row>
    <row r="65" spans="1:21">
      <c r="A65" s="26" t="s">
        <v>13</v>
      </c>
      <c r="B65" s="26" t="s">
        <v>26</v>
      </c>
      <c r="C65" s="30">
        <v>8.3000000000000007</v>
      </c>
      <c r="D65" s="27">
        <v>8.5</v>
      </c>
      <c r="E65" s="28"/>
      <c r="F65" s="16">
        <f t="shared" si="149"/>
        <v>0</v>
      </c>
      <c r="G65" s="17"/>
      <c r="H65" s="18">
        <v>4</v>
      </c>
      <c r="I65" s="19">
        <f t="shared" si="150"/>
        <v>0.28220000000000006</v>
      </c>
      <c r="J65" s="16"/>
      <c r="K65" s="18"/>
      <c r="L65" s="19">
        <f t="shared" si="151"/>
        <v>0</v>
      </c>
      <c r="M65" s="16"/>
      <c r="N65" s="18"/>
      <c r="O65" s="19">
        <f t="shared" si="152"/>
        <v>0</v>
      </c>
      <c r="P65" s="20">
        <f t="shared" si="153"/>
        <v>4</v>
      </c>
      <c r="Q65" s="19">
        <f t="shared" si="154"/>
        <v>0.28220000000000006</v>
      </c>
      <c r="R65" s="21">
        <f t="shared" si="155"/>
        <v>-4</v>
      </c>
      <c r="S65" s="19">
        <f t="shared" si="156"/>
        <v>-0.28220000000000006</v>
      </c>
      <c r="U65" s="29"/>
    </row>
    <row r="66" spans="1:21">
      <c r="A66" s="26" t="s">
        <v>13</v>
      </c>
      <c r="B66" s="26" t="s">
        <v>26</v>
      </c>
      <c r="C66" s="30">
        <v>8.3000000000000007</v>
      </c>
      <c r="D66" s="27">
        <v>8.6999999999999993</v>
      </c>
      <c r="E66" s="28"/>
      <c r="F66" s="16">
        <f t="shared" si="149"/>
        <v>0</v>
      </c>
      <c r="G66" s="17"/>
      <c r="H66" s="18">
        <v>1</v>
      </c>
      <c r="I66" s="19">
        <f t="shared" si="150"/>
        <v>7.2209999999999996E-2</v>
      </c>
      <c r="J66" s="16"/>
      <c r="K66" s="18"/>
      <c r="L66" s="19">
        <f t="shared" si="151"/>
        <v>0</v>
      </c>
      <c r="M66" s="16"/>
      <c r="N66" s="18"/>
      <c r="O66" s="19">
        <f t="shared" si="152"/>
        <v>0</v>
      </c>
      <c r="P66" s="20">
        <f t="shared" si="153"/>
        <v>1</v>
      </c>
      <c r="Q66" s="19">
        <f t="shared" si="154"/>
        <v>7.2209999999999996E-2</v>
      </c>
      <c r="R66" s="21">
        <f t="shared" si="155"/>
        <v>-1</v>
      </c>
      <c r="S66" s="19">
        <f t="shared" si="156"/>
        <v>-7.2209999999999996E-2</v>
      </c>
      <c r="U66" s="29"/>
    </row>
    <row r="67" spans="1:21">
      <c r="A67" s="26" t="s">
        <v>13</v>
      </c>
      <c r="B67" s="26" t="s">
        <v>26</v>
      </c>
      <c r="C67" s="30">
        <v>8.3000000000000007</v>
      </c>
      <c r="D67" s="27">
        <v>9</v>
      </c>
      <c r="E67" s="28"/>
      <c r="F67" s="16">
        <f t="shared" si="149"/>
        <v>0</v>
      </c>
      <c r="G67" s="17"/>
      <c r="H67" s="18">
        <v>4</v>
      </c>
      <c r="I67" s="19">
        <f t="shared" si="150"/>
        <v>0.29880000000000001</v>
      </c>
      <c r="J67" s="16"/>
      <c r="K67" s="18"/>
      <c r="L67" s="19">
        <f t="shared" si="151"/>
        <v>0</v>
      </c>
      <c r="M67" s="16"/>
      <c r="N67" s="18"/>
      <c r="O67" s="19">
        <f t="shared" si="152"/>
        <v>0</v>
      </c>
      <c r="P67" s="20">
        <f t="shared" si="153"/>
        <v>4</v>
      </c>
      <c r="Q67" s="19">
        <f t="shared" si="154"/>
        <v>0.29880000000000001</v>
      </c>
      <c r="R67" s="21">
        <f t="shared" si="155"/>
        <v>-4</v>
      </c>
      <c r="S67" s="19">
        <f t="shared" si="156"/>
        <v>-0.29880000000000001</v>
      </c>
      <c r="U67" s="29"/>
    </row>
    <row r="68" spans="1:21">
      <c r="A68" s="26" t="s">
        <v>13</v>
      </c>
      <c r="B68" s="26" t="s">
        <v>26</v>
      </c>
      <c r="C68" s="30">
        <v>8.3000000000000007</v>
      </c>
      <c r="D68" s="27">
        <v>9.1999999999999993</v>
      </c>
      <c r="E68" s="28"/>
      <c r="F68" s="16">
        <f t="shared" si="149"/>
        <v>0</v>
      </c>
      <c r="G68" s="17"/>
      <c r="H68" s="18">
        <v>2</v>
      </c>
      <c r="I68" s="19">
        <f t="shared" si="150"/>
        <v>0.15271999999999999</v>
      </c>
      <c r="J68" s="16"/>
      <c r="K68" s="18"/>
      <c r="L68" s="19">
        <f t="shared" si="151"/>
        <v>0</v>
      </c>
      <c r="M68" s="16"/>
      <c r="N68" s="18"/>
      <c r="O68" s="19">
        <f t="shared" si="152"/>
        <v>0</v>
      </c>
      <c r="P68" s="20">
        <f t="shared" si="153"/>
        <v>2</v>
      </c>
      <c r="Q68" s="19">
        <f t="shared" si="154"/>
        <v>0.15271999999999999</v>
      </c>
      <c r="R68" s="21">
        <f t="shared" si="155"/>
        <v>-2</v>
      </c>
      <c r="S68" s="19">
        <f t="shared" si="156"/>
        <v>-0.15271999999999999</v>
      </c>
      <c r="U68" s="29"/>
    </row>
    <row r="69" spans="1:21">
      <c r="A69" s="26" t="s">
        <v>13</v>
      </c>
      <c r="B69" s="26" t="s">
        <v>26</v>
      </c>
      <c r="C69" s="30">
        <v>8.3000000000000007</v>
      </c>
      <c r="D69" s="27">
        <v>9.5</v>
      </c>
      <c r="E69" s="28"/>
      <c r="F69" s="16">
        <f t="shared" si="149"/>
        <v>0</v>
      </c>
      <c r="G69" s="17"/>
      <c r="H69" s="18">
        <v>11</v>
      </c>
      <c r="I69" s="19">
        <f t="shared" si="150"/>
        <v>0.86735000000000018</v>
      </c>
      <c r="J69" s="16"/>
      <c r="K69" s="18"/>
      <c r="L69" s="19">
        <f t="shared" si="151"/>
        <v>0</v>
      </c>
      <c r="M69" s="16"/>
      <c r="N69" s="18"/>
      <c r="O69" s="19">
        <f t="shared" si="152"/>
        <v>0</v>
      </c>
      <c r="P69" s="20">
        <f>+H69+K69+N69</f>
        <v>11</v>
      </c>
      <c r="Q69" s="19">
        <f t="shared" si="154"/>
        <v>0.86735000000000018</v>
      </c>
      <c r="R69" s="21">
        <f t="shared" si="155"/>
        <v>-11</v>
      </c>
      <c r="S69" s="19">
        <f t="shared" si="156"/>
        <v>-0.86735000000000018</v>
      </c>
      <c r="U69" s="29"/>
    </row>
    <row r="70" spans="1:21">
      <c r="A70" s="26" t="s">
        <v>13</v>
      </c>
      <c r="B70" s="26" t="s">
        <v>26</v>
      </c>
      <c r="C70" s="30">
        <v>8.3000000000000007</v>
      </c>
      <c r="D70" s="27">
        <v>9.6</v>
      </c>
      <c r="E70" s="28"/>
      <c r="F70" s="16">
        <f t="shared" si="149"/>
        <v>0</v>
      </c>
      <c r="G70" s="17"/>
      <c r="H70" s="18">
        <v>1</v>
      </c>
      <c r="I70" s="19">
        <f t="shared" si="150"/>
        <v>7.9680000000000001E-2</v>
      </c>
      <c r="J70" s="16"/>
      <c r="K70" s="18"/>
      <c r="L70" s="19">
        <f t="shared" si="151"/>
        <v>0</v>
      </c>
      <c r="M70" s="16"/>
      <c r="N70" s="18"/>
      <c r="O70" s="19">
        <f t="shared" si="152"/>
        <v>0</v>
      </c>
      <c r="P70" s="20">
        <f t="shared" si="153"/>
        <v>1</v>
      </c>
      <c r="Q70" s="19">
        <f t="shared" si="154"/>
        <v>7.9680000000000001E-2</v>
      </c>
      <c r="R70" s="21">
        <f t="shared" si="155"/>
        <v>-1</v>
      </c>
      <c r="S70" s="19">
        <f t="shared" si="156"/>
        <v>-7.9680000000000001E-2</v>
      </c>
      <c r="U70" s="29"/>
    </row>
    <row r="71" spans="1:21">
      <c r="A71" s="26" t="s">
        <v>13</v>
      </c>
      <c r="B71" s="26" t="s">
        <v>26</v>
      </c>
      <c r="C71" s="30">
        <v>8.3000000000000007</v>
      </c>
      <c r="D71" s="27">
        <v>9.6999999999999993</v>
      </c>
      <c r="E71" s="28"/>
      <c r="F71" s="16">
        <f t="shared" si="149"/>
        <v>0</v>
      </c>
      <c r="G71" s="17"/>
      <c r="H71" s="18">
        <v>1</v>
      </c>
      <c r="I71" s="19">
        <f t="shared" si="150"/>
        <v>8.0509999999999998E-2</v>
      </c>
      <c r="J71" s="16"/>
      <c r="K71" s="18"/>
      <c r="L71" s="19">
        <f t="shared" si="151"/>
        <v>0</v>
      </c>
      <c r="M71" s="16"/>
      <c r="N71" s="18"/>
      <c r="O71" s="19">
        <f t="shared" si="152"/>
        <v>0</v>
      </c>
      <c r="P71" s="20">
        <f t="shared" si="153"/>
        <v>1</v>
      </c>
      <c r="Q71" s="19">
        <f t="shared" si="154"/>
        <v>8.0509999999999998E-2</v>
      </c>
      <c r="R71" s="21">
        <f t="shared" si="155"/>
        <v>-1</v>
      </c>
      <c r="S71" s="19">
        <f t="shared" si="156"/>
        <v>-8.0509999999999998E-2</v>
      </c>
      <c r="U71" s="29"/>
    </row>
    <row r="72" spans="1:21">
      <c r="A72" s="26" t="s">
        <v>13</v>
      </c>
      <c r="B72" s="26" t="s">
        <v>26</v>
      </c>
      <c r="C72" s="30">
        <v>8.3000000000000007</v>
      </c>
      <c r="D72" s="27">
        <v>9.8000000000000007</v>
      </c>
      <c r="E72" s="28"/>
      <c r="F72" s="16">
        <f t="shared" si="149"/>
        <v>0</v>
      </c>
      <c r="G72" s="17"/>
      <c r="H72" s="18">
        <v>4</v>
      </c>
      <c r="I72" s="19">
        <f t="shared" si="150"/>
        <v>0.32536000000000009</v>
      </c>
      <c r="J72" s="16"/>
      <c r="K72" s="18"/>
      <c r="L72" s="19">
        <f t="shared" si="151"/>
        <v>0</v>
      </c>
      <c r="M72" s="16"/>
      <c r="N72" s="18"/>
      <c r="O72" s="19">
        <f t="shared" si="152"/>
        <v>0</v>
      </c>
      <c r="P72" s="20">
        <f t="shared" si="153"/>
        <v>4</v>
      </c>
      <c r="Q72" s="19">
        <f t="shared" si="154"/>
        <v>0.32536000000000009</v>
      </c>
      <c r="R72" s="21">
        <f t="shared" si="155"/>
        <v>-4</v>
      </c>
      <c r="S72" s="19">
        <f t="shared" si="156"/>
        <v>-0.32536000000000009</v>
      </c>
      <c r="U72" s="29"/>
    </row>
    <row r="73" spans="1:21">
      <c r="A73" s="26" t="s">
        <v>13</v>
      </c>
      <c r="B73" s="26" t="s">
        <v>26</v>
      </c>
      <c r="C73" s="30">
        <v>8.3000000000000007</v>
      </c>
      <c r="D73" s="27">
        <v>9.9</v>
      </c>
      <c r="E73" s="28"/>
      <c r="F73" s="16">
        <f t="shared" si="149"/>
        <v>0</v>
      </c>
      <c r="G73" s="17"/>
      <c r="H73" s="18">
        <v>1</v>
      </c>
      <c r="I73" s="19">
        <f t="shared" si="150"/>
        <v>8.2170000000000021E-2</v>
      </c>
      <c r="J73" s="16"/>
      <c r="K73" s="18"/>
      <c r="L73" s="19">
        <f t="shared" si="151"/>
        <v>0</v>
      </c>
      <c r="M73" s="16"/>
      <c r="N73" s="18"/>
      <c r="O73" s="19">
        <f t="shared" si="152"/>
        <v>0</v>
      </c>
      <c r="P73" s="20">
        <f t="shared" si="153"/>
        <v>1</v>
      </c>
      <c r="Q73" s="19">
        <f t="shared" si="154"/>
        <v>8.2170000000000021E-2</v>
      </c>
      <c r="R73" s="21">
        <f t="shared" si="155"/>
        <v>-1</v>
      </c>
      <c r="S73" s="19">
        <f t="shared" si="156"/>
        <v>-8.2170000000000021E-2</v>
      </c>
      <c r="U73" s="29"/>
    </row>
    <row r="74" spans="1:21">
      <c r="A74" s="26" t="s">
        <v>13</v>
      </c>
      <c r="B74" s="26" t="s">
        <v>26</v>
      </c>
      <c r="C74" s="30">
        <v>8.3000000000000007</v>
      </c>
      <c r="D74" s="27">
        <v>10.199999999999999</v>
      </c>
      <c r="E74" s="28"/>
      <c r="F74" s="16">
        <f t="shared" si="149"/>
        <v>0</v>
      </c>
      <c r="G74" s="17"/>
      <c r="H74" s="18">
        <v>1</v>
      </c>
      <c r="I74" s="19">
        <f t="shared" si="150"/>
        <v>8.4659999999999999E-2</v>
      </c>
      <c r="J74" s="16"/>
      <c r="K74" s="18"/>
      <c r="L74" s="19">
        <f t="shared" si="151"/>
        <v>0</v>
      </c>
      <c r="M74" s="16"/>
      <c r="N74" s="18"/>
      <c r="O74" s="19">
        <f t="shared" si="152"/>
        <v>0</v>
      </c>
      <c r="P74" s="20">
        <f t="shared" si="153"/>
        <v>1</v>
      </c>
      <c r="Q74" s="19">
        <f t="shared" si="154"/>
        <v>8.4659999999999999E-2</v>
      </c>
      <c r="R74" s="21">
        <f t="shared" si="155"/>
        <v>-1</v>
      </c>
      <c r="S74" s="19">
        <f t="shared" si="156"/>
        <v>-8.4659999999999999E-2</v>
      </c>
      <c r="U74" s="29"/>
    </row>
    <row r="75" spans="1:21">
      <c r="A75" s="26"/>
      <c r="B75" s="26"/>
      <c r="C75" s="30"/>
      <c r="D75" s="38"/>
      <c r="E75" s="31">
        <f>SUM(E54:E74)</f>
        <v>159</v>
      </c>
      <c r="F75" s="38">
        <f>SUM(F54:F74)</f>
        <v>14.545750000000002</v>
      </c>
      <c r="G75" s="17"/>
      <c r="H75" s="31">
        <f>SUM(H54:H74)</f>
        <v>157</v>
      </c>
      <c r="I75" s="38">
        <f>SUM(I54:I74)</f>
        <v>13.613659999999999</v>
      </c>
      <c r="J75" s="16"/>
      <c r="K75" s="31">
        <f>SUM(K54:K74)</f>
        <v>0</v>
      </c>
      <c r="L75" s="38">
        <f>SUM(L54:L74)</f>
        <v>0</v>
      </c>
      <c r="M75" s="16"/>
      <c r="N75" s="31">
        <f t="shared" ref="N75:S75" si="157">SUM(N54:N74)</f>
        <v>0</v>
      </c>
      <c r="O75" s="38">
        <f t="shared" si="157"/>
        <v>0</v>
      </c>
      <c r="P75" s="31">
        <f t="shared" si="157"/>
        <v>157</v>
      </c>
      <c r="Q75" s="38">
        <f t="shared" si="157"/>
        <v>13.613659999999999</v>
      </c>
      <c r="R75" s="31">
        <f t="shared" si="157"/>
        <v>2</v>
      </c>
      <c r="S75" s="38">
        <f t="shared" si="157"/>
        <v>0.93208999999999942</v>
      </c>
      <c r="U75" s="29"/>
    </row>
    <row r="76" spans="1:21" hidden="1">
      <c r="A76" s="26" t="s">
        <v>13</v>
      </c>
      <c r="B76" s="26" t="s">
        <v>37</v>
      </c>
      <c r="C76" s="30">
        <v>9.61</v>
      </c>
      <c r="D76" s="27">
        <v>10</v>
      </c>
      <c r="E76" s="28">
        <v>29</v>
      </c>
      <c r="F76" s="16">
        <f t="shared" ref="F76:F81" si="158">(C76*D76*E76/1000)</f>
        <v>2.7868999999999997</v>
      </c>
      <c r="G76" s="16" t="s">
        <v>93</v>
      </c>
      <c r="H76" s="18">
        <v>22</v>
      </c>
      <c r="I76" s="19">
        <f t="shared" ref="I76:I81" si="159">(C76*D76*H76/1000)</f>
        <v>2.1141999999999999</v>
      </c>
      <c r="J76" s="17" t="s">
        <v>88</v>
      </c>
      <c r="K76" s="18"/>
      <c r="L76" s="19">
        <f t="shared" ref="L76:L81" si="160">(C76*D76*K76/1000)</f>
        <v>0</v>
      </c>
      <c r="M76" s="17" t="s">
        <v>88</v>
      </c>
      <c r="N76" s="18">
        <v>1</v>
      </c>
      <c r="O76" s="19">
        <f t="shared" ref="O76:O81" si="161">(C76*D76*N76/1000)</f>
        <v>9.6099999999999991E-2</v>
      </c>
      <c r="P76" s="20">
        <f t="shared" ref="P76:P81" si="162">+H76+K76+N76</f>
        <v>23</v>
      </c>
      <c r="Q76" s="19">
        <f t="shared" ref="Q76:Q81" si="163">+I76+L76+O76</f>
        <v>2.2102999999999997</v>
      </c>
      <c r="R76" s="21">
        <f t="shared" ref="R76:R81" si="164">E76-P76</f>
        <v>6</v>
      </c>
      <c r="S76" s="19">
        <f t="shared" ref="S76:S81" si="165">F76-Q76</f>
        <v>0.5766</v>
      </c>
      <c r="U76" s="29"/>
    </row>
    <row r="77" spans="1:21" hidden="1">
      <c r="A77" s="26" t="s">
        <v>13</v>
      </c>
      <c r="B77" s="26" t="s">
        <v>37</v>
      </c>
      <c r="C77" s="30">
        <v>9.61</v>
      </c>
      <c r="D77" s="27">
        <v>11.5</v>
      </c>
      <c r="E77" s="28">
        <v>27</v>
      </c>
      <c r="F77" s="16">
        <f t="shared" si="158"/>
        <v>2.9839049999999996</v>
      </c>
      <c r="G77" s="16" t="s">
        <v>92</v>
      </c>
      <c r="H77" s="18">
        <v>9</v>
      </c>
      <c r="I77" s="19">
        <f t="shared" si="159"/>
        <v>0.99463499999999982</v>
      </c>
      <c r="J77" s="17" t="s">
        <v>98</v>
      </c>
      <c r="K77" s="18">
        <v>7</v>
      </c>
      <c r="L77" s="19">
        <f t="shared" si="160"/>
        <v>0.77360499999999988</v>
      </c>
      <c r="M77" s="17" t="s">
        <v>109</v>
      </c>
      <c r="N77" s="18">
        <v>3</v>
      </c>
      <c r="O77" s="19">
        <f t="shared" si="161"/>
        <v>0.33154499999999998</v>
      </c>
      <c r="P77" s="20">
        <f t="shared" si="162"/>
        <v>19</v>
      </c>
      <c r="Q77" s="19">
        <f t="shared" si="163"/>
        <v>2.0997849999999998</v>
      </c>
      <c r="R77" s="21">
        <f t="shared" si="164"/>
        <v>8</v>
      </c>
      <c r="S77" s="19">
        <f t="shared" si="165"/>
        <v>0.88411999999999979</v>
      </c>
      <c r="U77" s="29"/>
    </row>
    <row r="78" spans="1:21" hidden="1">
      <c r="A78" s="26" t="s">
        <v>13</v>
      </c>
      <c r="B78" s="26" t="s">
        <v>37</v>
      </c>
      <c r="C78" s="30">
        <v>9.61</v>
      </c>
      <c r="D78" s="27">
        <v>12</v>
      </c>
      <c r="E78" s="28">
        <v>23</v>
      </c>
      <c r="F78" s="16">
        <f t="shared" si="158"/>
        <v>2.6523599999999998</v>
      </c>
      <c r="G78" s="17"/>
      <c r="H78" s="18">
        <v>18</v>
      </c>
      <c r="I78" s="19">
        <f t="shared" si="159"/>
        <v>2.0757599999999998</v>
      </c>
      <c r="J78" s="16"/>
      <c r="K78" s="18"/>
      <c r="L78" s="19">
        <f t="shared" si="160"/>
        <v>0</v>
      </c>
      <c r="M78" s="16"/>
      <c r="N78" s="18">
        <v>5</v>
      </c>
      <c r="O78" s="19">
        <f t="shared" si="161"/>
        <v>0.57659999999999989</v>
      </c>
      <c r="P78" s="20">
        <f t="shared" si="162"/>
        <v>23</v>
      </c>
      <c r="Q78" s="19">
        <f t="shared" si="163"/>
        <v>2.6523599999999998</v>
      </c>
      <c r="R78" s="21">
        <f t="shared" si="164"/>
        <v>0</v>
      </c>
      <c r="S78" s="19">
        <f t="shared" si="165"/>
        <v>0</v>
      </c>
      <c r="U78" s="29"/>
    </row>
    <row r="79" spans="1:21" hidden="1">
      <c r="A79" s="26" t="s">
        <v>13</v>
      </c>
      <c r="B79" s="26" t="s">
        <v>37</v>
      </c>
      <c r="C79" s="30">
        <v>9.61</v>
      </c>
      <c r="D79" s="27">
        <v>10.5</v>
      </c>
      <c r="E79" s="28"/>
      <c r="F79" s="16">
        <f t="shared" si="158"/>
        <v>0</v>
      </c>
      <c r="G79" s="17"/>
      <c r="H79" s="18">
        <v>4</v>
      </c>
      <c r="I79" s="19">
        <f t="shared" si="159"/>
        <v>0.40361999999999998</v>
      </c>
      <c r="J79" s="16"/>
      <c r="K79" s="18"/>
      <c r="L79" s="19">
        <f t="shared" si="160"/>
        <v>0</v>
      </c>
      <c r="M79" s="16"/>
      <c r="N79" s="18">
        <v>10</v>
      </c>
      <c r="O79" s="19">
        <f t="shared" si="161"/>
        <v>1.00905</v>
      </c>
      <c r="P79" s="20">
        <f t="shared" si="162"/>
        <v>14</v>
      </c>
      <c r="Q79" s="19">
        <f t="shared" si="163"/>
        <v>1.4126699999999999</v>
      </c>
      <c r="R79" s="21">
        <f t="shared" si="164"/>
        <v>-14</v>
      </c>
      <c r="S79" s="19">
        <f t="shared" si="165"/>
        <v>-1.4126699999999999</v>
      </c>
      <c r="U79" s="29"/>
    </row>
    <row r="80" spans="1:21" hidden="1">
      <c r="A80" s="26" t="s">
        <v>13</v>
      </c>
      <c r="B80" s="26" t="s">
        <v>37</v>
      </c>
      <c r="C80" s="30">
        <v>9.61</v>
      </c>
      <c r="D80" s="27">
        <v>9.8000000000000007</v>
      </c>
      <c r="E80" s="28"/>
      <c r="F80" s="16">
        <f t="shared" si="158"/>
        <v>0</v>
      </c>
      <c r="G80" s="17"/>
      <c r="H80" s="18"/>
      <c r="I80" s="19">
        <f t="shared" si="159"/>
        <v>0</v>
      </c>
      <c r="J80" s="16"/>
      <c r="K80" s="18"/>
      <c r="L80" s="19">
        <f t="shared" si="160"/>
        <v>0</v>
      </c>
      <c r="M80" s="16"/>
      <c r="N80" s="18">
        <v>1</v>
      </c>
      <c r="O80" s="19">
        <f t="shared" si="161"/>
        <v>9.4177999999999998E-2</v>
      </c>
      <c r="P80" s="20">
        <f t="shared" si="162"/>
        <v>1</v>
      </c>
      <c r="Q80" s="19">
        <f t="shared" si="163"/>
        <v>9.4177999999999998E-2</v>
      </c>
      <c r="R80" s="21">
        <f t="shared" si="164"/>
        <v>-1</v>
      </c>
      <c r="S80" s="19">
        <f t="shared" si="165"/>
        <v>-9.4177999999999998E-2</v>
      </c>
      <c r="U80" s="29"/>
    </row>
    <row r="81" spans="1:21" hidden="1">
      <c r="A81" s="26" t="s">
        <v>13</v>
      </c>
      <c r="B81" s="26" t="s">
        <v>37</v>
      </c>
      <c r="C81" s="30">
        <v>9.61</v>
      </c>
      <c r="D81" s="27">
        <v>7.9</v>
      </c>
      <c r="E81" s="28"/>
      <c r="F81" s="16">
        <f t="shared" si="158"/>
        <v>0</v>
      </c>
      <c r="G81" s="17"/>
      <c r="H81" s="18"/>
      <c r="I81" s="19">
        <f t="shared" si="159"/>
        <v>0</v>
      </c>
      <c r="J81" s="16"/>
      <c r="K81" s="18"/>
      <c r="L81" s="19">
        <f t="shared" si="160"/>
        <v>0</v>
      </c>
      <c r="M81" s="16"/>
      <c r="N81" s="18">
        <v>1</v>
      </c>
      <c r="O81" s="19">
        <f t="shared" si="161"/>
        <v>7.5919E-2</v>
      </c>
      <c r="P81" s="20">
        <f t="shared" si="162"/>
        <v>1</v>
      </c>
      <c r="Q81" s="19">
        <f t="shared" si="163"/>
        <v>7.5919E-2</v>
      </c>
      <c r="R81" s="21">
        <f t="shared" si="164"/>
        <v>-1</v>
      </c>
      <c r="S81" s="19">
        <f t="shared" si="165"/>
        <v>-7.5919E-2</v>
      </c>
      <c r="U81" s="29"/>
    </row>
    <row r="82" spans="1:21" hidden="1">
      <c r="A82" s="26"/>
      <c r="B82" s="26"/>
      <c r="C82" s="30"/>
      <c r="D82" s="38"/>
      <c r="E82" s="31">
        <f t="shared" ref="E82" si="166">SUM(E76:E81)</f>
        <v>79</v>
      </c>
      <c r="F82" s="38">
        <f>SUM(F76:F81)</f>
        <v>8.4231649999999991</v>
      </c>
      <c r="G82" s="17"/>
      <c r="H82" s="31">
        <f t="shared" ref="H82:I82" si="167">SUM(H76:H81)</f>
        <v>53</v>
      </c>
      <c r="I82" s="38">
        <f t="shared" si="167"/>
        <v>5.5882149999999999</v>
      </c>
      <c r="J82" s="16"/>
      <c r="K82" s="31">
        <f t="shared" ref="K82:L82" si="168">SUM(K76:K81)</f>
        <v>7</v>
      </c>
      <c r="L82" s="38">
        <f t="shared" si="168"/>
        <v>0.77360499999999988</v>
      </c>
      <c r="M82" s="16"/>
      <c r="N82" s="31">
        <f t="shared" ref="N82:S82" si="169">SUM(N76:N81)</f>
        <v>21</v>
      </c>
      <c r="O82" s="38">
        <f t="shared" si="169"/>
        <v>2.1833919999999996</v>
      </c>
      <c r="P82" s="31">
        <f t="shared" si="169"/>
        <v>81</v>
      </c>
      <c r="Q82" s="38">
        <f t="shared" si="169"/>
        <v>8.5452119999999994</v>
      </c>
      <c r="R82" s="31">
        <f t="shared" si="169"/>
        <v>-2</v>
      </c>
      <c r="S82" s="38">
        <f t="shared" si="169"/>
        <v>-0.12204700000000007</v>
      </c>
      <c r="U82" s="29"/>
    </row>
    <row r="83" spans="1:21" hidden="1">
      <c r="A83" s="26" t="s">
        <v>24</v>
      </c>
      <c r="B83" s="26" t="s">
        <v>49</v>
      </c>
      <c r="C83" s="30">
        <v>14.7</v>
      </c>
      <c r="D83" s="27">
        <v>6.1</v>
      </c>
      <c r="E83" s="28">
        <v>8</v>
      </c>
      <c r="F83" s="16">
        <f t="shared" ref="F83:F91" si="170">(C83*D83*E83/1000)</f>
        <v>0.71735999999999989</v>
      </c>
      <c r="G83" s="16" t="s">
        <v>93</v>
      </c>
      <c r="H83" s="28">
        <v>8</v>
      </c>
      <c r="I83" s="19">
        <f t="shared" ref="I83:I91" si="171">(C83*D83*H83/1000)</f>
        <v>0.71735999999999989</v>
      </c>
      <c r="J83" s="17"/>
      <c r="K83" s="18"/>
      <c r="L83" s="19">
        <f t="shared" ref="L83:L91" si="172">(C83*D83*K83/1000)</f>
        <v>0</v>
      </c>
      <c r="M83" s="16"/>
      <c r="N83" s="18"/>
      <c r="O83" s="19">
        <f t="shared" ref="O83:O91" si="173">(C83*D83*N83/1000)</f>
        <v>0</v>
      </c>
      <c r="P83" s="20">
        <f t="shared" ref="P83:P91" si="174">+H83+K83+N83</f>
        <v>8</v>
      </c>
      <c r="Q83" s="19">
        <f t="shared" ref="Q83:Q91" si="175">+I83+L83+O83</f>
        <v>0.71735999999999989</v>
      </c>
      <c r="R83" s="21">
        <f t="shared" ref="R83:R91" si="176">E83-P83</f>
        <v>0</v>
      </c>
      <c r="S83" s="19">
        <f t="shared" ref="S83:S91" si="177">F83-Q83</f>
        <v>0</v>
      </c>
      <c r="U83" s="29"/>
    </row>
    <row r="84" spans="1:21" hidden="1">
      <c r="A84" s="26" t="s">
        <v>24</v>
      </c>
      <c r="B84" s="26" t="s">
        <v>49</v>
      </c>
      <c r="C84" s="30">
        <v>14.7</v>
      </c>
      <c r="D84" s="27">
        <v>7.4</v>
      </c>
      <c r="E84" s="28">
        <v>1</v>
      </c>
      <c r="F84" s="16">
        <f t="shared" si="170"/>
        <v>0.10878</v>
      </c>
      <c r="G84" s="16" t="s">
        <v>108</v>
      </c>
      <c r="H84" s="28">
        <v>1</v>
      </c>
      <c r="I84" s="19">
        <f t="shared" si="171"/>
        <v>0.10878</v>
      </c>
      <c r="J84" s="17"/>
      <c r="K84" s="18"/>
      <c r="L84" s="19">
        <f t="shared" si="172"/>
        <v>0</v>
      </c>
      <c r="M84" s="16"/>
      <c r="N84" s="18"/>
      <c r="O84" s="19">
        <f t="shared" si="173"/>
        <v>0</v>
      </c>
      <c r="P84" s="20">
        <f t="shared" si="174"/>
        <v>1</v>
      </c>
      <c r="Q84" s="19">
        <f t="shared" si="175"/>
        <v>0.10878</v>
      </c>
      <c r="R84" s="21">
        <f t="shared" si="176"/>
        <v>0</v>
      </c>
      <c r="S84" s="19">
        <f t="shared" si="177"/>
        <v>0</v>
      </c>
      <c r="U84" s="29"/>
    </row>
    <row r="85" spans="1:21" hidden="1">
      <c r="A85" s="26" t="s">
        <v>24</v>
      </c>
      <c r="B85" s="26" t="s">
        <v>49</v>
      </c>
      <c r="C85" s="30">
        <v>14.7</v>
      </c>
      <c r="D85" s="27">
        <v>6</v>
      </c>
      <c r="E85" s="28">
        <v>1</v>
      </c>
      <c r="F85" s="16">
        <f t="shared" si="170"/>
        <v>8.8199999999999987E-2</v>
      </c>
      <c r="G85" s="17"/>
      <c r="H85" s="28">
        <v>1</v>
      </c>
      <c r="I85" s="19">
        <f t="shared" si="171"/>
        <v>8.8199999999999987E-2</v>
      </c>
      <c r="J85" s="16"/>
      <c r="K85" s="18"/>
      <c r="L85" s="19">
        <f t="shared" si="172"/>
        <v>0</v>
      </c>
      <c r="M85" s="16"/>
      <c r="N85" s="18"/>
      <c r="O85" s="19">
        <f t="shared" si="173"/>
        <v>0</v>
      </c>
      <c r="P85" s="20">
        <f t="shared" si="174"/>
        <v>1</v>
      </c>
      <c r="Q85" s="19">
        <f t="shared" si="175"/>
        <v>8.8199999999999987E-2</v>
      </c>
      <c r="R85" s="21">
        <f t="shared" si="176"/>
        <v>0</v>
      </c>
      <c r="S85" s="19">
        <f t="shared" si="177"/>
        <v>0</v>
      </c>
      <c r="U85" s="29"/>
    </row>
    <row r="86" spans="1:21" hidden="1">
      <c r="A86" s="26" t="s">
        <v>24</v>
      </c>
      <c r="B86" s="26" t="s">
        <v>49</v>
      </c>
      <c r="C86" s="30">
        <v>14.7</v>
      </c>
      <c r="D86" s="27">
        <v>10</v>
      </c>
      <c r="E86" s="28">
        <v>4</v>
      </c>
      <c r="F86" s="16">
        <f t="shared" si="170"/>
        <v>0.58799999999999997</v>
      </c>
      <c r="G86" s="17"/>
      <c r="H86" s="28">
        <v>4</v>
      </c>
      <c r="I86" s="19">
        <f t="shared" si="171"/>
        <v>0.58799999999999997</v>
      </c>
      <c r="J86" s="16"/>
      <c r="K86" s="18"/>
      <c r="L86" s="19">
        <f t="shared" si="172"/>
        <v>0</v>
      </c>
      <c r="M86" s="16"/>
      <c r="N86" s="18"/>
      <c r="O86" s="19">
        <f t="shared" si="173"/>
        <v>0</v>
      </c>
      <c r="P86" s="20">
        <f t="shared" si="174"/>
        <v>4</v>
      </c>
      <c r="Q86" s="19">
        <f t="shared" si="175"/>
        <v>0.58799999999999997</v>
      </c>
      <c r="R86" s="21">
        <f t="shared" si="176"/>
        <v>0</v>
      </c>
      <c r="S86" s="19">
        <f t="shared" si="177"/>
        <v>0</v>
      </c>
      <c r="U86" s="29"/>
    </row>
    <row r="87" spans="1:21" hidden="1">
      <c r="A87" s="26" t="s">
        <v>24</v>
      </c>
      <c r="B87" s="26" t="s">
        <v>49</v>
      </c>
      <c r="C87" s="30">
        <v>14.7</v>
      </c>
      <c r="D87" s="27">
        <v>7.3</v>
      </c>
      <c r="E87" s="28">
        <v>1</v>
      </c>
      <c r="F87" s="16">
        <f t="shared" si="170"/>
        <v>0.10730999999999999</v>
      </c>
      <c r="G87" s="17"/>
      <c r="H87" s="28">
        <v>1</v>
      </c>
      <c r="I87" s="19">
        <f t="shared" si="171"/>
        <v>0.10730999999999999</v>
      </c>
      <c r="J87" s="16"/>
      <c r="K87" s="18"/>
      <c r="L87" s="19">
        <f t="shared" si="172"/>
        <v>0</v>
      </c>
      <c r="M87" s="16"/>
      <c r="N87" s="18"/>
      <c r="O87" s="19">
        <f t="shared" si="173"/>
        <v>0</v>
      </c>
      <c r="P87" s="20">
        <f t="shared" si="174"/>
        <v>1</v>
      </c>
      <c r="Q87" s="19">
        <f t="shared" si="175"/>
        <v>0.10730999999999999</v>
      </c>
      <c r="R87" s="21">
        <f t="shared" si="176"/>
        <v>0</v>
      </c>
      <c r="S87" s="19">
        <f t="shared" si="177"/>
        <v>0</v>
      </c>
      <c r="U87" s="29"/>
    </row>
    <row r="88" spans="1:21" hidden="1">
      <c r="A88" s="26" t="s">
        <v>24</v>
      </c>
      <c r="B88" s="26" t="s">
        <v>49</v>
      </c>
      <c r="C88" s="30">
        <v>14.7</v>
      </c>
      <c r="D88" s="27">
        <v>7</v>
      </c>
      <c r="E88" s="28">
        <v>1</v>
      </c>
      <c r="F88" s="16">
        <f t="shared" ref="F88:F90" si="178">(C88*D88*E88/1000)</f>
        <v>0.10289999999999999</v>
      </c>
      <c r="G88" s="17"/>
      <c r="H88" s="28">
        <v>1</v>
      </c>
      <c r="I88" s="19">
        <f t="shared" ref="I88:I90" si="179">(C88*D88*H88/1000)</f>
        <v>0.10289999999999999</v>
      </c>
      <c r="J88" s="16"/>
      <c r="K88" s="18"/>
      <c r="L88" s="19">
        <f t="shared" ref="L88:L90" si="180">(C88*D88*K88/1000)</f>
        <v>0</v>
      </c>
      <c r="M88" s="16"/>
      <c r="N88" s="18"/>
      <c r="O88" s="19">
        <f t="shared" ref="O88:O90" si="181">(C88*D88*N88/1000)</f>
        <v>0</v>
      </c>
      <c r="P88" s="20">
        <f t="shared" ref="P88:P90" si="182">+H88+K88+N88</f>
        <v>1</v>
      </c>
      <c r="Q88" s="19">
        <f t="shared" ref="Q88:Q90" si="183">+I88+L88+O88</f>
        <v>0.10289999999999999</v>
      </c>
      <c r="R88" s="21">
        <f t="shared" ref="R88:R90" si="184">E88-P88</f>
        <v>0</v>
      </c>
      <c r="S88" s="19">
        <f t="shared" ref="S88:S90" si="185">F88-Q88</f>
        <v>0</v>
      </c>
      <c r="U88" s="29"/>
    </row>
    <row r="89" spans="1:21" hidden="1">
      <c r="A89" s="26" t="s">
        <v>24</v>
      </c>
      <c r="B89" s="26" t="s">
        <v>49</v>
      </c>
      <c r="C89" s="30">
        <v>14.7</v>
      </c>
      <c r="D89" s="27">
        <v>9.5</v>
      </c>
      <c r="E89" s="28">
        <v>1</v>
      </c>
      <c r="F89" s="16">
        <f t="shared" si="178"/>
        <v>0.13965</v>
      </c>
      <c r="G89" s="17"/>
      <c r="H89" s="28">
        <v>1</v>
      </c>
      <c r="I89" s="19">
        <f t="shared" si="179"/>
        <v>0.13965</v>
      </c>
      <c r="J89" s="16"/>
      <c r="K89" s="18"/>
      <c r="L89" s="19">
        <f t="shared" si="180"/>
        <v>0</v>
      </c>
      <c r="M89" s="16"/>
      <c r="N89" s="18"/>
      <c r="O89" s="19">
        <f t="shared" si="181"/>
        <v>0</v>
      </c>
      <c r="P89" s="20">
        <f t="shared" si="182"/>
        <v>1</v>
      </c>
      <c r="Q89" s="19">
        <f t="shared" si="183"/>
        <v>0.13965</v>
      </c>
      <c r="R89" s="21">
        <f t="shared" si="184"/>
        <v>0</v>
      </c>
      <c r="S89" s="19">
        <f t="shared" si="185"/>
        <v>0</v>
      </c>
      <c r="U89" s="29"/>
    </row>
    <row r="90" spans="1:21" hidden="1">
      <c r="A90" s="26" t="s">
        <v>24</v>
      </c>
      <c r="B90" s="26" t="s">
        <v>49</v>
      </c>
      <c r="C90" s="30">
        <v>14.7</v>
      </c>
      <c r="D90" s="27">
        <v>7.1</v>
      </c>
      <c r="E90" s="28">
        <v>1</v>
      </c>
      <c r="F90" s="16">
        <f t="shared" si="178"/>
        <v>0.10436999999999999</v>
      </c>
      <c r="G90" s="17"/>
      <c r="H90" s="28">
        <v>1</v>
      </c>
      <c r="I90" s="19">
        <f t="shared" si="179"/>
        <v>0.10436999999999999</v>
      </c>
      <c r="J90" s="16"/>
      <c r="K90" s="18"/>
      <c r="L90" s="19">
        <f t="shared" si="180"/>
        <v>0</v>
      </c>
      <c r="M90" s="16"/>
      <c r="N90" s="18"/>
      <c r="O90" s="19">
        <f t="shared" si="181"/>
        <v>0</v>
      </c>
      <c r="P90" s="20">
        <f t="shared" si="182"/>
        <v>1</v>
      </c>
      <c r="Q90" s="19">
        <f t="shared" si="183"/>
        <v>0.10436999999999999</v>
      </c>
      <c r="R90" s="21">
        <f t="shared" si="184"/>
        <v>0</v>
      </c>
      <c r="S90" s="19">
        <f t="shared" si="185"/>
        <v>0</v>
      </c>
      <c r="U90" s="29"/>
    </row>
    <row r="91" spans="1:21" hidden="1">
      <c r="A91" s="26" t="s">
        <v>24</v>
      </c>
      <c r="B91" s="26" t="s">
        <v>49</v>
      </c>
      <c r="C91" s="30">
        <v>14.7</v>
      </c>
      <c r="D91" s="27">
        <v>10.3</v>
      </c>
      <c r="E91" s="28">
        <v>3</v>
      </c>
      <c r="F91" s="16">
        <f t="shared" si="170"/>
        <v>0.45423000000000002</v>
      </c>
      <c r="G91" s="17"/>
      <c r="H91" s="28">
        <v>3</v>
      </c>
      <c r="I91" s="19">
        <f t="shared" si="171"/>
        <v>0.45423000000000002</v>
      </c>
      <c r="J91" s="16"/>
      <c r="K91" s="18"/>
      <c r="L91" s="19">
        <f t="shared" si="172"/>
        <v>0</v>
      </c>
      <c r="M91" s="16"/>
      <c r="N91" s="18"/>
      <c r="O91" s="19">
        <f t="shared" si="173"/>
        <v>0</v>
      </c>
      <c r="P91" s="20">
        <f t="shared" si="174"/>
        <v>3</v>
      </c>
      <c r="Q91" s="19">
        <f t="shared" si="175"/>
        <v>0.45423000000000002</v>
      </c>
      <c r="R91" s="21">
        <f t="shared" si="176"/>
        <v>0</v>
      </c>
      <c r="S91" s="19">
        <f t="shared" si="177"/>
        <v>0</v>
      </c>
      <c r="U91" s="29"/>
    </row>
    <row r="92" spans="1:21" hidden="1">
      <c r="A92" s="26"/>
      <c r="B92" s="26"/>
      <c r="C92" s="30"/>
      <c r="D92" s="38"/>
      <c r="E92" s="31">
        <f t="shared" ref="E92" si="186">SUM(E83:E91)</f>
        <v>21</v>
      </c>
      <c r="F92" s="38">
        <f>SUM(F83:F91)</f>
        <v>2.4108000000000001</v>
      </c>
      <c r="G92" s="17"/>
      <c r="H92" s="31">
        <f t="shared" ref="H92" si="187">SUM(H83:H91)</f>
        <v>21</v>
      </c>
      <c r="I92" s="38">
        <f t="shared" ref="I92" si="188">SUM(I83:I91)</f>
        <v>2.4108000000000001</v>
      </c>
      <c r="J92" s="16"/>
      <c r="K92" s="31">
        <f t="shared" ref="K92" si="189">SUM(K83:K91)</f>
        <v>0</v>
      </c>
      <c r="L92" s="38">
        <f t="shared" ref="L92" si="190">SUM(L83:L91)</f>
        <v>0</v>
      </c>
      <c r="M92" s="16"/>
      <c r="N92" s="31">
        <f t="shared" ref="N92" si="191">SUM(N83:N91)</f>
        <v>0</v>
      </c>
      <c r="O92" s="38">
        <f t="shared" ref="O92" si="192">SUM(O83:O91)</f>
        <v>0</v>
      </c>
      <c r="P92" s="31">
        <f t="shared" ref="P92" si="193">SUM(P83:P91)</f>
        <v>21</v>
      </c>
      <c r="Q92" s="38">
        <f t="shared" ref="Q92" si="194">SUM(Q83:Q91)</f>
        <v>2.4108000000000001</v>
      </c>
      <c r="R92" s="31">
        <f t="shared" ref="R92" si="195">SUM(R83:R91)</f>
        <v>0</v>
      </c>
      <c r="S92" s="38">
        <f t="shared" ref="S92" si="196">SUM(S83:S91)</f>
        <v>0</v>
      </c>
      <c r="U92" s="29"/>
    </row>
    <row r="93" spans="1:21">
      <c r="A93" s="33"/>
      <c r="B93" s="33"/>
      <c r="C93" s="34"/>
      <c r="D93" s="34"/>
      <c r="E93" s="34">
        <f>SUM(E6:E92)/2</f>
        <v>624</v>
      </c>
      <c r="F93" s="35">
        <f>SUM(F6:F92)/2</f>
        <v>63.206470999999993</v>
      </c>
      <c r="G93" s="26"/>
      <c r="H93" s="34">
        <f>SUM(H6:H92)/2</f>
        <v>470</v>
      </c>
      <c r="I93" s="35">
        <f>SUM(I6:I92)/2</f>
        <v>47.742599000000013</v>
      </c>
      <c r="J93" s="26"/>
      <c r="K93" s="34">
        <f>SUM(K6:K92)/2</f>
        <v>105</v>
      </c>
      <c r="L93" s="35">
        <f>SUM(L6:L92)/2</f>
        <v>10.824398</v>
      </c>
      <c r="M93" s="26"/>
      <c r="N93" s="34">
        <f t="shared" ref="N93:S93" si="197">SUM(N6:N92)/2</f>
        <v>47</v>
      </c>
      <c r="O93" s="35">
        <f t="shared" si="197"/>
        <v>4.2613395000000001</v>
      </c>
      <c r="P93" s="34">
        <f t="shared" si="197"/>
        <v>622</v>
      </c>
      <c r="Q93" s="35">
        <f t="shared" si="197"/>
        <v>62.828336500000006</v>
      </c>
      <c r="R93" s="34">
        <f t="shared" si="197"/>
        <v>2</v>
      </c>
      <c r="S93" s="35">
        <f t="shared" si="197"/>
        <v>0.37813449999999915</v>
      </c>
    </row>
  </sheetData>
  <sortState ref="A52:U78">
    <sortCondition ref="D52:D78"/>
  </sortState>
  <mergeCells count="10">
    <mergeCell ref="J4:L4"/>
    <mergeCell ref="M4:O4"/>
    <mergeCell ref="P4:Q4"/>
    <mergeCell ref="R4:S4"/>
    <mergeCell ref="G1:H1"/>
    <mergeCell ref="I1:J1"/>
    <mergeCell ref="M1:N1"/>
    <mergeCell ref="Q1:S1"/>
    <mergeCell ref="F2:G2"/>
    <mergeCell ref="R2:S2"/>
  </mergeCells>
  <pageMargins left="0.28000000000000003" right="0.2" top="0.35" bottom="0.39" header="0.3" footer="0.3"/>
  <pageSetup paperSize="9"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U22"/>
  <sheetViews>
    <sheetView zoomScale="75" zoomScaleNormal="75" workbookViewId="0">
      <pane ySplit="5" topLeftCell="A6" activePane="bottomLeft" state="frozen"/>
      <selection pane="bottomLeft" activeCell="L27" sqref="L2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84</v>
      </c>
      <c r="B1" s="1"/>
      <c r="C1" s="1"/>
      <c r="D1" s="1"/>
      <c r="E1" s="2"/>
      <c r="F1" s="2"/>
      <c r="G1" s="143"/>
      <c r="H1" s="144"/>
      <c r="I1" s="145" t="s">
        <v>39</v>
      </c>
      <c r="J1" s="144"/>
      <c r="K1" s="3"/>
      <c r="L1" s="4"/>
      <c r="M1" s="146" t="str">
        <f>+F2</f>
        <v>LOI-2022  03.04.23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28</v>
      </c>
      <c r="B2" s="8"/>
      <c r="C2" s="9"/>
      <c r="D2" s="9"/>
      <c r="E2" s="10"/>
      <c r="F2" s="146" t="s">
        <v>38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14</v>
      </c>
      <c r="B6" s="26" t="s">
        <v>25</v>
      </c>
      <c r="C6" s="30">
        <v>13.4</v>
      </c>
      <c r="D6" s="27">
        <v>12</v>
      </c>
      <c r="E6" s="28">
        <v>2</v>
      </c>
      <c r="F6" s="16">
        <f>(C6*D6*E6/1000)</f>
        <v>0.3216</v>
      </c>
      <c r="G6" s="17" t="s">
        <v>88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20">
        <f>+H6+K6+N6</f>
        <v>0</v>
      </c>
      <c r="Q6" s="19">
        <f>+I6+L6+O6</f>
        <v>0</v>
      </c>
      <c r="R6" s="21">
        <f>E6-P6</f>
        <v>2</v>
      </c>
      <c r="S6" s="19">
        <f>F6-Q6</f>
        <v>0.3216</v>
      </c>
      <c r="U6" s="29"/>
    </row>
    <row r="7" spans="1:21">
      <c r="A7" s="26" t="s">
        <v>14</v>
      </c>
      <c r="B7" s="26" t="s">
        <v>25</v>
      </c>
      <c r="C7" s="30">
        <v>13.4</v>
      </c>
      <c r="D7" s="27">
        <v>9.4</v>
      </c>
      <c r="E7" s="28"/>
      <c r="F7" s="16">
        <f>(C7*D7*E7/1000)</f>
        <v>0</v>
      </c>
      <c r="G7" s="17" t="s">
        <v>98</v>
      </c>
      <c r="H7" s="18">
        <v>4</v>
      </c>
      <c r="I7" s="19">
        <f>(C7*D7*H7/1000)</f>
        <v>0.50384000000000007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20">
        <f>+H7+K7+N7</f>
        <v>4</v>
      </c>
      <c r="Q7" s="19">
        <f>+I7+L7+O7</f>
        <v>0.50384000000000007</v>
      </c>
      <c r="R7" s="21">
        <f>E7-P7</f>
        <v>-4</v>
      </c>
      <c r="S7" s="19">
        <f>F7-Q7</f>
        <v>-0.50384000000000007</v>
      </c>
      <c r="U7" s="29"/>
    </row>
    <row r="8" spans="1:21">
      <c r="A8" s="26"/>
      <c r="B8" s="26"/>
      <c r="C8" s="30"/>
      <c r="D8" s="38"/>
      <c r="E8" s="31">
        <f t="shared" ref="E8:F8" si="0">SUM(E6:E7)</f>
        <v>2</v>
      </c>
      <c r="F8" s="38">
        <f t="shared" si="0"/>
        <v>0.3216</v>
      </c>
      <c r="G8" s="17"/>
      <c r="H8" s="31">
        <f t="shared" ref="H8" si="1">SUM(H6:H7)</f>
        <v>4</v>
      </c>
      <c r="I8" s="38">
        <f t="shared" ref="I8" si="2">SUM(I6:I7)</f>
        <v>0.50384000000000007</v>
      </c>
      <c r="J8" s="16"/>
      <c r="K8" s="31">
        <f t="shared" ref="K8" si="3">SUM(K6:K7)</f>
        <v>0</v>
      </c>
      <c r="L8" s="38">
        <f t="shared" ref="L8" si="4">SUM(L6:L7)</f>
        <v>0</v>
      </c>
      <c r="M8" s="16"/>
      <c r="N8" s="31">
        <f t="shared" ref="N8" si="5">SUM(N6:N7)</f>
        <v>0</v>
      </c>
      <c r="O8" s="38">
        <f t="shared" ref="O8" si="6">SUM(O6:O7)</f>
        <v>0</v>
      </c>
      <c r="P8" s="31">
        <f t="shared" ref="P8" si="7">SUM(P6:P7)</f>
        <v>4</v>
      </c>
      <c r="Q8" s="38">
        <f t="shared" ref="Q8" si="8">SUM(Q6:Q7)</f>
        <v>0.50384000000000007</v>
      </c>
      <c r="R8" s="31">
        <f t="shared" ref="R8" si="9">SUM(R6:R7)</f>
        <v>-2</v>
      </c>
      <c r="S8" s="38">
        <f t="shared" ref="S8" si="10">SUM(S6:S7)</f>
        <v>-0.18224000000000007</v>
      </c>
      <c r="U8" s="29"/>
    </row>
    <row r="9" spans="1:21">
      <c r="A9" s="26" t="s">
        <v>14</v>
      </c>
      <c r="B9" s="26" t="s">
        <v>26</v>
      </c>
      <c r="C9" s="30">
        <v>8.3000000000000007</v>
      </c>
      <c r="D9" s="27">
        <v>12</v>
      </c>
      <c r="E9" s="28">
        <v>20</v>
      </c>
      <c r="F9" s="16">
        <f>(C9*D9*E9/1000)</f>
        <v>1.9920000000000002</v>
      </c>
      <c r="G9" s="17" t="s">
        <v>86</v>
      </c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20">
        <f>+H9+K9+N9</f>
        <v>0</v>
      </c>
      <c r="Q9" s="19">
        <f>+I9+L9+O9</f>
        <v>0</v>
      </c>
      <c r="R9" s="21">
        <f>E9-P9</f>
        <v>20</v>
      </c>
      <c r="S9" s="19">
        <f>F9-Q9</f>
        <v>1.9920000000000002</v>
      </c>
      <c r="U9" s="29"/>
    </row>
    <row r="10" spans="1:21">
      <c r="A10" s="26" t="s">
        <v>14</v>
      </c>
      <c r="B10" s="26" t="s">
        <v>26</v>
      </c>
      <c r="C10" s="30">
        <v>8.3000000000000007</v>
      </c>
      <c r="D10" s="27">
        <v>10</v>
      </c>
      <c r="E10" s="28"/>
      <c r="F10" s="16">
        <f t="shared" ref="F10:F11" si="11">(C10*D10*E10/1000)</f>
        <v>0</v>
      </c>
      <c r="G10" s="17" t="s">
        <v>95</v>
      </c>
      <c r="H10" s="18">
        <v>25</v>
      </c>
      <c r="I10" s="19">
        <f t="shared" ref="I10:I11" si="12">(C10*D10*H10/1000)</f>
        <v>2.0750000000000002</v>
      </c>
      <c r="J10" s="16"/>
      <c r="K10" s="18"/>
      <c r="L10" s="19">
        <f t="shared" ref="L10:L11" si="13">(C10*D10*K10/1000)</f>
        <v>0</v>
      </c>
      <c r="M10" s="16"/>
      <c r="N10" s="18"/>
      <c r="O10" s="19">
        <f t="shared" ref="O10:O11" si="14">(C10*D10*N10/1000)</f>
        <v>0</v>
      </c>
      <c r="P10" s="20">
        <f t="shared" ref="P10:P11" si="15">+H10+K10+N10</f>
        <v>25</v>
      </c>
      <c r="Q10" s="19">
        <f t="shared" ref="Q10:Q11" si="16">+I10+L10+O10</f>
        <v>2.0750000000000002</v>
      </c>
      <c r="R10" s="21">
        <f t="shared" ref="R10:R11" si="17">E10-P10</f>
        <v>-25</v>
      </c>
      <c r="S10" s="19">
        <f t="shared" ref="S10:S11" si="18">F10-Q10</f>
        <v>-2.0750000000000002</v>
      </c>
      <c r="U10" s="29"/>
    </row>
    <row r="11" spans="1:21">
      <c r="A11" s="26" t="s">
        <v>14</v>
      </c>
      <c r="B11" s="26" t="s">
        <v>26</v>
      </c>
      <c r="C11" s="30">
        <v>8.3000000000000007</v>
      </c>
      <c r="D11" s="27"/>
      <c r="E11" s="28"/>
      <c r="F11" s="16">
        <f t="shared" si="11"/>
        <v>0</v>
      </c>
      <c r="G11" s="17"/>
      <c r="H11" s="18"/>
      <c r="I11" s="19">
        <f t="shared" si="12"/>
        <v>0</v>
      </c>
      <c r="J11" s="16"/>
      <c r="K11" s="18"/>
      <c r="L11" s="19">
        <f t="shared" si="13"/>
        <v>0</v>
      </c>
      <c r="M11" s="16"/>
      <c r="N11" s="18"/>
      <c r="O11" s="19">
        <f t="shared" si="14"/>
        <v>0</v>
      </c>
      <c r="P11" s="20">
        <f t="shared" si="15"/>
        <v>0</v>
      </c>
      <c r="Q11" s="19">
        <f t="shared" si="16"/>
        <v>0</v>
      </c>
      <c r="R11" s="21">
        <f t="shared" si="17"/>
        <v>0</v>
      </c>
      <c r="S11" s="19">
        <f t="shared" si="18"/>
        <v>0</v>
      </c>
      <c r="U11" s="29"/>
    </row>
    <row r="12" spans="1:21">
      <c r="A12" s="26"/>
      <c r="B12" s="26"/>
      <c r="C12" s="30"/>
      <c r="D12" s="38"/>
      <c r="E12" s="31">
        <f t="shared" ref="E12:F12" si="19">SUM(E9:E11)</f>
        <v>20</v>
      </c>
      <c r="F12" s="38">
        <f t="shared" si="19"/>
        <v>1.9920000000000002</v>
      </c>
      <c r="G12" s="17"/>
      <c r="H12" s="31">
        <f t="shared" ref="H12" si="20">SUM(H9:H11)</f>
        <v>25</v>
      </c>
      <c r="I12" s="38">
        <f t="shared" ref="I12" si="21">SUM(I9:I11)</f>
        <v>2.0750000000000002</v>
      </c>
      <c r="J12" s="16"/>
      <c r="K12" s="31">
        <f t="shared" ref="K12" si="22">SUM(K9:K11)</f>
        <v>0</v>
      </c>
      <c r="L12" s="38">
        <f t="shared" ref="L12" si="23">SUM(L9:L11)</f>
        <v>0</v>
      </c>
      <c r="M12" s="16"/>
      <c r="N12" s="31">
        <f t="shared" ref="N12" si="24">SUM(N9:N11)</f>
        <v>0</v>
      </c>
      <c r="O12" s="38">
        <f t="shared" ref="O12" si="25">SUM(O9:O11)</f>
        <v>0</v>
      </c>
      <c r="P12" s="31">
        <f t="shared" ref="P12" si="26">SUM(P9:P11)</f>
        <v>25</v>
      </c>
      <c r="Q12" s="38">
        <f t="shared" ref="Q12" si="27">SUM(Q9:Q11)</f>
        <v>2.0750000000000002</v>
      </c>
      <c r="R12" s="31">
        <f t="shared" ref="R12" si="28">SUM(R9:R11)</f>
        <v>-5</v>
      </c>
      <c r="S12" s="38">
        <f t="shared" ref="S12" si="29">SUM(S9:S11)</f>
        <v>-8.2999999999999963E-2</v>
      </c>
      <c r="U12" s="29"/>
    </row>
    <row r="13" spans="1:21">
      <c r="A13" s="26" t="s">
        <v>14</v>
      </c>
      <c r="B13" s="26" t="s">
        <v>37</v>
      </c>
      <c r="C13" s="30">
        <v>9.61</v>
      </c>
      <c r="D13" s="27">
        <v>11.6</v>
      </c>
      <c r="E13" s="28">
        <v>10</v>
      </c>
      <c r="F13" s="16">
        <f t="shared" ref="F13:F19" si="30">(C13*D13*E13/1000)</f>
        <v>1.1147599999999998</v>
      </c>
      <c r="G13" s="17" t="s">
        <v>91</v>
      </c>
      <c r="H13" s="18"/>
      <c r="I13" s="19">
        <f t="shared" ref="I13:I19" si="31">(C13*D13*H13/1000)</f>
        <v>0</v>
      </c>
      <c r="J13" s="16"/>
      <c r="K13" s="18"/>
      <c r="L13" s="19">
        <f t="shared" ref="L13:L19" si="32">(C13*D13*K13/1000)</f>
        <v>0</v>
      </c>
      <c r="M13" s="16"/>
      <c r="N13" s="18"/>
      <c r="O13" s="19">
        <f t="shared" ref="O13:O19" si="33">(C13*D13*N13/1000)</f>
        <v>0</v>
      </c>
      <c r="P13" s="20">
        <f t="shared" ref="P13:P19" si="34">+H13+K13+N13</f>
        <v>0</v>
      </c>
      <c r="Q13" s="19">
        <f t="shared" ref="Q13:Q19" si="35">+I13+L13+O13</f>
        <v>0</v>
      </c>
      <c r="R13" s="21">
        <f t="shared" ref="R13:R19" si="36">E13-P13</f>
        <v>10</v>
      </c>
      <c r="S13" s="19">
        <f t="shared" ref="S13:S19" si="37">F13-Q13</f>
        <v>1.1147599999999998</v>
      </c>
      <c r="U13" s="29"/>
    </row>
    <row r="14" spans="1:21">
      <c r="A14" s="26" t="s">
        <v>14</v>
      </c>
      <c r="B14" s="26" t="s">
        <v>37</v>
      </c>
      <c r="C14" s="30">
        <v>9.61</v>
      </c>
      <c r="D14" s="27">
        <v>6.6</v>
      </c>
      <c r="E14" s="28"/>
      <c r="F14" s="16">
        <f t="shared" si="30"/>
        <v>0</v>
      </c>
      <c r="G14" s="17" t="s">
        <v>98</v>
      </c>
      <c r="H14" s="18">
        <v>1</v>
      </c>
      <c r="I14" s="19">
        <f t="shared" si="31"/>
        <v>6.3425999999999996E-2</v>
      </c>
      <c r="J14" s="16"/>
      <c r="K14" s="18"/>
      <c r="L14" s="19">
        <f t="shared" si="32"/>
        <v>0</v>
      </c>
      <c r="M14" s="16"/>
      <c r="N14" s="18"/>
      <c r="O14" s="19">
        <f t="shared" si="33"/>
        <v>0</v>
      </c>
      <c r="P14" s="20">
        <f t="shared" si="34"/>
        <v>1</v>
      </c>
      <c r="Q14" s="19">
        <f t="shared" si="35"/>
        <v>6.3425999999999996E-2</v>
      </c>
      <c r="R14" s="21">
        <f t="shared" si="36"/>
        <v>-1</v>
      </c>
      <c r="S14" s="19">
        <f t="shared" si="37"/>
        <v>-6.3425999999999996E-2</v>
      </c>
      <c r="U14" s="29"/>
    </row>
    <row r="15" spans="1:21">
      <c r="A15" s="26" t="s">
        <v>14</v>
      </c>
      <c r="B15" s="26" t="s">
        <v>37</v>
      </c>
      <c r="C15" s="30">
        <v>9.61</v>
      </c>
      <c r="D15" s="27">
        <v>7.5</v>
      </c>
      <c r="E15" s="28"/>
      <c r="F15" s="16">
        <f t="shared" si="30"/>
        <v>0</v>
      </c>
      <c r="G15" s="17"/>
      <c r="H15" s="18">
        <v>1</v>
      </c>
      <c r="I15" s="19">
        <f t="shared" si="31"/>
        <v>7.2074999999999986E-2</v>
      </c>
      <c r="J15" s="16"/>
      <c r="K15" s="18"/>
      <c r="L15" s="19">
        <f t="shared" si="32"/>
        <v>0</v>
      </c>
      <c r="M15" s="16"/>
      <c r="N15" s="18"/>
      <c r="O15" s="19">
        <f t="shared" si="33"/>
        <v>0</v>
      </c>
      <c r="P15" s="20">
        <f t="shared" si="34"/>
        <v>1</v>
      </c>
      <c r="Q15" s="19">
        <f t="shared" si="35"/>
        <v>7.2074999999999986E-2</v>
      </c>
      <c r="R15" s="21">
        <f t="shared" si="36"/>
        <v>-1</v>
      </c>
      <c r="S15" s="19">
        <f t="shared" si="37"/>
        <v>-7.2074999999999986E-2</v>
      </c>
      <c r="U15" s="29"/>
    </row>
    <row r="16" spans="1:21">
      <c r="A16" s="26" t="s">
        <v>14</v>
      </c>
      <c r="B16" s="26" t="s">
        <v>37</v>
      </c>
      <c r="C16" s="30">
        <v>9.61</v>
      </c>
      <c r="D16" s="27">
        <v>7.8</v>
      </c>
      <c r="E16" s="28"/>
      <c r="F16" s="16">
        <f t="shared" si="30"/>
        <v>0</v>
      </c>
      <c r="G16" s="17"/>
      <c r="H16" s="18">
        <v>1</v>
      </c>
      <c r="I16" s="19">
        <f t="shared" si="31"/>
        <v>7.4957999999999997E-2</v>
      </c>
      <c r="J16" s="16"/>
      <c r="K16" s="18"/>
      <c r="L16" s="19">
        <f t="shared" si="32"/>
        <v>0</v>
      </c>
      <c r="M16" s="16"/>
      <c r="N16" s="18"/>
      <c r="O16" s="19">
        <f t="shared" si="33"/>
        <v>0</v>
      </c>
      <c r="P16" s="20">
        <f t="shared" si="34"/>
        <v>1</v>
      </c>
      <c r="Q16" s="19">
        <f t="shared" si="35"/>
        <v>7.4957999999999997E-2</v>
      </c>
      <c r="R16" s="21">
        <f t="shared" si="36"/>
        <v>-1</v>
      </c>
      <c r="S16" s="19">
        <f t="shared" si="37"/>
        <v>-7.4957999999999997E-2</v>
      </c>
      <c r="U16" s="29"/>
    </row>
    <row r="17" spans="1:21">
      <c r="A17" s="26" t="s">
        <v>14</v>
      </c>
      <c r="B17" s="26" t="s">
        <v>37</v>
      </c>
      <c r="C17" s="30">
        <v>9.61</v>
      </c>
      <c r="D17" s="27">
        <v>10.199999999999999</v>
      </c>
      <c r="E17" s="28"/>
      <c r="F17" s="16">
        <f t="shared" si="30"/>
        <v>0</v>
      </c>
      <c r="G17" s="17"/>
      <c r="H17" s="18">
        <v>5</v>
      </c>
      <c r="I17" s="19">
        <f t="shared" si="31"/>
        <v>0.49010999999999993</v>
      </c>
      <c r="J17" s="16"/>
      <c r="K17" s="18"/>
      <c r="L17" s="19">
        <f t="shared" si="32"/>
        <v>0</v>
      </c>
      <c r="M17" s="16"/>
      <c r="N17" s="18"/>
      <c r="O17" s="19">
        <f t="shared" si="33"/>
        <v>0</v>
      </c>
      <c r="P17" s="20">
        <f t="shared" si="34"/>
        <v>5</v>
      </c>
      <c r="Q17" s="19">
        <f t="shared" si="35"/>
        <v>0.49010999999999993</v>
      </c>
      <c r="R17" s="21">
        <f t="shared" si="36"/>
        <v>-5</v>
      </c>
      <c r="S17" s="19">
        <f t="shared" si="37"/>
        <v>-0.49010999999999993</v>
      </c>
      <c r="U17" s="29"/>
    </row>
    <row r="18" spans="1:21">
      <c r="A18" s="26" t="s">
        <v>14</v>
      </c>
      <c r="B18" s="26" t="s">
        <v>37</v>
      </c>
      <c r="C18" s="30">
        <v>9.61</v>
      </c>
      <c r="D18" s="27">
        <v>10.3</v>
      </c>
      <c r="E18" s="28"/>
      <c r="F18" s="16">
        <f t="shared" si="30"/>
        <v>0</v>
      </c>
      <c r="G18" s="17"/>
      <c r="H18" s="18">
        <v>1</v>
      </c>
      <c r="I18" s="19">
        <f t="shared" si="31"/>
        <v>9.8983000000000002E-2</v>
      </c>
      <c r="J18" s="16"/>
      <c r="K18" s="18"/>
      <c r="L18" s="19">
        <f t="shared" si="32"/>
        <v>0</v>
      </c>
      <c r="M18" s="16"/>
      <c r="N18" s="18"/>
      <c r="O18" s="19">
        <f t="shared" si="33"/>
        <v>0</v>
      </c>
      <c r="P18" s="20">
        <f t="shared" si="34"/>
        <v>1</v>
      </c>
      <c r="Q18" s="19">
        <f t="shared" si="35"/>
        <v>9.8983000000000002E-2</v>
      </c>
      <c r="R18" s="21">
        <f t="shared" si="36"/>
        <v>-1</v>
      </c>
      <c r="S18" s="19">
        <f t="shared" si="37"/>
        <v>-9.8983000000000002E-2</v>
      </c>
      <c r="U18" s="29"/>
    </row>
    <row r="19" spans="1:21">
      <c r="A19" s="26" t="s">
        <v>14</v>
      </c>
      <c r="B19" s="26" t="s">
        <v>37</v>
      </c>
      <c r="C19" s="30">
        <v>9.61</v>
      </c>
      <c r="D19" s="27">
        <v>10.4</v>
      </c>
      <c r="E19" s="28"/>
      <c r="F19" s="16">
        <f t="shared" si="30"/>
        <v>0</v>
      </c>
      <c r="G19" s="17"/>
      <c r="H19" s="18">
        <v>1</v>
      </c>
      <c r="I19" s="19">
        <f t="shared" si="31"/>
        <v>9.9944000000000005E-2</v>
      </c>
      <c r="J19" s="16"/>
      <c r="K19" s="18"/>
      <c r="L19" s="19">
        <f t="shared" si="32"/>
        <v>0</v>
      </c>
      <c r="M19" s="16"/>
      <c r="N19" s="18"/>
      <c r="O19" s="19">
        <f t="shared" si="33"/>
        <v>0</v>
      </c>
      <c r="P19" s="20">
        <f t="shared" si="34"/>
        <v>1</v>
      </c>
      <c r="Q19" s="19">
        <f t="shared" si="35"/>
        <v>9.9944000000000005E-2</v>
      </c>
      <c r="R19" s="21">
        <f t="shared" si="36"/>
        <v>-1</v>
      </c>
      <c r="S19" s="19">
        <f t="shared" si="37"/>
        <v>-9.9944000000000005E-2</v>
      </c>
      <c r="U19" s="29"/>
    </row>
    <row r="20" spans="1:21">
      <c r="A20" s="26" t="s">
        <v>14</v>
      </c>
      <c r="B20" s="26" t="s">
        <v>37</v>
      </c>
      <c r="C20" s="30">
        <v>9.61</v>
      </c>
      <c r="D20" s="27">
        <v>11.5</v>
      </c>
      <c r="E20" s="28"/>
      <c r="F20" s="16">
        <f>(C20*D20*E20/1000)</f>
        <v>0</v>
      </c>
      <c r="G20" s="17"/>
      <c r="H20" s="18">
        <v>2</v>
      </c>
      <c r="I20" s="19">
        <f>(C20*D20*H20/1000)</f>
        <v>0.22102999999999998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20">
        <f>+H20+K20+N20</f>
        <v>2</v>
      </c>
      <c r="Q20" s="19">
        <f>+I20+L20+O20</f>
        <v>0.22102999999999998</v>
      </c>
      <c r="R20" s="21">
        <f>E20-P20</f>
        <v>-2</v>
      </c>
      <c r="S20" s="19">
        <f>F20-Q20</f>
        <v>-0.22102999999999998</v>
      </c>
      <c r="U20" s="29"/>
    </row>
    <row r="21" spans="1:21">
      <c r="A21" s="26"/>
      <c r="B21" s="26"/>
      <c r="C21" s="30"/>
      <c r="D21" s="27"/>
      <c r="E21" s="31">
        <f t="shared" ref="E21:F21" si="38">SUM(E13:E20)</f>
        <v>10</v>
      </c>
      <c r="F21" s="38">
        <f t="shared" si="38"/>
        <v>1.1147599999999998</v>
      </c>
      <c r="G21" s="17"/>
      <c r="H21" s="31">
        <f t="shared" ref="H21" si="39">SUM(H13:H20)</f>
        <v>12</v>
      </c>
      <c r="I21" s="38">
        <f t="shared" ref="I21" si="40">SUM(I13:I20)</f>
        <v>1.1205259999999999</v>
      </c>
      <c r="J21" s="16"/>
      <c r="K21" s="31">
        <f t="shared" ref="K21" si="41">SUM(K13:K20)</f>
        <v>0</v>
      </c>
      <c r="L21" s="38">
        <f t="shared" ref="L21" si="42">SUM(L13:L20)</f>
        <v>0</v>
      </c>
      <c r="M21" s="16"/>
      <c r="N21" s="31">
        <f t="shared" ref="N21" si="43">SUM(N13:N20)</f>
        <v>0</v>
      </c>
      <c r="O21" s="38">
        <f t="shared" ref="O21" si="44">SUM(O13:O20)</f>
        <v>0</v>
      </c>
      <c r="P21" s="31">
        <f t="shared" ref="P21" si="45">SUM(P13:P20)</f>
        <v>12</v>
      </c>
      <c r="Q21" s="38">
        <f t="shared" ref="Q21" si="46">SUM(Q13:Q20)</f>
        <v>1.1205259999999999</v>
      </c>
      <c r="R21" s="31">
        <f>SUM(R13:R20)</f>
        <v>-2</v>
      </c>
      <c r="S21" s="38">
        <f t="shared" ref="S21" si="47">SUM(S13:S20)</f>
        <v>-5.7660000000001044E-3</v>
      </c>
      <c r="U21" s="29"/>
    </row>
    <row r="22" spans="1:21">
      <c r="A22" s="33"/>
      <c r="B22" s="33"/>
      <c r="C22" s="34"/>
      <c r="D22" s="34"/>
      <c r="E22" s="34">
        <f>SUM(E6:E21)/2</f>
        <v>32</v>
      </c>
      <c r="F22" s="35">
        <f>SUM(F6:F21)/2</f>
        <v>3.4283599999999996</v>
      </c>
      <c r="G22" s="26"/>
      <c r="H22" s="34">
        <f>SUM(H6:H21)/2</f>
        <v>41</v>
      </c>
      <c r="I22" s="35">
        <f>SUM(I6:I21)/2</f>
        <v>3.6993659999999995</v>
      </c>
      <c r="J22" s="26"/>
      <c r="K22" s="34">
        <f>SUM(K6:K21)/2</f>
        <v>0</v>
      </c>
      <c r="L22" s="35">
        <f>SUM(L6:L21)/2</f>
        <v>0</v>
      </c>
      <c r="M22" s="26"/>
      <c r="N22" s="34">
        <f t="shared" ref="N22:S22" si="48">SUM(N6:N21)/2</f>
        <v>0</v>
      </c>
      <c r="O22" s="35">
        <f t="shared" si="48"/>
        <v>0</v>
      </c>
      <c r="P22" s="34">
        <f t="shared" si="48"/>
        <v>41</v>
      </c>
      <c r="Q22" s="35">
        <f t="shared" si="48"/>
        <v>3.6993659999999995</v>
      </c>
      <c r="R22" s="34">
        <f t="shared" si="48"/>
        <v>-9</v>
      </c>
      <c r="S22" s="35">
        <f t="shared" si="48"/>
        <v>-0.27100600000000008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28000000000000003" right="0.2" top="0.75" bottom="0.75" header="0.3" footer="0.3"/>
  <pageSetup paperSize="9" scale="5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/>
  <dimension ref="A1:U24"/>
  <sheetViews>
    <sheetView zoomScale="75" zoomScaleNormal="75" workbookViewId="0">
      <pane ySplit="5" topLeftCell="A6" activePane="bottomLeft" state="frozen"/>
      <selection pane="bottomLeft" activeCell="L31" sqref="L3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bestFit="1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3" t="s">
        <v>44</v>
      </c>
      <c r="H1" s="144"/>
      <c r="I1" s="145" t="s">
        <v>59</v>
      </c>
      <c r="J1" s="144"/>
      <c r="K1" s="3"/>
      <c r="L1" s="4"/>
      <c r="M1" s="146" t="str">
        <f>+F2</f>
        <v>LOI-2028  03.04.23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28</v>
      </c>
      <c r="B2" s="8"/>
      <c r="C2" s="9"/>
      <c r="D2" s="9"/>
      <c r="E2" s="10"/>
      <c r="F2" s="146" t="s">
        <v>41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24</v>
      </c>
      <c r="B6" s="26" t="s">
        <v>66</v>
      </c>
      <c r="C6" s="30">
        <v>4.97</v>
      </c>
      <c r="D6" s="27">
        <v>8.5</v>
      </c>
      <c r="E6" s="28">
        <v>1</v>
      </c>
      <c r="F6" s="16">
        <f t="shared" ref="F6:F13" si="0">(C6*D6*E6/1000)</f>
        <v>4.2244999999999998E-2</v>
      </c>
      <c r="G6" s="17" t="s">
        <v>64</v>
      </c>
      <c r="H6" s="28">
        <v>1</v>
      </c>
      <c r="I6" s="19">
        <f t="shared" ref="I6:I13" si="1">(C6*D6*H6/1000)</f>
        <v>4.2244999999999998E-2</v>
      </c>
      <c r="J6" s="16"/>
      <c r="K6" s="18"/>
      <c r="L6" s="19">
        <f t="shared" ref="L6:L13" si="2">(C6*D6*K6/1000)</f>
        <v>0</v>
      </c>
      <c r="M6" s="16"/>
      <c r="N6" s="18"/>
      <c r="O6" s="19">
        <f t="shared" ref="O6:O13" si="3">(C6*D6*N6/1000)</f>
        <v>0</v>
      </c>
      <c r="P6" s="20">
        <f t="shared" ref="P6:P13" si="4">+H6+K6+N6</f>
        <v>1</v>
      </c>
      <c r="Q6" s="19">
        <f t="shared" ref="Q6:Q13" si="5">+I6+L6+O6</f>
        <v>4.2244999999999998E-2</v>
      </c>
      <c r="R6" s="21">
        <f t="shared" ref="R6:R13" si="6">E6-P6</f>
        <v>0</v>
      </c>
      <c r="S6" s="19">
        <f t="shared" ref="S6:S13" si="7">F6-Q6</f>
        <v>0</v>
      </c>
      <c r="U6" s="29"/>
    </row>
    <row r="7" spans="1:21">
      <c r="A7" s="26" t="s">
        <v>24</v>
      </c>
      <c r="B7" s="26" t="s">
        <v>66</v>
      </c>
      <c r="C7" s="30">
        <v>4.97</v>
      </c>
      <c r="D7" s="27">
        <v>9</v>
      </c>
      <c r="E7" s="28">
        <v>1</v>
      </c>
      <c r="F7" s="16">
        <f t="shared" si="0"/>
        <v>4.4729999999999999E-2</v>
      </c>
      <c r="G7" s="17" t="s">
        <v>65</v>
      </c>
      <c r="H7" s="28">
        <v>1</v>
      </c>
      <c r="I7" s="19">
        <f t="shared" si="1"/>
        <v>4.4729999999999999E-2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20">
        <f t="shared" si="4"/>
        <v>1</v>
      </c>
      <c r="Q7" s="19">
        <f t="shared" si="5"/>
        <v>4.4729999999999999E-2</v>
      </c>
      <c r="R7" s="21">
        <f t="shared" si="6"/>
        <v>0</v>
      </c>
      <c r="S7" s="19">
        <f t="shared" si="7"/>
        <v>0</v>
      </c>
      <c r="U7" s="29"/>
    </row>
    <row r="8" spans="1:21">
      <c r="A8" s="26" t="s">
        <v>24</v>
      </c>
      <c r="B8" s="26" t="s">
        <v>66</v>
      </c>
      <c r="C8" s="30">
        <v>4.97</v>
      </c>
      <c r="D8" s="27">
        <v>9.5</v>
      </c>
      <c r="E8" s="28">
        <v>3</v>
      </c>
      <c r="F8" s="16">
        <f t="shared" si="0"/>
        <v>0.14164499999999999</v>
      </c>
      <c r="G8" s="17"/>
      <c r="H8" s="28">
        <v>3</v>
      </c>
      <c r="I8" s="19">
        <f t="shared" si="1"/>
        <v>0.14164499999999999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20">
        <f t="shared" si="4"/>
        <v>3</v>
      </c>
      <c r="Q8" s="19">
        <f t="shared" si="5"/>
        <v>0.14164499999999999</v>
      </c>
      <c r="R8" s="21">
        <f t="shared" si="6"/>
        <v>0</v>
      </c>
      <c r="S8" s="19">
        <f t="shared" si="7"/>
        <v>0</v>
      </c>
      <c r="U8" s="29"/>
    </row>
    <row r="9" spans="1:21">
      <c r="A9" s="26" t="s">
        <v>24</v>
      </c>
      <c r="B9" s="26" t="s">
        <v>66</v>
      </c>
      <c r="C9" s="30">
        <v>4.97</v>
      </c>
      <c r="D9" s="27">
        <v>11</v>
      </c>
      <c r="E9" s="28">
        <v>3</v>
      </c>
      <c r="F9" s="16">
        <f t="shared" si="0"/>
        <v>0.16400999999999999</v>
      </c>
      <c r="G9" s="17"/>
      <c r="H9" s="28">
        <v>3</v>
      </c>
      <c r="I9" s="19">
        <f t="shared" si="1"/>
        <v>0.16400999999999999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20">
        <f t="shared" si="4"/>
        <v>3</v>
      </c>
      <c r="Q9" s="19">
        <f t="shared" si="5"/>
        <v>0.16400999999999999</v>
      </c>
      <c r="R9" s="21">
        <f t="shared" si="6"/>
        <v>0</v>
      </c>
      <c r="S9" s="19">
        <f t="shared" si="7"/>
        <v>0</v>
      </c>
      <c r="U9" s="29"/>
    </row>
    <row r="10" spans="1:21">
      <c r="A10" s="26" t="s">
        <v>24</v>
      </c>
      <c r="B10" s="26" t="s">
        <v>66</v>
      </c>
      <c r="C10" s="30">
        <v>4.97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20">
        <f t="shared" si="4"/>
        <v>0</v>
      </c>
      <c r="Q10" s="19">
        <f t="shared" si="5"/>
        <v>0</v>
      </c>
      <c r="R10" s="21">
        <f t="shared" si="6"/>
        <v>0</v>
      </c>
      <c r="S10" s="19">
        <f t="shared" si="7"/>
        <v>0</v>
      </c>
      <c r="U10" s="29"/>
    </row>
    <row r="11" spans="1:21">
      <c r="A11" s="26" t="s">
        <v>24</v>
      </c>
      <c r="B11" s="26" t="s">
        <v>66</v>
      </c>
      <c r="C11" s="30">
        <v>4.97</v>
      </c>
      <c r="D11" s="27"/>
      <c r="E11" s="28"/>
      <c r="F11" s="16">
        <f t="shared" si="0"/>
        <v>0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20">
        <f t="shared" si="4"/>
        <v>0</v>
      </c>
      <c r="Q11" s="19">
        <f t="shared" si="5"/>
        <v>0</v>
      </c>
      <c r="R11" s="21">
        <f t="shared" si="6"/>
        <v>0</v>
      </c>
      <c r="S11" s="19">
        <f t="shared" si="7"/>
        <v>0</v>
      </c>
      <c r="U11" s="29"/>
    </row>
    <row r="12" spans="1:21">
      <c r="A12" s="26" t="s">
        <v>24</v>
      </c>
      <c r="B12" s="26" t="s">
        <v>66</v>
      </c>
      <c r="C12" s="30">
        <v>4.97</v>
      </c>
      <c r="D12" s="27"/>
      <c r="E12" s="28"/>
      <c r="F12" s="16">
        <f t="shared" si="0"/>
        <v>0</v>
      </c>
      <c r="G12" s="17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20">
        <f t="shared" si="4"/>
        <v>0</v>
      </c>
      <c r="Q12" s="19">
        <f t="shared" si="5"/>
        <v>0</v>
      </c>
      <c r="R12" s="21">
        <f t="shared" si="6"/>
        <v>0</v>
      </c>
      <c r="S12" s="19">
        <f t="shared" si="7"/>
        <v>0</v>
      </c>
      <c r="U12" s="29"/>
    </row>
    <row r="13" spans="1:21">
      <c r="A13" s="26" t="s">
        <v>24</v>
      </c>
      <c r="B13" s="26" t="s">
        <v>66</v>
      </c>
      <c r="C13" s="30">
        <v>4.97</v>
      </c>
      <c r="D13" s="27"/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20">
        <f t="shared" si="4"/>
        <v>0</v>
      </c>
      <c r="Q13" s="19">
        <f t="shared" si="5"/>
        <v>0</v>
      </c>
      <c r="R13" s="21">
        <f t="shared" si="6"/>
        <v>0</v>
      </c>
      <c r="S13" s="19">
        <f t="shared" si="7"/>
        <v>0</v>
      </c>
      <c r="U13" s="29"/>
    </row>
    <row r="14" spans="1:21">
      <c r="A14" s="26"/>
      <c r="B14" s="26"/>
      <c r="C14" s="30"/>
      <c r="D14" s="38"/>
      <c r="E14" s="31">
        <f t="shared" ref="E14" si="8">SUM(E6:E13)</f>
        <v>8</v>
      </c>
      <c r="F14" s="38">
        <f>SUM(F6:F13)</f>
        <v>0.39262999999999998</v>
      </c>
      <c r="G14" s="17"/>
      <c r="H14" s="31">
        <f t="shared" ref="H14:I14" si="9">SUM(H6:H13)</f>
        <v>8</v>
      </c>
      <c r="I14" s="38">
        <f t="shared" si="9"/>
        <v>0.39262999999999998</v>
      </c>
      <c r="J14" s="16"/>
      <c r="K14" s="31">
        <f t="shared" ref="K14:L14" si="10">SUM(K6:K13)</f>
        <v>0</v>
      </c>
      <c r="L14" s="38">
        <f t="shared" si="10"/>
        <v>0</v>
      </c>
      <c r="M14" s="16"/>
      <c r="N14" s="31">
        <f t="shared" ref="N14:S14" si="11">SUM(N6:N13)</f>
        <v>0</v>
      </c>
      <c r="O14" s="38">
        <f t="shared" si="11"/>
        <v>0</v>
      </c>
      <c r="P14" s="31">
        <f t="shared" si="11"/>
        <v>8</v>
      </c>
      <c r="Q14" s="38">
        <f t="shared" si="11"/>
        <v>0.39262999999999998</v>
      </c>
      <c r="R14" s="31">
        <f t="shared" si="11"/>
        <v>0</v>
      </c>
      <c r="S14" s="38">
        <f t="shared" si="11"/>
        <v>0</v>
      </c>
      <c r="U14" s="29"/>
    </row>
    <row r="15" spans="1:21">
      <c r="A15" s="26" t="s">
        <v>24</v>
      </c>
      <c r="B15" s="26" t="s">
        <v>36</v>
      </c>
      <c r="C15" s="30">
        <v>6.97</v>
      </c>
      <c r="D15" s="27">
        <v>6.8</v>
      </c>
      <c r="E15" s="28">
        <v>1</v>
      </c>
      <c r="F15" s="16">
        <f t="shared" ref="F15:F22" si="12">(C15*D15*E15/1000)</f>
        <v>4.7395999999999994E-2</v>
      </c>
      <c r="G15" s="17" t="s">
        <v>64</v>
      </c>
      <c r="H15" s="18">
        <v>1</v>
      </c>
      <c r="I15" s="19">
        <f t="shared" ref="I15:I22" si="13">(C15*D15*H15/1000)</f>
        <v>4.7395999999999994E-2</v>
      </c>
      <c r="J15" s="16"/>
      <c r="K15" s="18"/>
      <c r="L15" s="19">
        <f t="shared" ref="L15:L22" si="14">(C15*D15*K15/1000)</f>
        <v>0</v>
      </c>
      <c r="M15" s="16"/>
      <c r="N15" s="18"/>
      <c r="O15" s="19">
        <f t="shared" ref="O15:O22" si="15">(C15*D15*N15/1000)</f>
        <v>0</v>
      </c>
      <c r="P15" s="20">
        <f t="shared" ref="P15:Q22" si="16">+H15+K15+N15</f>
        <v>1</v>
      </c>
      <c r="Q15" s="19">
        <f t="shared" si="16"/>
        <v>4.7395999999999994E-2</v>
      </c>
      <c r="R15" s="21">
        <f t="shared" ref="R15:S22" si="17">E15-P15</f>
        <v>0</v>
      </c>
      <c r="S15" s="19">
        <f t="shared" si="17"/>
        <v>0</v>
      </c>
      <c r="U15" s="29"/>
    </row>
    <row r="16" spans="1:21">
      <c r="A16" s="26" t="s">
        <v>24</v>
      </c>
      <c r="B16" s="26" t="s">
        <v>36</v>
      </c>
      <c r="C16" s="30">
        <v>6.97</v>
      </c>
      <c r="D16" s="27">
        <v>9.6</v>
      </c>
      <c r="E16" s="28">
        <v>1</v>
      </c>
      <c r="F16" s="16">
        <f t="shared" si="12"/>
        <v>6.6911999999999985E-2</v>
      </c>
      <c r="G16" s="17" t="s">
        <v>65</v>
      </c>
      <c r="H16" s="18">
        <v>2</v>
      </c>
      <c r="I16" s="19">
        <f t="shared" si="13"/>
        <v>0.13382399999999997</v>
      </c>
      <c r="J16" s="16"/>
      <c r="K16" s="18"/>
      <c r="L16" s="19">
        <f t="shared" si="14"/>
        <v>0</v>
      </c>
      <c r="M16" s="16"/>
      <c r="N16" s="18"/>
      <c r="O16" s="19">
        <f t="shared" si="15"/>
        <v>0</v>
      </c>
      <c r="P16" s="20">
        <f t="shared" si="16"/>
        <v>2</v>
      </c>
      <c r="Q16" s="19">
        <f t="shared" si="16"/>
        <v>0.13382399999999997</v>
      </c>
      <c r="R16" s="21">
        <f t="shared" si="17"/>
        <v>-1</v>
      </c>
      <c r="S16" s="19">
        <f t="shared" si="17"/>
        <v>-6.6911999999999985E-2</v>
      </c>
      <c r="U16" s="29"/>
    </row>
    <row r="17" spans="1:21">
      <c r="A17" s="26" t="s">
        <v>24</v>
      </c>
      <c r="B17" s="26" t="s">
        <v>36</v>
      </c>
      <c r="C17" s="30">
        <v>6.97</v>
      </c>
      <c r="D17" s="27">
        <v>7</v>
      </c>
      <c r="E17" s="28">
        <v>2</v>
      </c>
      <c r="F17" s="16">
        <f t="shared" si="12"/>
        <v>9.758E-2</v>
      </c>
      <c r="G17" s="17"/>
      <c r="H17" s="18">
        <v>1</v>
      </c>
      <c r="I17" s="19">
        <f t="shared" si="13"/>
        <v>4.879E-2</v>
      </c>
      <c r="J17" s="16"/>
      <c r="K17" s="18"/>
      <c r="L17" s="19">
        <f t="shared" si="14"/>
        <v>0</v>
      </c>
      <c r="M17" s="16"/>
      <c r="N17" s="18"/>
      <c r="O17" s="19">
        <f t="shared" si="15"/>
        <v>0</v>
      </c>
      <c r="P17" s="20">
        <f t="shared" si="16"/>
        <v>1</v>
      </c>
      <c r="Q17" s="19">
        <f t="shared" si="16"/>
        <v>4.879E-2</v>
      </c>
      <c r="R17" s="21">
        <f t="shared" si="17"/>
        <v>1</v>
      </c>
      <c r="S17" s="19">
        <f t="shared" si="17"/>
        <v>4.879E-2</v>
      </c>
      <c r="U17" s="29"/>
    </row>
    <row r="18" spans="1:21">
      <c r="A18" s="26" t="s">
        <v>24</v>
      </c>
      <c r="B18" s="26" t="s">
        <v>36</v>
      </c>
      <c r="C18" s="30">
        <v>6.97</v>
      </c>
      <c r="D18" s="27"/>
      <c r="E18" s="28"/>
      <c r="F18" s="16">
        <f t="shared" si="12"/>
        <v>0</v>
      </c>
      <c r="G18" s="17"/>
      <c r="H18" s="18"/>
      <c r="I18" s="19">
        <f t="shared" si="13"/>
        <v>0</v>
      </c>
      <c r="J18" s="16"/>
      <c r="K18" s="18"/>
      <c r="L18" s="19">
        <f t="shared" si="14"/>
        <v>0</v>
      </c>
      <c r="M18" s="16"/>
      <c r="N18" s="18"/>
      <c r="O18" s="19">
        <f t="shared" si="15"/>
        <v>0</v>
      </c>
      <c r="P18" s="20">
        <f t="shared" si="16"/>
        <v>0</v>
      </c>
      <c r="Q18" s="19">
        <f t="shared" si="16"/>
        <v>0</v>
      </c>
      <c r="R18" s="21">
        <f t="shared" si="17"/>
        <v>0</v>
      </c>
      <c r="S18" s="19">
        <f t="shared" si="17"/>
        <v>0</v>
      </c>
      <c r="U18" s="29"/>
    </row>
    <row r="19" spans="1:21">
      <c r="A19" s="26" t="s">
        <v>24</v>
      </c>
      <c r="B19" s="26" t="s">
        <v>36</v>
      </c>
      <c r="C19" s="30">
        <v>6.97</v>
      </c>
      <c r="D19" s="27"/>
      <c r="E19" s="28"/>
      <c r="F19" s="16">
        <f t="shared" si="12"/>
        <v>0</v>
      </c>
      <c r="G19" s="17"/>
      <c r="H19" s="18"/>
      <c r="I19" s="19">
        <f t="shared" si="13"/>
        <v>0</v>
      </c>
      <c r="J19" s="16"/>
      <c r="K19" s="18"/>
      <c r="L19" s="19">
        <f t="shared" si="14"/>
        <v>0</v>
      </c>
      <c r="M19" s="16"/>
      <c r="N19" s="18"/>
      <c r="O19" s="19">
        <f t="shared" si="15"/>
        <v>0</v>
      </c>
      <c r="P19" s="20">
        <f t="shared" si="16"/>
        <v>0</v>
      </c>
      <c r="Q19" s="19">
        <f t="shared" si="16"/>
        <v>0</v>
      </c>
      <c r="R19" s="21">
        <f t="shared" si="17"/>
        <v>0</v>
      </c>
      <c r="S19" s="19">
        <f t="shared" si="17"/>
        <v>0</v>
      </c>
      <c r="U19" s="29"/>
    </row>
    <row r="20" spans="1:21">
      <c r="A20" s="26" t="s">
        <v>24</v>
      </c>
      <c r="B20" s="26" t="s">
        <v>36</v>
      </c>
      <c r="C20" s="30">
        <v>6.97</v>
      </c>
      <c r="D20" s="27"/>
      <c r="E20" s="28"/>
      <c r="F20" s="16">
        <f t="shared" si="12"/>
        <v>0</v>
      </c>
      <c r="G20" s="17"/>
      <c r="H20" s="18"/>
      <c r="I20" s="19">
        <f t="shared" si="13"/>
        <v>0</v>
      </c>
      <c r="J20" s="16"/>
      <c r="K20" s="18"/>
      <c r="L20" s="19">
        <f t="shared" si="14"/>
        <v>0</v>
      </c>
      <c r="M20" s="16"/>
      <c r="N20" s="18"/>
      <c r="O20" s="19">
        <f t="shared" si="15"/>
        <v>0</v>
      </c>
      <c r="P20" s="20">
        <f t="shared" si="16"/>
        <v>0</v>
      </c>
      <c r="Q20" s="19">
        <f t="shared" si="16"/>
        <v>0</v>
      </c>
      <c r="R20" s="21">
        <f t="shared" si="17"/>
        <v>0</v>
      </c>
      <c r="S20" s="19">
        <f t="shared" si="17"/>
        <v>0</v>
      </c>
      <c r="U20" s="29"/>
    </row>
    <row r="21" spans="1:21">
      <c r="A21" s="26" t="s">
        <v>24</v>
      </c>
      <c r="B21" s="26" t="s">
        <v>36</v>
      </c>
      <c r="C21" s="30">
        <v>6.97</v>
      </c>
      <c r="D21" s="27"/>
      <c r="E21" s="28"/>
      <c r="F21" s="16">
        <f t="shared" si="12"/>
        <v>0</v>
      </c>
      <c r="G21" s="17"/>
      <c r="H21" s="18"/>
      <c r="I21" s="19">
        <f t="shared" si="13"/>
        <v>0</v>
      </c>
      <c r="J21" s="16"/>
      <c r="K21" s="18"/>
      <c r="L21" s="19">
        <f t="shared" si="14"/>
        <v>0</v>
      </c>
      <c r="M21" s="16"/>
      <c r="N21" s="18"/>
      <c r="O21" s="19">
        <f t="shared" si="15"/>
        <v>0</v>
      </c>
      <c r="P21" s="20">
        <f t="shared" si="16"/>
        <v>0</v>
      </c>
      <c r="Q21" s="19">
        <f t="shared" si="16"/>
        <v>0</v>
      </c>
      <c r="R21" s="21">
        <f t="shared" si="17"/>
        <v>0</v>
      </c>
      <c r="S21" s="19">
        <f t="shared" si="17"/>
        <v>0</v>
      </c>
      <c r="U21" s="29"/>
    </row>
    <row r="22" spans="1:21">
      <c r="A22" s="26" t="s">
        <v>24</v>
      </c>
      <c r="B22" s="26" t="s">
        <v>36</v>
      </c>
      <c r="C22" s="30">
        <v>6.97</v>
      </c>
      <c r="D22" s="27"/>
      <c r="E22" s="28"/>
      <c r="F22" s="16">
        <f t="shared" si="12"/>
        <v>0</v>
      </c>
      <c r="G22" s="17"/>
      <c r="H22" s="18"/>
      <c r="I22" s="19">
        <f t="shared" si="13"/>
        <v>0</v>
      </c>
      <c r="J22" s="16"/>
      <c r="K22" s="18"/>
      <c r="L22" s="19">
        <f t="shared" si="14"/>
        <v>0</v>
      </c>
      <c r="M22" s="16"/>
      <c r="N22" s="18"/>
      <c r="O22" s="19">
        <f t="shared" si="15"/>
        <v>0</v>
      </c>
      <c r="P22" s="20">
        <f t="shared" si="16"/>
        <v>0</v>
      </c>
      <c r="Q22" s="19">
        <f t="shared" si="16"/>
        <v>0</v>
      </c>
      <c r="R22" s="21">
        <f t="shared" si="17"/>
        <v>0</v>
      </c>
      <c r="S22" s="19">
        <f t="shared" si="17"/>
        <v>0</v>
      </c>
      <c r="U22" s="29"/>
    </row>
    <row r="23" spans="1:21">
      <c r="A23" s="26"/>
      <c r="B23" s="26"/>
      <c r="C23" s="30"/>
      <c r="D23" s="38"/>
      <c r="E23" s="31">
        <f t="shared" ref="E23" si="18">SUM(E15:E22)</f>
        <v>4</v>
      </c>
      <c r="F23" s="38">
        <f>SUM(F15:F22)</f>
        <v>0.21188799999999997</v>
      </c>
      <c r="G23" s="17"/>
      <c r="H23" s="31">
        <f t="shared" ref="H23:I23" si="19">SUM(H15:H22)</f>
        <v>4</v>
      </c>
      <c r="I23" s="38">
        <f t="shared" si="19"/>
        <v>0.23000999999999996</v>
      </c>
      <c r="J23" s="16"/>
      <c r="K23" s="31">
        <f t="shared" ref="K23:L23" si="20">SUM(K15:K22)</f>
        <v>0</v>
      </c>
      <c r="L23" s="38">
        <f t="shared" si="20"/>
        <v>0</v>
      </c>
      <c r="M23" s="16"/>
      <c r="N23" s="31">
        <f t="shared" ref="N23:S23" si="21">SUM(N15:N22)</f>
        <v>0</v>
      </c>
      <c r="O23" s="38">
        <f t="shared" si="21"/>
        <v>0</v>
      </c>
      <c r="P23" s="31">
        <f t="shared" si="21"/>
        <v>4</v>
      </c>
      <c r="Q23" s="38">
        <f t="shared" si="21"/>
        <v>0.23000999999999996</v>
      </c>
      <c r="R23" s="31">
        <f t="shared" si="21"/>
        <v>0</v>
      </c>
      <c r="S23" s="38">
        <f t="shared" si="21"/>
        <v>-1.8121999999999985E-2</v>
      </c>
      <c r="U23" s="29"/>
    </row>
    <row r="24" spans="1:21">
      <c r="A24" s="33"/>
      <c r="B24" s="33"/>
      <c r="C24" s="34"/>
      <c r="D24" s="34"/>
      <c r="E24" s="34">
        <f>SUM(E6:E23)/2</f>
        <v>12</v>
      </c>
      <c r="F24" s="35">
        <f>SUM(F6:F23)/2</f>
        <v>0.60451799999999989</v>
      </c>
      <c r="G24" s="26"/>
      <c r="H24" s="34">
        <f>SUM(H6:H23)/2</f>
        <v>12</v>
      </c>
      <c r="I24" s="35">
        <f>SUM(I6:I23)/2</f>
        <v>0.62263999999999997</v>
      </c>
      <c r="J24" s="26"/>
      <c r="K24" s="34">
        <f>SUM(K6:K23)/2</f>
        <v>0</v>
      </c>
      <c r="L24" s="35">
        <f>SUM(L6:L23)/2</f>
        <v>0</v>
      </c>
      <c r="M24" s="26"/>
      <c r="N24" s="34">
        <f t="shared" ref="N24:S24" si="22">SUM(N6:N23)/2</f>
        <v>0</v>
      </c>
      <c r="O24" s="35">
        <f t="shared" si="22"/>
        <v>0</v>
      </c>
      <c r="P24" s="34">
        <f t="shared" si="22"/>
        <v>12</v>
      </c>
      <c r="Q24" s="35">
        <f t="shared" si="22"/>
        <v>0.62263999999999997</v>
      </c>
      <c r="R24" s="34">
        <f t="shared" si="22"/>
        <v>0</v>
      </c>
      <c r="S24" s="35">
        <f t="shared" si="22"/>
        <v>-1.8121999999999985E-2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/>
  <dimension ref="A1:U15"/>
  <sheetViews>
    <sheetView zoomScale="75" zoomScaleNormal="75" workbookViewId="0">
      <pane ySplit="6" topLeftCell="A7" activePane="bottomLeft" state="frozen"/>
      <selection pane="bottomLeft" activeCell="G9" sqref="G9:G1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bestFit="1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85</v>
      </c>
      <c r="B1" s="1"/>
      <c r="C1" s="1"/>
      <c r="D1" s="1"/>
      <c r="E1" s="2"/>
      <c r="F1" s="2"/>
      <c r="G1" s="143" t="s">
        <v>78</v>
      </c>
      <c r="H1" s="144"/>
      <c r="I1" s="145" t="s">
        <v>79</v>
      </c>
      <c r="J1" s="144"/>
      <c r="K1" s="3"/>
      <c r="L1" s="4"/>
      <c r="M1" s="146" t="str">
        <f>+F2</f>
        <v>LOI-7  5.04.23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80</v>
      </c>
      <c r="B2" s="8"/>
      <c r="C2" s="9"/>
      <c r="D2" s="9"/>
      <c r="E2" s="10"/>
      <c r="F2" s="146" t="s">
        <v>77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81</v>
      </c>
      <c r="B3" s="8"/>
      <c r="C3" s="9"/>
      <c r="D3" s="9"/>
      <c r="E3" s="10"/>
      <c r="F3" s="40"/>
      <c r="G3" s="40"/>
      <c r="H3" s="11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21">
      <c r="A4" s="12" t="s">
        <v>22</v>
      </c>
      <c r="B4" s="13"/>
      <c r="C4" s="14"/>
      <c r="D4" s="14"/>
      <c r="E4" s="15"/>
      <c r="F4" s="16">
        <f>(C4*D4*E4/1000)</f>
        <v>0</v>
      </c>
      <c r="G4" s="17"/>
      <c r="H4" s="18"/>
      <c r="I4" s="19">
        <f>(C4*D4*H4/1000)</f>
        <v>0</v>
      </c>
      <c r="J4" s="16"/>
      <c r="K4" s="18"/>
      <c r="L4" s="19">
        <f>(C4*D4*K4/1000)</f>
        <v>0</v>
      </c>
      <c r="M4" s="16"/>
      <c r="N4" s="18"/>
      <c r="O4" s="19">
        <f>(C4*D4*N4/1000)</f>
        <v>0</v>
      </c>
      <c r="P4" s="20">
        <f>+H4+K4+N4</f>
        <v>0</v>
      </c>
      <c r="Q4" s="19">
        <f>+I4+L4+O4</f>
        <v>0</v>
      </c>
      <c r="R4" s="21">
        <f>E4-P4</f>
        <v>0</v>
      </c>
      <c r="S4" s="19">
        <f>F4-Q4</f>
        <v>0</v>
      </c>
    </row>
    <row r="5" spans="1:21" s="6" customFormat="1" ht="13.8">
      <c r="A5" s="22"/>
      <c r="B5" s="22"/>
      <c r="C5" s="22"/>
      <c r="D5" s="22"/>
      <c r="E5" s="23" t="s">
        <v>2</v>
      </c>
      <c r="F5" s="23"/>
      <c r="G5" s="24" t="s">
        <v>3</v>
      </c>
      <c r="H5" s="24"/>
      <c r="I5" s="24"/>
      <c r="J5" s="148"/>
      <c r="K5" s="148"/>
      <c r="L5" s="148"/>
      <c r="M5" s="148"/>
      <c r="N5" s="148"/>
      <c r="O5" s="148"/>
      <c r="P5" s="149" t="s">
        <v>4</v>
      </c>
      <c r="Q5" s="149"/>
      <c r="R5" s="150" t="s">
        <v>5</v>
      </c>
      <c r="S5" s="150"/>
    </row>
    <row r="6" spans="1:21" s="6" customFormat="1" ht="27.6">
      <c r="A6" s="25" t="s">
        <v>6</v>
      </c>
      <c r="B6" s="25" t="s">
        <v>7</v>
      </c>
      <c r="C6" s="25" t="s">
        <v>8</v>
      </c>
      <c r="D6" s="25" t="s">
        <v>9</v>
      </c>
      <c r="E6" s="25" t="s">
        <v>10</v>
      </c>
      <c r="F6" s="25" t="s">
        <v>11</v>
      </c>
      <c r="G6" s="25" t="s">
        <v>12</v>
      </c>
      <c r="H6" s="25" t="s">
        <v>10</v>
      </c>
      <c r="I6" s="25" t="s">
        <v>11</v>
      </c>
      <c r="J6" s="25" t="s">
        <v>12</v>
      </c>
      <c r="K6" s="25" t="s">
        <v>10</v>
      </c>
      <c r="L6" s="25" t="s">
        <v>11</v>
      </c>
      <c r="M6" s="25" t="s">
        <v>12</v>
      </c>
      <c r="N6" s="25" t="s">
        <v>10</v>
      </c>
      <c r="O6" s="25" t="s">
        <v>11</v>
      </c>
      <c r="P6" s="25" t="s">
        <v>10</v>
      </c>
      <c r="Q6" s="25" t="s">
        <v>11</v>
      </c>
      <c r="R6" s="25" t="s">
        <v>10</v>
      </c>
      <c r="S6" s="25" t="s">
        <v>11</v>
      </c>
    </row>
    <row r="7" spans="1:21">
      <c r="A7" s="26" t="s">
        <v>13</v>
      </c>
      <c r="B7" s="26" t="s">
        <v>51</v>
      </c>
      <c r="C7" s="30">
        <v>19.8</v>
      </c>
      <c r="D7" s="27">
        <v>12</v>
      </c>
      <c r="E7" s="28">
        <v>6</v>
      </c>
      <c r="F7" s="16">
        <f>(C7*D7*E7/1000)</f>
        <v>1.4256000000000002</v>
      </c>
      <c r="G7" s="17" t="s">
        <v>89</v>
      </c>
      <c r="H7" s="18">
        <v>6</v>
      </c>
      <c r="I7" s="19">
        <f>(C7*D7*H7/1000)</f>
        <v>1.4256000000000002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20">
        <f>+H7+K7+N7</f>
        <v>6</v>
      </c>
      <c r="Q7" s="19">
        <f>+I7+L7+O7</f>
        <v>1.4256000000000002</v>
      </c>
      <c r="R7" s="21">
        <f>E7-P7</f>
        <v>0</v>
      </c>
      <c r="S7" s="19">
        <f>F7-Q7</f>
        <v>0</v>
      </c>
      <c r="U7" s="29"/>
    </row>
    <row r="8" spans="1:21">
      <c r="A8" s="26"/>
      <c r="B8" s="26" t="s">
        <v>74</v>
      </c>
      <c r="C8" s="30"/>
      <c r="D8" s="38"/>
      <c r="E8" s="31">
        <f t="shared" ref="E8:F8" si="0">SUM(E7)</f>
        <v>6</v>
      </c>
      <c r="F8" s="38">
        <f t="shared" si="0"/>
        <v>1.4256000000000002</v>
      </c>
      <c r="G8" s="17" t="s">
        <v>95</v>
      </c>
      <c r="H8" s="31">
        <f>SUM(H7:H7)</f>
        <v>6</v>
      </c>
      <c r="I8" s="38">
        <f>SUM(I7:I7)</f>
        <v>1.4256000000000002</v>
      </c>
      <c r="J8" s="16"/>
      <c r="K8" s="31">
        <f>SUM(K7:K7)</f>
        <v>0</v>
      </c>
      <c r="L8" s="38">
        <f>SUM(L7:L7)</f>
        <v>0</v>
      </c>
      <c r="M8" s="16"/>
      <c r="N8" s="31">
        <f t="shared" ref="N8:S8" si="1">SUM(N7:N7)</f>
        <v>0</v>
      </c>
      <c r="O8" s="38">
        <f t="shared" si="1"/>
        <v>0</v>
      </c>
      <c r="P8" s="31">
        <f t="shared" si="1"/>
        <v>6</v>
      </c>
      <c r="Q8" s="38">
        <f t="shared" si="1"/>
        <v>1.4256000000000002</v>
      </c>
      <c r="R8" s="31">
        <f t="shared" si="1"/>
        <v>0</v>
      </c>
      <c r="S8" s="38">
        <f t="shared" si="1"/>
        <v>0</v>
      </c>
      <c r="U8" s="29"/>
    </row>
    <row r="9" spans="1:21">
      <c r="A9" s="26" t="s">
        <v>13</v>
      </c>
      <c r="B9" s="26" t="s">
        <v>75</v>
      </c>
      <c r="C9" s="30">
        <v>31.6</v>
      </c>
      <c r="D9" s="27">
        <v>12</v>
      </c>
      <c r="E9" s="28">
        <v>3</v>
      </c>
      <c r="F9" s="16">
        <f t="shared" ref="F9:F12" si="2">(C9*D9*E9/1000)</f>
        <v>1.1376000000000002</v>
      </c>
      <c r="G9" s="17" t="s">
        <v>86</v>
      </c>
      <c r="H9" s="18"/>
      <c r="I9" s="19">
        <f t="shared" ref="I9:I12" si="3">(C9*D9*H9/1000)</f>
        <v>0</v>
      </c>
      <c r="J9" s="16"/>
      <c r="K9" s="18"/>
      <c r="L9" s="19">
        <f t="shared" ref="L9:L12" si="4">(C9*D9*K9/1000)</f>
        <v>0</v>
      </c>
      <c r="M9" s="16"/>
      <c r="N9" s="18"/>
      <c r="O9" s="19">
        <f t="shared" ref="O9:O12" si="5">(C9*D9*N9/1000)</f>
        <v>0</v>
      </c>
      <c r="P9" s="20">
        <f t="shared" ref="P9:P12" si="6">+H9+K9+N9</f>
        <v>0</v>
      </c>
      <c r="Q9" s="19">
        <f t="shared" ref="Q9:Q12" si="7">+I9+L9+O9</f>
        <v>0</v>
      </c>
      <c r="R9" s="21">
        <f t="shared" ref="R9:R12" si="8">E9-P9</f>
        <v>3</v>
      </c>
      <c r="S9" s="19">
        <f t="shared" ref="S9:S12" si="9">F9-Q9</f>
        <v>1.1376000000000002</v>
      </c>
      <c r="U9" s="29"/>
    </row>
    <row r="10" spans="1:21">
      <c r="A10" s="26" t="s">
        <v>13</v>
      </c>
      <c r="B10" s="26" t="s">
        <v>75</v>
      </c>
      <c r="C10" s="30">
        <v>31.6</v>
      </c>
      <c r="D10" s="27">
        <v>7</v>
      </c>
      <c r="E10" s="28"/>
      <c r="F10" s="16">
        <f t="shared" si="2"/>
        <v>0</v>
      </c>
      <c r="G10" s="17" t="s">
        <v>96</v>
      </c>
      <c r="H10" s="18">
        <v>1</v>
      </c>
      <c r="I10" s="19">
        <f t="shared" si="3"/>
        <v>0.22120000000000001</v>
      </c>
      <c r="J10" s="16"/>
      <c r="K10" s="18"/>
      <c r="L10" s="19">
        <f t="shared" si="4"/>
        <v>0</v>
      </c>
      <c r="M10" s="16"/>
      <c r="N10" s="18"/>
      <c r="O10" s="19">
        <f t="shared" si="5"/>
        <v>0</v>
      </c>
      <c r="P10" s="20">
        <f t="shared" si="6"/>
        <v>1</v>
      </c>
      <c r="Q10" s="19">
        <f t="shared" si="7"/>
        <v>0.22120000000000001</v>
      </c>
      <c r="R10" s="21">
        <f t="shared" si="8"/>
        <v>-1</v>
      </c>
      <c r="S10" s="19">
        <f t="shared" si="9"/>
        <v>-0.22120000000000001</v>
      </c>
      <c r="U10" s="29"/>
    </row>
    <row r="11" spans="1:21">
      <c r="A11" s="26" t="s">
        <v>13</v>
      </c>
      <c r="B11" s="26" t="s">
        <v>75</v>
      </c>
      <c r="C11" s="30">
        <v>31.6</v>
      </c>
      <c r="D11" s="27">
        <v>9</v>
      </c>
      <c r="E11" s="28"/>
      <c r="F11" s="16">
        <f t="shared" si="2"/>
        <v>0</v>
      </c>
      <c r="G11" s="17"/>
      <c r="H11" s="18">
        <v>2</v>
      </c>
      <c r="I11" s="19">
        <f t="shared" si="3"/>
        <v>0.56880000000000008</v>
      </c>
      <c r="J11" s="16"/>
      <c r="K11" s="18"/>
      <c r="L11" s="19">
        <f t="shared" si="4"/>
        <v>0</v>
      </c>
      <c r="M11" s="16"/>
      <c r="N11" s="18"/>
      <c r="O11" s="19">
        <f t="shared" si="5"/>
        <v>0</v>
      </c>
      <c r="P11" s="20">
        <f t="shared" si="6"/>
        <v>2</v>
      </c>
      <c r="Q11" s="19">
        <f t="shared" si="7"/>
        <v>0.56880000000000008</v>
      </c>
      <c r="R11" s="21">
        <f t="shared" si="8"/>
        <v>-2</v>
      </c>
      <c r="S11" s="19">
        <f t="shared" si="9"/>
        <v>-0.56880000000000008</v>
      </c>
      <c r="U11" s="29"/>
    </row>
    <row r="12" spans="1:21">
      <c r="A12" s="26" t="s">
        <v>13</v>
      </c>
      <c r="B12" s="26" t="s">
        <v>75</v>
      </c>
      <c r="C12" s="30">
        <v>31.6</v>
      </c>
      <c r="D12" s="27">
        <v>8.9</v>
      </c>
      <c r="E12" s="28"/>
      <c r="F12" s="16">
        <f t="shared" si="2"/>
        <v>0</v>
      </c>
      <c r="G12" s="17"/>
      <c r="H12" s="18">
        <v>1</v>
      </c>
      <c r="I12" s="19">
        <f t="shared" si="3"/>
        <v>0.28123999999999999</v>
      </c>
      <c r="J12" s="16"/>
      <c r="K12" s="18"/>
      <c r="L12" s="19">
        <f t="shared" si="4"/>
        <v>0</v>
      </c>
      <c r="M12" s="16"/>
      <c r="N12" s="18"/>
      <c r="O12" s="19">
        <f t="shared" si="5"/>
        <v>0</v>
      </c>
      <c r="P12" s="20">
        <f t="shared" si="6"/>
        <v>1</v>
      </c>
      <c r="Q12" s="19">
        <f t="shared" si="7"/>
        <v>0.28123999999999999</v>
      </c>
      <c r="R12" s="21">
        <f t="shared" si="8"/>
        <v>-1</v>
      </c>
      <c r="S12" s="19">
        <f t="shared" si="9"/>
        <v>-0.28123999999999999</v>
      </c>
      <c r="U12" s="29"/>
    </row>
    <row r="13" spans="1:21">
      <c r="A13" s="26" t="s">
        <v>13</v>
      </c>
      <c r="B13" s="26" t="s">
        <v>75</v>
      </c>
      <c r="C13" s="30">
        <v>31.6</v>
      </c>
      <c r="D13" s="27"/>
      <c r="E13" s="28"/>
      <c r="F13" s="16">
        <f>(C13*D13*E13/1000)</f>
        <v>0</v>
      </c>
      <c r="G13" s="17"/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20">
        <f>+H13+K13+N13</f>
        <v>0</v>
      </c>
      <c r="Q13" s="19">
        <f>+I13+L13+O13</f>
        <v>0</v>
      </c>
      <c r="R13" s="21">
        <f>E13-P13</f>
        <v>0</v>
      </c>
      <c r="S13" s="19">
        <f>F13-Q13</f>
        <v>0</v>
      </c>
      <c r="U13" s="29"/>
    </row>
    <row r="14" spans="1:21">
      <c r="A14" s="26"/>
      <c r="B14" s="26" t="s">
        <v>74</v>
      </c>
      <c r="C14" s="30"/>
      <c r="D14" s="38"/>
      <c r="E14" s="31">
        <f t="shared" ref="E14:F14" si="10">SUM(E9:E13)</f>
        <v>3</v>
      </c>
      <c r="F14" s="38">
        <f t="shared" si="10"/>
        <v>1.1376000000000002</v>
      </c>
      <c r="G14" s="17"/>
      <c r="H14" s="31">
        <f t="shared" ref="H14" si="11">SUM(H9:H13)</f>
        <v>4</v>
      </c>
      <c r="I14" s="38">
        <f t="shared" ref="I14" si="12">SUM(I9:I13)</f>
        <v>1.07124</v>
      </c>
      <c r="J14" s="16"/>
      <c r="K14" s="31">
        <f t="shared" ref="K14" si="13">SUM(K9:K13)</f>
        <v>0</v>
      </c>
      <c r="L14" s="38">
        <f t="shared" ref="L14" si="14">SUM(L9:L13)</f>
        <v>0</v>
      </c>
      <c r="M14" s="16"/>
      <c r="N14" s="31">
        <f t="shared" ref="N14" si="15">SUM(N9:N13)</f>
        <v>0</v>
      </c>
      <c r="O14" s="38">
        <f t="shared" ref="O14" si="16">SUM(O9:O13)</f>
        <v>0</v>
      </c>
      <c r="P14" s="31">
        <f t="shared" ref="P14" si="17">SUM(P9:P13)</f>
        <v>4</v>
      </c>
      <c r="Q14" s="38">
        <f t="shared" ref="Q14" si="18">SUM(Q9:Q13)</f>
        <v>1.07124</v>
      </c>
      <c r="R14" s="31">
        <f t="shared" ref="R14" si="19">SUM(R9:R13)</f>
        <v>-1</v>
      </c>
      <c r="S14" s="38">
        <f t="shared" ref="S14" si="20">SUM(S9:S13)</f>
        <v>6.636000000000003E-2</v>
      </c>
      <c r="U14" s="29"/>
    </row>
    <row r="15" spans="1:21">
      <c r="A15" s="33"/>
      <c r="B15" s="33"/>
      <c r="C15" s="34"/>
      <c r="D15" s="34"/>
      <c r="E15" s="34">
        <f>SUM(E7:E14)/2</f>
        <v>9</v>
      </c>
      <c r="F15" s="35">
        <f>SUM(F7:F14)/2</f>
        <v>2.5632000000000001</v>
      </c>
      <c r="G15" s="26"/>
      <c r="H15" s="34">
        <f>SUM(H7:H14)/2</f>
        <v>10</v>
      </c>
      <c r="I15" s="35">
        <f>SUM(I7:I14)/2</f>
        <v>2.4968400000000002</v>
      </c>
      <c r="J15" s="26"/>
      <c r="K15" s="34">
        <f>SUM(K7:K14)/2</f>
        <v>0</v>
      </c>
      <c r="L15" s="35">
        <f>SUM(L7:L14)/2</f>
        <v>0</v>
      </c>
      <c r="M15" s="26"/>
      <c r="N15" s="34">
        <f t="shared" ref="N15:S15" si="21">SUM(N7:N14)/2</f>
        <v>0</v>
      </c>
      <c r="O15" s="35">
        <f t="shared" si="21"/>
        <v>0</v>
      </c>
      <c r="P15" s="34">
        <f t="shared" si="21"/>
        <v>10</v>
      </c>
      <c r="Q15" s="35">
        <f t="shared" si="21"/>
        <v>2.4968400000000002</v>
      </c>
      <c r="R15" s="34">
        <f t="shared" si="21"/>
        <v>-1</v>
      </c>
      <c r="S15" s="35">
        <f t="shared" si="21"/>
        <v>6.636000000000003E-2</v>
      </c>
    </row>
  </sheetData>
  <mergeCells count="9">
    <mergeCell ref="J5:L5"/>
    <mergeCell ref="M5:O5"/>
    <mergeCell ref="P5:Q5"/>
    <mergeCell ref="R5:S5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/>
  <dimension ref="A1:U51"/>
  <sheetViews>
    <sheetView zoomScale="75" zoomScaleNormal="75" workbookViewId="0">
      <pane ySplit="6" topLeftCell="A37" activePane="bottomLeft" state="frozen"/>
      <selection pane="bottomLeft" activeCell="U33" sqref="U3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bestFit="1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85</v>
      </c>
      <c r="B1" s="1"/>
      <c r="C1" s="1"/>
      <c r="D1" s="1"/>
      <c r="E1" s="2"/>
      <c r="F1" s="2"/>
      <c r="G1" s="143" t="s">
        <v>78</v>
      </c>
      <c r="H1" s="144"/>
      <c r="I1" s="145" t="s">
        <v>79</v>
      </c>
      <c r="J1" s="144"/>
      <c r="K1" s="3"/>
      <c r="L1" s="4"/>
      <c r="M1" s="146" t="str">
        <f>+F2</f>
        <v>LOI-7  5.04.23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80</v>
      </c>
      <c r="B2" s="8"/>
      <c r="C2" s="9"/>
      <c r="D2" s="9"/>
      <c r="E2" s="10"/>
      <c r="F2" s="146" t="s">
        <v>77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81</v>
      </c>
      <c r="B3" s="8"/>
      <c r="C3" s="9"/>
      <c r="D3" s="9"/>
      <c r="E3" s="10"/>
      <c r="F3" s="39"/>
      <c r="G3" s="39"/>
      <c r="H3" s="11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21">
      <c r="A4" s="12" t="s">
        <v>22</v>
      </c>
      <c r="B4" s="13"/>
      <c r="C4" s="14"/>
      <c r="D4" s="14"/>
      <c r="E4" s="15"/>
      <c r="F4" s="16">
        <f>(C4*D4*E4/1000)</f>
        <v>0</v>
      </c>
      <c r="G4" s="17"/>
      <c r="H4" s="18"/>
      <c r="I4" s="19">
        <f>(C4*D4*H4/1000)</f>
        <v>0</v>
      </c>
      <c r="J4" s="16"/>
      <c r="K4" s="18"/>
      <c r="L4" s="19">
        <f>(C4*D4*K4/1000)</f>
        <v>0</v>
      </c>
      <c r="M4" s="16"/>
      <c r="N4" s="18"/>
      <c r="O4" s="19">
        <f>(C4*D4*N4/1000)</f>
        <v>0</v>
      </c>
      <c r="P4" s="20">
        <f>+H4+K4+N4</f>
        <v>0</v>
      </c>
      <c r="Q4" s="19">
        <f>+I4+L4+O4</f>
        <v>0</v>
      </c>
      <c r="R4" s="21">
        <f>E4-P4</f>
        <v>0</v>
      </c>
      <c r="S4" s="19">
        <f>F4-Q4</f>
        <v>0</v>
      </c>
    </row>
    <row r="5" spans="1:21" s="6" customFormat="1" ht="13.8">
      <c r="A5" s="22"/>
      <c r="B5" s="22"/>
      <c r="C5" s="22"/>
      <c r="D5" s="22"/>
      <c r="E5" s="23" t="s">
        <v>2</v>
      </c>
      <c r="F5" s="23"/>
      <c r="G5" s="24" t="s">
        <v>3</v>
      </c>
      <c r="H5" s="24"/>
      <c r="I5" s="24"/>
      <c r="J5" s="148"/>
      <c r="K5" s="148"/>
      <c r="L5" s="148"/>
      <c r="M5" s="148"/>
      <c r="N5" s="148"/>
      <c r="O5" s="148"/>
      <c r="P5" s="149" t="s">
        <v>4</v>
      </c>
      <c r="Q5" s="149"/>
      <c r="R5" s="150" t="s">
        <v>5</v>
      </c>
      <c r="S5" s="150"/>
    </row>
    <row r="6" spans="1:21" s="6" customFormat="1" ht="27.6">
      <c r="A6" s="25" t="s">
        <v>6</v>
      </c>
      <c r="B6" s="25" t="s">
        <v>7</v>
      </c>
      <c r="C6" s="25" t="s">
        <v>8</v>
      </c>
      <c r="D6" s="25" t="s">
        <v>9</v>
      </c>
      <c r="E6" s="25" t="s">
        <v>10</v>
      </c>
      <c r="F6" s="25" t="s">
        <v>11</v>
      </c>
      <c r="G6" s="25" t="s">
        <v>12</v>
      </c>
      <c r="H6" s="25" t="s">
        <v>10</v>
      </c>
      <c r="I6" s="25" t="s">
        <v>11</v>
      </c>
      <c r="J6" s="25" t="s">
        <v>12</v>
      </c>
      <c r="K6" s="25" t="s">
        <v>10</v>
      </c>
      <c r="L6" s="25" t="s">
        <v>11</v>
      </c>
      <c r="M6" s="25" t="s">
        <v>12</v>
      </c>
      <c r="N6" s="25" t="s">
        <v>10</v>
      </c>
      <c r="O6" s="25" t="s">
        <v>11</v>
      </c>
      <c r="P6" s="25" t="s">
        <v>10</v>
      </c>
      <c r="Q6" s="25" t="s">
        <v>11</v>
      </c>
      <c r="R6" s="25" t="s">
        <v>10</v>
      </c>
      <c r="S6" s="25" t="s">
        <v>11</v>
      </c>
    </row>
    <row r="7" spans="1:21">
      <c r="A7" s="26" t="s">
        <v>14</v>
      </c>
      <c r="B7" s="26" t="s">
        <v>45</v>
      </c>
      <c r="C7" s="30">
        <v>9.26</v>
      </c>
      <c r="D7" s="27">
        <v>12</v>
      </c>
      <c r="E7" s="28">
        <v>2</v>
      </c>
      <c r="F7" s="16">
        <f>(C7*D7*E7/1000)</f>
        <v>0.22224000000000002</v>
      </c>
      <c r="G7" s="17"/>
      <c r="H7" s="18"/>
      <c r="I7" s="19">
        <f>(C7*D7*H7/1000)</f>
        <v>0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20">
        <f>+H7+K7+N7</f>
        <v>0</v>
      </c>
      <c r="Q7" s="19">
        <f>+I7+L7+O7</f>
        <v>0</v>
      </c>
      <c r="R7" s="21">
        <f>E7-P7</f>
        <v>2</v>
      </c>
      <c r="S7" s="19">
        <f>F7-Q7</f>
        <v>0.22224000000000002</v>
      </c>
      <c r="U7" s="29"/>
    </row>
    <row r="8" spans="1:21">
      <c r="A8" s="26"/>
      <c r="B8" s="26" t="s">
        <v>73</v>
      </c>
      <c r="C8" s="30"/>
      <c r="D8" s="38"/>
      <c r="E8" s="31">
        <f t="shared" ref="E8:F8" si="0">SUM(E7)</f>
        <v>2</v>
      </c>
      <c r="F8" s="38">
        <f t="shared" si="0"/>
        <v>0.22224000000000002</v>
      </c>
      <c r="G8" s="17"/>
      <c r="H8" s="31">
        <f>SUM(H7:H7)</f>
        <v>0</v>
      </c>
      <c r="I8" s="38">
        <f>SUM(I7:I7)</f>
        <v>0</v>
      </c>
      <c r="J8" s="16"/>
      <c r="K8" s="31">
        <f>SUM(K7:K7)</f>
        <v>0</v>
      </c>
      <c r="L8" s="38">
        <f>SUM(L7:L7)</f>
        <v>0</v>
      </c>
      <c r="M8" s="16"/>
      <c r="N8" s="31">
        <f t="shared" ref="N8:S8" si="1">SUM(N7:N7)</f>
        <v>0</v>
      </c>
      <c r="O8" s="38">
        <f t="shared" si="1"/>
        <v>0</v>
      </c>
      <c r="P8" s="31">
        <f t="shared" si="1"/>
        <v>0</v>
      </c>
      <c r="Q8" s="38">
        <f t="shared" si="1"/>
        <v>0</v>
      </c>
      <c r="R8" s="31">
        <f t="shared" si="1"/>
        <v>2</v>
      </c>
      <c r="S8" s="38">
        <f t="shared" si="1"/>
        <v>0.22224000000000002</v>
      </c>
      <c r="U8" s="29"/>
    </row>
    <row r="9" spans="1:21">
      <c r="A9" s="26" t="s">
        <v>14</v>
      </c>
      <c r="B9" s="26" t="s">
        <v>46</v>
      </c>
      <c r="C9" s="30">
        <v>10.7</v>
      </c>
      <c r="D9" s="27">
        <v>10.6</v>
      </c>
      <c r="E9" s="28">
        <v>12</v>
      </c>
      <c r="F9" s="16">
        <f>(C9*D9*E9/1000)</f>
        <v>1.36104</v>
      </c>
      <c r="G9" s="17" t="s">
        <v>89</v>
      </c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20">
        <f>+H9+K9+N9</f>
        <v>0</v>
      </c>
      <c r="Q9" s="19">
        <f>+I9+L9+O9</f>
        <v>0</v>
      </c>
      <c r="R9" s="21">
        <f>E9-P9</f>
        <v>12</v>
      </c>
      <c r="S9" s="19">
        <f>F9-Q9</f>
        <v>1.36104</v>
      </c>
      <c r="U9" s="29"/>
    </row>
    <row r="10" spans="1:21">
      <c r="A10" s="26" t="s">
        <v>14</v>
      </c>
      <c r="B10" s="26" t="s">
        <v>46</v>
      </c>
      <c r="C10" s="30">
        <v>10.7</v>
      </c>
      <c r="D10" s="27">
        <v>7.2</v>
      </c>
      <c r="E10" s="28"/>
      <c r="F10" s="16">
        <f t="shared" ref="F10:F15" si="2">(C10*D10*E10/1000)</f>
        <v>0</v>
      </c>
      <c r="G10" s="17" t="s">
        <v>95</v>
      </c>
      <c r="H10" s="18">
        <v>2</v>
      </c>
      <c r="I10" s="19">
        <f t="shared" ref="I10:I15" si="3">(C10*D10*H10/1000)</f>
        <v>0.15407999999999999</v>
      </c>
      <c r="J10" s="16"/>
      <c r="K10" s="18"/>
      <c r="L10" s="19">
        <f t="shared" ref="L10:L15" si="4">(C10*D10*K10/1000)</f>
        <v>0</v>
      </c>
      <c r="M10" s="16"/>
      <c r="N10" s="18"/>
      <c r="O10" s="19">
        <f t="shared" ref="O10:O15" si="5">(C10*D10*N10/1000)</f>
        <v>0</v>
      </c>
      <c r="P10" s="20">
        <f t="shared" ref="P10:P15" si="6">+H10+K10+N10</f>
        <v>2</v>
      </c>
      <c r="Q10" s="19">
        <f t="shared" ref="Q10:Q15" si="7">+I10+L10+O10</f>
        <v>0.15407999999999999</v>
      </c>
      <c r="R10" s="21">
        <f t="shared" ref="R10:R15" si="8">E10-P10</f>
        <v>-2</v>
      </c>
      <c r="S10" s="19">
        <f t="shared" ref="S10:S15" si="9">F10-Q10</f>
        <v>-0.15407999999999999</v>
      </c>
      <c r="U10" s="29"/>
    </row>
    <row r="11" spans="1:21">
      <c r="A11" s="26" t="s">
        <v>14</v>
      </c>
      <c r="B11" s="26" t="s">
        <v>46</v>
      </c>
      <c r="C11" s="30">
        <v>10.7</v>
      </c>
      <c r="D11" s="27">
        <v>8</v>
      </c>
      <c r="E11" s="28"/>
      <c r="F11" s="16">
        <f t="shared" si="2"/>
        <v>0</v>
      </c>
      <c r="G11" s="17"/>
      <c r="H11" s="18">
        <v>1</v>
      </c>
      <c r="I11" s="19">
        <f t="shared" si="3"/>
        <v>8.5599999999999996E-2</v>
      </c>
      <c r="J11" s="16"/>
      <c r="K11" s="18"/>
      <c r="L11" s="19">
        <f t="shared" si="4"/>
        <v>0</v>
      </c>
      <c r="M11" s="16"/>
      <c r="N11" s="18"/>
      <c r="O11" s="19">
        <f t="shared" si="5"/>
        <v>0</v>
      </c>
      <c r="P11" s="20">
        <f t="shared" si="6"/>
        <v>1</v>
      </c>
      <c r="Q11" s="19">
        <f t="shared" si="7"/>
        <v>8.5599999999999996E-2</v>
      </c>
      <c r="R11" s="21">
        <f t="shared" si="8"/>
        <v>-1</v>
      </c>
      <c r="S11" s="19">
        <f t="shared" si="9"/>
        <v>-8.5599999999999996E-2</v>
      </c>
      <c r="U11" s="29"/>
    </row>
    <row r="12" spans="1:21">
      <c r="A12" s="26" t="s">
        <v>14</v>
      </c>
      <c r="B12" s="26" t="s">
        <v>46</v>
      </c>
      <c r="C12" s="30">
        <v>10.7</v>
      </c>
      <c r="D12" s="27">
        <v>10.5</v>
      </c>
      <c r="E12" s="28"/>
      <c r="F12" s="16">
        <f t="shared" si="2"/>
        <v>0</v>
      </c>
      <c r="G12" s="17"/>
      <c r="H12" s="18">
        <v>1</v>
      </c>
      <c r="I12" s="19">
        <f t="shared" si="3"/>
        <v>0.11234999999999999</v>
      </c>
      <c r="J12" s="16"/>
      <c r="K12" s="18"/>
      <c r="L12" s="19">
        <f t="shared" si="4"/>
        <v>0</v>
      </c>
      <c r="M12" s="16"/>
      <c r="N12" s="18"/>
      <c r="O12" s="19">
        <f t="shared" si="5"/>
        <v>0</v>
      </c>
      <c r="P12" s="20">
        <f t="shared" si="6"/>
        <v>1</v>
      </c>
      <c r="Q12" s="19">
        <f t="shared" si="7"/>
        <v>0.11234999999999999</v>
      </c>
      <c r="R12" s="21">
        <f t="shared" si="8"/>
        <v>-1</v>
      </c>
      <c r="S12" s="19">
        <f t="shared" si="9"/>
        <v>-0.11234999999999999</v>
      </c>
      <c r="U12" s="29"/>
    </row>
    <row r="13" spans="1:21">
      <c r="A13" s="26" t="s">
        <v>14</v>
      </c>
      <c r="B13" s="26" t="s">
        <v>46</v>
      </c>
      <c r="C13" s="30">
        <v>10.7</v>
      </c>
      <c r="D13" s="27">
        <v>11.5</v>
      </c>
      <c r="E13" s="28"/>
      <c r="F13" s="16">
        <f t="shared" si="2"/>
        <v>0</v>
      </c>
      <c r="G13" s="17"/>
      <c r="H13" s="18">
        <v>6</v>
      </c>
      <c r="I13" s="19">
        <f t="shared" si="3"/>
        <v>0.73829999999999996</v>
      </c>
      <c r="J13" s="16"/>
      <c r="K13" s="18"/>
      <c r="L13" s="19">
        <f t="shared" si="4"/>
        <v>0</v>
      </c>
      <c r="M13" s="16"/>
      <c r="N13" s="18"/>
      <c r="O13" s="19">
        <f t="shared" si="5"/>
        <v>0</v>
      </c>
      <c r="P13" s="20">
        <f t="shared" si="6"/>
        <v>6</v>
      </c>
      <c r="Q13" s="19">
        <f t="shared" si="7"/>
        <v>0.73829999999999996</v>
      </c>
      <c r="R13" s="21">
        <f t="shared" si="8"/>
        <v>-6</v>
      </c>
      <c r="S13" s="19">
        <f t="shared" si="9"/>
        <v>-0.73829999999999996</v>
      </c>
      <c r="U13" s="29"/>
    </row>
    <row r="14" spans="1:21">
      <c r="A14" s="26" t="s">
        <v>14</v>
      </c>
      <c r="B14" s="26" t="s">
        <v>46</v>
      </c>
      <c r="C14" s="30">
        <v>10.7</v>
      </c>
      <c r="D14" s="27">
        <v>6</v>
      </c>
      <c r="E14" s="28"/>
      <c r="F14" s="16">
        <f t="shared" si="2"/>
        <v>0</v>
      </c>
      <c r="G14" s="17"/>
      <c r="H14" s="18">
        <v>5</v>
      </c>
      <c r="I14" s="19">
        <f t="shared" si="3"/>
        <v>0.32099999999999995</v>
      </c>
      <c r="J14" s="16"/>
      <c r="K14" s="18"/>
      <c r="L14" s="19">
        <f t="shared" si="4"/>
        <v>0</v>
      </c>
      <c r="M14" s="16"/>
      <c r="N14" s="18"/>
      <c r="O14" s="19">
        <f t="shared" si="5"/>
        <v>0</v>
      </c>
      <c r="P14" s="20">
        <f t="shared" si="6"/>
        <v>5</v>
      </c>
      <c r="Q14" s="19">
        <f t="shared" si="7"/>
        <v>0.32099999999999995</v>
      </c>
      <c r="R14" s="21">
        <f t="shared" si="8"/>
        <v>-5</v>
      </c>
      <c r="S14" s="19">
        <f t="shared" si="9"/>
        <v>-0.32099999999999995</v>
      </c>
      <c r="U14" s="29"/>
    </row>
    <row r="15" spans="1:21">
      <c r="A15" s="26" t="s">
        <v>14</v>
      </c>
      <c r="B15" s="26" t="s">
        <v>46</v>
      </c>
      <c r="C15" s="30">
        <v>10.7</v>
      </c>
      <c r="D15" s="27">
        <v>5.4</v>
      </c>
      <c r="E15" s="28"/>
      <c r="F15" s="16">
        <f t="shared" si="2"/>
        <v>0</v>
      </c>
      <c r="G15" s="17"/>
      <c r="H15" s="18">
        <v>1</v>
      </c>
      <c r="I15" s="19">
        <f t="shared" si="3"/>
        <v>5.7779999999999998E-2</v>
      </c>
      <c r="J15" s="16"/>
      <c r="K15" s="18"/>
      <c r="L15" s="19">
        <f t="shared" si="4"/>
        <v>0</v>
      </c>
      <c r="M15" s="16"/>
      <c r="N15" s="18"/>
      <c r="O15" s="19">
        <f t="shared" si="5"/>
        <v>0</v>
      </c>
      <c r="P15" s="20">
        <f t="shared" si="6"/>
        <v>1</v>
      </c>
      <c r="Q15" s="19">
        <f t="shared" si="7"/>
        <v>5.7779999999999998E-2</v>
      </c>
      <c r="R15" s="21">
        <f t="shared" si="8"/>
        <v>-1</v>
      </c>
      <c r="S15" s="19">
        <f t="shared" si="9"/>
        <v>-5.7779999999999998E-2</v>
      </c>
      <c r="U15" s="29"/>
    </row>
    <row r="16" spans="1:21">
      <c r="A16" s="26"/>
      <c r="B16" s="26" t="s">
        <v>73</v>
      </c>
      <c r="C16" s="30"/>
      <c r="D16" s="38"/>
      <c r="E16" s="31">
        <f t="shared" ref="E16:F16" si="10">SUM(E9:E15)</f>
        <v>12</v>
      </c>
      <c r="F16" s="38">
        <f t="shared" si="10"/>
        <v>1.36104</v>
      </c>
      <c r="G16" s="17"/>
      <c r="H16" s="31">
        <f t="shared" ref="H16" si="11">SUM(H9:H15)</f>
        <v>16</v>
      </c>
      <c r="I16" s="38">
        <f t="shared" ref="I16" si="12">SUM(I9:I15)</f>
        <v>1.4691099999999999</v>
      </c>
      <c r="J16" s="16"/>
      <c r="K16" s="31">
        <f t="shared" ref="K16" si="13">SUM(K9:K15)</f>
        <v>0</v>
      </c>
      <c r="L16" s="38">
        <f t="shared" ref="L16" si="14">SUM(L9:L15)</f>
        <v>0</v>
      </c>
      <c r="M16" s="16"/>
      <c r="N16" s="31">
        <f t="shared" ref="N16" si="15">SUM(N9:N15)</f>
        <v>0</v>
      </c>
      <c r="O16" s="38">
        <f t="shared" ref="O16" si="16">SUM(O9:O15)</f>
        <v>0</v>
      </c>
      <c r="P16" s="31">
        <f t="shared" ref="P16" si="17">SUM(P9:P15)</f>
        <v>16</v>
      </c>
      <c r="Q16" s="38">
        <f t="shared" ref="Q16" si="18">SUM(Q9:Q15)</f>
        <v>1.4691099999999999</v>
      </c>
      <c r="R16" s="31">
        <f t="shared" ref="R16" si="19">SUM(R9:R15)</f>
        <v>-4</v>
      </c>
      <c r="S16" s="38">
        <f t="shared" ref="S16" si="20">SUM(S9:S15)</f>
        <v>-0.10806999999999972</v>
      </c>
      <c r="U16" s="29"/>
    </row>
    <row r="17" spans="1:21">
      <c r="A17" s="26" t="s">
        <v>14</v>
      </c>
      <c r="B17" s="26" t="s">
        <v>58</v>
      </c>
      <c r="C17" s="30">
        <v>7.34</v>
      </c>
      <c r="D17" s="27">
        <v>12</v>
      </c>
      <c r="E17" s="28">
        <v>33</v>
      </c>
      <c r="F17" s="16">
        <f>(C17*D17*E17/1000)</f>
        <v>2.9066399999999999</v>
      </c>
      <c r="G17" s="17" t="s">
        <v>89</v>
      </c>
      <c r="H17" s="18"/>
      <c r="I17" s="19">
        <f>(C17*D17*H17/1000)</f>
        <v>0</v>
      </c>
      <c r="J17" s="17" t="s">
        <v>86</v>
      </c>
      <c r="K17" s="18"/>
      <c r="L17" s="19">
        <f>(C17*D17*K17/1000)</f>
        <v>0</v>
      </c>
      <c r="M17" s="16"/>
      <c r="N17" s="18"/>
      <c r="O17" s="19">
        <f>(C17*D17*N17/1000)</f>
        <v>0</v>
      </c>
      <c r="P17" s="20">
        <f>+H17+K17+N17</f>
        <v>0</v>
      </c>
      <c r="Q17" s="19">
        <f>+I17+L17+O17</f>
        <v>0</v>
      </c>
      <c r="R17" s="21">
        <f>E17-P17</f>
        <v>33</v>
      </c>
      <c r="S17" s="19">
        <f>F17-Q17</f>
        <v>2.9066399999999999</v>
      </c>
      <c r="U17" s="29"/>
    </row>
    <row r="18" spans="1:21">
      <c r="A18" s="26" t="s">
        <v>14</v>
      </c>
      <c r="B18" s="26" t="s">
        <v>58</v>
      </c>
      <c r="C18" s="30">
        <v>7.34</v>
      </c>
      <c r="D18" s="27">
        <v>8</v>
      </c>
      <c r="E18" s="28"/>
      <c r="F18" s="16">
        <f t="shared" ref="F18:F34" si="21">(C18*D18*E18/1000)</f>
        <v>0</v>
      </c>
      <c r="G18" s="17" t="s">
        <v>95</v>
      </c>
      <c r="H18" s="18">
        <v>3</v>
      </c>
      <c r="I18" s="19">
        <f t="shared" ref="I18:I34" si="22">(C18*D18*H18/1000)</f>
        <v>0.17615999999999998</v>
      </c>
      <c r="J18" s="17" t="s">
        <v>95</v>
      </c>
      <c r="K18" s="18"/>
      <c r="L18" s="19">
        <f t="shared" ref="L18:L34" si="23">(C18*D18*K18/1000)</f>
        <v>0</v>
      </c>
      <c r="M18" s="16"/>
      <c r="N18" s="18"/>
      <c r="O18" s="19">
        <f t="shared" ref="O18:O34" si="24">(C18*D18*N18/1000)</f>
        <v>0</v>
      </c>
      <c r="P18" s="20">
        <f t="shared" ref="P18:P34" si="25">+H18+K18+N18</f>
        <v>3</v>
      </c>
      <c r="Q18" s="19">
        <f t="shared" ref="Q18:Q34" si="26">+I18+L18+O18</f>
        <v>0.17615999999999998</v>
      </c>
      <c r="R18" s="21">
        <f t="shared" ref="R18:R34" si="27">E18-P18</f>
        <v>-3</v>
      </c>
      <c r="S18" s="19">
        <f t="shared" ref="S18:S34" si="28">F18-Q18</f>
        <v>-0.17615999999999998</v>
      </c>
      <c r="U18" s="29"/>
    </row>
    <row r="19" spans="1:21">
      <c r="A19" s="26" t="s">
        <v>14</v>
      </c>
      <c r="B19" s="26" t="s">
        <v>58</v>
      </c>
      <c r="C19" s="30">
        <v>7.34</v>
      </c>
      <c r="D19" s="27">
        <v>6.5</v>
      </c>
      <c r="E19" s="28"/>
      <c r="F19" s="16">
        <f t="shared" si="21"/>
        <v>0</v>
      </c>
      <c r="G19" s="17"/>
      <c r="H19" s="18">
        <v>1</v>
      </c>
      <c r="I19" s="19">
        <f t="shared" si="22"/>
        <v>4.7710000000000002E-2</v>
      </c>
      <c r="J19" s="16"/>
      <c r="K19" s="18"/>
      <c r="L19" s="19">
        <f t="shared" si="23"/>
        <v>0</v>
      </c>
      <c r="M19" s="16"/>
      <c r="N19" s="18"/>
      <c r="O19" s="19">
        <f t="shared" si="24"/>
        <v>0</v>
      </c>
      <c r="P19" s="20">
        <f t="shared" si="25"/>
        <v>1</v>
      </c>
      <c r="Q19" s="19">
        <f t="shared" si="26"/>
        <v>4.7710000000000002E-2</v>
      </c>
      <c r="R19" s="21">
        <f t="shared" si="27"/>
        <v>-1</v>
      </c>
      <c r="S19" s="19">
        <f t="shared" si="28"/>
        <v>-4.7710000000000002E-2</v>
      </c>
      <c r="U19" s="29"/>
    </row>
    <row r="20" spans="1:21">
      <c r="A20" s="26" t="s">
        <v>14</v>
      </c>
      <c r="B20" s="26" t="s">
        <v>58</v>
      </c>
      <c r="C20" s="30">
        <v>7.34</v>
      </c>
      <c r="D20" s="27">
        <v>7.6</v>
      </c>
      <c r="E20" s="28"/>
      <c r="F20" s="16">
        <f t="shared" ref="F20:F33" si="29">(C20*D20*E20/1000)</f>
        <v>0</v>
      </c>
      <c r="G20" s="17"/>
      <c r="H20" s="18">
        <v>3</v>
      </c>
      <c r="I20" s="19">
        <f t="shared" ref="I20:I33" si="30">(C20*D20*H20/1000)</f>
        <v>0.167352</v>
      </c>
      <c r="J20" s="16"/>
      <c r="K20" s="18"/>
      <c r="L20" s="19">
        <f t="shared" ref="L20:L33" si="31">(C20*D20*K20/1000)</f>
        <v>0</v>
      </c>
      <c r="M20" s="16"/>
      <c r="N20" s="18"/>
      <c r="O20" s="19">
        <f t="shared" ref="O20:O33" si="32">(C20*D20*N20/1000)</f>
        <v>0</v>
      </c>
      <c r="P20" s="20">
        <f t="shared" ref="P20:P33" si="33">+H20+K20+N20</f>
        <v>3</v>
      </c>
      <c r="Q20" s="19">
        <f t="shared" ref="Q20:Q33" si="34">+I20+L20+O20</f>
        <v>0.167352</v>
      </c>
      <c r="R20" s="21">
        <f t="shared" ref="R20:R33" si="35">E20-P20</f>
        <v>-3</v>
      </c>
      <c r="S20" s="19">
        <f t="shared" ref="S20:S33" si="36">F20-Q20</f>
        <v>-0.167352</v>
      </c>
      <c r="U20" s="29"/>
    </row>
    <row r="21" spans="1:21">
      <c r="A21" s="26" t="s">
        <v>14</v>
      </c>
      <c r="B21" s="26" t="s">
        <v>58</v>
      </c>
      <c r="C21" s="30">
        <v>7.34</v>
      </c>
      <c r="D21" s="27">
        <v>6.4</v>
      </c>
      <c r="E21" s="28"/>
      <c r="F21" s="16">
        <f t="shared" si="29"/>
        <v>0</v>
      </c>
      <c r="G21" s="17"/>
      <c r="H21" s="18">
        <v>1</v>
      </c>
      <c r="I21" s="19">
        <f t="shared" si="30"/>
        <v>4.6975999999999997E-2</v>
      </c>
      <c r="J21" s="16"/>
      <c r="K21" s="18"/>
      <c r="L21" s="19">
        <f t="shared" si="31"/>
        <v>0</v>
      </c>
      <c r="M21" s="16"/>
      <c r="N21" s="18"/>
      <c r="O21" s="19">
        <f t="shared" si="32"/>
        <v>0</v>
      </c>
      <c r="P21" s="20">
        <f t="shared" si="33"/>
        <v>1</v>
      </c>
      <c r="Q21" s="19">
        <f t="shared" si="34"/>
        <v>4.6975999999999997E-2</v>
      </c>
      <c r="R21" s="21">
        <f t="shared" si="35"/>
        <v>-1</v>
      </c>
      <c r="S21" s="19">
        <f t="shared" si="36"/>
        <v>-4.6975999999999997E-2</v>
      </c>
      <c r="U21" s="29"/>
    </row>
    <row r="22" spans="1:21">
      <c r="A22" s="26" t="s">
        <v>14</v>
      </c>
      <c r="B22" s="26" t="s">
        <v>58</v>
      </c>
      <c r="C22" s="30">
        <v>7.34</v>
      </c>
      <c r="D22" s="27">
        <v>5.6</v>
      </c>
      <c r="E22" s="28"/>
      <c r="F22" s="16">
        <f t="shared" si="29"/>
        <v>0</v>
      </c>
      <c r="G22" s="17"/>
      <c r="H22" s="18"/>
      <c r="I22" s="19">
        <f t="shared" si="30"/>
        <v>0</v>
      </c>
      <c r="J22" s="16"/>
      <c r="K22" s="18">
        <v>1</v>
      </c>
      <c r="L22" s="19">
        <f t="shared" si="31"/>
        <v>4.1104000000000002E-2</v>
      </c>
      <c r="M22" s="16"/>
      <c r="N22" s="18"/>
      <c r="O22" s="19">
        <f t="shared" si="32"/>
        <v>0</v>
      </c>
      <c r="P22" s="20">
        <f t="shared" si="33"/>
        <v>1</v>
      </c>
      <c r="Q22" s="19">
        <f t="shared" si="34"/>
        <v>4.1104000000000002E-2</v>
      </c>
      <c r="R22" s="21">
        <f t="shared" si="35"/>
        <v>-1</v>
      </c>
      <c r="S22" s="19">
        <f t="shared" si="36"/>
        <v>-4.1104000000000002E-2</v>
      </c>
      <c r="U22" s="29"/>
    </row>
    <row r="23" spans="1:21">
      <c r="A23" s="26" t="s">
        <v>14</v>
      </c>
      <c r="B23" s="26" t="s">
        <v>58</v>
      </c>
      <c r="C23" s="30">
        <v>7.34</v>
      </c>
      <c r="D23" s="27">
        <v>6.5</v>
      </c>
      <c r="E23" s="28"/>
      <c r="F23" s="16">
        <f t="shared" si="29"/>
        <v>0</v>
      </c>
      <c r="G23" s="17"/>
      <c r="H23" s="18"/>
      <c r="I23" s="19">
        <f t="shared" si="30"/>
        <v>0</v>
      </c>
      <c r="J23" s="16"/>
      <c r="K23" s="18">
        <v>1</v>
      </c>
      <c r="L23" s="19">
        <f t="shared" si="31"/>
        <v>4.7710000000000002E-2</v>
      </c>
      <c r="M23" s="16"/>
      <c r="N23" s="18"/>
      <c r="O23" s="19">
        <f t="shared" si="32"/>
        <v>0</v>
      </c>
      <c r="P23" s="20">
        <f t="shared" si="33"/>
        <v>1</v>
      </c>
      <c r="Q23" s="19">
        <f t="shared" si="34"/>
        <v>4.7710000000000002E-2</v>
      </c>
      <c r="R23" s="21">
        <f t="shared" si="35"/>
        <v>-1</v>
      </c>
      <c r="S23" s="19">
        <f t="shared" si="36"/>
        <v>-4.7710000000000002E-2</v>
      </c>
      <c r="U23" s="29"/>
    </row>
    <row r="24" spans="1:21">
      <c r="A24" s="26" t="s">
        <v>14</v>
      </c>
      <c r="B24" s="26" t="s">
        <v>58</v>
      </c>
      <c r="C24" s="30">
        <v>7.34</v>
      </c>
      <c r="D24" s="27">
        <v>6.6</v>
      </c>
      <c r="E24" s="28"/>
      <c r="F24" s="16">
        <f t="shared" si="29"/>
        <v>0</v>
      </c>
      <c r="G24" s="17"/>
      <c r="H24" s="18"/>
      <c r="I24" s="19">
        <f t="shared" si="30"/>
        <v>0</v>
      </c>
      <c r="J24" s="16"/>
      <c r="K24" s="18">
        <v>3</v>
      </c>
      <c r="L24" s="19">
        <f t="shared" si="31"/>
        <v>0.14533199999999999</v>
      </c>
      <c r="M24" s="16"/>
      <c r="N24" s="18"/>
      <c r="O24" s="19">
        <f t="shared" si="32"/>
        <v>0</v>
      </c>
      <c r="P24" s="20">
        <f t="shared" si="33"/>
        <v>3</v>
      </c>
      <c r="Q24" s="19">
        <f t="shared" si="34"/>
        <v>0.14533199999999999</v>
      </c>
      <c r="R24" s="21">
        <f t="shared" si="35"/>
        <v>-3</v>
      </c>
      <c r="S24" s="19">
        <f t="shared" si="36"/>
        <v>-0.14533199999999999</v>
      </c>
      <c r="U24" s="29"/>
    </row>
    <row r="25" spans="1:21">
      <c r="A25" s="26" t="s">
        <v>14</v>
      </c>
      <c r="B25" s="26" t="s">
        <v>58</v>
      </c>
      <c r="C25" s="30">
        <v>7.34</v>
      </c>
      <c r="D25" s="27">
        <v>7</v>
      </c>
      <c r="E25" s="28"/>
      <c r="F25" s="16">
        <f t="shared" si="29"/>
        <v>0</v>
      </c>
      <c r="G25" s="17"/>
      <c r="H25" s="18"/>
      <c r="I25" s="19">
        <f t="shared" si="30"/>
        <v>0</v>
      </c>
      <c r="J25" s="16"/>
      <c r="K25" s="18">
        <v>2</v>
      </c>
      <c r="L25" s="19">
        <f t="shared" si="31"/>
        <v>0.10275999999999999</v>
      </c>
      <c r="M25" s="16"/>
      <c r="N25" s="18"/>
      <c r="O25" s="19">
        <f t="shared" si="32"/>
        <v>0</v>
      </c>
      <c r="P25" s="20">
        <f>+H25+K25+N25</f>
        <v>2</v>
      </c>
      <c r="Q25" s="19">
        <f t="shared" si="34"/>
        <v>0.10275999999999999</v>
      </c>
      <c r="R25" s="21">
        <f t="shared" si="35"/>
        <v>-2</v>
      </c>
      <c r="S25" s="19">
        <f t="shared" si="36"/>
        <v>-0.10275999999999999</v>
      </c>
      <c r="U25" s="29"/>
    </row>
    <row r="26" spans="1:21">
      <c r="A26" s="26" t="s">
        <v>14</v>
      </c>
      <c r="B26" s="26" t="s">
        <v>58</v>
      </c>
      <c r="C26" s="30">
        <v>7.34</v>
      </c>
      <c r="D26" s="27">
        <v>7.25</v>
      </c>
      <c r="E26" s="28"/>
      <c r="F26" s="16">
        <f t="shared" si="29"/>
        <v>0</v>
      </c>
      <c r="G26" s="17"/>
      <c r="H26" s="18"/>
      <c r="I26" s="19">
        <f t="shared" si="30"/>
        <v>0</v>
      </c>
      <c r="J26" s="16"/>
      <c r="K26" s="18">
        <v>5</v>
      </c>
      <c r="L26" s="19">
        <f t="shared" si="31"/>
        <v>0.26607500000000001</v>
      </c>
      <c r="M26" s="16"/>
      <c r="N26" s="18"/>
      <c r="O26" s="19">
        <f t="shared" si="32"/>
        <v>0</v>
      </c>
      <c r="P26" s="20">
        <f t="shared" si="33"/>
        <v>5</v>
      </c>
      <c r="Q26" s="19">
        <f t="shared" si="34"/>
        <v>0.26607500000000001</v>
      </c>
      <c r="R26" s="21">
        <f t="shared" si="35"/>
        <v>-5</v>
      </c>
      <c r="S26" s="19">
        <f t="shared" si="36"/>
        <v>-0.26607500000000001</v>
      </c>
      <c r="U26" s="29"/>
    </row>
    <row r="27" spans="1:21">
      <c r="A27" s="26" t="s">
        <v>14</v>
      </c>
      <c r="B27" s="26" t="s">
        <v>58</v>
      </c>
      <c r="C27" s="30">
        <v>7.34</v>
      </c>
      <c r="D27" s="27">
        <v>7.5</v>
      </c>
      <c r="E27" s="28"/>
      <c r="F27" s="16">
        <f t="shared" si="29"/>
        <v>0</v>
      </c>
      <c r="G27" s="17"/>
      <c r="H27" s="18"/>
      <c r="I27" s="19">
        <f t="shared" si="30"/>
        <v>0</v>
      </c>
      <c r="J27" s="16"/>
      <c r="K27" s="18">
        <v>1</v>
      </c>
      <c r="L27" s="19">
        <f t="shared" si="31"/>
        <v>5.5049999999999995E-2</v>
      </c>
      <c r="M27" s="16"/>
      <c r="N27" s="18"/>
      <c r="O27" s="19">
        <f t="shared" si="32"/>
        <v>0</v>
      </c>
      <c r="P27" s="20">
        <f t="shared" si="33"/>
        <v>1</v>
      </c>
      <c r="Q27" s="19">
        <f t="shared" si="34"/>
        <v>5.5049999999999995E-2</v>
      </c>
      <c r="R27" s="21">
        <f t="shared" si="35"/>
        <v>-1</v>
      </c>
      <c r="S27" s="19">
        <f t="shared" si="36"/>
        <v>-5.5049999999999995E-2</v>
      </c>
      <c r="U27" s="29"/>
    </row>
    <row r="28" spans="1:21">
      <c r="A28" s="26" t="s">
        <v>14</v>
      </c>
      <c r="B28" s="26" t="s">
        <v>58</v>
      </c>
      <c r="C28" s="30">
        <v>7.34</v>
      </c>
      <c r="D28" s="27">
        <v>7.9</v>
      </c>
      <c r="E28" s="28"/>
      <c r="F28" s="16">
        <f t="shared" si="29"/>
        <v>0</v>
      </c>
      <c r="G28" s="17"/>
      <c r="H28" s="18"/>
      <c r="I28" s="19">
        <f t="shared" si="30"/>
        <v>0</v>
      </c>
      <c r="J28" s="16"/>
      <c r="K28" s="18">
        <v>3</v>
      </c>
      <c r="L28" s="19">
        <f t="shared" si="31"/>
        <v>0.17395800000000003</v>
      </c>
      <c r="M28" s="16"/>
      <c r="N28" s="18"/>
      <c r="O28" s="19">
        <f t="shared" si="32"/>
        <v>0</v>
      </c>
      <c r="P28" s="20">
        <f t="shared" si="33"/>
        <v>3</v>
      </c>
      <c r="Q28" s="19">
        <f t="shared" si="34"/>
        <v>0.17395800000000003</v>
      </c>
      <c r="R28" s="21">
        <f t="shared" si="35"/>
        <v>-3</v>
      </c>
      <c r="S28" s="19">
        <f t="shared" si="36"/>
        <v>-0.17395800000000003</v>
      </c>
      <c r="U28" s="29"/>
    </row>
    <row r="29" spans="1:21">
      <c r="A29" s="26" t="s">
        <v>14</v>
      </c>
      <c r="B29" s="26" t="s">
        <v>58</v>
      </c>
      <c r="C29" s="30">
        <v>7.34</v>
      </c>
      <c r="D29" s="27">
        <v>8</v>
      </c>
      <c r="E29" s="28"/>
      <c r="F29" s="16">
        <f t="shared" si="29"/>
        <v>0</v>
      </c>
      <c r="G29" s="17"/>
      <c r="H29" s="18"/>
      <c r="I29" s="19">
        <f t="shared" si="30"/>
        <v>0</v>
      </c>
      <c r="J29" s="16"/>
      <c r="K29" s="18">
        <v>2</v>
      </c>
      <c r="L29" s="19">
        <f t="shared" si="31"/>
        <v>0.11744</v>
      </c>
      <c r="M29" s="16"/>
      <c r="N29" s="18"/>
      <c r="O29" s="19">
        <f t="shared" si="32"/>
        <v>0</v>
      </c>
      <c r="P29" s="20">
        <f t="shared" si="33"/>
        <v>2</v>
      </c>
      <c r="Q29" s="19">
        <f t="shared" si="34"/>
        <v>0.11744</v>
      </c>
      <c r="R29" s="21">
        <f t="shared" si="35"/>
        <v>-2</v>
      </c>
      <c r="S29" s="19">
        <f t="shared" si="36"/>
        <v>-0.11744</v>
      </c>
      <c r="U29" s="29"/>
    </row>
    <row r="30" spans="1:21">
      <c r="A30" s="26" t="s">
        <v>14</v>
      </c>
      <c r="B30" s="26" t="s">
        <v>58</v>
      </c>
      <c r="C30" s="30">
        <v>7.34</v>
      </c>
      <c r="D30" s="27">
        <v>8.1</v>
      </c>
      <c r="E30" s="28"/>
      <c r="F30" s="16">
        <f t="shared" si="29"/>
        <v>0</v>
      </c>
      <c r="G30" s="17"/>
      <c r="H30" s="18"/>
      <c r="I30" s="19">
        <f t="shared" si="30"/>
        <v>0</v>
      </c>
      <c r="J30" s="16"/>
      <c r="K30" s="18">
        <v>6</v>
      </c>
      <c r="L30" s="19">
        <f t="shared" si="31"/>
        <v>0.35672399999999993</v>
      </c>
      <c r="M30" s="16"/>
      <c r="N30" s="18"/>
      <c r="O30" s="19">
        <f t="shared" si="32"/>
        <v>0</v>
      </c>
      <c r="P30" s="20">
        <f t="shared" si="33"/>
        <v>6</v>
      </c>
      <c r="Q30" s="19">
        <f t="shared" si="34"/>
        <v>0.35672399999999993</v>
      </c>
      <c r="R30" s="21">
        <f t="shared" si="35"/>
        <v>-6</v>
      </c>
      <c r="S30" s="19">
        <f t="shared" si="36"/>
        <v>-0.35672399999999993</v>
      </c>
      <c r="U30" s="29"/>
    </row>
    <row r="31" spans="1:21">
      <c r="A31" s="26" t="s">
        <v>14</v>
      </c>
      <c r="B31" s="26" t="s">
        <v>58</v>
      </c>
      <c r="C31" s="30">
        <v>7.34</v>
      </c>
      <c r="D31" s="27">
        <v>8.4</v>
      </c>
      <c r="E31" s="28"/>
      <c r="F31" s="16">
        <f t="shared" si="29"/>
        <v>0</v>
      </c>
      <c r="G31" s="17"/>
      <c r="H31" s="18"/>
      <c r="I31" s="19">
        <f t="shared" si="30"/>
        <v>0</v>
      </c>
      <c r="J31" s="16"/>
      <c r="K31" s="18">
        <v>8</v>
      </c>
      <c r="L31" s="19">
        <f t="shared" si="31"/>
        <v>0.49324799999999996</v>
      </c>
      <c r="M31" s="16"/>
      <c r="N31" s="18"/>
      <c r="O31" s="19">
        <f t="shared" si="32"/>
        <v>0</v>
      </c>
      <c r="P31" s="20">
        <f t="shared" si="33"/>
        <v>8</v>
      </c>
      <c r="Q31" s="19">
        <f t="shared" si="34"/>
        <v>0.49324799999999996</v>
      </c>
      <c r="R31" s="21">
        <f t="shared" si="35"/>
        <v>-8</v>
      </c>
      <c r="S31" s="19">
        <f t="shared" si="36"/>
        <v>-0.49324799999999996</v>
      </c>
      <c r="U31" s="29"/>
    </row>
    <row r="32" spans="1:21">
      <c r="A32" s="26" t="s">
        <v>14</v>
      </c>
      <c r="B32" s="26" t="s">
        <v>58</v>
      </c>
      <c r="C32" s="30">
        <v>7.34</v>
      </c>
      <c r="D32" s="27">
        <v>9</v>
      </c>
      <c r="E32" s="28"/>
      <c r="F32" s="16">
        <f t="shared" si="29"/>
        <v>0</v>
      </c>
      <c r="G32" s="17"/>
      <c r="H32" s="18"/>
      <c r="I32" s="19">
        <f t="shared" si="30"/>
        <v>0</v>
      </c>
      <c r="J32" s="16"/>
      <c r="K32" s="18">
        <v>2</v>
      </c>
      <c r="L32" s="19">
        <f t="shared" si="31"/>
        <v>0.13212000000000002</v>
      </c>
      <c r="M32" s="16"/>
      <c r="N32" s="18"/>
      <c r="O32" s="19">
        <f t="shared" si="32"/>
        <v>0</v>
      </c>
      <c r="P32" s="20">
        <f t="shared" si="33"/>
        <v>2</v>
      </c>
      <c r="Q32" s="19">
        <f t="shared" si="34"/>
        <v>0.13212000000000002</v>
      </c>
      <c r="R32" s="21">
        <f t="shared" si="35"/>
        <v>-2</v>
      </c>
      <c r="S32" s="19">
        <f t="shared" si="36"/>
        <v>-0.13212000000000002</v>
      </c>
      <c r="U32" s="29"/>
    </row>
    <row r="33" spans="1:21">
      <c r="A33" s="26" t="s">
        <v>14</v>
      </c>
      <c r="B33" s="26" t="s">
        <v>58</v>
      </c>
      <c r="C33" s="30">
        <v>7.34</v>
      </c>
      <c r="D33" s="27">
        <v>9.5</v>
      </c>
      <c r="E33" s="28"/>
      <c r="F33" s="16">
        <f t="shared" si="29"/>
        <v>0</v>
      </c>
      <c r="G33" s="17"/>
      <c r="H33" s="18"/>
      <c r="I33" s="19">
        <f t="shared" si="30"/>
        <v>0</v>
      </c>
      <c r="J33" s="16"/>
      <c r="K33" s="18">
        <v>9</v>
      </c>
      <c r="L33" s="19">
        <f t="shared" si="31"/>
        <v>0.62757000000000007</v>
      </c>
      <c r="M33" s="16"/>
      <c r="N33" s="18"/>
      <c r="O33" s="19">
        <f t="shared" si="32"/>
        <v>0</v>
      </c>
      <c r="P33" s="20">
        <f t="shared" si="33"/>
        <v>9</v>
      </c>
      <c r="Q33" s="19">
        <f t="shared" si="34"/>
        <v>0.62757000000000007</v>
      </c>
      <c r="R33" s="21">
        <f t="shared" si="35"/>
        <v>-9</v>
      </c>
      <c r="S33" s="19">
        <f t="shared" si="36"/>
        <v>-0.62757000000000007</v>
      </c>
      <c r="U33" s="29"/>
    </row>
    <row r="34" spans="1:21">
      <c r="A34" s="26" t="s">
        <v>14</v>
      </c>
      <c r="B34" s="26" t="s">
        <v>58</v>
      </c>
      <c r="C34" s="30">
        <v>7.34</v>
      </c>
      <c r="D34" s="27">
        <v>10</v>
      </c>
      <c r="E34" s="28"/>
      <c r="F34" s="16">
        <f t="shared" si="21"/>
        <v>0</v>
      </c>
      <c r="G34" s="17"/>
      <c r="H34" s="18"/>
      <c r="I34" s="19">
        <f t="shared" si="22"/>
        <v>0</v>
      </c>
      <c r="J34" s="16"/>
      <c r="K34" s="18">
        <v>2</v>
      </c>
      <c r="L34" s="19">
        <f t="shared" si="23"/>
        <v>0.14680000000000001</v>
      </c>
      <c r="M34" s="16"/>
      <c r="N34" s="18"/>
      <c r="O34" s="19">
        <f t="shared" si="24"/>
        <v>0</v>
      </c>
      <c r="P34" s="20">
        <f t="shared" si="25"/>
        <v>2</v>
      </c>
      <c r="Q34" s="19">
        <f t="shared" si="26"/>
        <v>0.14680000000000001</v>
      </c>
      <c r="R34" s="21">
        <f t="shared" si="27"/>
        <v>-2</v>
      </c>
      <c r="S34" s="19">
        <f t="shared" si="28"/>
        <v>-0.14680000000000001</v>
      </c>
      <c r="U34" s="29"/>
    </row>
    <row r="35" spans="1:21">
      <c r="A35" s="26"/>
      <c r="B35" s="26" t="s">
        <v>73</v>
      </c>
      <c r="C35" s="30"/>
      <c r="D35" s="38"/>
      <c r="E35" s="31">
        <f t="shared" ref="E35:F35" si="37">SUM(E17:E34)</f>
        <v>33</v>
      </c>
      <c r="F35" s="38">
        <f t="shared" si="37"/>
        <v>2.9066399999999999</v>
      </c>
      <c r="G35" s="17"/>
      <c r="H35" s="31">
        <f t="shared" ref="H35" si="38">SUM(H17:H34)</f>
        <v>8</v>
      </c>
      <c r="I35" s="38">
        <f t="shared" ref="I35" si="39">SUM(I17:I34)</f>
        <v>0.43819799999999998</v>
      </c>
      <c r="J35" s="16"/>
      <c r="K35" s="31">
        <f t="shared" ref="K35" si="40">SUM(K17:K34)</f>
        <v>45</v>
      </c>
      <c r="L35" s="38">
        <f t="shared" ref="L35" si="41">SUM(L17:L34)</f>
        <v>2.7058909999999998</v>
      </c>
      <c r="M35" s="16"/>
      <c r="N35" s="31">
        <f t="shared" ref="N35" si="42">SUM(N17:N34)</f>
        <v>0</v>
      </c>
      <c r="O35" s="38">
        <f t="shared" ref="O35" si="43">SUM(O17:O34)</f>
        <v>0</v>
      </c>
      <c r="P35" s="31">
        <f t="shared" ref="P35" si="44">SUM(P17:P34)</f>
        <v>53</v>
      </c>
      <c r="Q35" s="38">
        <f t="shared" ref="Q35" si="45">SUM(Q17:Q34)</f>
        <v>3.1440889999999997</v>
      </c>
      <c r="R35" s="31">
        <f t="shared" ref="R35" si="46">SUM(R17:R34)</f>
        <v>-20</v>
      </c>
      <c r="S35" s="38">
        <f t="shared" ref="S35" si="47">SUM(S17:S34)</f>
        <v>-0.23744899999999966</v>
      </c>
      <c r="U35" s="29"/>
    </row>
    <row r="36" spans="1:21">
      <c r="A36" s="26" t="s">
        <v>14</v>
      </c>
      <c r="B36" s="26" t="s">
        <v>46</v>
      </c>
      <c r="C36" s="30">
        <v>10.7</v>
      </c>
      <c r="D36" s="27">
        <v>12</v>
      </c>
      <c r="E36" s="28">
        <v>33</v>
      </c>
      <c r="F36" s="16">
        <f>(C36*D36*E36/1000)</f>
        <v>4.2371999999999987</v>
      </c>
      <c r="G36" s="17" t="s">
        <v>89</v>
      </c>
      <c r="H36" s="18">
        <v>31</v>
      </c>
      <c r="I36" s="19">
        <f>(C36*D36*H36/1000)</f>
        <v>3.9803999999999991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20">
        <f>+H36+K36+N36</f>
        <v>31</v>
      </c>
      <c r="Q36" s="19">
        <f>+I36+L36+O36</f>
        <v>3.9803999999999991</v>
      </c>
      <c r="R36" s="21">
        <f>E36-P36</f>
        <v>2</v>
      </c>
      <c r="S36" s="19">
        <f>F36-Q36</f>
        <v>0.2567999999999997</v>
      </c>
      <c r="U36" s="29"/>
    </row>
    <row r="37" spans="1:21">
      <c r="A37" s="26" t="s">
        <v>14</v>
      </c>
      <c r="B37" s="26" t="s">
        <v>46</v>
      </c>
      <c r="C37" s="30">
        <v>10.7</v>
      </c>
      <c r="D37" s="27">
        <v>7</v>
      </c>
      <c r="E37" s="28"/>
      <c r="F37" s="16">
        <f t="shared" ref="F37:F40" si="48">(C37*D37*E37/1000)</f>
        <v>0</v>
      </c>
      <c r="G37" s="17" t="s">
        <v>95</v>
      </c>
      <c r="H37" s="18">
        <v>4</v>
      </c>
      <c r="I37" s="19">
        <f t="shared" ref="I37:I40" si="49">(C37*D37*H37/1000)</f>
        <v>0.29959999999999998</v>
      </c>
      <c r="J37" s="16"/>
      <c r="K37" s="18"/>
      <c r="L37" s="19">
        <f t="shared" ref="L37:L40" si="50">(C37*D37*K37/1000)</f>
        <v>0</v>
      </c>
      <c r="M37" s="16"/>
      <c r="N37" s="18"/>
      <c r="O37" s="19">
        <f t="shared" ref="O37:O40" si="51">(C37*D37*N37/1000)</f>
        <v>0</v>
      </c>
      <c r="P37" s="20">
        <f t="shared" ref="P37:P40" si="52">+H37+K37+N37</f>
        <v>4</v>
      </c>
      <c r="Q37" s="19">
        <f t="shared" ref="Q37:Q40" si="53">+I37+L37+O37</f>
        <v>0.29959999999999998</v>
      </c>
      <c r="R37" s="21">
        <f t="shared" ref="R37:R40" si="54">E37-P37</f>
        <v>-4</v>
      </c>
      <c r="S37" s="19">
        <f t="shared" ref="S37:S40" si="55">F37-Q37</f>
        <v>-0.29959999999999998</v>
      </c>
      <c r="U37" s="29"/>
    </row>
    <row r="38" spans="1:21">
      <c r="A38" s="26" t="s">
        <v>14</v>
      </c>
      <c r="B38" s="26" t="s">
        <v>46</v>
      </c>
      <c r="C38" s="30">
        <v>10.7</v>
      </c>
      <c r="D38" s="27"/>
      <c r="E38" s="28"/>
      <c r="F38" s="16">
        <f t="shared" si="48"/>
        <v>0</v>
      </c>
      <c r="G38" s="17"/>
      <c r="H38" s="18"/>
      <c r="I38" s="19">
        <f t="shared" si="49"/>
        <v>0</v>
      </c>
      <c r="J38" s="16"/>
      <c r="K38" s="18"/>
      <c r="L38" s="19">
        <f t="shared" si="50"/>
        <v>0</v>
      </c>
      <c r="M38" s="16"/>
      <c r="N38" s="18"/>
      <c r="O38" s="19">
        <f t="shared" si="51"/>
        <v>0</v>
      </c>
      <c r="P38" s="20">
        <f t="shared" si="52"/>
        <v>0</v>
      </c>
      <c r="Q38" s="19">
        <f t="shared" si="53"/>
        <v>0</v>
      </c>
      <c r="R38" s="21">
        <f t="shared" si="54"/>
        <v>0</v>
      </c>
      <c r="S38" s="19">
        <f t="shared" si="55"/>
        <v>0</v>
      </c>
      <c r="U38" s="29"/>
    </row>
    <row r="39" spans="1:21">
      <c r="A39" s="26" t="s">
        <v>14</v>
      </c>
      <c r="B39" s="26" t="s">
        <v>46</v>
      </c>
      <c r="C39" s="30">
        <v>10.7</v>
      </c>
      <c r="D39" s="27"/>
      <c r="E39" s="28"/>
      <c r="F39" s="16">
        <f t="shared" si="48"/>
        <v>0</v>
      </c>
      <c r="G39" s="17"/>
      <c r="H39" s="18"/>
      <c r="I39" s="19">
        <f t="shared" si="49"/>
        <v>0</v>
      </c>
      <c r="J39" s="16"/>
      <c r="K39" s="18"/>
      <c r="L39" s="19">
        <f t="shared" si="50"/>
        <v>0</v>
      </c>
      <c r="M39" s="16"/>
      <c r="N39" s="18"/>
      <c r="O39" s="19">
        <f t="shared" si="51"/>
        <v>0</v>
      </c>
      <c r="P39" s="20">
        <f t="shared" si="52"/>
        <v>0</v>
      </c>
      <c r="Q39" s="19">
        <f t="shared" si="53"/>
        <v>0</v>
      </c>
      <c r="R39" s="21">
        <f t="shared" si="54"/>
        <v>0</v>
      </c>
      <c r="S39" s="19">
        <f t="shared" si="55"/>
        <v>0</v>
      </c>
      <c r="U39" s="29"/>
    </row>
    <row r="40" spans="1:21">
      <c r="A40" s="26" t="s">
        <v>14</v>
      </c>
      <c r="B40" s="26" t="s">
        <v>46</v>
      </c>
      <c r="C40" s="30">
        <v>10.7</v>
      </c>
      <c r="D40" s="27"/>
      <c r="E40" s="28"/>
      <c r="F40" s="16">
        <f t="shared" si="48"/>
        <v>0</v>
      </c>
      <c r="G40" s="17"/>
      <c r="H40" s="18"/>
      <c r="I40" s="19">
        <f t="shared" si="49"/>
        <v>0</v>
      </c>
      <c r="J40" s="16"/>
      <c r="K40" s="18"/>
      <c r="L40" s="19">
        <f t="shared" si="50"/>
        <v>0</v>
      </c>
      <c r="M40" s="16"/>
      <c r="N40" s="18"/>
      <c r="O40" s="19">
        <f t="shared" si="51"/>
        <v>0</v>
      </c>
      <c r="P40" s="20">
        <f t="shared" si="52"/>
        <v>0</v>
      </c>
      <c r="Q40" s="19">
        <f t="shared" si="53"/>
        <v>0</v>
      </c>
      <c r="R40" s="21">
        <f t="shared" si="54"/>
        <v>0</v>
      </c>
      <c r="S40" s="19">
        <f t="shared" si="55"/>
        <v>0</v>
      </c>
      <c r="U40" s="29"/>
    </row>
    <row r="41" spans="1:21">
      <c r="A41" s="26"/>
      <c r="B41" s="26" t="s">
        <v>73</v>
      </c>
      <c r="C41" s="30"/>
      <c r="D41" s="38"/>
      <c r="E41" s="31">
        <f t="shared" ref="E41:F41" si="56">SUM(E36:E40)</f>
        <v>33</v>
      </c>
      <c r="F41" s="38">
        <f t="shared" si="56"/>
        <v>4.2371999999999987</v>
      </c>
      <c r="G41" s="17"/>
      <c r="H41" s="31">
        <f>SUM(H36:H40)</f>
        <v>35</v>
      </c>
      <c r="I41" s="38">
        <f>SUM(I36:I40)</f>
        <v>4.2799999999999994</v>
      </c>
      <c r="J41" s="16"/>
      <c r="K41" s="31">
        <f t="shared" ref="K41" si="57">SUM(K36:K40)</f>
        <v>0</v>
      </c>
      <c r="L41" s="38">
        <f t="shared" ref="L41" si="58">SUM(L36:L40)</f>
        <v>0</v>
      </c>
      <c r="M41" s="16"/>
      <c r="N41" s="31">
        <f t="shared" ref="N41" si="59">SUM(N36:N40)</f>
        <v>0</v>
      </c>
      <c r="O41" s="38">
        <f t="shared" ref="O41" si="60">SUM(O36:O40)</f>
        <v>0</v>
      </c>
      <c r="P41" s="31">
        <f t="shared" ref="P41" si="61">SUM(P36:P40)</f>
        <v>35</v>
      </c>
      <c r="Q41" s="38">
        <f t="shared" ref="Q41" si="62">SUM(Q36:Q40)</f>
        <v>4.2799999999999994</v>
      </c>
      <c r="R41" s="31">
        <f t="shared" ref="R41" si="63">SUM(R36:R40)</f>
        <v>-2</v>
      </c>
      <c r="S41" s="38">
        <f t="shared" ref="S41" si="64">SUM(S36:S40)</f>
        <v>-4.2800000000000282E-2</v>
      </c>
      <c r="U41" s="29"/>
    </row>
    <row r="42" spans="1:21">
      <c r="A42" s="26" t="s">
        <v>14</v>
      </c>
      <c r="B42" s="26" t="s">
        <v>45</v>
      </c>
      <c r="C42" s="30">
        <v>9.26</v>
      </c>
      <c r="D42" s="27">
        <v>12</v>
      </c>
      <c r="E42" s="28">
        <v>5</v>
      </c>
      <c r="F42" s="16">
        <f>(C42*D42*E42/1000)</f>
        <v>0.55559999999999998</v>
      </c>
      <c r="G42" s="17" t="s">
        <v>89</v>
      </c>
      <c r="H42" s="18"/>
      <c r="I42" s="19">
        <f>(C42*D42*H42/1000)</f>
        <v>0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20">
        <f>+H42+K42+N42</f>
        <v>0</v>
      </c>
      <c r="Q42" s="19">
        <f>+I42+L42+O42</f>
        <v>0</v>
      </c>
      <c r="R42" s="21">
        <f>E42-P42</f>
        <v>5</v>
      </c>
      <c r="S42" s="19">
        <f>F42-Q42</f>
        <v>0.55559999999999998</v>
      </c>
      <c r="U42" s="29"/>
    </row>
    <row r="43" spans="1:21">
      <c r="A43" s="26" t="s">
        <v>14</v>
      </c>
      <c r="B43" s="26" t="s">
        <v>45</v>
      </c>
      <c r="C43" s="30">
        <v>9.26</v>
      </c>
      <c r="D43" s="27">
        <v>10.15</v>
      </c>
      <c r="E43" s="28"/>
      <c r="F43" s="16">
        <f t="shared" ref="F43:F45" si="65">(C43*D43*E43/1000)</f>
        <v>0</v>
      </c>
      <c r="G43" s="17" t="s">
        <v>96</v>
      </c>
      <c r="H43" s="18">
        <v>1</v>
      </c>
      <c r="I43" s="19">
        <f t="shared" ref="I43:I45" si="66">(C43*D43*H43/1000)</f>
        <v>9.3989000000000003E-2</v>
      </c>
      <c r="J43" s="16"/>
      <c r="K43" s="18"/>
      <c r="L43" s="19">
        <f t="shared" ref="L43:L45" si="67">(C43*D43*K43/1000)</f>
        <v>0</v>
      </c>
      <c r="M43" s="16"/>
      <c r="N43" s="18"/>
      <c r="O43" s="19">
        <f t="shared" ref="O43:O45" si="68">(C43*D43*N43/1000)</f>
        <v>0</v>
      </c>
      <c r="P43" s="20">
        <f t="shared" ref="P43:P45" si="69">+H43+K43+N43</f>
        <v>1</v>
      </c>
      <c r="Q43" s="19">
        <f t="shared" ref="Q43:Q45" si="70">+I43+L43+O43</f>
        <v>9.3989000000000003E-2</v>
      </c>
      <c r="R43" s="21">
        <f t="shared" ref="R43:R45" si="71">E43-P43</f>
        <v>-1</v>
      </c>
      <c r="S43" s="19">
        <f t="shared" ref="S43:S45" si="72">F43-Q43</f>
        <v>-9.3989000000000003E-2</v>
      </c>
      <c r="U43" s="29"/>
    </row>
    <row r="44" spans="1:21">
      <c r="A44" s="26" t="s">
        <v>14</v>
      </c>
      <c r="B44" s="26" t="s">
        <v>45</v>
      </c>
      <c r="C44" s="30">
        <v>9.26</v>
      </c>
      <c r="D44" s="27">
        <v>10.25</v>
      </c>
      <c r="E44" s="28"/>
      <c r="F44" s="16">
        <f t="shared" si="65"/>
        <v>0</v>
      </c>
      <c r="G44" s="17"/>
      <c r="H44" s="18">
        <v>6</v>
      </c>
      <c r="I44" s="19">
        <f t="shared" si="66"/>
        <v>0.56949000000000005</v>
      </c>
      <c r="J44" s="16"/>
      <c r="K44" s="18"/>
      <c r="L44" s="19">
        <f t="shared" si="67"/>
        <v>0</v>
      </c>
      <c r="M44" s="16"/>
      <c r="N44" s="18"/>
      <c r="O44" s="19">
        <f t="shared" si="68"/>
        <v>0</v>
      </c>
      <c r="P44" s="20">
        <f t="shared" si="69"/>
        <v>6</v>
      </c>
      <c r="Q44" s="19">
        <f t="shared" si="70"/>
        <v>0.56949000000000005</v>
      </c>
      <c r="R44" s="21">
        <f t="shared" si="71"/>
        <v>-6</v>
      </c>
      <c r="S44" s="19">
        <f t="shared" si="72"/>
        <v>-0.56949000000000005</v>
      </c>
      <c r="U44" s="29"/>
    </row>
    <row r="45" spans="1:21">
      <c r="A45" s="26" t="s">
        <v>14</v>
      </c>
      <c r="B45" s="26" t="s">
        <v>45</v>
      </c>
      <c r="C45" s="30">
        <v>9.26</v>
      </c>
      <c r="D45" s="27">
        <v>10.3</v>
      </c>
      <c r="E45" s="28"/>
      <c r="F45" s="16">
        <f t="shared" si="65"/>
        <v>0</v>
      </c>
      <c r="G45" s="17"/>
      <c r="H45" s="18">
        <v>2</v>
      </c>
      <c r="I45" s="19">
        <f t="shared" si="66"/>
        <v>0.19075600000000001</v>
      </c>
      <c r="J45" s="16"/>
      <c r="K45" s="18"/>
      <c r="L45" s="19">
        <f t="shared" si="67"/>
        <v>0</v>
      </c>
      <c r="M45" s="16"/>
      <c r="N45" s="18"/>
      <c r="O45" s="19">
        <f t="shared" si="68"/>
        <v>0</v>
      </c>
      <c r="P45" s="20">
        <f t="shared" si="69"/>
        <v>2</v>
      </c>
      <c r="Q45" s="19">
        <f t="shared" si="70"/>
        <v>0.19075600000000001</v>
      </c>
      <c r="R45" s="21">
        <f t="shared" si="71"/>
        <v>-2</v>
      </c>
      <c r="S45" s="19">
        <f t="shared" si="72"/>
        <v>-0.19075600000000001</v>
      </c>
      <c r="U45" s="29"/>
    </row>
    <row r="46" spans="1:21">
      <c r="A46" s="26"/>
      <c r="B46" s="26" t="s">
        <v>73</v>
      </c>
      <c r="C46" s="30"/>
      <c r="D46" s="38"/>
      <c r="E46" s="31">
        <f>SUM(E42:E45)</f>
        <v>5</v>
      </c>
      <c r="F46" s="38">
        <f>SUM(F42:F45)</f>
        <v>0.55559999999999998</v>
      </c>
      <c r="G46" s="17"/>
      <c r="H46" s="31">
        <f>SUM(H42:H45)</f>
        <v>9</v>
      </c>
      <c r="I46" s="38">
        <f>SUM(I42:I45)</f>
        <v>0.85423500000000008</v>
      </c>
      <c r="J46" s="16"/>
      <c r="K46" s="31">
        <f>SUM(K42:K45)</f>
        <v>0</v>
      </c>
      <c r="L46" s="38">
        <f>SUM(L42:L45)</f>
        <v>0</v>
      </c>
      <c r="M46" s="16"/>
      <c r="N46" s="31">
        <f t="shared" ref="N46:S46" si="73">SUM(N42:N45)</f>
        <v>0</v>
      </c>
      <c r="O46" s="38">
        <f t="shared" si="73"/>
        <v>0</v>
      </c>
      <c r="P46" s="31">
        <f t="shared" si="73"/>
        <v>9</v>
      </c>
      <c r="Q46" s="38">
        <f t="shared" si="73"/>
        <v>0.85423500000000008</v>
      </c>
      <c r="R46" s="31">
        <f t="shared" si="73"/>
        <v>-4</v>
      </c>
      <c r="S46" s="38">
        <f t="shared" si="73"/>
        <v>-0.29863500000000009</v>
      </c>
      <c r="U46" s="29"/>
    </row>
    <row r="47" spans="1:21">
      <c r="A47" s="26" t="s">
        <v>14</v>
      </c>
      <c r="B47" s="26" t="s">
        <v>45</v>
      </c>
      <c r="C47" s="30">
        <v>9.26</v>
      </c>
      <c r="D47" s="27">
        <v>9.6999999999999993</v>
      </c>
      <c r="E47" s="28">
        <v>2</v>
      </c>
      <c r="F47" s="16">
        <f>(C47*D47*E47/1000)</f>
        <v>0.17964399999999997</v>
      </c>
      <c r="G47" s="17" t="s">
        <v>89</v>
      </c>
      <c r="H47" s="18"/>
      <c r="I47" s="19">
        <f>(C47*D47*H47/1000)</f>
        <v>0</v>
      </c>
      <c r="J47" s="16"/>
      <c r="K47" s="18"/>
      <c r="L47" s="19">
        <f>(C47*D47*K47/1000)</f>
        <v>0</v>
      </c>
      <c r="M47" s="16"/>
      <c r="N47" s="18"/>
      <c r="O47" s="19">
        <f>(C47*D47*N47/1000)</f>
        <v>0</v>
      </c>
      <c r="P47" s="20">
        <f>+H47+K47+N47</f>
        <v>0</v>
      </c>
      <c r="Q47" s="19">
        <f>+I47+L47+O47</f>
        <v>0</v>
      </c>
      <c r="R47" s="21">
        <f>E47-P47</f>
        <v>2</v>
      </c>
      <c r="S47" s="19">
        <f>F47-Q47</f>
        <v>0.17964399999999997</v>
      </c>
      <c r="U47" s="29"/>
    </row>
    <row r="48" spans="1:21">
      <c r="A48" s="26" t="s">
        <v>14</v>
      </c>
      <c r="B48" s="26" t="s">
        <v>45</v>
      </c>
      <c r="C48" s="30">
        <v>9.26</v>
      </c>
      <c r="D48" s="27">
        <v>10.199999999999999</v>
      </c>
      <c r="E48" s="28"/>
      <c r="F48" s="16">
        <f t="shared" ref="F48:F49" si="74">(C48*D48*E48/1000)</f>
        <v>0</v>
      </c>
      <c r="G48" s="17" t="s">
        <v>96</v>
      </c>
      <c r="H48" s="18">
        <v>2</v>
      </c>
      <c r="I48" s="19">
        <f t="shared" ref="I48:I49" si="75">(C48*D48*H48/1000)</f>
        <v>0.18890399999999999</v>
      </c>
      <c r="J48" s="16"/>
      <c r="K48" s="18"/>
      <c r="L48" s="19">
        <f t="shared" ref="L48:L49" si="76">(C48*D48*K48/1000)</f>
        <v>0</v>
      </c>
      <c r="M48" s="16"/>
      <c r="N48" s="18"/>
      <c r="O48" s="19">
        <f t="shared" ref="O48:O49" si="77">(C48*D48*N48/1000)</f>
        <v>0</v>
      </c>
      <c r="P48" s="20">
        <f t="shared" ref="P48:P49" si="78">+H48+K48+N48</f>
        <v>2</v>
      </c>
      <c r="Q48" s="19">
        <f t="shared" ref="Q48:Q49" si="79">+I48+L48+O48</f>
        <v>0.18890399999999999</v>
      </c>
      <c r="R48" s="21">
        <f t="shared" ref="R48:R49" si="80">E48-P48</f>
        <v>-2</v>
      </c>
      <c r="S48" s="19">
        <f t="shared" ref="S48:S49" si="81">F48-Q48</f>
        <v>-0.18890399999999999</v>
      </c>
      <c r="U48" s="29"/>
    </row>
    <row r="49" spans="1:21">
      <c r="A49" s="26" t="s">
        <v>14</v>
      </c>
      <c r="B49" s="26" t="s">
        <v>45</v>
      </c>
      <c r="C49" s="30">
        <v>9.26</v>
      </c>
      <c r="D49" s="27"/>
      <c r="E49" s="28"/>
      <c r="F49" s="16">
        <f t="shared" si="74"/>
        <v>0</v>
      </c>
      <c r="G49" s="17"/>
      <c r="H49" s="18"/>
      <c r="I49" s="19">
        <f t="shared" si="75"/>
        <v>0</v>
      </c>
      <c r="J49" s="16"/>
      <c r="K49" s="18"/>
      <c r="L49" s="19">
        <f t="shared" si="76"/>
        <v>0</v>
      </c>
      <c r="M49" s="16"/>
      <c r="N49" s="18"/>
      <c r="O49" s="19">
        <f t="shared" si="77"/>
        <v>0</v>
      </c>
      <c r="P49" s="20">
        <f t="shared" si="78"/>
        <v>0</v>
      </c>
      <c r="Q49" s="19">
        <f t="shared" si="79"/>
        <v>0</v>
      </c>
      <c r="R49" s="21">
        <f t="shared" si="80"/>
        <v>0</v>
      </c>
      <c r="S49" s="19">
        <f t="shared" si="81"/>
        <v>0</v>
      </c>
      <c r="U49" s="29"/>
    </row>
    <row r="50" spans="1:21">
      <c r="A50" s="26"/>
      <c r="B50" s="26" t="s">
        <v>76</v>
      </c>
      <c r="C50" s="30"/>
      <c r="D50" s="38"/>
      <c r="E50" s="31">
        <f t="shared" ref="E50:F50" si="82">SUM(E47)</f>
        <v>2</v>
      </c>
      <c r="F50" s="38">
        <f t="shared" si="82"/>
        <v>0.17964399999999997</v>
      </c>
      <c r="G50" s="17"/>
      <c r="H50" s="31">
        <f>SUM(H47:H47)</f>
        <v>0</v>
      </c>
      <c r="I50" s="38">
        <f>SUM(I47:I47)</f>
        <v>0</v>
      </c>
      <c r="J50" s="16"/>
      <c r="K50" s="31">
        <f>SUM(K47:K47)</f>
        <v>0</v>
      </c>
      <c r="L50" s="38">
        <f>SUM(L47:L47)</f>
        <v>0</v>
      </c>
      <c r="M50" s="16"/>
      <c r="N50" s="31">
        <f t="shared" ref="N50:S50" si="83">SUM(N47:N47)</f>
        <v>0</v>
      </c>
      <c r="O50" s="38">
        <f t="shared" si="83"/>
        <v>0</v>
      </c>
      <c r="P50" s="31">
        <f t="shared" si="83"/>
        <v>0</v>
      </c>
      <c r="Q50" s="38">
        <f t="shared" si="83"/>
        <v>0</v>
      </c>
      <c r="R50" s="31">
        <f t="shared" si="83"/>
        <v>2</v>
      </c>
      <c r="S50" s="38">
        <f t="shared" si="83"/>
        <v>0.17964399999999997</v>
      </c>
      <c r="U50" s="29"/>
    </row>
    <row r="51" spans="1:21">
      <c r="A51" s="33"/>
      <c r="B51" s="33"/>
      <c r="C51" s="34"/>
      <c r="D51" s="34"/>
      <c r="E51" s="34">
        <f>SUM(E7:E50)/2</f>
        <v>87</v>
      </c>
      <c r="F51" s="35">
        <f>SUM(F7:F50)/2</f>
        <v>9.4623639999999956</v>
      </c>
      <c r="G51" s="26"/>
      <c r="H51" s="34">
        <f>SUM(H7:H50)/2</f>
        <v>69</v>
      </c>
      <c r="I51" s="35">
        <f>SUM(I7:I50)/2</f>
        <v>7.1359949999999994</v>
      </c>
      <c r="J51" s="26"/>
      <c r="K51" s="34">
        <f>SUM(K7:K50)/2</f>
        <v>45</v>
      </c>
      <c r="L51" s="35">
        <f>SUM(L7:L50)/2</f>
        <v>2.7058909999999998</v>
      </c>
      <c r="M51" s="26"/>
      <c r="N51" s="34">
        <f t="shared" ref="N51:S51" si="84">SUM(N7:N50)/2</f>
        <v>0</v>
      </c>
      <c r="O51" s="35">
        <f t="shared" si="84"/>
        <v>0</v>
      </c>
      <c r="P51" s="34">
        <f t="shared" si="84"/>
        <v>114</v>
      </c>
      <c r="Q51" s="35">
        <f t="shared" si="84"/>
        <v>9.8418860000000006</v>
      </c>
      <c r="R51" s="34">
        <f t="shared" si="84"/>
        <v>-27</v>
      </c>
      <c r="S51" s="35">
        <f t="shared" si="84"/>
        <v>-0.37952199999999947</v>
      </c>
    </row>
  </sheetData>
  <mergeCells count="9">
    <mergeCell ref="J5:L5"/>
    <mergeCell ref="M5:O5"/>
    <mergeCell ref="P5:Q5"/>
    <mergeCell ref="R5:S5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0"/>
  <dimension ref="A1:U242"/>
  <sheetViews>
    <sheetView zoomScale="75" zoomScaleNormal="75" workbookViewId="0">
      <pane ySplit="5" topLeftCell="A192" activePane="bottomLeft" state="frozen"/>
      <selection pane="bottomLeft" activeCell="M220" sqref="M22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3" t="s">
        <v>43</v>
      </c>
      <c r="H1" s="144"/>
      <c r="I1" s="145" t="s">
        <v>29</v>
      </c>
      <c r="J1" s="144"/>
      <c r="K1" s="3"/>
      <c r="L1" s="4"/>
      <c r="M1" s="146" t="str">
        <f>+F2</f>
        <v>LOI-12  07.04.23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28</v>
      </c>
      <c r="B2" s="8"/>
      <c r="C2" s="9"/>
      <c r="D2" s="9"/>
      <c r="E2" s="10"/>
      <c r="F2" s="146" t="s">
        <v>42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146" t="str">
        <f>+M1</f>
        <v>LOI-12  07.04.23</v>
      </c>
      <c r="S2" s="146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13</v>
      </c>
      <c r="B6" s="26" t="s">
        <v>45</v>
      </c>
      <c r="C6" s="26">
        <v>9.26</v>
      </c>
      <c r="D6" s="27">
        <v>7.3</v>
      </c>
      <c r="E6" s="28">
        <v>57</v>
      </c>
      <c r="F6" s="16">
        <f>(C6*D6*E6/1000)</f>
        <v>3.8530859999999998</v>
      </c>
      <c r="G6" s="17" t="s">
        <v>64</v>
      </c>
      <c r="H6" s="18">
        <v>63</v>
      </c>
      <c r="I6" s="19">
        <f t="shared" ref="I6:I33" si="0">(C6*D6*H6/1000)</f>
        <v>4.2586740000000001</v>
      </c>
      <c r="J6" s="16" t="s">
        <v>88</v>
      </c>
      <c r="K6" s="18"/>
      <c r="L6" s="19">
        <f t="shared" ref="L6:L33" si="1">(C6*D6*K6/1000)</f>
        <v>0</v>
      </c>
      <c r="M6" s="16" t="s">
        <v>93</v>
      </c>
      <c r="N6" s="18"/>
      <c r="O6" s="19">
        <f t="shared" ref="O6:O33" si="2">(C6*D6*N6/1000)</f>
        <v>0</v>
      </c>
      <c r="P6" s="20">
        <f>+H6+K6+N6</f>
        <v>63</v>
      </c>
      <c r="Q6" s="19">
        <f t="shared" ref="Q6:Q33" si="3">+I6+L6+O6</f>
        <v>4.2586740000000001</v>
      </c>
      <c r="R6" s="21">
        <f t="shared" ref="R6:R33" si="4">E6-P6</f>
        <v>-6</v>
      </c>
      <c r="S6" s="19">
        <f t="shared" ref="S6:S33" si="5">F6-Q6</f>
        <v>-0.40558800000000028</v>
      </c>
      <c r="U6" s="29"/>
    </row>
    <row r="7" spans="1:21">
      <c r="A7" s="26" t="s">
        <v>13</v>
      </c>
      <c r="B7" s="26" t="s">
        <v>45</v>
      </c>
      <c r="C7" s="26">
        <v>9.26</v>
      </c>
      <c r="D7" s="27">
        <v>8</v>
      </c>
      <c r="E7" s="28">
        <v>128</v>
      </c>
      <c r="F7" s="16">
        <f>(C7*D7*E7/1000)</f>
        <v>9.4822399999999991</v>
      </c>
      <c r="G7" s="17" t="s">
        <v>95</v>
      </c>
      <c r="H7" s="18">
        <v>111</v>
      </c>
      <c r="I7" s="19">
        <f t="shared" si="0"/>
        <v>8.22288</v>
      </c>
      <c r="J7" s="16" t="s">
        <v>134</v>
      </c>
      <c r="K7" s="18">
        <v>5</v>
      </c>
      <c r="L7" s="19">
        <f t="shared" si="1"/>
        <v>0.37039999999999995</v>
      </c>
      <c r="M7" s="16" t="s">
        <v>170</v>
      </c>
      <c r="N7" s="18"/>
      <c r="O7" s="19">
        <f t="shared" si="2"/>
        <v>0</v>
      </c>
      <c r="P7" s="20">
        <f t="shared" ref="P7:P33" si="6">+H7+K7+N7</f>
        <v>116</v>
      </c>
      <c r="Q7" s="19">
        <f t="shared" si="3"/>
        <v>8.59328</v>
      </c>
      <c r="R7" s="21">
        <f t="shared" si="4"/>
        <v>12</v>
      </c>
      <c r="S7" s="19">
        <f t="shared" si="5"/>
        <v>0.88895999999999908</v>
      </c>
      <c r="U7" s="29"/>
    </row>
    <row r="8" spans="1:21">
      <c r="A8" s="26" t="s">
        <v>13</v>
      </c>
      <c r="B8" s="26" t="s">
        <v>45</v>
      </c>
      <c r="C8" s="26">
        <v>9.26</v>
      </c>
      <c r="D8" s="27">
        <v>8.4</v>
      </c>
      <c r="E8" s="28">
        <v>67</v>
      </c>
      <c r="F8" s="16">
        <f>(C8*D8*E8/1000)</f>
        <v>5.2115280000000004</v>
      </c>
      <c r="G8" s="16" t="s">
        <v>89</v>
      </c>
      <c r="H8" s="18">
        <v>19</v>
      </c>
      <c r="I8" s="19">
        <f t="shared" si="0"/>
        <v>1.4778960000000001</v>
      </c>
      <c r="J8" s="16"/>
      <c r="K8" s="18">
        <v>10</v>
      </c>
      <c r="L8" s="19">
        <f t="shared" si="1"/>
        <v>0.77784000000000009</v>
      </c>
      <c r="M8" s="16"/>
      <c r="N8" s="18"/>
      <c r="O8" s="19">
        <f t="shared" si="2"/>
        <v>0</v>
      </c>
      <c r="P8" s="20">
        <f t="shared" si="6"/>
        <v>29</v>
      </c>
      <c r="Q8" s="19">
        <f t="shared" si="3"/>
        <v>2.2557360000000002</v>
      </c>
      <c r="R8" s="21">
        <f t="shared" si="4"/>
        <v>38</v>
      </c>
      <c r="S8" s="19">
        <f t="shared" si="5"/>
        <v>2.9557920000000002</v>
      </c>
      <c r="U8" s="29"/>
    </row>
    <row r="9" spans="1:21">
      <c r="A9" s="26" t="s">
        <v>13</v>
      </c>
      <c r="B9" s="26" t="s">
        <v>45</v>
      </c>
      <c r="C9" s="26">
        <v>9.26</v>
      </c>
      <c r="D9" s="27">
        <v>8.5</v>
      </c>
      <c r="E9" s="28">
        <v>22</v>
      </c>
      <c r="F9" s="16">
        <f>(C9*D9*E9/1000)</f>
        <v>1.7316199999999999</v>
      </c>
      <c r="G9" s="16" t="s">
        <v>95</v>
      </c>
      <c r="H9" s="18">
        <v>49</v>
      </c>
      <c r="I9" s="19">
        <f t="shared" si="0"/>
        <v>3.8567899999999997</v>
      </c>
      <c r="J9" s="16"/>
      <c r="K9" s="18"/>
      <c r="L9" s="19">
        <f t="shared" si="1"/>
        <v>0</v>
      </c>
      <c r="M9" s="16"/>
      <c r="N9" s="18"/>
      <c r="O9" s="19">
        <f t="shared" si="2"/>
        <v>0</v>
      </c>
      <c r="P9" s="20">
        <f t="shared" si="6"/>
        <v>49</v>
      </c>
      <c r="Q9" s="19">
        <f t="shared" si="3"/>
        <v>3.8567899999999997</v>
      </c>
      <c r="R9" s="21">
        <f t="shared" si="4"/>
        <v>-27</v>
      </c>
      <c r="S9" s="19">
        <f t="shared" si="5"/>
        <v>-2.1251699999999998</v>
      </c>
      <c r="U9" s="29"/>
    </row>
    <row r="10" spans="1:21">
      <c r="A10" s="26" t="s">
        <v>13</v>
      </c>
      <c r="B10" s="26" t="s">
        <v>45</v>
      </c>
      <c r="C10" s="26">
        <v>9.26</v>
      </c>
      <c r="D10" s="27">
        <v>10.199999999999999</v>
      </c>
      <c r="E10" s="28">
        <v>10</v>
      </c>
      <c r="F10" s="16">
        <f t="shared" ref="F10:F33" si="7">(C10*D10*E10/1000)</f>
        <v>0.94452000000000003</v>
      </c>
      <c r="G10" s="16" t="s">
        <v>93</v>
      </c>
      <c r="H10" s="18">
        <v>15</v>
      </c>
      <c r="I10" s="19">
        <f t="shared" si="0"/>
        <v>1.4167799999999999</v>
      </c>
      <c r="J10" s="16"/>
      <c r="K10" s="18"/>
      <c r="L10" s="19">
        <f t="shared" si="1"/>
        <v>0</v>
      </c>
      <c r="M10" s="16"/>
      <c r="N10" s="18"/>
      <c r="O10" s="19">
        <f t="shared" si="2"/>
        <v>0</v>
      </c>
      <c r="P10" s="20">
        <f t="shared" si="6"/>
        <v>15</v>
      </c>
      <c r="Q10" s="19">
        <f t="shared" si="3"/>
        <v>1.4167799999999999</v>
      </c>
      <c r="R10" s="21">
        <f t="shared" si="4"/>
        <v>-5</v>
      </c>
      <c r="S10" s="19">
        <f t="shared" si="5"/>
        <v>-0.4722599999999999</v>
      </c>
      <c r="U10" s="29"/>
    </row>
    <row r="11" spans="1:21">
      <c r="A11" s="26" t="s">
        <v>13</v>
      </c>
      <c r="B11" s="26" t="s">
        <v>45</v>
      </c>
      <c r="C11" s="26">
        <v>9.26</v>
      </c>
      <c r="D11" s="27">
        <v>10.3</v>
      </c>
      <c r="E11" s="28">
        <v>114</v>
      </c>
      <c r="F11" s="16">
        <f t="shared" si="7"/>
        <v>10.873092</v>
      </c>
      <c r="G11" s="16" t="s">
        <v>96</v>
      </c>
      <c r="H11" s="18">
        <v>108</v>
      </c>
      <c r="I11" s="19">
        <f t="shared" si="0"/>
        <v>10.300824</v>
      </c>
      <c r="J11" s="16"/>
      <c r="K11" s="18">
        <v>3</v>
      </c>
      <c r="L11" s="19">
        <f t="shared" si="1"/>
        <v>0.286134</v>
      </c>
      <c r="M11" s="16"/>
      <c r="N11" s="18"/>
      <c r="O11" s="19">
        <f t="shared" si="2"/>
        <v>0</v>
      </c>
      <c r="P11" s="20">
        <f t="shared" si="6"/>
        <v>111</v>
      </c>
      <c r="Q11" s="19">
        <f t="shared" si="3"/>
        <v>10.586958000000001</v>
      </c>
      <c r="R11" s="21">
        <f t="shared" si="4"/>
        <v>3</v>
      </c>
      <c r="S11" s="19">
        <f t="shared" si="5"/>
        <v>0.28613399999999878</v>
      </c>
      <c r="U11" s="29"/>
    </row>
    <row r="12" spans="1:21">
      <c r="A12" s="26" t="s">
        <v>13</v>
      </c>
      <c r="B12" s="26" t="s">
        <v>45</v>
      </c>
      <c r="C12" s="26">
        <v>9.26</v>
      </c>
      <c r="D12" s="27">
        <v>10.6</v>
      </c>
      <c r="E12" s="28">
        <v>162</v>
      </c>
      <c r="F12" s="16">
        <f t="shared" si="7"/>
        <v>15.901271999999999</v>
      </c>
      <c r="G12" s="16" t="s">
        <v>91</v>
      </c>
      <c r="H12" s="18">
        <v>123</v>
      </c>
      <c r="I12" s="19">
        <f t="shared" si="0"/>
        <v>12.073187999999998</v>
      </c>
      <c r="J12" s="16"/>
      <c r="K12" s="18">
        <v>2</v>
      </c>
      <c r="L12" s="19">
        <f t="shared" si="1"/>
        <v>0.19631199999999999</v>
      </c>
      <c r="M12" s="16"/>
      <c r="N12" s="18">
        <v>6</v>
      </c>
      <c r="O12" s="19">
        <f t="shared" si="2"/>
        <v>0.5889359999999999</v>
      </c>
      <c r="P12" s="20">
        <f t="shared" si="6"/>
        <v>131</v>
      </c>
      <c r="Q12" s="19">
        <f t="shared" si="3"/>
        <v>12.858435999999999</v>
      </c>
      <c r="R12" s="21">
        <f t="shared" si="4"/>
        <v>31</v>
      </c>
      <c r="S12" s="19">
        <f t="shared" si="5"/>
        <v>3.0428359999999994</v>
      </c>
      <c r="U12" s="29"/>
    </row>
    <row r="13" spans="1:21">
      <c r="A13" s="26" t="s">
        <v>13</v>
      </c>
      <c r="B13" s="26" t="s">
        <v>45</v>
      </c>
      <c r="C13" s="26">
        <v>9.26</v>
      </c>
      <c r="D13" s="27">
        <v>10.8</v>
      </c>
      <c r="E13" s="28">
        <v>48</v>
      </c>
      <c r="F13" s="16">
        <f t="shared" si="7"/>
        <v>4.8003840000000002</v>
      </c>
      <c r="G13" s="16" t="s">
        <v>98</v>
      </c>
      <c r="H13" s="18">
        <v>57</v>
      </c>
      <c r="I13" s="19">
        <f t="shared" si="0"/>
        <v>5.700456</v>
      </c>
      <c r="J13" s="16"/>
      <c r="K13" s="18"/>
      <c r="L13" s="19">
        <f t="shared" si="1"/>
        <v>0</v>
      </c>
      <c r="M13" s="16"/>
      <c r="N13" s="18"/>
      <c r="O13" s="19">
        <f t="shared" si="2"/>
        <v>0</v>
      </c>
      <c r="P13" s="20">
        <f t="shared" si="6"/>
        <v>57</v>
      </c>
      <c r="Q13" s="19">
        <f t="shared" si="3"/>
        <v>5.700456</v>
      </c>
      <c r="R13" s="21">
        <f t="shared" si="4"/>
        <v>-9</v>
      </c>
      <c r="S13" s="19">
        <f t="shared" si="5"/>
        <v>-0.90007199999999976</v>
      </c>
      <c r="U13" s="29"/>
    </row>
    <row r="14" spans="1:21">
      <c r="A14" s="26" t="s">
        <v>13</v>
      </c>
      <c r="B14" s="26" t="s">
        <v>45</v>
      </c>
      <c r="C14" s="26">
        <v>9.26</v>
      </c>
      <c r="D14" s="27">
        <v>11</v>
      </c>
      <c r="E14" s="28">
        <v>240</v>
      </c>
      <c r="F14" s="16">
        <f t="shared" si="7"/>
        <v>24.446400000000001</v>
      </c>
      <c r="G14" s="16" t="s">
        <v>88</v>
      </c>
      <c r="H14" s="18">
        <v>234</v>
      </c>
      <c r="I14" s="19">
        <f t="shared" si="0"/>
        <v>23.835240000000002</v>
      </c>
      <c r="J14" s="16"/>
      <c r="K14" s="18">
        <v>2</v>
      </c>
      <c r="L14" s="19">
        <f t="shared" si="1"/>
        <v>0.20372000000000001</v>
      </c>
      <c r="M14" s="16"/>
      <c r="N14" s="18"/>
      <c r="O14" s="19">
        <f t="shared" si="2"/>
        <v>0</v>
      </c>
      <c r="P14" s="20">
        <f t="shared" si="6"/>
        <v>236</v>
      </c>
      <c r="Q14" s="19">
        <f t="shared" si="3"/>
        <v>24.038960000000003</v>
      </c>
      <c r="R14" s="21">
        <f t="shared" si="4"/>
        <v>4</v>
      </c>
      <c r="S14" s="19">
        <f t="shared" si="5"/>
        <v>0.40743999999999758</v>
      </c>
      <c r="U14" s="29"/>
    </row>
    <row r="15" spans="1:21">
      <c r="A15" s="26" t="s">
        <v>13</v>
      </c>
      <c r="B15" s="26" t="s">
        <v>45</v>
      </c>
      <c r="C15" s="26">
        <v>9.26</v>
      </c>
      <c r="D15" s="27">
        <v>11.2</v>
      </c>
      <c r="E15" s="28">
        <v>20</v>
      </c>
      <c r="F15" s="16">
        <f t="shared" si="7"/>
        <v>2.0742399999999996</v>
      </c>
      <c r="G15" s="16" t="s">
        <v>112</v>
      </c>
      <c r="H15" s="18">
        <v>20</v>
      </c>
      <c r="I15" s="19">
        <f t="shared" si="0"/>
        <v>2.0742399999999996</v>
      </c>
      <c r="J15" s="16"/>
      <c r="K15" s="18">
        <v>2</v>
      </c>
      <c r="L15" s="19">
        <f t="shared" si="1"/>
        <v>0.20742399999999997</v>
      </c>
      <c r="M15" s="16"/>
      <c r="N15" s="18"/>
      <c r="O15" s="19">
        <f t="shared" si="2"/>
        <v>0</v>
      </c>
      <c r="P15" s="20">
        <f t="shared" si="6"/>
        <v>22</v>
      </c>
      <c r="Q15" s="19">
        <f t="shared" si="3"/>
        <v>2.2816639999999997</v>
      </c>
      <c r="R15" s="21">
        <f t="shared" si="4"/>
        <v>-2</v>
      </c>
      <c r="S15" s="19">
        <f t="shared" si="5"/>
        <v>-0.20742400000000005</v>
      </c>
      <c r="U15" s="29"/>
    </row>
    <row r="16" spans="1:21">
      <c r="A16" s="26" t="s">
        <v>13</v>
      </c>
      <c r="B16" s="26" t="s">
        <v>45</v>
      </c>
      <c r="C16" s="26">
        <v>9.26</v>
      </c>
      <c r="D16" s="27">
        <v>11.8</v>
      </c>
      <c r="E16" s="28">
        <v>112</v>
      </c>
      <c r="F16" s="16">
        <f t="shared" si="7"/>
        <v>12.238016</v>
      </c>
      <c r="G16" s="16"/>
      <c r="H16" s="18">
        <v>115</v>
      </c>
      <c r="I16" s="19">
        <f t="shared" si="0"/>
        <v>12.56582</v>
      </c>
      <c r="J16" s="16"/>
      <c r="K16" s="18">
        <v>10</v>
      </c>
      <c r="L16" s="19">
        <f t="shared" si="1"/>
        <v>1.0926800000000001</v>
      </c>
      <c r="M16" s="16"/>
      <c r="N16" s="18"/>
      <c r="O16" s="19">
        <f t="shared" si="2"/>
        <v>0</v>
      </c>
      <c r="P16" s="20">
        <f t="shared" si="6"/>
        <v>125</v>
      </c>
      <c r="Q16" s="19">
        <f t="shared" si="3"/>
        <v>13.6585</v>
      </c>
      <c r="R16" s="21">
        <f t="shared" si="4"/>
        <v>-13</v>
      </c>
      <c r="S16" s="19">
        <f t="shared" si="5"/>
        <v>-1.4204840000000001</v>
      </c>
      <c r="U16" s="29"/>
    </row>
    <row r="17" spans="1:21">
      <c r="A17" s="26" t="s">
        <v>13</v>
      </c>
      <c r="B17" s="26" t="s">
        <v>45</v>
      </c>
      <c r="C17" s="26">
        <v>9.26</v>
      </c>
      <c r="D17" s="27">
        <v>11.9</v>
      </c>
      <c r="E17" s="28">
        <v>76</v>
      </c>
      <c r="F17" s="16">
        <f t="shared" ref="F17:F32" si="8">(C17*D17*E17/1000)</f>
        <v>8.3747439999999997</v>
      </c>
      <c r="G17" s="16" t="s">
        <v>114</v>
      </c>
      <c r="H17" s="18">
        <v>66</v>
      </c>
      <c r="I17" s="19">
        <f t="shared" ref="I17:I32" si="9">(C17*D17*H17/1000)</f>
        <v>7.2728039999999998</v>
      </c>
      <c r="J17" s="16"/>
      <c r="K17" s="18">
        <v>7</v>
      </c>
      <c r="L17" s="19">
        <f t="shared" ref="L17:L32" si="10">(C17*D17*K17/1000)</f>
        <v>0.7713580000000001</v>
      </c>
      <c r="M17" s="16"/>
      <c r="N17" s="18">
        <v>3</v>
      </c>
      <c r="O17" s="19">
        <f t="shared" ref="O17:O32" si="11">(C17*D17*N17/1000)</f>
        <v>0.33058199999999999</v>
      </c>
      <c r="P17" s="20">
        <f t="shared" ref="P17:P32" si="12">+H17+K17+N17</f>
        <v>76</v>
      </c>
      <c r="Q17" s="19">
        <f t="shared" ref="Q17:Q32" si="13">+I17+L17+O17</f>
        <v>8.3747439999999997</v>
      </c>
      <c r="R17" s="21">
        <f t="shared" ref="R17:R32" si="14">E17-P17</f>
        <v>0</v>
      </c>
      <c r="S17" s="19">
        <f t="shared" ref="S17:S32" si="15">F17-Q17</f>
        <v>0</v>
      </c>
      <c r="U17" s="29"/>
    </row>
    <row r="18" spans="1:21">
      <c r="A18" s="26" t="s">
        <v>13</v>
      </c>
      <c r="B18" s="26" t="s">
        <v>45</v>
      </c>
      <c r="C18" s="26">
        <v>9.26</v>
      </c>
      <c r="D18" s="27">
        <v>12</v>
      </c>
      <c r="E18" s="28"/>
      <c r="F18" s="16">
        <f t="shared" si="8"/>
        <v>0</v>
      </c>
      <c r="G18" s="16" t="s">
        <v>113</v>
      </c>
      <c r="H18" s="18">
        <v>1</v>
      </c>
      <c r="I18" s="19">
        <f t="shared" si="9"/>
        <v>0.11112000000000001</v>
      </c>
      <c r="J18" s="16"/>
      <c r="K18" s="18"/>
      <c r="L18" s="19">
        <f t="shared" si="10"/>
        <v>0</v>
      </c>
      <c r="M18" s="16"/>
      <c r="N18" s="18"/>
      <c r="O18" s="19">
        <f t="shared" si="11"/>
        <v>0</v>
      </c>
      <c r="P18" s="20">
        <f t="shared" si="12"/>
        <v>1</v>
      </c>
      <c r="Q18" s="19">
        <f t="shared" si="13"/>
        <v>0.11112000000000001</v>
      </c>
      <c r="R18" s="21">
        <f t="shared" si="14"/>
        <v>-1</v>
      </c>
      <c r="S18" s="19">
        <f t="shared" si="15"/>
        <v>-0.11112000000000001</v>
      </c>
      <c r="U18" s="29"/>
    </row>
    <row r="19" spans="1:21">
      <c r="A19" s="26" t="s">
        <v>13</v>
      </c>
      <c r="B19" s="26" t="s">
        <v>45</v>
      </c>
      <c r="C19" s="26">
        <v>9.26</v>
      </c>
      <c r="D19" s="27">
        <v>10.5</v>
      </c>
      <c r="E19" s="28"/>
      <c r="F19" s="16">
        <f t="shared" si="8"/>
        <v>0</v>
      </c>
      <c r="G19" s="17"/>
      <c r="H19" s="18">
        <v>1</v>
      </c>
      <c r="I19" s="19">
        <f t="shared" si="9"/>
        <v>9.7230000000000011E-2</v>
      </c>
      <c r="J19" s="16"/>
      <c r="K19" s="18"/>
      <c r="L19" s="19">
        <f t="shared" si="10"/>
        <v>0</v>
      </c>
      <c r="M19" s="16"/>
      <c r="N19" s="18"/>
      <c r="O19" s="19">
        <f t="shared" si="11"/>
        <v>0</v>
      </c>
      <c r="P19" s="20">
        <f t="shared" si="12"/>
        <v>1</v>
      </c>
      <c r="Q19" s="19">
        <f t="shared" si="13"/>
        <v>9.7230000000000011E-2</v>
      </c>
      <c r="R19" s="21">
        <f t="shared" si="14"/>
        <v>-1</v>
      </c>
      <c r="S19" s="19">
        <f t="shared" si="15"/>
        <v>-9.7230000000000011E-2</v>
      </c>
      <c r="U19" s="29"/>
    </row>
    <row r="20" spans="1:21">
      <c r="A20" s="26" t="s">
        <v>13</v>
      </c>
      <c r="B20" s="26" t="s">
        <v>45</v>
      </c>
      <c r="C20" s="26">
        <v>9.26</v>
      </c>
      <c r="D20" s="27">
        <v>6.5</v>
      </c>
      <c r="E20" s="28"/>
      <c r="F20" s="16">
        <f t="shared" si="8"/>
        <v>0</v>
      </c>
      <c r="G20" s="17"/>
      <c r="H20" s="18">
        <v>1</v>
      </c>
      <c r="I20" s="19">
        <f t="shared" si="9"/>
        <v>6.019E-2</v>
      </c>
      <c r="J20" s="16"/>
      <c r="K20" s="18"/>
      <c r="L20" s="19">
        <f t="shared" si="10"/>
        <v>0</v>
      </c>
      <c r="M20" s="16"/>
      <c r="N20" s="18"/>
      <c r="O20" s="19">
        <f t="shared" si="11"/>
        <v>0</v>
      </c>
      <c r="P20" s="20">
        <f t="shared" si="12"/>
        <v>1</v>
      </c>
      <c r="Q20" s="19">
        <f t="shared" si="13"/>
        <v>6.019E-2</v>
      </c>
      <c r="R20" s="21">
        <f t="shared" si="14"/>
        <v>-1</v>
      </c>
      <c r="S20" s="19">
        <f t="shared" si="15"/>
        <v>-6.019E-2</v>
      </c>
      <c r="U20" s="29"/>
    </row>
    <row r="21" spans="1:21">
      <c r="A21" s="26" t="s">
        <v>13</v>
      </c>
      <c r="B21" s="26" t="s">
        <v>45</v>
      </c>
      <c r="C21" s="26">
        <v>9.26</v>
      </c>
      <c r="D21" s="27">
        <v>7.3</v>
      </c>
      <c r="E21" s="28"/>
      <c r="F21" s="16">
        <f t="shared" si="8"/>
        <v>0</v>
      </c>
      <c r="G21" s="17"/>
      <c r="H21" s="18">
        <v>0</v>
      </c>
      <c r="I21" s="19">
        <f t="shared" si="9"/>
        <v>0</v>
      </c>
      <c r="J21" s="16"/>
      <c r="K21" s="18"/>
      <c r="L21" s="19">
        <f t="shared" si="10"/>
        <v>0</v>
      </c>
      <c r="M21" s="16"/>
      <c r="N21" s="18"/>
      <c r="O21" s="19">
        <f t="shared" si="11"/>
        <v>0</v>
      </c>
      <c r="P21" s="20">
        <f t="shared" si="12"/>
        <v>0</v>
      </c>
      <c r="Q21" s="19">
        <f t="shared" si="13"/>
        <v>0</v>
      </c>
      <c r="R21" s="21">
        <f t="shared" si="14"/>
        <v>0</v>
      </c>
      <c r="S21" s="19">
        <f t="shared" si="15"/>
        <v>0</v>
      </c>
      <c r="U21" s="29"/>
    </row>
    <row r="22" spans="1:21">
      <c r="A22" s="26" t="s">
        <v>13</v>
      </c>
      <c r="B22" s="26" t="s">
        <v>45</v>
      </c>
      <c r="C22" s="26">
        <v>9.26</v>
      </c>
      <c r="D22" s="27">
        <v>7.8</v>
      </c>
      <c r="E22" s="28"/>
      <c r="F22" s="16">
        <f t="shared" si="8"/>
        <v>0</v>
      </c>
      <c r="G22" s="17"/>
      <c r="H22" s="18">
        <v>1</v>
      </c>
      <c r="I22" s="19">
        <f t="shared" si="9"/>
        <v>7.2228000000000001E-2</v>
      </c>
      <c r="J22" s="16"/>
      <c r="K22" s="18"/>
      <c r="L22" s="19">
        <f t="shared" si="10"/>
        <v>0</v>
      </c>
      <c r="M22" s="16"/>
      <c r="N22" s="18"/>
      <c r="O22" s="19">
        <f t="shared" si="11"/>
        <v>0</v>
      </c>
      <c r="P22" s="20">
        <f t="shared" si="12"/>
        <v>1</v>
      </c>
      <c r="Q22" s="19">
        <f t="shared" si="13"/>
        <v>7.2228000000000001E-2</v>
      </c>
      <c r="R22" s="21">
        <f t="shared" si="14"/>
        <v>-1</v>
      </c>
      <c r="S22" s="19">
        <f t="shared" si="15"/>
        <v>-7.2228000000000001E-2</v>
      </c>
      <c r="U22" s="29"/>
    </row>
    <row r="23" spans="1:21">
      <c r="A23" s="26" t="s">
        <v>13</v>
      </c>
      <c r="B23" s="26" t="s">
        <v>45</v>
      </c>
      <c r="C23" s="26">
        <v>9.26</v>
      </c>
      <c r="D23" s="27">
        <v>8.1999999999999993</v>
      </c>
      <c r="E23" s="28"/>
      <c r="F23" s="16">
        <f t="shared" si="8"/>
        <v>0</v>
      </c>
      <c r="G23" s="17"/>
      <c r="H23" s="18">
        <v>1</v>
      </c>
      <c r="I23" s="19">
        <f t="shared" si="9"/>
        <v>7.5931999999999986E-2</v>
      </c>
      <c r="J23" s="16"/>
      <c r="K23" s="18"/>
      <c r="L23" s="19">
        <f t="shared" si="10"/>
        <v>0</v>
      </c>
      <c r="M23" s="16"/>
      <c r="N23" s="18"/>
      <c r="O23" s="19">
        <f t="shared" si="11"/>
        <v>0</v>
      </c>
      <c r="P23" s="20">
        <f t="shared" si="12"/>
        <v>1</v>
      </c>
      <c r="Q23" s="19">
        <f t="shared" si="13"/>
        <v>7.5931999999999986E-2</v>
      </c>
      <c r="R23" s="21">
        <f t="shared" si="14"/>
        <v>-1</v>
      </c>
      <c r="S23" s="19">
        <f t="shared" si="15"/>
        <v>-7.5931999999999986E-2</v>
      </c>
      <c r="U23" s="29"/>
    </row>
    <row r="24" spans="1:21">
      <c r="A24" s="26" t="s">
        <v>13</v>
      </c>
      <c r="B24" s="26" t="s">
        <v>45</v>
      </c>
      <c r="C24" s="26">
        <v>9.26</v>
      </c>
      <c r="D24" s="27">
        <v>9.9</v>
      </c>
      <c r="E24" s="28"/>
      <c r="F24" s="16">
        <f t="shared" si="8"/>
        <v>0</v>
      </c>
      <c r="G24" s="17"/>
      <c r="H24" s="18">
        <v>0</v>
      </c>
      <c r="I24" s="19">
        <f t="shared" si="9"/>
        <v>0</v>
      </c>
      <c r="J24" s="16"/>
      <c r="K24" s="18">
        <v>3</v>
      </c>
      <c r="L24" s="19">
        <f t="shared" si="10"/>
        <v>0.27502200000000004</v>
      </c>
      <c r="M24" s="16"/>
      <c r="N24" s="18"/>
      <c r="O24" s="19">
        <f t="shared" si="11"/>
        <v>0</v>
      </c>
      <c r="P24" s="20">
        <f t="shared" si="12"/>
        <v>3</v>
      </c>
      <c r="Q24" s="19">
        <f t="shared" si="13"/>
        <v>0.27502200000000004</v>
      </c>
      <c r="R24" s="21">
        <f t="shared" si="14"/>
        <v>-3</v>
      </c>
      <c r="S24" s="19">
        <f t="shared" si="15"/>
        <v>-0.27502200000000004</v>
      </c>
      <c r="U24" s="29"/>
    </row>
    <row r="25" spans="1:21">
      <c r="A25" s="26" t="s">
        <v>13</v>
      </c>
      <c r="B25" s="26" t="s">
        <v>45</v>
      </c>
      <c r="C25" s="26">
        <v>9.26</v>
      </c>
      <c r="D25" s="27">
        <v>11.75</v>
      </c>
      <c r="E25" s="28"/>
      <c r="F25" s="16">
        <f t="shared" si="8"/>
        <v>0</v>
      </c>
      <c r="G25" s="17"/>
      <c r="H25" s="18">
        <v>0</v>
      </c>
      <c r="I25" s="19">
        <f t="shared" si="9"/>
        <v>0</v>
      </c>
      <c r="J25" s="16"/>
      <c r="K25" s="18">
        <v>2</v>
      </c>
      <c r="L25" s="19">
        <f t="shared" si="10"/>
        <v>0.21761</v>
      </c>
      <c r="M25" s="16"/>
      <c r="N25" s="18"/>
      <c r="O25" s="19">
        <f t="shared" si="11"/>
        <v>0</v>
      </c>
      <c r="P25" s="20">
        <f t="shared" si="12"/>
        <v>2</v>
      </c>
      <c r="Q25" s="19">
        <f t="shared" si="13"/>
        <v>0.21761</v>
      </c>
      <c r="R25" s="21">
        <f t="shared" si="14"/>
        <v>-2</v>
      </c>
      <c r="S25" s="19">
        <f t="shared" si="15"/>
        <v>-0.21761</v>
      </c>
      <c r="U25" s="29"/>
    </row>
    <row r="26" spans="1:21">
      <c r="A26" s="26" t="s">
        <v>13</v>
      </c>
      <c r="B26" s="26" t="s">
        <v>45</v>
      </c>
      <c r="C26" s="26">
        <v>9.26</v>
      </c>
      <c r="D26" s="27">
        <v>7.1</v>
      </c>
      <c r="E26" s="28"/>
      <c r="F26" s="16">
        <f t="shared" si="8"/>
        <v>0</v>
      </c>
      <c r="G26" s="17"/>
      <c r="H26" s="18">
        <v>0</v>
      </c>
      <c r="I26" s="19">
        <f t="shared" si="9"/>
        <v>0</v>
      </c>
      <c r="J26" s="16"/>
      <c r="K26" s="18">
        <v>6</v>
      </c>
      <c r="L26" s="19">
        <f t="shared" si="10"/>
        <v>0.39447599999999999</v>
      </c>
      <c r="M26" s="16"/>
      <c r="N26" s="18"/>
      <c r="O26" s="19">
        <f t="shared" si="11"/>
        <v>0</v>
      </c>
      <c r="P26" s="20">
        <f t="shared" si="12"/>
        <v>6</v>
      </c>
      <c r="Q26" s="19">
        <f t="shared" si="13"/>
        <v>0.39447599999999999</v>
      </c>
      <c r="R26" s="21">
        <f t="shared" si="14"/>
        <v>-6</v>
      </c>
      <c r="S26" s="19">
        <f t="shared" si="15"/>
        <v>-0.39447599999999999</v>
      </c>
      <c r="U26" s="29"/>
    </row>
    <row r="27" spans="1:21">
      <c r="A27" s="26" t="s">
        <v>13</v>
      </c>
      <c r="B27" s="26" t="s">
        <v>45</v>
      </c>
      <c r="C27" s="26">
        <v>9.26</v>
      </c>
      <c r="D27" s="27">
        <v>6</v>
      </c>
      <c r="E27" s="28"/>
      <c r="F27" s="16">
        <f t="shared" si="8"/>
        <v>0</v>
      </c>
      <c r="G27" s="17"/>
      <c r="H27" s="18">
        <v>0</v>
      </c>
      <c r="I27" s="19">
        <f t="shared" si="9"/>
        <v>0</v>
      </c>
      <c r="J27" s="16"/>
      <c r="K27" s="18">
        <v>10</v>
      </c>
      <c r="L27" s="19">
        <f t="shared" si="10"/>
        <v>0.55559999999999998</v>
      </c>
      <c r="M27" s="16"/>
      <c r="N27" s="18"/>
      <c r="O27" s="19">
        <f t="shared" si="11"/>
        <v>0</v>
      </c>
      <c r="P27" s="20">
        <f t="shared" si="12"/>
        <v>10</v>
      </c>
      <c r="Q27" s="19">
        <f t="shared" si="13"/>
        <v>0.55559999999999998</v>
      </c>
      <c r="R27" s="21">
        <f t="shared" si="14"/>
        <v>-10</v>
      </c>
      <c r="S27" s="19">
        <f t="shared" si="15"/>
        <v>-0.55559999999999998</v>
      </c>
      <c r="U27" s="29"/>
    </row>
    <row r="28" spans="1:21">
      <c r="A28" s="26" t="s">
        <v>13</v>
      </c>
      <c r="B28" s="26" t="s">
        <v>45</v>
      </c>
      <c r="C28" s="26">
        <v>9.26</v>
      </c>
      <c r="D28" s="27">
        <v>10</v>
      </c>
      <c r="E28" s="28"/>
      <c r="F28" s="16">
        <f t="shared" si="8"/>
        <v>0</v>
      </c>
      <c r="G28" s="17"/>
      <c r="H28" s="18">
        <v>0</v>
      </c>
      <c r="I28" s="19">
        <f t="shared" si="9"/>
        <v>0</v>
      </c>
      <c r="J28" s="16"/>
      <c r="K28" s="18">
        <v>3</v>
      </c>
      <c r="L28" s="19">
        <f t="shared" si="10"/>
        <v>0.27779999999999994</v>
      </c>
      <c r="M28" s="16"/>
      <c r="N28" s="18"/>
      <c r="O28" s="19">
        <f t="shared" si="11"/>
        <v>0</v>
      </c>
      <c r="P28" s="20">
        <f t="shared" si="12"/>
        <v>3</v>
      </c>
      <c r="Q28" s="19">
        <f t="shared" si="13"/>
        <v>0.27779999999999994</v>
      </c>
      <c r="R28" s="21">
        <f t="shared" si="14"/>
        <v>-3</v>
      </c>
      <c r="S28" s="19">
        <f t="shared" si="15"/>
        <v>-0.27779999999999994</v>
      </c>
      <c r="U28" s="29"/>
    </row>
    <row r="29" spans="1:21">
      <c r="A29" s="26" t="s">
        <v>13</v>
      </c>
      <c r="B29" s="26" t="s">
        <v>45</v>
      </c>
      <c r="C29" s="26">
        <v>9.26</v>
      </c>
      <c r="D29" s="27">
        <v>9.5</v>
      </c>
      <c r="E29" s="28"/>
      <c r="F29" s="16">
        <f t="shared" si="8"/>
        <v>0</v>
      </c>
      <c r="G29" s="17"/>
      <c r="H29" s="18">
        <v>0</v>
      </c>
      <c r="I29" s="19">
        <f t="shared" si="9"/>
        <v>0</v>
      </c>
      <c r="J29" s="16"/>
      <c r="K29" s="18">
        <v>1</v>
      </c>
      <c r="L29" s="19">
        <f t="shared" si="10"/>
        <v>8.7969999999999993E-2</v>
      </c>
      <c r="M29" s="16"/>
      <c r="N29" s="18"/>
      <c r="O29" s="19">
        <f t="shared" si="11"/>
        <v>0</v>
      </c>
      <c r="P29" s="20">
        <f t="shared" si="12"/>
        <v>1</v>
      </c>
      <c r="Q29" s="19">
        <f t="shared" si="13"/>
        <v>8.7969999999999993E-2</v>
      </c>
      <c r="R29" s="21">
        <f t="shared" si="14"/>
        <v>-1</v>
      </c>
      <c r="S29" s="19">
        <f t="shared" si="15"/>
        <v>-8.7969999999999993E-2</v>
      </c>
      <c r="U29" s="29"/>
    </row>
    <row r="30" spans="1:21">
      <c r="A30" s="26" t="s">
        <v>13</v>
      </c>
      <c r="B30" s="26" t="s">
        <v>45</v>
      </c>
      <c r="C30" s="26">
        <v>9.26</v>
      </c>
      <c r="D30" s="27">
        <v>6.4</v>
      </c>
      <c r="E30" s="28"/>
      <c r="F30" s="16">
        <f t="shared" si="8"/>
        <v>0</v>
      </c>
      <c r="G30" s="17"/>
      <c r="H30" s="18">
        <v>0</v>
      </c>
      <c r="I30" s="19">
        <f t="shared" si="9"/>
        <v>0</v>
      </c>
      <c r="J30" s="16"/>
      <c r="K30" s="18">
        <v>1</v>
      </c>
      <c r="L30" s="19">
        <f t="shared" si="10"/>
        <v>5.9264000000000004E-2</v>
      </c>
      <c r="M30" s="16"/>
      <c r="N30" s="18"/>
      <c r="O30" s="19">
        <f t="shared" si="11"/>
        <v>0</v>
      </c>
      <c r="P30" s="20">
        <f t="shared" si="12"/>
        <v>1</v>
      </c>
      <c r="Q30" s="19">
        <f t="shared" si="13"/>
        <v>5.9264000000000004E-2</v>
      </c>
      <c r="R30" s="21">
        <f t="shared" si="14"/>
        <v>-1</v>
      </c>
      <c r="S30" s="19">
        <f t="shared" si="15"/>
        <v>-5.9264000000000004E-2</v>
      </c>
      <c r="U30" s="29"/>
    </row>
    <row r="31" spans="1:21">
      <c r="A31" s="26" t="s">
        <v>13</v>
      </c>
      <c r="B31" s="26" t="s">
        <v>45</v>
      </c>
      <c r="C31" s="26">
        <v>9.26</v>
      </c>
      <c r="D31" s="27"/>
      <c r="E31" s="28"/>
      <c r="F31" s="16">
        <f t="shared" si="8"/>
        <v>0</v>
      </c>
      <c r="G31" s="17"/>
      <c r="H31" s="18">
        <v>0</v>
      </c>
      <c r="I31" s="19">
        <f t="shared" si="9"/>
        <v>0</v>
      </c>
      <c r="J31" s="16"/>
      <c r="K31" s="18"/>
      <c r="L31" s="19">
        <f t="shared" si="10"/>
        <v>0</v>
      </c>
      <c r="M31" s="16"/>
      <c r="N31" s="18"/>
      <c r="O31" s="19">
        <f t="shared" si="11"/>
        <v>0</v>
      </c>
      <c r="P31" s="20">
        <f t="shared" si="12"/>
        <v>0</v>
      </c>
      <c r="Q31" s="19">
        <f t="shared" si="13"/>
        <v>0</v>
      </c>
      <c r="R31" s="21">
        <f t="shared" si="14"/>
        <v>0</v>
      </c>
      <c r="S31" s="19">
        <f t="shared" si="15"/>
        <v>0</v>
      </c>
      <c r="U31" s="29"/>
    </row>
    <row r="32" spans="1:21">
      <c r="A32" s="26" t="s">
        <v>13</v>
      </c>
      <c r="B32" s="26" t="s">
        <v>45</v>
      </c>
      <c r="C32" s="26">
        <v>9.26</v>
      </c>
      <c r="D32" s="27"/>
      <c r="E32" s="28"/>
      <c r="F32" s="16">
        <f t="shared" si="8"/>
        <v>0</v>
      </c>
      <c r="G32" s="17"/>
      <c r="H32" s="18">
        <v>0</v>
      </c>
      <c r="I32" s="19">
        <f t="shared" si="9"/>
        <v>0</v>
      </c>
      <c r="J32" s="16"/>
      <c r="K32" s="18"/>
      <c r="L32" s="19">
        <f t="shared" si="10"/>
        <v>0</v>
      </c>
      <c r="M32" s="16"/>
      <c r="N32" s="18"/>
      <c r="O32" s="19">
        <f t="shared" si="11"/>
        <v>0</v>
      </c>
      <c r="P32" s="20">
        <f t="shared" si="12"/>
        <v>0</v>
      </c>
      <c r="Q32" s="19">
        <f t="shared" si="13"/>
        <v>0</v>
      </c>
      <c r="R32" s="21">
        <f t="shared" si="14"/>
        <v>0</v>
      </c>
      <c r="S32" s="19">
        <f t="shared" si="15"/>
        <v>0</v>
      </c>
      <c r="U32" s="29"/>
    </row>
    <row r="33" spans="1:21">
      <c r="A33" s="26" t="s">
        <v>13</v>
      </c>
      <c r="B33" s="26" t="s">
        <v>45</v>
      </c>
      <c r="C33" s="26">
        <v>9.26</v>
      </c>
      <c r="D33" s="27"/>
      <c r="E33" s="28"/>
      <c r="F33" s="16">
        <f t="shared" si="7"/>
        <v>0</v>
      </c>
      <c r="G33" s="17"/>
      <c r="H33" s="18">
        <v>0</v>
      </c>
      <c r="I33" s="19">
        <f t="shared" si="0"/>
        <v>0</v>
      </c>
      <c r="J33" s="16"/>
      <c r="K33" s="18"/>
      <c r="L33" s="19">
        <f t="shared" si="1"/>
        <v>0</v>
      </c>
      <c r="M33" s="16"/>
      <c r="N33" s="18"/>
      <c r="O33" s="19">
        <f t="shared" si="2"/>
        <v>0</v>
      </c>
      <c r="P33" s="20">
        <f t="shared" si="6"/>
        <v>0</v>
      </c>
      <c r="Q33" s="19">
        <f t="shared" si="3"/>
        <v>0</v>
      </c>
      <c r="R33" s="21">
        <f t="shared" si="4"/>
        <v>0</v>
      </c>
      <c r="S33" s="19">
        <f t="shared" si="5"/>
        <v>0</v>
      </c>
      <c r="U33" s="29"/>
    </row>
    <row r="34" spans="1:21">
      <c r="A34" s="26"/>
      <c r="B34" s="26"/>
      <c r="C34" s="26"/>
      <c r="D34" s="27"/>
      <c r="E34" s="31">
        <f t="shared" ref="E34:F34" si="16">SUM(E6:E33)</f>
        <v>1056</v>
      </c>
      <c r="F34" s="38">
        <f t="shared" si="16"/>
        <v>99.931141999999994</v>
      </c>
      <c r="G34" s="17"/>
      <c r="H34" s="31">
        <f t="shared" ref="H34" si="17">SUM(H6:H33)</f>
        <v>985</v>
      </c>
      <c r="I34" s="38">
        <f t="shared" ref="I34" si="18">SUM(I6:I33)</f>
        <v>93.472291999999982</v>
      </c>
      <c r="J34" s="16"/>
      <c r="K34" s="31">
        <f t="shared" ref="K34" si="19">SUM(K6:K33)</f>
        <v>67</v>
      </c>
      <c r="L34" s="38">
        <f t="shared" ref="L34" si="20">SUM(L6:L33)</f>
        <v>5.7736100000000006</v>
      </c>
      <c r="M34" s="16"/>
      <c r="N34" s="31">
        <f t="shared" ref="N34" si="21">SUM(N6:N33)</f>
        <v>9</v>
      </c>
      <c r="O34" s="38">
        <f t="shared" ref="O34" si="22">SUM(O6:O33)</f>
        <v>0.91951799999999984</v>
      </c>
      <c r="P34" s="31">
        <f t="shared" ref="P34" si="23">SUM(P6:P33)</f>
        <v>1061</v>
      </c>
      <c r="Q34" s="38">
        <f t="shared" ref="Q34" si="24">SUM(Q6:Q33)</f>
        <v>100.16541999999998</v>
      </c>
      <c r="R34" s="31">
        <f t="shared" ref="R34" si="25">SUM(R6:R33)</f>
        <v>-5</v>
      </c>
      <c r="S34" s="38">
        <f t="shared" ref="S34" si="26">SUM(S6:S33)</f>
        <v>-0.23427800000000523</v>
      </c>
      <c r="U34" s="29"/>
    </row>
    <row r="35" spans="1:21">
      <c r="A35" s="26" t="s">
        <v>13</v>
      </c>
      <c r="B35" s="26" t="s">
        <v>46</v>
      </c>
      <c r="C35" s="26">
        <v>10.7</v>
      </c>
      <c r="D35" s="27">
        <v>7.5</v>
      </c>
      <c r="E35" s="28">
        <v>64</v>
      </c>
      <c r="F35" s="16">
        <f t="shared" ref="F35:F42" si="27">(C35*D35*E35/1000)</f>
        <v>5.1360000000000001</v>
      </c>
      <c r="G35" s="17" t="s">
        <v>102</v>
      </c>
      <c r="H35" s="18">
        <v>33</v>
      </c>
      <c r="I35" s="19">
        <f t="shared" ref="I35:I48" si="28">(C35*D35*H35/1000)</f>
        <v>2.64825</v>
      </c>
      <c r="J35" s="16" t="s">
        <v>93</v>
      </c>
      <c r="K35" s="18">
        <v>13</v>
      </c>
      <c r="L35" s="19">
        <f t="shared" ref="L35:L48" si="29">(C35*D35*K35/1000)</f>
        <v>1.04325</v>
      </c>
      <c r="M35" s="16"/>
      <c r="N35" s="18"/>
      <c r="O35" s="19">
        <f t="shared" ref="O35:O42" si="30">(C35*D35*N35/1000)</f>
        <v>0</v>
      </c>
      <c r="P35" s="20">
        <f t="shared" ref="P35:P42" si="31">+H35+K35+N35</f>
        <v>46</v>
      </c>
      <c r="Q35" s="19">
        <f t="shared" ref="Q35:Q42" si="32">+I35+L35+O35</f>
        <v>3.6915</v>
      </c>
      <c r="R35" s="21">
        <f t="shared" ref="R35:R42" si="33">E35-P35</f>
        <v>18</v>
      </c>
      <c r="S35" s="19">
        <f t="shared" ref="S35:S48" si="34">F35-Q35</f>
        <v>1.4445000000000001</v>
      </c>
      <c r="U35" s="29"/>
    </row>
    <row r="36" spans="1:21">
      <c r="A36" s="26" t="s">
        <v>13</v>
      </c>
      <c r="B36" s="26" t="s">
        <v>46</v>
      </c>
      <c r="C36" s="26">
        <v>10.7</v>
      </c>
      <c r="D36" s="27">
        <v>8</v>
      </c>
      <c r="E36" s="28">
        <v>127</v>
      </c>
      <c r="F36" s="16">
        <f t="shared" si="27"/>
        <v>10.871199999999998</v>
      </c>
      <c r="G36" s="17" t="s">
        <v>99</v>
      </c>
      <c r="H36" s="18">
        <v>110</v>
      </c>
      <c r="I36" s="19">
        <f t="shared" si="28"/>
        <v>9.4160000000000004</v>
      </c>
      <c r="J36" s="16" t="s">
        <v>130</v>
      </c>
      <c r="K36" s="18">
        <v>1</v>
      </c>
      <c r="L36" s="19">
        <f t="shared" si="29"/>
        <v>8.5599999999999996E-2</v>
      </c>
      <c r="M36" s="16"/>
      <c r="N36" s="18"/>
      <c r="O36" s="19">
        <f t="shared" si="30"/>
        <v>0</v>
      </c>
      <c r="P36" s="20">
        <f t="shared" si="31"/>
        <v>111</v>
      </c>
      <c r="Q36" s="19">
        <f t="shared" si="32"/>
        <v>9.5015999999999998</v>
      </c>
      <c r="R36" s="21">
        <f t="shared" si="33"/>
        <v>16</v>
      </c>
      <c r="S36" s="19">
        <f t="shared" si="34"/>
        <v>1.3695999999999984</v>
      </c>
      <c r="U36" s="29"/>
    </row>
    <row r="37" spans="1:21">
      <c r="A37" s="26" t="s">
        <v>13</v>
      </c>
      <c r="B37" s="26" t="s">
        <v>46</v>
      </c>
      <c r="C37" s="26">
        <v>10.7</v>
      </c>
      <c r="D37" s="27">
        <v>8.5</v>
      </c>
      <c r="E37" s="28">
        <v>31</v>
      </c>
      <c r="F37" s="16">
        <f t="shared" si="27"/>
        <v>2.8194499999999998</v>
      </c>
      <c r="G37" s="17"/>
      <c r="H37" s="18">
        <v>27</v>
      </c>
      <c r="I37" s="19">
        <f t="shared" si="28"/>
        <v>2.4556499999999994</v>
      </c>
      <c r="J37" s="16"/>
      <c r="K37" s="18">
        <v>3</v>
      </c>
      <c r="L37" s="19">
        <f t="shared" si="29"/>
        <v>0.27284999999999998</v>
      </c>
      <c r="M37" s="16"/>
      <c r="N37" s="18"/>
      <c r="O37" s="19">
        <f t="shared" si="30"/>
        <v>0</v>
      </c>
      <c r="P37" s="20">
        <f t="shared" si="31"/>
        <v>30</v>
      </c>
      <c r="Q37" s="19">
        <f t="shared" si="32"/>
        <v>2.7284999999999995</v>
      </c>
      <c r="R37" s="21">
        <f t="shared" si="33"/>
        <v>1</v>
      </c>
      <c r="S37" s="19">
        <f t="shared" si="34"/>
        <v>9.0950000000000308E-2</v>
      </c>
      <c r="U37" s="29"/>
    </row>
    <row r="38" spans="1:21">
      <c r="A38" s="26" t="s">
        <v>13</v>
      </c>
      <c r="B38" s="26" t="s">
        <v>46</v>
      </c>
      <c r="C38" s="26">
        <v>10.7</v>
      </c>
      <c r="D38" s="27">
        <v>9.1</v>
      </c>
      <c r="E38" s="28">
        <v>65</v>
      </c>
      <c r="F38" s="16">
        <f t="shared" si="27"/>
        <v>6.3290499999999996</v>
      </c>
      <c r="G38" s="16" t="s">
        <v>93</v>
      </c>
      <c r="H38" s="18">
        <v>26</v>
      </c>
      <c r="I38" s="19">
        <f t="shared" si="28"/>
        <v>2.5316199999999998</v>
      </c>
      <c r="J38" s="16"/>
      <c r="K38" s="18">
        <v>4</v>
      </c>
      <c r="L38" s="19">
        <f t="shared" si="29"/>
        <v>0.38947999999999994</v>
      </c>
      <c r="M38" s="16"/>
      <c r="N38" s="18"/>
      <c r="O38" s="19">
        <f t="shared" si="30"/>
        <v>0</v>
      </c>
      <c r="P38" s="20">
        <f t="shared" si="31"/>
        <v>30</v>
      </c>
      <c r="Q38" s="19">
        <f t="shared" si="32"/>
        <v>2.9210999999999996</v>
      </c>
      <c r="R38" s="21">
        <f t="shared" si="33"/>
        <v>35</v>
      </c>
      <c r="S38" s="19">
        <f t="shared" si="34"/>
        <v>3.40795</v>
      </c>
      <c r="U38" s="29"/>
    </row>
    <row r="39" spans="1:21">
      <c r="A39" s="26" t="s">
        <v>13</v>
      </c>
      <c r="B39" s="26" t="s">
        <v>46</v>
      </c>
      <c r="C39" s="26">
        <v>10.7</v>
      </c>
      <c r="D39" s="27">
        <v>10.7</v>
      </c>
      <c r="E39" s="28">
        <v>156</v>
      </c>
      <c r="F39" s="16">
        <f t="shared" si="27"/>
        <v>17.860439999999997</v>
      </c>
      <c r="G39" s="16" t="s">
        <v>103</v>
      </c>
      <c r="H39" s="18">
        <v>156</v>
      </c>
      <c r="I39" s="19">
        <f t="shared" si="28"/>
        <v>17.860439999999997</v>
      </c>
      <c r="J39" s="16"/>
      <c r="K39" s="18"/>
      <c r="L39" s="19">
        <f t="shared" si="29"/>
        <v>0</v>
      </c>
      <c r="M39" s="16"/>
      <c r="N39" s="18"/>
      <c r="O39" s="19">
        <f t="shared" si="30"/>
        <v>0</v>
      </c>
      <c r="P39" s="20">
        <f t="shared" si="31"/>
        <v>156</v>
      </c>
      <c r="Q39" s="19">
        <f t="shared" si="32"/>
        <v>17.860439999999997</v>
      </c>
      <c r="R39" s="21">
        <f t="shared" si="33"/>
        <v>0</v>
      </c>
      <c r="S39" s="19">
        <f t="shared" si="34"/>
        <v>0</v>
      </c>
      <c r="U39" s="29"/>
    </row>
    <row r="40" spans="1:21">
      <c r="A40" s="26" t="s">
        <v>13</v>
      </c>
      <c r="B40" s="26" t="s">
        <v>46</v>
      </c>
      <c r="C40" s="26">
        <v>10.7</v>
      </c>
      <c r="D40" s="27">
        <v>11.3</v>
      </c>
      <c r="E40" s="28">
        <v>40</v>
      </c>
      <c r="F40" s="16">
        <f t="shared" si="27"/>
        <v>4.8363999999999994</v>
      </c>
      <c r="G40" s="17"/>
      <c r="H40" s="18">
        <v>39</v>
      </c>
      <c r="I40" s="19">
        <f t="shared" si="28"/>
        <v>4.71549</v>
      </c>
      <c r="J40" s="16"/>
      <c r="K40" s="18">
        <v>1</v>
      </c>
      <c r="L40" s="19">
        <f t="shared" si="29"/>
        <v>0.12090999999999999</v>
      </c>
      <c r="M40" s="16"/>
      <c r="N40" s="18"/>
      <c r="O40" s="19">
        <f t="shared" si="30"/>
        <v>0</v>
      </c>
      <c r="P40" s="20">
        <f t="shared" si="31"/>
        <v>40</v>
      </c>
      <c r="Q40" s="19">
        <f t="shared" si="32"/>
        <v>4.8364000000000003</v>
      </c>
      <c r="R40" s="21">
        <f t="shared" si="33"/>
        <v>0</v>
      </c>
      <c r="S40" s="19">
        <f t="shared" si="34"/>
        <v>0</v>
      </c>
      <c r="U40" s="29"/>
    </row>
    <row r="41" spans="1:21">
      <c r="A41" s="26" t="s">
        <v>13</v>
      </c>
      <c r="B41" s="26" t="s">
        <v>46</v>
      </c>
      <c r="C41" s="26">
        <v>10.7</v>
      </c>
      <c r="D41" s="27">
        <v>11.8</v>
      </c>
      <c r="E41" s="28">
        <v>4</v>
      </c>
      <c r="F41" s="16">
        <f t="shared" si="27"/>
        <v>0.50504000000000004</v>
      </c>
      <c r="G41" s="16" t="s">
        <v>114</v>
      </c>
      <c r="H41" s="18">
        <v>3</v>
      </c>
      <c r="I41" s="19">
        <f t="shared" si="28"/>
        <v>0.37878000000000001</v>
      </c>
      <c r="J41" s="16"/>
      <c r="K41" s="18">
        <v>7</v>
      </c>
      <c r="L41" s="19">
        <f t="shared" si="29"/>
        <v>0.88382000000000005</v>
      </c>
      <c r="M41" s="16"/>
      <c r="N41" s="18"/>
      <c r="O41" s="19">
        <f t="shared" si="30"/>
        <v>0</v>
      </c>
      <c r="P41" s="20">
        <f t="shared" si="31"/>
        <v>10</v>
      </c>
      <c r="Q41" s="19">
        <f t="shared" si="32"/>
        <v>1.2625999999999999</v>
      </c>
      <c r="R41" s="21">
        <f t="shared" si="33"/>
        <v>-6</v>
      </c>
      <c r="S41" s="19">
        <f t="shared" si="34"/>
        <v>-0.7575599999999999</v>
      </c>
      <c r="U41" s="29"/>
    </row>
    <row r="42" spans="1:21">
      <c r="A42" s="26" t="s">
        <v>13</v>
      </c>
      <c r="B42" s="26" t="s">
        <v>46</v>
      </c>
      <c r="C42" s="26">
        <v>10.7</v>
      </c>
      <c r="D42" s="27">
        <v>12</v>
      </c>
      <c r="E42" s="28">
        <v>94</v>
      </c>
      <c r="F42" s="16">
        <f t="shared" si="27"/>
        <v>12.069599999999998</v>
      </c>
      <c r="G42" s="16" t="s">
        <v>113</v>
      </c>
      <c r="H42" s="18">
        <v>95</v>
      </c>
      <c r="I42" s="19">
        <f t="shared" si="28"/>
        <v>12.197999999999999</v>
      </c>
      <c r="J42" s="16"/>
      <c r="K42" s="18"/>
      <c r="L42" s="19">
        <f t="shared" si="29"/>
        <v>0</v>
      </c>
      <c r="M42" s="16"/>
      <c r="N42" s="18"/>
      <c r="O42" s="19">
        <f t="shared" si="30"/>
        <v>0</v>
      </c>
      <c r="P42" s="20">
        <f t="shared" si="31"/>
        <v>95</v>
      </c>
      <c r="Q42" s="19">
        <f t="shared" si="32"/>
        <v>12.197999999999999</v>
      </c>
      <c r="R42" s="21">
        <f t="shared" si="33"/>
        <v>-1</v>
      </c>
      <c r="S42" s="19">
        <f t="shared" si="34"/>
        <v>-0.12840000000000096</v>
      </c>
      <c r="U42" s="29"/>
    </row>
    <row r="43" spans="1:21">
      <c r="A43" s="26" t="s">
        <v>13</v>
      </c>
      <c r="B43" s="26" t="s">
        <v>46</v>
      </c>
      <c r="C43" s="26">
        <v>10.7</v>
      </c>
      <c r="D43" s="27">
        <v>8.4</v>
      </c>
      <c r="E43" s="28"/>
      <c r="F43" s="16"/>
      <c r="G43" s="17"/>
      <c r="H43" s="18">
        <v>2</v>
      </c>
      <c r="I43" s="19">
        <f t="shared" si="28"/>
        <v>0.17976</v>
      </c>
      <c r="J43" s="16"/>
      <c r="K43" s="18"/>
      <c r="L43" s="19">
        <f t="shared" si="29"/>
        <v>0</v>
      </c>
      <c r="M43" s="16"/>
      <c r="N43" s="18"/>
      <c r="O43" s="19">
        <f t="shared" ref="O43:O48" si="35">(C43*D43*N43/1000)</f>
        <v>0</v>
      </c>
      <c r="P43" s="20">
        <f t="shared" ref="P43:P48" si="36">+H43+K43+N43</f>
        <v>2</v>
      </c>
      <c r="Q43" s="19">
        <f t="shared" ref="Q43:Q48" si="37">+I43+L43+O43</f>
        <v>0.17976</v>
      </c>
      <c r="R43" s="21">
        <f t="shared" ref="R43:R48" si="38">E43-P43</f>
        <v>-2</v>
      </c>
      <c r="S43" s="19">
        <f t="shared" si="34"/>
        <v>-0.17976</v>
      </c>
      <c r="U43" s="29"/>
    </row>
    <row r="44" spans="1:21">
      <c r="A44" s="26" t="s">
        <v>13</v>
      </c>
      <c r="B44" s="26" t="s">
        <v>46</v>
      </c>
      <c r="C44" s="26">
        <v>10.7</v>
      </c>
      <c r="D44" s="27">
        <v>9.5</v>
      </c>
      <c r="E44" s="28"/>
      <c r="F44" s="16"/>
      <c r="G44" s="17"/>
      <c r="H44" s="18">
        <v>3</v>
      </c>
      <c r="I44" s="19">
        <f t="shared" si="28"/>
        <v>0.30495</v>
      </c>
      <c r="J44" s="16"/>
      <c r="K44" s="18"/>
      <c r="L44" s="19">
        <f t="shared" si="29"/>
        <v>0</v>
      </c>
      <c r="M44" s="16"/>
      <c r="N44" s="18"/>
      <c r="O44" s="19">
        <f t="shared" si="35"/>
        <v>0</v>
      </c>
      <c r="P44" s="20">
        <f t="shared" si="36"/>
        <v>3</v>
      </c>
      <c r="Q44" s="19">
        <f t="shared" si="37"/>
        <v>0.30495</v>
      </c>
      <c r="R44" s="21">
        <f t="shared" si="38"/>
        <v>-3</v>
      </c>
      <c r="S44" s="19">
        <f t="shared" si="34"/>
        <v>-0.30495</v>
      </c>
      <c r="U44" s="29"/>
    </row>
    <row r="45" spans="1:21">
      <c r="A45" s="26" t="s">
        <v>13</v>
      </c>
      <c r="B45" s="26" t="s">
        <v>46</v>
      </c>
      <c r="C45" s="26">
        <v>10.7</v>
      </c>
      <c r="D45" s="27">
        <v>7</v>
      </c>
      <c r="E45" s="28"/>
      <c r="F45" s="16"/>
      <c r="G45" s="17"/>
      <c r="H45" s="18">
        <v>1</v>
      </c>
      <c r="I45" s="19">
        <f t="shared" si="28"/>
        <v>7.4899999999999994E-2</v>
      </c>
      <c r="J45" s="16"/>
      <c r="K45" s="18">
        <v>6</v>
      </c>
      <c r="L45" s="19">
        <f t="shared" si="29"/>
        <v>0.44939999999999997</v>
      </c>
      <c r="M45" s="16"/>
      <c r="N45" s="18"/>
      <c r="O45" s="19">
        <f t="shared" si="35"/>
        <v>0</v>
      </c>
      <c r="P45" s="20">
        <f t="shared" si="36"/>
        <v>7</v>
      </c>
      <c r="Q45" s="19">
        <f t="shared" si="37"/>
        <v>0.52429999999999999</v>
      </c>
      <c r="R45" s="21">
        <f t="shared" si="38"/>
        <v>-7</v>
      </c>
      <c r="S45" s="19">
        <f t="shared" si="34"/>
        <v>-0.52429999999999999</v>
      </c>
      <c r="U45" s="29"/>
    </row>
    <row r="46" spans="1:21">
      <c r="A46" s="26" t="s">
        <v>13</v>
      </c>
      <c r="B46" s="26" t="s">
        <v>46</v>
      </c>
      <c r="C46" s="26">
        <v>10.7</v>
      </c>
      <c r="D46" s="27">
        <v>11.6</v>
      </c>
      <c r="E46" s="28"/>
      <c r="F46" s="16"/>
      <c r="G46" s="17"/>
      <c r="H46" s="18">
        <v>1</v>
      </c>
      <c r="I46" s="19">
        <f t="shared" si="28"/>
        <v>0.12411999999999999</v>
      </c>
      <c r="J46" s="16"/>
      <c r="K46" s="18"/>
      <c r="L46" s="19">
        <f t="shared" si="29"/>
        <v>0</v>
      </c>
      <c r="M46" s="16"/>
      <c r="N46" s="18"/>
      <c r="O46" s="19">
        <f t="shared" si="35"/>
        <v>0</v>
      </c>
      <c r="P46" s="20">
        <f t="shared" si="36"/>
        <v>1</v>
      </c>
      <c r="Q46" s="19">
        <f t="shared" si="37"/>
        <v>0.12411999999999999</v>
      </c>
      <c r="R46" s="21">
        <f t="shared" si="38"/>
        <v>-1</v>
      </c>
      <c r="S46" s="19">
        <f t="shared" si="34"/>
        <v>-0.12411999999999999</v>
      </c>
      <c r="U46" s="29"/>
    </row>
    <row r="47" spans="1:21">
      <c r="A47" s="26" t="s">
        <v>13</v>
      </c>
      <c r="B47" s="26" t="s">
        <v>46</v>
      </c>
      <c r="C47" s="26">
        <v>10.7</v>
      </c>
      <c r="D47" s="27">
        <v>8.6999999999999993</v>
      </c>
      <c r="E47" s="28"/>
      <c r="F47" s="16"/>
      <c r="G47" s="17"/>
      <c r="H47" s="18">
        <v>1</v>
      </c>
      <c r="I47" s="19">
        <f t="shared" si="28"/>
        <v>9.3089999999999992E-2</v>
      </c>
      <c r="J47" s="16"/>
      <c r="K47" s="18"/>
      <c r="L47" s="19">
        <f t="shared" si="29"/>
        <v>0</v>
      </c>
      <c r="M47" s="16"/>
      <c r="N47" s="18"/>
      <c r="O47" s="19">
        <f t="shared" si="35"/>
        <v>0</v>
      </c>
      <c r="P47" s="20">
        <f t="shared" si="36"/>
        <v>1</v>
      </c>
      <c r="Q47" s="19">
        <f t="shared" si="37"/>
        <v>9.3089999999999992E-2</v>
      </c>
      <c r="R47" s="21">
        <f t="shared" si="38"/>
        <v>-1</v>
      </c>
      <c r="S47" s="19">
        <f t="shared" si="34"/>
        <v>-9.3089999999999992E-2</v>
      </c>
      <c r="U47" s="29"/>
    </row>
    <row r="48" spans="1:21">
      <c r="A48" s="26" t="s">
        <v>13</v>
      </c>
      <c r="B48" s="26" t="s">
        <v>46</v>
      </c>
      <c r="C48" s="26">
        <v>10.7</v>
      </c>
      <c r="D48" s="27">
        <v>10</v>
      </c>
      <c r="E48" s="28"/>
      <c r="F48" s="16"/>
      <c r="G48" s="17"/>
      <c r="H48" s="18">
        <v>6</v>
      </c>
      <c r="I48" s="19">
        <f t="shared" si="28"/>
        <v>0.64200000000000002</v>
      </c>
      <c r="J48" s="16"/>
      <c r="K48" s="18">
        <v>4</v>
      </c>
      <c r="L48" s="19">
        <f t="shared" si="29"/>
        <v>0.42799999999999999</v>
      </c>
      <c r="M48" s="16"/>
      <c r="N48" s="18"/>
      <c r="O48" s="19">
        <f t="shared" si="35"/>
        <v>0</v>
      </c>
      <c r="P48" s="20">
        <f t="shared" si="36"/>
        <v>10</v>
      </c>
      <c r="Q48" s="19">
        <f t="shared" si="37"/>
        <v>1.07</v>
      </c>
      <c r="R48" s="21">
        <f t="shared" si="38"/>
        <v>-10</v>
      </c>
      <c r="S48" s="19">
        <f t="shared" si="34"/>
        <v>-1.07</v>
      </c>
      <c r="U48" s="29"/>
    </row>
    <row r="49" spans="1:21">
      <c r="A49" s="26" t="s">
        <v>13</v>
      </c>
      <c r="B49" s="26" t="s">
        <v>46</v>
      </c>
      <c r="C49" s="26">
        <v>10.7</v>
      </c>
      <c r="D49" s="27">
        <v>9.8000000000000007</v>
      </c>
      <c r="E49" s="28"/>
      <c r="F49" s="16"/>
      <c r="G49" s="17"/>
      <c r="H49" s="18">
        <v>2</v>
      </c>
      <c r="I49" s="19">
        <f t="shared" ref="I49:I57" si="39">(C49*D49*H49/1000)</f>
        <v>0.20971999999999999</v>
      </c>
      <c r="J49" s="16"/>
      <c r="K49" s="18"/>
      <c r="L49" s="19">
        <f t="shared" ref="L49:L57" si="40">(C49*D49*K49/1000)</f>
        <v>0</v>
      </c>
      <c r="M49" s="16"/>
      <c r="N49" s="18"/>
      <c r="O49" s="19">
        <f t="shared" ref="O49:O57" si="41">(C49*D49*N49/1000)</f>
        <v>0</v>
      </c>
      <c r="P49" s="20">
        <f t="shared" ref="P49:P57" si="42">+H49+K49+N49</f>
        <v>2</v>
      </c>
      <c r="Q49" s="19">
        <f t="shared" ref="Q49:Q57" si="43">+I49+L49+O49</f>
        <v>0.20971999999999999</v>
      </c>
      <c r="R49" s="21">
        <f t="shared" ref="R49:R57" si="44">E49-P49</f>
        <v>-2</v>
      </c>
      <c r="S49" s="19">
        <f t="shared" ref="S49:S57" si="45">F49-Q49</f>
        <v>-0.20971999999999999</v>
      </c>
      <c r="U49" s="29"/>
    </row>
    <row r="50" spans="1:21">
      <c r="A50" s="26" t="s">
        <v>13</v>
      </c>
      <c r="B50" s="26" t="s">
        <v>46</v>
      </c>
      <c r="C50" s="26">
        <v>10.7</v>
      </c>
      <c r="D50" s="27">
        <v>9.6999999999999993</v>
      </c>
      <c r="E50" s="28"/>
      <c r="F50" s="16"/>
      <c r="G50" s="17"/>
      <c r="H50" s="18">
        <v>1</v>
      </c>
      <c r="I50" s="19">
        <f t="shared" ref="I50:I56" si="46">(C50*D50*H50/1000)</f>
        <v>0.10378999999999999</v>
      </c>
      <c r="J50" s="16"/>
      <c r="K50" s="18"/>
      <c r="L50" s="19">
        <f t="shared" ref="L50:L56" si="47">(C50*D50*K50/1000)</f>
        <v>0</v>
      </c>
      <c r="M50" s="16"/>
      <c r="N50" s="18"/>
      <c r="O50" s="19">
        <f t="shared" ref="O50:O56" si="48">(C50*D50*N50/1000)</f>
        <v>0</v>
      </c>
      <c r="P50" s="20">
        <f t="shared" ref="P50:P56" si="49">+H50+K50+N50</f>
        <v>1</v>
      </c>
      <c r="Q50" s="19">
        <f t="shared" ref="Q50:Q56" si="50">+I50+L50+O50</f>
        <v>0.10378999999999999</v>
      </c>
      <c r="R50" s="21">
        <f t="shared" ref="R50:R56" si="51">E50-P50</f>
        <v>-1</v>
      </c>
      <c r="S50" s="19">
        <f t="shared" ref="S50:S56" si="52">F50-Q50</f>
        <v>-0.10378999999999999</v>
      </c>
      <c r="U50" s="29"/>
    </row>
    <row r="51" spans="1:21">
      <c r="A51" s="26" t="s">
        <v>13</v>
      </c>
      <c r="B51" s="26" t="s">
        <v>46</v>
      </c>
      <c r="C51" s="26">
        <v>10.7</v>
      </c>
      <c r="D51" s="27">
        <v>9.9</v>
      </c>
      <c r="E51" s="28"/>
      <c r="F51" s="16"/>
      <c r="G51" s="17"/>
      <c r="H51" s="18">
        <v>1</v>
      </c>
      <c r="I51" s="19">
        <f t="shared" si="46"/>
        <v>0.10593</v>
      </c>
      <c r="J51" s="16"/>
      <c r="K51" s="18"/>
      <c r="L51" s="19">
        <f t="shared" si="47"/>
        <v>0</v>
      </c>
      <c r="M51" s="16"/>
      <c r="N51" s="18"/>
      <c r="O51" s="19">
        <f t="shared" si="48"/>
        <v>0</v>
      </c>
      <c r="P51" s="20">
        <f t="shared" si="49"/>
        <v>1</v>
      </c>
      <c r="Q51" s="19">
        <f t="shared" si="50"/>
        <v>0.10593</v>
      </c>
      <c r="R51" s="21">
        <f t="shared" si="51"/>
        <v>-1</v>
      </c>
      <c r="S51" s="19">
        <f t="shared" si="52"/>
        <v>-0.10593</v>
      </c>
      <c r="U51" s="29"/>
    </row>
    <row r="52" spans="1:21">
      <c r="A52" s="26" t="s">
        <v>13</v>
      </c>
      <c r="B52" s="26" t="s">
        <v>46</v>
      </c>
      <c r="C52" s="26">
        <v>10.7</v>
      </c>
      <c r="D52" s="27">
        <v>11.4</v>
      </c>
      <c r="E52" s="28"/>
      <c r="F52" s="16"/>
      <c r="G52" s="17"/>
      <c r="H52" s="18">
        <v>1</v>
      </c>
      <c r="I52" s="19">
        <f t="shared" si="46"/>
        <v>0.12197999999999999</v>
      </c>
      <c r="J52" s="16"/>
      <c r="K52" s="18"/>
      <c r="L52" s="19">
        <f t="shared" si="47"/>
        <v>0</v>
      </c>
      <c r="M52" s="16"/>
      <c r="N52" s="18"/>
      <c r="O52" s="19">
        <f t="shared" si="48"/>
        <v>0</v>
      </c>
      <c r="P52" s="20">
        <f t="shared" si="49"/>
        <v>1</v>
      </c>
      <c r="Q52" s="19">
        <f t="shared" si="50"/>
        <v>0.12197999999999999</v>
      </c>
      <c r="R52" s="21">
        <f t="shared" si="51"/>
        <v>-1</v>
      </c>
      <c r="S52" s="19">
        <f t="shared" si="52"/>
        <v>-0.12197999999999999</v>
      </c>
      <c r="U52" s="29"/>
    </row>
    <row r="53" spans="1:21">
      <c r="A53" s="26" t="s">
        <v>13</v>
      </c>
      <c r="B53" s="26" t="s">
        <v>46</v>
      </c>
      <c r="C53" s="26">
        <v>10.7</v>
      </c>
      <c r="D53" s="27">
        <v>9.5</v>
      </c>
      <c r="E53" s="28"/>
      <c r="F53" s="16"/>
      <c r="G53" s="17"/>
      <c r="H53" s="18">
        <v>4</v>
      </c>
      <c r="I53" s="19">
        <f t="shared" si="46"/>
        <v>0.40659999999999996</v>
      </c>
      <c r="J53" s="16"/>
      <c r="K53" s="18"/>
      <c r="L53" s="19">
        <f t="shared" si="47"/>
        <v>0</v>
      </c>
      <c r="M53" s="16"/>
      <c r="N53" s="18"/>
      <c r="O53" s="19">
        <f t="shared" si="48"/>
        <v>0</v>
      </c>
      <c r="P53" s="20">
        <f t="shared" si="49"/>
        <v>4</v>
      </c>
      <c r="Q53" s="19">
        <f t="shared" si="50"/>
        <v>0.40659999999999996</v>
      </c>
      <c r="R53" s="21">
        <f t="shared" si="51"/>
        <v>-4</v>
      </c>
      <c r="S53" s="19">
        <f t="shared" si="52"/>
        <v>-0.40659999999999996</v>
      </c>
      <c r="U53" s="29"/>
    </row>
    <row r="54" spans="1:21">
      <c r="A54" s="26" t="s">
        <v>13</v>
      </c>
      <c r="B54" s="26" t="s">
        <v>46</v>
      </c>
      <c r="C54" s="26">
        <v>10.7</v>
      </c>
      <c r="D54" s="27">
        <v>9.6</v>
      </c>
      <c r="E54" s="28"/>
      <c r="F54" s="16"/>
      <c r="G54" s="17"/>
      <c r="H54" s="18">
        <v>1</v>
      </c>
      <c r="I54" s="19">
        <f t="shared" si="46"/>
        <v>0.10271999999999998</v>
      </c>
      <c r="J54" s="16"/>
      <c r="K54" s="18"/>
      <c r="L54" s="19">
        <f t="shared" si="47"/>
        <v>0</v>
      </c>
      <c r="M54" s="16"/>
      <c r="N54" s="18"/>
      <c r="O54" s="19">
        <f t="shared" si="48"/>
        <v>0</v>
      </c>
      <c r="P54" s="20">
        <f t="shared" si="49"/>
        <v>1</v>
      </c>
      <c r="Q54" s="19">
        <f t="shared" si="50"/>
        <v>0.10271999999999998</v>
      </c>
      <c r="R54" s="21">
        <f t="shared" si="51"/>
        <v>-1</v>
      </c>
      <c r="S54" s="19">
        <f t="shared" si="52"/>
        <v>-0.10271999999999998</v>
      </c>
      <c r="U54" s="29"/>
    </row>
    <row r="55" spans="1:21">
      <c r="A55" s="26" t="s">
        <v>13</v>
      </c>
      <c r="B55" s="26" t="s">
        <v>46</v>
      </c>
      <c r="C55" s="26">
        <v>10.7</v>
      </c>
      <c r="D55" s="27">
        <v>6</v>
      </c>
      <c r="E55" s="28"/>
      <c r="F55" s="16"/>
      <c r="G55" s="17"/>
      <c r="H55" s="18">
        <v>0</v>
      </c>
      <c r="I55" s="19">
        <f t="shared" si="46"/>
        <v>0</v>
      </c>
      <c r="J55" s="16"/>
      <c r="K55" s="18">
        <v>8</v>
      </c>
      <c r="L55" s="19">
        <f t="shared" si="47"/>
        <v>0.51359999999999995</v>
      </c>
      <c r="M55" s="16"/>
      <c r="N55" s="18"/>
      <c r="O55" s="19">
        <f t="shared" si="48"/>
        <v>0</v>
      </c>
      <c r="P55" s="20">
        <f t="shared" si="49"/>
        <v>8</v>
      </c>
      <c r="Q55" s="19">
        <f t="shared" si="50"/>
        <v>0.51359999999999995</v>
      </c>
      <c r="R55" s="21">
        <f t="shared" si="51"/>
        <v>-8</v>
      </c>
      <c r="S55" s="19">
        <f t="shared" si="52"/>
        <v>-0.51359999999999995</v>
      </c>
      <c r="U55" s="29"/>
    </row>
    <row r="56" spans="1:21">
      <c r="A56" s="26" t="s">
        <v>13</v>
      </c>
      <c r="B56" s="26" t="s">
        <v>46</v>
      </c>
      <c r="C56" s="26">
        <v>10.7</v>
      </c>
      <c r="D56" s="27">
        <v>7.4</v>
      </c>
      <c r="E56" s="28"/>
      <c r="F56" s="16"/>
      <c r="G56" s="17"/>
      <c r="H56" s="18">
        <v>0</v>
      </c>
      <c r="I56" s="19">
        <f t="shared" si="46"/>
        <v>0</v>
      </c>
      <c r="J56" s="16"/>
      <c r="K56" s="18">
        <v>4</v>
      </c>
      <c r="L56" s="19">
        <f t="shared" si="47"/>
        <v>0.31671999999999995</v>
      </c>
      <c r="M56" s="16"/>
      <c r="N56" s="18"/>
      <c r="O56" s="19">
        <f t="shared" si="48"/>
        <v>0</v>
      </c>
      <c r="P56" s="20">
        <f t="shared" si="49"/>
        <v>4</v>
      </c>
      <c r="Q56" s="19">
        <f t="shared" si="50"/>
        <v>0.31671999999999995</v>
      </c>
      <c r="R56" s="21">
        <f t="shared" si="51"/>
        <v>-4</v>
      </c>
      <c r="S56" s="19">
        <f t="shared" si="52"/>
        <v>-0.31671999999999995</v>
      </c>
      <c r="U56" s="29"/>
    </row>
    <row r="57" spans="1:21">
      <c r="A57" s="26" t="s">
        <v>13</v>
      </c>
      <c r="B57" s="26" t="s">
        <v>46</v>
      </c>
      <c r="C57" s="26">
        <v>10.7</v>
      </c>
      <c r="D57" s="27">
        <v>10.199999999999999</v>
      </c>
      <c r="E57" s="28"/>
      <c r="F57" s="16"/>
      <c r="G57" s="17"/>
      <c r="H57" s="18">
        <v>0</v>
      </c>
      <c r="I57" s="19">
        <f t="shared" si="39"/>
        <v>0</v>
      </c>
      <c r="J57" s="16"/>
      <c r="K57" s="18">
        <v>12</v>
      </c>
      <c r="L57" s="19">
        <f t="shared" si="40"/>
        <v>1.3096799999999997</v>
      </c>
      <c r="M57" s="16"/>
      <c r="N57" s="18"/>
      <c r="O57" s="19">
        <f t="shared" si="41"/>
        <v>0</v>
      </c>
      <c r="P57" s="20">
        <f t="shared" si="42"/>
        <v>12</v>
      </c>
      <c r="Q57" s="19">
        <f t="shared" si="43"/>
        <v>1.3096799999999997</v>
      </c>
      <c r="R57" s="21">
        <f t="shared" si="44"/>
        <v>-12</v>
      </c>
      <c r="S57" s="19">
        <f t="shared" si="45"/>
        <v>-1.3096799999999997</v>
      </c>
      <c r="U57" s="29"/>
    </row>
    <row r="58" spans="1:21">
      <c r="A58" s="26"/>
      <c r="B58" s="26"/>
      <c r="C58" s="26"/>
      <c r="D58" s="27"/>
      <c r="E58" s="31">
        <f>SUM(E35:E57)</f>
        <v>581</v>
      </c>
      <c r="F58" s="38">
        <f>SUM(F35:F57)</f>
        <v>60.427179999999993</v>
      </c>
      <c r="G58" s="17"/>
      <c r="H58" s="31">
        <f>SUM(H35:H57)</f>
        <v>513</v>
      </c>
      <c r="I58" s="38">
        <f>SUM(I35:I57)</f>
        <v>54.673789999999983</v>
      </c>
      <c r="J58" s="16"/>
      <c r="K58" s="31">
        <f>SUM(K35:K57)</f>
        <v>63</v>
      </c>
      <c r="L58" s="38">
        <f>SUM(L35:L57)</f>
        <v>5.8133099999999995</v>
      </c>
      <c r="M58" s="16"/>
      <c r="N58" s="31">
        <f t="shared" ref="N58:S58" si="53">SUM(N35:N57)</f>
        <v>0</v>
      </c>
      <c r="O58" s="38">
        <f t="shared" si="53"/>
        <v>0</v>
      </c>
      <c r="P58" s="31">
        <f t="shared" si="53"/>
        <v>576</v>
      </c>
      <c r="Q58" s="38">
        <f t="shared" si="53"/>
        <v>60.487099999999963</v>
      </c>
      <c r="R58" s="31">
        <f t="shared" si="53"/>
        <v>5</v>
      </c>
      <c r="S58" s="38">
        <f t="shared" si="53"/>
        <v>-5.9920000000001528E-2</v>
      </c>
      <c r="U58" s="29"/>
    </row>
    <row r="59" spans="1:21">
      <c r="A59" s="26" t="s">
        <v>13</v>
      </c>
      <c r="B59" s="26" t="s">
        <v>47</v>
      </c>
      <c r="C59" s="26">
        <v>18.2</v>
      </c>
      <c r="D59" s="27">
        <v>7.2</v>
      </c>
      <c r="E59" s="28">
        <v>10</v>
      </c>
      <c r="F59" s="16">
        <f t="shared" ref="F59:F78" si="54">(C59*D59*E59/1000)</f>
        <v>1.3103999999999998</v>
      </c>
      <c r="G59" s="16" t="s">
        <v>93</v>
      </c>
      <c r="H59" s="18">
        <v>0</v>
      </c>
      <c r="I59" s="19">
        <f t="shared" ref="I59:I78" si="55">(C59*D59*H59/1000)</f>
        <v>0</v>
      </c>
      <c r="J59" s="16" t="s">
        <v>93</v>
      </c>
      <c r="K59" s="18">
        <v>10</v>
      </c>
      <c r="L59" s="19">
        <f t="shared" ref="L59:L78" si="56">(C59*D59*K59/1000)</f>
        <v>1.3103999999999998</v>
      </c>
      <c r="M59" s="16" t="s">
        <v>88</v>
      </c>
      <c r="N59" s="18"/>
      <c r="O59" s="19">
        <f t="shared" ref="O59:O78" si="57">(C59*D59*N59/1000)</f>
        <v>0</v>
      </c>
      <c r="P59" s="20">
        <f t="shared" ref="P59:P78" si="58">+H59+K59+N59</f>
        <v>10</v>
      </c>
      <c r="Q59" s="19">
        <f t="shared" ref="Q59:Q78" si="59">+I59+L59+O59</f>
        <v>1.3103999999999998</v>
      </c>
      <c r="R59" s="21">
        <f t="shared" ref="R59:R78" si="60">E59-P59</f>
        <v>0</v>
      </c>
      <c r="S59" s="19">
        <f t="shared" ref="S59:S78" si="61">F59-Q59</f>
        <v>0</v>
      </c>
      <c r="U59" s="29"/>
    </row>
    <row r="60" spans="1:21">
      <c r="A60" s="26" t="s">
        <v>13</v>
      </c>
      <c r="B60" s="26" t="s">
        <v>47</v>
      </c>
      <c r="C60" s="26">
        <v>18.2</v>
      </c>
      <c r="D60" s="27">
        <v>8.6</v>
      </c>
      <c r="E60" s="28">
        <v>74</v>
      </c>
      <c r="F60" s="16">
        <f t="shared" si="54"/>
        <v>11.58248</v>
      </c>
      <c r="G60" s="16" t="s">
        <v>108</v>
      </c>
      <c r="H60" s="18">
        <v>61</v>
      </c>
      <c r="I60" s="19">
        <f t="shared" si="55"/>
        <v>9.54772</v>
      </c>
      <c r="J60" s="16" t="s">
        <v>115</v>
      </c>
      <c r="K60" s="18"/>
      <c r="L60" s="19">
        <f t="shared" si="56"/>
        <v>0</v>
      </c>
      <c r="M60" s="16" t="s">
        <v>134</v>
      </c>
      <c r="N60" s="18">
        <v>6</v>
      </c>
      <c r="O60" s="19">
        <f t="shared" si="57"/>
        <v>0.93911999999999984</v>
      </c>
      <c r="P60" s="20">
        <f t="shared" si="58"/>
        <v>67</v>
      </c>
      <c r="Q60" s="19">
        <f t="shared" si="59"/>
        <v>10.486839999999999</v>
      </c>
      <c r="R60" s="21">
        <f t="shared" si="60"/>
        <v>7</v>
      </c>
      <c r="S60" s="19">
        <f t="shared" si="61"/>
        <v>1.0956400000000013</v>
      </c>
      <c r="U60" s="29"/>
    </row>
    <row r="61" spans="1:21">
      <c r="A61" s="26" t="s">
        <v>13</v>
      </c>
      <c r="B61" s="26" t="s">
        <v>47</v>
      </c>
      <c r="C61" s="26">
        <v>18.2</v>
      </c>
      <c r="D61" s="27">
        <v>10.3</v>
      </c>
      <c r="E61" s="28">
        <v>37</v>
      </c>
      <c r="F61" s="16">
        <f t="shared" si="54"/>
        <v>6.9360200000000001</v>
      </c>
      <c r="G61" s="16" t="s">
        <v>88</v>
      </c>
      <c r="H61" s="18">
        <v>15</v>
      </c>
      <c r="I61" s="19">
        <f t="shared" si="55"/>
        <v>2.8119000000000001</v>
      </c>
      <c r="J61" s="16"/>
      <c r="K61" s="18">
        <v>16</v>
      </c>
      <c r="L61" s="19">
        <f t="shared" si="56"/>
        <v>2.9993600000000002</v>
      </c>
      <c r="M61" s="16"/>
      <c r="N61" s="18"/>
      <c r="O61" s="19">
        <f t="shared" si="57"/>
        <v>0</v>
      </c>
      <c r="P61" s="20">
        <f t="shared" si="58"/>
        <v>31</v>
      </c>
      <c r="Q61" s="19">
        <f t="shared" si="59"/>
        <v>5.8112600000000008</v>
      </c>
      <c r="R61" s="21">
        <f t="shared" si="60"/>
        <v>6</v>
      </c>
      <c r="S61" s="19">
        <f t="shared" si="61"/>
        <v>1.1247599999999993</v>
      </c>
      <c r="U61" s="29"/>
    </row>
    <row r="62" spans="1:21">
      <c r="A62" s="26" t="s">
        <v>13</v>
      </c>
      <c r="B62" s="26" t="s">
        <v>47</v>
      </c>
      <c r="C62" s="26">
        <v>18.2</v>
      </c>
      <c r="D62" s="27">
        <v>10.8</v>
      </c>
      <c r="E62" s="28">
        <v>121</v>
      </c>
      <c r="F62" s="16">
        <f t="shared" si="54"/>
        <v>23.783760000000001</v>
      </c>
      <c r="G62" s="16" t="s">
        <v>93</v>
      </c>
      <c r="H62" s="18">
        <v>124</v>
      </c>
      <c r="I62" s="19">
        <f t="shared" si="55"/>
        <v>24.373439999999999</v>
      </c>
      <c r="J62" s="16"/>
      <c r="K62" s="18"/>
      <c r="L62" s="19">
        <f t="shared" si="56"/>
        <v>0</v>
      </c>
      <c r="M62" s="16"/>
      <c r="N62" s="18"/>
      <c r="O62" s="19">
        <f t="shared" si="57"/>
        <v>0</v>
      </c>
      <c r="P62" s="20">
        <f t="shared" si="58"/>
        <v>124</v>
      </c>
      <c r="Q62" s="19">
        <f t="shared" si="59"/>
        <v>24.373439999999999</v>
      </c>
      <c r="R62" s="21">
        <f t="shared" si="60"/>
        <v>-3</v>
      </c>
      <c r="S62" s="19">
        <f t="shared" si="61"/>
        <v>-0.58967999999999776</v>
      </c>
      <c r="U62" s="29"/>
    </row>
    <row r="63" spans="1:21">
      <c r="A63" s="26" t="s">
        <v>13</v>
      </c>
      <c r="B63" s="26" t="s">
        <v>47</v>
      </c>
      <c r="C63" s="26">
        <v>18.2</v>
      </c>
      <c r="D63" s="27">
        <v>11.8</v>
      </c>
      <c r="E63" s="28">
        <v>74</v>
      </c>
      <c r="F63" s="16">
        <f t="shared" si="54"/>
        <v>15.892239999999999</v>
      </c>
      <c r="G63" s="16" t="s">
        <v>112</v>
      </c>
      <c r="H63" s="18">
        <v>62</v>
      </c>
      <c r="I63" s="19">
        <f t="shared" si="55"/>
        <v>13.315119999999999</v>
      </c>
      <c r="J63" s="16"/>
      <c r="K63" s="18"/>
      <c r="L63" s="19">
        <f t="shared" si="56"/>
        <v>0</v>
      </c>
      <c r="M63" s="16"/>
      <c r="N63" s="18"/>
      <c r="O63" s="19">
        <f t="shared" si="57"/>
        <v>0</v>
      </c>
      <c r="P63" s="20">
        <f t="shared" si="58"/>
        <v>62</v>
      </c>
      <c r="Q63" s="19">
        <f t="shared" si="59"/>
        <v>13.315119999999999</v>
      </c>
      <c r="R63" s="21">
        <f t="shared" si="60"/>
        <v>12</v>
      </c>
      <c r="S63" s="19">
        <f t="shared" si="61"/>
        <v>2.5771200000000007</v>
      </c>
      <c r="U63" s="29"/>
    </row>
    <row r="64" spans="1:21">
      <c r="A64" s="26" t="s">
        <v>13</v>
      </c>
      <c r="B64" s="26" t="s">
        <v>47</v>
      </c>
      <c r="C64" s="26">
        <v>18.2</v>
      </c>
      <c r="D64" s="27">
        <v>12</v>
      </c>
      <c r="E64" s="28">
        <v>46</v>
      </c>
      <c r="F64" s="16">
        <f t="shared" ref="F64:F77" si="62">(C64*D64*E64/1000)</f>
        <v>10.0464</v>
      </c>
      <c r="G64" s="16" t="s">
        <v>91</v>
      </c>
      <c r="H64" s="18">
        <v>46</v>
      </c>
      <c r="I64" s="19">
        <f t="shared" ref="I64:I77" si="63">(C64*D64*H64/1000)</f>
        <v>10.0464</v>
      </c>
      <c r="J64" s="16" t="s">
        <v>114</v>
      </c>
      <c r="K64" s="18"/>
      <c r="L64" s="19">
        <f t="shared" ref="L64:L77" si="64">(C64*D64*K64/1000)</f>
        <v>0</v>
      </c>
      <c r="M64" s="16"/>
      <c r="N64" s="18"/>
      <c r="O64" s="19">
        <f t="shared" ref="O64:O77" si="65">(C64*D64*N64/1000)</f>
        <v>0</v>
      </c>
      <c r="P64" s="20">
        <f t="shared" ref="P64:P77" si="66">+H64+K64+N64</f>
        <v>46</v>
      </c>
      <c r="Q64" s="19">
        <f t="shared" ref="Q64:Q77" si="67">+I64+L64+O64</f>
        <v>10.0464</v>
      </c>
      <c r="R64" s="21">
        <f t="shared" ref="R64:R77" si="68">E64-P64</f>
        <v>0</v>
      </c>
      <c r="S64" s="19">
        <f t="shared" ref="S64:S77" si="69">F64-Q64</f>
        <v>0</v>
      </c>
      <c r="U64" s="29"/>
    </row>
    <row r="65" spans="1:21">
      <c r="A65" s="26" t="s">
        <v>13</v>
      </c>
      <c r="B65" s="26" t="s">
        <v>47</v>
      </c>
      <c r="C65" s="26">
        <v>18.2</v>
      </c>
      <c r="D65" s="27">
        <v>7</v>
      </c>
      <c r="E65" s="28"/>
      <c r="F65" s="16">
        <f t="shared" si="62"/>
        <v>0</v>
      </c>
      <c r="G65" s="16" t="s">
        <v>113</v>
      </c>
      <c r="H65" s="18"/>
      <c r="I65" s="19">
        <f t="shared" si="63"/>
        <v>0</v>
      </c>
      <c r="J65" s="16" t="s">
        <v>113</v>
      </c>
      <c r="K65" s="18">
        <v>2</v>
      </c>
      <c r="L65" s="19">
        <f t="shared" si="64"/>
        <v>0.25479999999999997</v>
      </c>
      <c r="M65" s="16"/>
      <c r="N65" s="18"/>
      <c r="O65" s="19">
        <f t="shared" si="65"/>
        <v>0</v>
      </c>
      <c r="P65" s="20">
        <f t="shared" si="66"/>
        <v>2</v>
      </c>
      <c r="Q65" s="19">
        <f t="shared" si="67"/>
        <v>0.25479999999999997</v>
      </c>
      <c r="R65" s="21">
        <f t="shared" si="68"/>
        <v>-2</v>
      </c>
      <c r="S65" s="19">
        <f t="shared" si="69"/>
        <v>-0.25479999999999997</v>
      </c>
      <c r="U65" s="29"/>
    </row>
    <row r="66" spans="1:21">
      <c r="A66" s="26" t="s">
        <v>13</v>
      </c>
      <c r="B66" s="26" t="s">
        <v>47</v>
      </c>
      <c r="C66" s="26">
        <v>18.2</v>
      </c>
      <c r="D66" s="27">
        <v>6</v>
      </c>
      <c r="E66" s="28"/>
      <c r="F66" s="16">
        <f t="shared" si="62"/>
        <v>0</v>
      </c>
      <c r="G66" s="16"/>
      <c r="H66" s="18"/>
      <c r="I66" s="19">
        <f t="shared" si="63"/>
        <v>0</v>
      </c>
      <c r="J66" s="16"/>
      <c r="K66" s="18">
        <v>1</v>
      </c>
      <c r="L66" s="19">
        <f t="shared" si="64"/>
        <v>0.10919999999999999</v>
      </c>
      <c r="M66" s="16"/>
      <c r="N66" s="18"/>
      <c r="O66" s="19">
        <f t="shared" si="65"/>
        <v>0</v>
      </c>
      <c r="P66" s="20">
        <f t="shared" si="66"/>
        <v>1</v>
      </c>
      <c r="Q66" s="19">
        <f t="shared" si="67"/>
        <v>0.10919999999999999</v>
      </c>
      <c r="R66" s="21">
        <f t="shared" si="68"/>
        <v>-1</v>
      </c>
      <c r="S66" s="19">
        <f t="shared" si="69"/>
        <v>-0.10919999999999999</v>
      </c>
      <c r="U66" s="29"/>
    </row>
    <row r="67" spans="1:21">
      <c r="A67" s="26" t="s">
        <v>13</v>
      </c>
      <c r="B67" s="26" t="s">
        <v>47</v>
      </c>
      <c r="C67" s="26">
        <v>18.2</v>
      </c>
      <c r="D67" s="27">
        <v>6.5</v>
      </c>
      <c r="E67" s="28"/>
      <c r="F67" s="16">
        <f t="shared" si="62"/>
        <v>0</v>
      </c>
      <c r="G67" s="16"/>
      <c r="H67" s="18"/>
      <c r="I67" s="19">
        <f t="shared" si="63"/>
        <v>0</v>
      </c>
      <c r="J67" s="16"/>
      <c r="K67" s="18">
        <v>1</v>
      </c>
      <c r="L67" s="19">
        <f t="shared" si="64"/>
        <v>0.1183</v>
      </c>
      <c r="M67" s="16"/>
      <c r="N67" s="18"/>
      <c r="O67" s="19">
        <f t="shared" si="65"/>
        <v>0</v>
      </c>
      <c r="P67" s="20">
        <f t="shared" si="66"/>
        <v>1</v>
      </c>
      <c r="Q67" s="19">
        <f t="shared" si="67"/>
        <v>0.1183</v>
      </c>
      <c r="R67" s="21">
        <f t="shared" si="68"/>
        <v>-1</v>
      </c>
      <c r="S67" s="19">
        <f t="shared" si="69"/>
        <v>-0.1183</v>
      </c>
      <c r="U67" s="29"/>
    </row>
    <row r="68" spans="1:21">
      <c r="A68" s="26" t="s">
        <v>13</v>
      </c>
      <c r="B68" s="26" t="s">
        <v>47</v>
      </c>
      <c r="C68" s="26">
        <v>18.2</v>
      </c>
      <c r="D68" s="27">
        <v>9.5</v>
      </c>
      <c r="E68" s="28"/>
      <c r="F68" s="16">
        <f t="shared" si="62"/>
        <v>0</v>
      </c>
      <c r="G68" s="16"/>
      <c r="H68" s="18"/>
      <c r="I68" s="19">
        <f t="shared" si="63"/>
        <v>0</v>
      </c>
      <c r="J68" s="16"/>
      <c r="K68" s="18">
        <v>5</v>
      </c>
      <c r="L68" s="19">
        <f t="shared" si="64"/>
        <v>0.86450000000000005</v>
      </c>
      <c r="M68" s="16"/>
      <c r="N68" s="18"/>
      <c r="O68" s="19">
        <f t="shared" si="65"/>
        <v>0</v>
      </c>
      <c r="P68" s="20">
        <f t="shared" si="66"/>
        <v>5</v>
      </c>
      <c r="Q68" s="19">
        <f t="shared" si="67"/>
        <v>0.86450000000000005</v>
      </c>
      <c r="R68" s="21">
        <f t="shared" si="68"/>
        <v>-5</v>
      </c>
      <c r="S68" s="19">
        <f t="shared" si="69"/>
        <v>-0.86450000000000005</v>
      </c>
      <c r="U68" s="29"/>
    </row>
    <row r="69" spans="1:21">
      <c r="A69" s="26" t="s">
        <v>13</v>
      </c>
      <c r="B69" s="26" t="s">
        <v>47</v>
      </c>
      <c r="C69" s="26">
        <v>18.2</v>
      </c>
      <c r="D69" s="27">
        <v>9</v>
      </c>
      <c r="E69" s="28"/>
      <c r="F69" s="16">
        <f t="shared" si="62"/>
        <v>0</v>
      </c>
      <c r="G69" s="16"/>
      <c r="H69" s="18"/>
      <c r="I69" s="19">
        <f t="shared" si="63"/>
        <v>0</v>
      </c>
      <c r="J69" s="16"/>
      <c r="K69" s="18">
        <v>1</v>
      </c>
      <c r="L69" s="19">
        <f t="shared" si="64"/>
        <v>0.16379999999999997</v>
      </c>
      <c r="M69" s="16"/>
      <c r="N69" s="18"/>
      <c r="O69" s="19">
        <f t="shared" si="65"/>
        <v>0</v>
      </c>
      <c r="P69" s="20">
        <f t="shared" si="66"/>
        <v>1</v>
      </c>
      <c r="Q69" s="19">
        <f t="shared" si="67"/>
        <v>0.16379999999999997</v>
      </c>
      <c r="R69" s="21">
        <f t="shared" si="68"/>
        <v>-1</v>
      </c>
      <c r="S69" s="19">
        <f t="shared" si="69"/>
        <v>-0.16379999999999997</v>
      </c>
      <c r="U69" s="29"/>
    </row>
    <row r="70" spans="1:21">
      <c r="A70" s="26" t="s">
        <v>13</v>
      </c>
      <c r="B70" s="26" t="s">
        <v>47</v>
      </c>
      <c r="C70" s="26">
        <v>18.2</v>
      </c>
      <c r="D70" s="27">
        <v>10.5</v>
      </c>
      <c r="E70" s="28"/>
      <c r="F70" s="16">
        <f t="shared" si="62"/>
        <v>0</v>
      </c>
      <c r="G70" s="16"/>
      <c r="H70" s="18"/>
      <c r="I70" s="19">
        <f t="shared" si="63"/>
        <v>0</v>
      </c>
      <c r="J70" s="16"/>
      <c r="K70" s="18">
        <v>1</v>
      </c>
      <c r="L70" s="19">
        <f t="shared" si="64"/>
        <v>0.19109999999999999</v>
      </c>
      <c r="M70" s="16"/>
      <c r="N70" s="18"/>
      <c r="O70" s="19">
        <f t="shared" si="65"/>
        <v>0</v>
      </c>
      <c r="P70" s="20">
        <f t="shared" si="66"/>
        <v>1</v>
      </c>
      <c r="Q70" s="19">
        <f t="shared" si="67"/>
        <v>0.19109999999999999</v>
      </c>
      <c r="R70" s="21">
        <f t="shared" si="68"/>
        <v>-1</v>
      </c>
      <c r="S70" s="19">
        <f t="shared" si="69"/>
        <v>-0.19109999999999999</v>
      </c>
      <c r="U70" s="29"/>
    </row>
    <row r="71" spans="1:21">
      <c r="A71" s="26" t="s">
        <v>13</v>
      </c>
      <c r="B71" s="26" t="s">
        <v>47</v>
      </c>
      <c r="C71" s="26">
        <v>18.2</v>
      </c>
      <c r="D71" s="27">
        <v>11.7</v>
      </c>
      <c r="E71" s="28"/>
      <c r="F71" s="16">
        <f t="shared" si="62"/>
        <v>0</v>
      </c>
      <c r="G71" s="16"/>
      <c r="H71" s="18"/>
      <c r="I71" s="19">
        <f t="shared" si="63"/>
        <v>0</v>
      </c>
      <c r="J71" s="16"/>
      <c r="K71" s="18">
        <v>3</v>
      </c>
      <c r="L71" s="19">
        <f t="shared" si="64"/>
        <v>0.63881999999999994</v>
      </c>
      <c r="M71" s="16"/>
      <c r="N71" s="18"/>
      <c r="O71" s="19">
        <f t="shared" si="65"/>
        <v>0</v>
      </c>
      <c r="P71" s="20">
        <f t="shared" si="66"/>
        <v>3</v>
      </c>
      <c r="Q71" s="19">
        <f t="shared" si="67"/>
        <v>0.63881999999999994</v>
      </c>
      <c r="R71" s="21">
        <f t="shared" si="68"/>
        <v>-3</v>
      </c>
      <c r="S71" s="19">
        <f t="shared" si="69"/>
        <v>-0.63881999999999994</v>
      </c>
      <c r="U71" s="29"/>
    </row>
    <row r="72" spans="1:21">
      <c r="A72" s="26" t="s">
        <v>13</v>
      </c>
      <c r="B72" s="26" t="s">
        <v>47</v>
      </c>
      <c r="C72" s="26">
        <v>18.2</v>
      </c>
      <c r="D72" s="27">
        <v>7.25</v>
      </c>
      <c r="E72" s="28"/>
      <c r="F72" s="16">
        <f t="shared" si="62"/>
        <v>0</v>
      </c>
      <c r="G72" s="16"/>
      <c r="H72" s="18"/>
      <c r="I72" s="19">
        <f t="shared" si="63"/>
        <v>0</v>
      </c>
      <c r="J72" s="16"/>
      <c r="K72" s="18">
        <v>3</v>
      </c>
      <c r="L72" s="19">
        <f t="shared" si="64"/>
        <v>0.39584999999999998</v>
      </c>
      <c r="M72" s="16"/>
      <c r="N72" s="18"/>
      <c r="O72" s="19">
        <f t="shared" si="65"/>
        <v>0</v>
      </c>
      <c r="P72" s="20">
        <f t="shared" si="66"/>
        <v>3</v>
      </c>
      <c r="Q72" s="19">
        <f t="shared" si="67"/>
        <v>0.39584999999999998</v>
      </c>
      <c r="R72" s="21">
        <f t="shared" si="68"/>
        <v>-3</v>
      </c>
      <c r="S72" s="19">
        <f t="shared" si="69"/>
        <v>-0.39584999999999998</v>
      </c>
      <c r="U72" s="29"/>
    </row>
    <row r="73" spans="1:21">
      <c r="A73" s="26" t="s">
        <v>13</v>
      </c>
      <c r="B73" s="26" t="s">
        <v>47</v>
      </c>
      <c r="C73" s="26">
        <v>18.2</v>
      </c>
      <c r="D73" s="27">
        <v>11.2</v>
      </c>
      <c r="E73" s="28"/>
      <c r="F73" s="16">
        <f t="shared" si="62"/>
        <v>0</v>
      </c>
      <c r="G73" s="16"/>
      <c r="H73" s="18"/>
      <c r="I73" s="19">
        <f t="shared" si="63"/>
        <v>0</v>
      </c>
      <c r="J73" s="16"/>
      <c r="K73" s="18"/>
      <c r="L73" s="19">
        <f t="shared" si="64"/>
        <v>0</v>
      </c>
      <c r="M73" s="16"/>
      <c r="N73" s="18">
        <v>2</v>
      </c>
      <c r="O73" s="19">
        <f t="shared" si="65"/>
        <v>0.40767999999999993</v>
      </c>
      <c r="P73" s="20">
        <f t="shared" si="66"/>
        <v>2</v>
      </c>
      <c r="Q73" s="19">
        <f t="shared" si="67"/>
        <v>0.40767999999999993</v>
      </c>
      <c r="R73" s="21">
        <f t="shared" si="68"/>
        <v>-2</v>
      </c>
      <c r="S73" s="19">
        <f t="shared" si="69"/>
        <v>-0.40767999999999993</v>
      </c>
      <c r="U73" s="29"/>
    </row>
    <row r="74" spans="1:21">
      <c r="A74" s="26" t="s">
        <v>13</v>
      </c>
      <c r="B74" s="26" t="s">
        <v>47</v>
      </c>
      <c r="C74" s="26">
        <v>18.2</v>
      </c>
      <c r="D74" s="27">
        <v>10.9</v>
      </c>
      <c r="E74" s="28"/>
      <c r="F74" s="16">
        <f t="shared" si="62"/>
        <v>0</v>
      </c>
      <c r="G74" s="16"/>
      <c r="H74" s="18"/>
      <c r="I74" s="19">
        <f t="shared" si="63"/>
        <v>0</v>
      </c>
      <c r="J74" s="16"/>
      <c r="K74" s="18"/>
      <c r="L74" s="19">
        <f t="shared" si="64"/>
        <v>0</v>
      </c>
      <c r="M74" s="16"/>
      <c r="N74" s="18">
        <v>1</v>
      </c>
      <c r="O74" s="19">
        <f t="shared" si="65"/>
        <v>0.19838</v>
      </c>
      <c r="P74" s="20">
        <f t="shared" si="66"/>
        <v>1</v>
      </c>
      <c r="Q74" s="19">
        <f t="shared" si="67"/>
        <v>0.19838</v>
      </c>
      <c r="R74" s="21">
        <f t="shared" si="68"/>
        <v>-1</v>
      </c>
      <c r="S74" s="19">
        <f t="shared" si="69"/>
        <v>-0.19838</v>
      </c>
      <c r="U74" s="29"/>
    </row>
    <row r="75" spans="1:21">
      <c r="A75" s="26" t="s">
        <v>13</v>
      </c>
      <c r="B75" s="26" t="s">
        <v>47</v>
      </c>
      <c r="C75" s="26">
        <v>18.2</v>
      </c>
      <c r="D75" s="27">
        <v>10.1</v>
      </c>
      <c r="E75" s="28"/>
      <c r="F75" s="16">
        <f t="shared" si="62"/>
        <v>0</v>
      </c>
      <c r="G75" s="16"/>
      <c r="H75" s="18"/>
      <c r="I75" s="19">
        <f t="shared" si="63"/>
        <v>0</v>
      </c>
      <c r="J75" s="16"/>
      <c r="K75" s="18"/>
      <c r="L75" s="19">
        <f t="shared" si="64"/>
        <v>0</v>
      </c>
      <c r="M75" s="16"/>
      <c r="N75" s="18">
        <v>1</v>
      </c>
      <c r="O75" s="19">
        <f t="shared" si="65"/>
        <v>0.18381999999999998</v>
      </c>
      <c r="P75" s="20">
        <f t="shared" si="66"/>
        <v>1</v>
      </c>
      <c r="Q75" s="19">
        <f t="shared" si="67"/>
        <v>0.18381999999999998</v>
      </c>
      <c r="R75" s="21">
        <f t="shared" si="68"/>
        <v>-1</v>
      </c>
      <c r="S75" s="19">
        <f t="shared" si="69"/>
        <v>-0.18381999999999998</v>
      </c>
      <c r="U75" s="29"/>
    </row>
    <row r="76" spans="1:21">
      <c r="A76" s="26" t="s">
        <v>13</v>
      </c>
      <c r="B76" s="26" t="s">
        <v>47</v>
      </c>
      <c r="C76" s="26">
        <v>18.2</v>
      </c>
      <c r="D76" s="27">
        <v>8.3000000000000007</v>
      </c>
      <c r="E76" s="28"/>
      <c r="F76" s="16">
        <f t="shared" si="62"/>
        <v>0</v>
      </c>
      <c r="G76" s="16"/>
      <c r="H76" s="18"/>
      <c r="I76" s="19">
        <f t="shared" si="63"/>
        <v>0</v>
      </c>
      <c r="J76" s="16"/>
      <c r="K76" s="18"/>
      <c r="L76" s="19">
        <f t="shared" si="64"/>
        <v>0</v>
      </c>
      <c r="M76" s="16"/>
      <c r="N76" s="18">
        <v>7</v>
      </c>
      <c r="O76" s="19">
        <f t="shared" si="65"/>
        <v>1.05742</v>
      </c>
      <c r="P76" s="20">
        <f t="shared" si="66"/>
        <v>7</v>
      </c>
      <c r="Q76" s="19">
        <f t="shared" si="67"/>
        <v>1.05742</v>
      </c>
      <c r="R76" s="21">
        <f t="shared" si="68"/>
        <v>-7</v>
      </c>
      <c r="S76" s="19">
        <f t="shared" si="69"/>
        <v>-1.05742</v>
      </c>
      <c r="U76" s="29"/>
    </row>
    <row r="77" spans="1:21">
      <c r="A77" s="26" t="s">
        <v>13</v>
      </c>
      <c r="B77" s="26" t="s">
        <v>47</v>
      </c>
      <c r="C77" s="26">
        <v>18.2</v>
      </c>
      <c r="D77" s="27"/>
      <c r="E77" s="28"/>
      <c r="F77" s="16">
        <f t="shared" si="62"/>
        <v>0</v>
      </c>
      <c r="G77" s="16"/>
      <c r="H77" s="18"/>
      <c r="I77" s="19">
        <f t="shared" si="63"/>
        <v>0</v>
      </c>
      <c r="J77" s="16"/>
      <c r="K77" s="18"/>
      <c r="L77" s="19">
        <f t="shared" si="64"/>
        <v>0</v>
      </c>
      <c r="M77" s="16"/>
      <c r="N77" s="18"/>
      <c r="O77" s="19">
        <f t="shared" si="65"/>
        <v>0</v>
      </c>
      <c r="P77" s="20">
        <f t="shared" si="66"/>
        <v>0</v>
      </c>
      <c r="Q77" s="19">
        <f t="shared" si="67"/>
        <v>0</v>
      </c>
      <c r="R77" s="21">
        <f t="shared" si="68"/>
        <v>0</v>
      </c>
      <c r="S77" s="19">
        <f t="shared" si="69"/>
        <v>0</v>
      </c>
      <c r="U77" s="29"/>
    </row>
    <row r="78" spans="1:21">
      <c r="A78" s="26" t="s">
        <v>13</v>
      </c>
      <c r="B78" s="26" t="s">
        <v>47</v>
      </c>
      <c r="C78" s="26">
        <v>18.2</v>
      </c>
      <c r="D78" s="27"/>
      <c r="E78" s="28"/>
      <c r="F78" s="16">
        <f t="shared" si="54"/>
        <v>0</v>
      </c>
      <c r="G78" s="16"/>
      <c r="H78" s="18"/>
      <c r="I78" s="19">
        <f t="shared" si="55"/>
        <v>0</v>
      </c>
      <c r="J78" s="16"/>
      <c r="K78" s="18"/>
      <c r="L78" s="19">
        <f t="shared" si="56"/>
        <v>0</v>
      </c>
      <c r="M78" s="16"/>
      <c r="N78" s="18"/>
      <c r="O78" s="19">
        <f t="shared" si="57"/>
        <v>0</v>
      </c>
      <c r="P78" s="20">
        <f t="shared" si="58"/>
        <v>0</v>
      </c>
      <c r="Q78" s="19">
        <f t="shared" si="59"/>
        <v>0</v>
      </c>
      <c r="R78" s="21">
        <f t="shared" si="60"/>
        <v>0</v>
      </c>
      <c r="S78" s="19">
        <f t="shared" si="61"/>
        <v>0</v>
      </c>
      <c r="U78" s="29"/>
    </row>
    <row r="79" spans="1:21">
      <c r="A79" s="26"/>
      <c r="B79" s="26"/>
      <c r="C79" s="26"/>
      <c r="D79" s="27"/>
      <c r="E79" s="31">
        <f t="shared" ref="E79:F79" si="70">SUM(E59:E78)</f>
        <v>362</v>
      </c>
      <c r="F79" s="38">
        <f t="shared" si="70"/>
        <v>69.551300000000012</v>
      </c>
      <c r="G79" s="16"/>
      <c r="H79" s="31">
        <f t="shared" ref="H79" si="71">SUM(H59:H78)</f>
        <v>308</v>
      </c>
      <c r="I79" s="38">
        <f t="shared" ref="I79" si="72">SUM(I59:I78)</f>
        <v>60.094579999999993</v>
      </c>
      <c r="J79" s="16"/>
      <c r="K79" s="31">
        <f t="shared" ref="K79" si="73">SUM(K59:K78)</f>
        <v>43</v>
      </c>
      <c r="L79" s="38">
        <f t="shared" ref="L79" si="74">SUM(L59:L78)</f>
        <v>7.0461300000000007</v>
      </c>
      <c r="M79" s="16"/>
      <c r="N79" s="31">
        <f t="shared" ref="N79" si="75">SUM(N59:N78)</f>
        <v>17</v>
      </c>
      <c r="O79" s="38">
        <f t="shared" ref="O79" si="76">SUM(O59:O78)</f>
        <v>2.7864199999999997</v>
      </c>
      <c r="P79" s="31">
        <f t="shared" ref="P79" si="77">SUM(P59:P78)</f>
        <v>368</v>
      </c>
      <c r="Q79" s="38">
        <f t="shared" ref="Q79" si="78">SUM(Q59:Q78)</f>
        <v>69.927129999999991</v>
      </c>
      <c r="R79" s="31">
        <f t="shared" ref="R79" si="79">SUM(R59:R78)</f>
        <v>-6</v>
      </c>
      <c r="S79" s="38">
        <f t="shared" ref="S79" si="80">SUM(S59:S78)</f>
        <v>-0.37582999999999644</v>
      </c>
      <c r="U79" s="29"/>
    </row>
    <row r="80" spans="1:21">
      <c r="A80" s="26" t="s">
        <v>13</v>
      </c>
      <c r="B80" s="26" t="s">
        <v>48</v>
      </c>
      <c r="C80" s="26">
        <v>12.9</v>
      </c>
      <c r="D80" s="27">
        <v>7.2</v>
      </c>
      <c r="E80" s="28">
        <v>20</v>
      </c>
      <c r="F80" s="16">
        <f t="shared" ref="F80:F84" si="81">(C80*D80*E80/1000)</f>
        <v>1.8576000000000001</v>
      </c>
      <c r="G80" s="16" t="s">
        <v>93</v>
      </c>
      <c r="H80" s="18">
        <v>19</v>
      </c>
      <c r="I80" s="19">
        <f t="shared" ref="I80:I84" si="82">(C80*D80*H80/1000)</f>
        <v>1.7647200000000003</v>
      </c>
      <c r="J80" s="16" t="s">
        <v>114</v>
      </c>
      <c r="K80" s="18">
        <v>2</v>
      </c>
      <c r="L80" s="19">
        <f t="shared" ref="L80:L84" si="83">(C80*D80*K80/1000)</f>
        <v>0.18576000000000001</v>
      </c>
      <c r="M80" s="16"/>
      <c r="N80" s="18"/>
      <c r="O80" s="19">
        <f t="shared" ref="O80:O84" si="84">(C80*D80*N80/1000)</f>
        <v>0</v>
      </c>
      <c r="P80" s="20">
        <f t="shared" ref="P80:P84" si="85">+H80+K80+N80</f>
        <v>21</v>
      </c>
      <c r="Q80" s="19">
        <f t="shared" ref="Q80:Q84" si="86">+I80+L80+O80</f>
        <v>1.9504800000000002</v>
      </c>
      <c r="R80" s="21">
        <f t="shared" ref="R80:R84" si="87">E80-P80</f>
        <v>-1</v>
      </c>
      <c r="S80" s="19">
        <f t="shared" ref="S80:S84" si="88">F80-Q80</f>
        <v>-9.2880000000000074E-2</v>
      </c>
      <c r="U80" s="29"/>
    </row>
    <row r="81" spans="1:21">
      <c r="A81" s="26" t="s">
        <v>13</v>
      </c>
      <c r="B81" s="26" t="s">
        <v>48</v>
      </c>
      <c r="C81" s="26">
        <v>12.9</v>
      </c>
      <c r="D81" s="27">
        <v>10</v>
      </c>
      <c r="E81" s="28">
        <v>55</v>
      </c>
      <c r="F81" s="16">
        <f t="shared" si="81"/>
        <v>7.0949999999999998</v>
      </c>
      <c r="G81" s="16" t="s">
        <v>130</v>
      </c>
      <c r="H81" s="18">
        <v>30</v>
      </c>
      <c r="I81" s="19">
        <f t="shared" si="82"/>
        <v>3.87</v>
      </c>
      <c r="J81" s="16" t="s">
        <v>131</v>
      </c>
      <c r="K81" s="18">
        <v>23</v>
      </c>
      <c r="L81" s="19">
        <f t="shared" si="83"/>
        <v>2.9670000000000001</v>
      </c>
      <c r="M81" s="16"/>
      <c r="N81" s="18"/>
      <c r="O81" s="19">
        <f t="shared" si="84"/>
        <v>0</v>
      </c>
      <c r="P81" s="20">
        <f t="shared" si="85"/>
        <v>53</v>
      </c>
      <c r="Q81" s="19">
        <f t="shared" si="86"/>
        <v>6.8369999999999997</v>
      </c>
      <c r="R81" s="21">
        <f t="shared" si="87"/>
        <v>2</v>
      </c>
      <c r="S81" s="19">
        <f t="shared" si="88"/>
        <v>0.25800000000000001</v>
      </c>
      <c r="U81" s="29"/>
    </row>
    <row r="82" spans="1:21">
      <c r="A82" s="26" t="s">
        <v>13</v>
      </c>
      <c r="B82" s="26" t="s">
        <v>48</v>
      </c>
      <c r="C82" s="26">
        <v>12.9</v>
      </c>
      <c r="D82" s="27">
        <v>11.6</v>
      </c>
      <c r="E82" s="28">
        <v>10</v>
      </c>
      <c r="F82" s="16">
        <f t="shared" ref="F82:F83" si="89">(C82*D82*E82/1000)</f>
        <v>1.4964</v>
      </c>
      <c r="G82" s="17"/>
      <c r="H82" s="18">
        <v>3</v>
      </c>
      <c r="I82" s="19">
        <f t="shared" ref="I82:I83" si="90">(C82*D82*H82/1000)</f>
        <v>0.44891999999999999</v>
      </c>
      <c r="J82" s="16"/>
      <c r="K82" s="18">
        <v>8</v>
      </c>
      <c r="L82" s="19">
        <f t="shared" ref="L82:L83" si="91">(C82*D82*K82/1000)</f>
        <v>1.19712</v>
      </c>
      <c r="M82" s="16"/>
      <c r="N82" s="18"/>
      <c r="O82" s="19">
        <f t="shared" ref="O82:O83" si="92">(C82*D82*N82/1000)</f>
        <v>0</v>
      </c>
      <c r="P82" s="20">
        <f t="shared" ref="P82:P83" si="93">+H82+K82+N82</f>
        <v>11</v>
      </c>
      <c r="Q82" s="19">
        <f t="shared" ref="Q82:Q83" si="94">+I82+L82+O82</f>
        <v>1.6460399999999999</v>
      </c>
      <c r="R82" s="21">
        <f t="shared" ref="R82:R83" si="95">E82-P82</f>
        <v>-1</v>
      </c>
      <c r="S82" s="19">
        <f t="shared" ref="S82:S83" si="96">F82-Q82</f>
        <v>-0.14964</v>
      </c>
      <c r="U82" s="29"/>
    </row>
    <row r="83" spans="1:21">
      <c r="A83" s="26" t="s">
        <v>13</v>
      </c>
      <c r="B83" s="26" t="s">
        <v>48</v>
      </c>
      <c r="C83" s="26">
        <v>12.9</v>
      </c>
      <c r="D83" s="27">
        <v>8.6</v>
      </c>
      <c r="E83" s="28"/>
      <c r="F83" s="16">
        <f t="shared" si="89"/>
        <v>0</v>
      </c>
      <c r="G83" s="17"/>
      <c r="H83" s="18"/>
      <c r="I83" s="19">
        <f t="shared" si="90"/>
        <v>0</v>
      </c>
      <c r="J83" s="16"/>
      <c r="K83" s="18">
        <v>1</v>
      </c>
      <c r="L83" s="19">
        <f t="shared" si="91"/>
        <v>0.11094</v>
      </c>
      <c r="M83" s="16"/>
      <c r="N83" s="18"/>
      <c r="O83" s="19">
        <f t="shared" si="92"/>
        <v>0</v>
      </c>
      <c r="P83" s="20">
        <f t="shared" si="93"/>
        <v>1</v>
      </c>
      <c r="Q83" s="19">
        <f t="shared" si="94"/>
        <v>0.11094</v>
      </c>
      <c r="R83" s="21">
        <f t="shared" si="95"/>
        <v>-1</v>
      </c>
      <c r="S83" s="19">
        <f t="shared" si="96"/>
        <v>-0.11094</v>
      </c>
      <c r="U83" s="29"/>
    </row>
    <row r="84" spans="1:21">
      <c r="A84" s="26" t="s">
        <v>13</v>
      </c>
      <c r="B84" s="26" t="s">
        <v>48</v>
      </c>
      <c r="C84" s="26">
        <v>12.9</v>
      </c>
      <c r="D84" s="27">
        <v>9.6999999999999993</v>
      </c>
      <c r="E84" s="28"/>
      <c r="F84" s="16">
        <f t="shared" si="81"/>
        <v>0</v>
      </c>
      <c r="G84" s="17"/>
      <c r="H84" s="18"/>
      <c r="I84" s="19">
        <f t="shared" si="82"/>
        <v>0</v>
      </c>
      <c r="J84" s="16"/>
      <c r="K84" s="18">
        <v>1</v>
      </c>
      <c r="L84" s="19">
        <f t="shared" si="83"/>
        <v>0.12512999999999999</v>
      </c>
      <c r="M84" s="16"/>
      <c r="N84" s="18"/>
      <c r="O84" s="19">
        <f t="shared" si="84"/>
        <v>0</v>
      </c>
      <c r="P84" s="20">
        <f t="shared" si="85"/>
        <v>1</v>
      </c>
      <c r="Q84" s="19">
        <f t="shared" si="86"/>
        <v>0.12512999999999999</v>
      </c>
      <c r="R84" s="21">
        <f t="shared" si="87"/>
        <v>-1</v>
      </c>
      <c r="S84" s="19">
        <f t="shared" si="88"/>
        <v>-0.12512999999999999</v>
      </c>
      <c r="U84" s="29"/>
    </row>
    <row r="85" spans="1:21">
      <c r="A85" s="26"/>
      <c r="B85" s="26"/>
      <c r="C85" s="26"/>
      <c r="D85" s="27"/>
      <c r="E85" s="31">
        <f t="shared" ref="E85:F85" si="97">SUM(E80:E84)</f>
        <v>85</v>
      </c>
      <c r="F85" s="38">
        <f t="shared" si="97"/>
        <v>10.449</v>
      </c>
      <c r="G85" s="17"/>
      <c r="H85" s="31">
        <f t="shared" ref="H85" si="98">SUM(H80:H84)</f>
        <v>52</v>
      </c>
      <c r="I85" s="38">
        <f t="shared" ref="I85" si="99">SUM(I80:I84)</f>
        <v>6.0836400000000008</v>
      </c>
      <c r="J85" s="16"/>
      <c r="K85" s="31">
        <f t="shared" ref="K85" si="100">SUM(K80:K84)</f>
        <v>35</v>
      </c>
      <c r="L85" s="38">
        <f t="shared" ref="L85" si="101">SUM(L80:L84)</f>
        <v>4.5859500000000013</v>
      </c>
      <c r="M85" s="16"/>
      <c r="N85" s="31">
        <f t="shared" ref="N85" si="102">SUM(N80:N84)</f>
        <v>0</v>
      </c>
      <c r="O85" s="38">
        <f t="shared" ref="O85" si="103">SUM(O80:O84)</f>
        <v>0</v>
      </c>
      <c r="P85" s="31">
        <f t="shared" ref="P85" si="104">SUM(P80:P84)</f>
        <v>87</v>
      </c>
      <c r="Q85" s="38">
        <f t="shared" ref="Q85" si="105">SUM(Q80:Q84)</f>
        <v>10.669589999999999</v>
      </c>
      <c r="R85" s="31">
        <f t="shared" ref="R85" si="106">SUM(R80:R84)</f>
        <v>-2</v>
      </c>
      <c r="S85" s="38">
        <f t="shared" ref="S85" si="107">SUM(S80:S84)</f>
        <v>-0.22059000000000006</v>
      </c>
      <c r="U85" s="29"/>
    </row>
    <row r="86" spans="1:21">
      <c r="A86" s="26" t="s">
        <v>13</v>
      </c>
      <c r="B86" s="26" t="s">
        <v>49</v>
      </c>
      <c r="C86" s="26">
        <v>14.7</v>
      </c>
      <c r="D86" s="27">
        <v>6.6</v>
      </c>
      <c r="E86" s="28">
        <v>41</v>
      </c>
      <c r="F86" s="16">
        <f t="shared" ref="F86:F103" si="108">(C86*D86*E86/1000)</f>
        <v>3.9778199999999999</v>
      </c>
      <c r="G86" s="16" t="s">
        <v>88</v>
      </c>
      <c r="H86" s="18">
        <v>22</v>
      </c>
      <c r="I86" s="19">
        <f t="shared" ref="I86:I103" si="109">(C86*D86*H86/1000)</f>
        <v>2.1344400000000001</v>
      </c>
      <c r="J86" s="16" t="s">
        <v>107</v>
      </c>
      <c r="K86" s="18"/>
      <c r="L86" s="19">
        <f t="shared" ref="L86:L103" si="110">(C86*D86*K86/1000)</f>
        <v>0</v>
      </c>
      <c r="M86" s="16" t="s">
        <v>93</v>
      </c>
      <c r="N86" s="18">
        <v>20</v>
      </c>
      <c r="O86" s="19">
        <f t="shared" ref="O86:O103" si="111">(C86*D86*N86/1000)</f>
        <v>1.9403999999999999</v>
      </c>
      <c r="P86" s="20">
        <f t="shared" ref="P86:P103" si="112">+H86+K86+N86</f>
        <v>42</v>
      </c>
      <c r="Q86" s="19">
        <f t="shared" ref="Q86:Q103" si="113">+I86+L86+O86</f>
        <v>4.07484</v>
      </c>
      <c r="R86" s="21">
        <f t="shared" ref="R86:R103" si="114">E86-P86</f>
        <v>-1</v>
      </c>
      <c r="S86" s="19">
        <f t="shared" ref="S86:S103" si="115">F86-Q86</f>
        <v>-9.7020000000000106E-2</v>
      </c>
      <c r="U86" s="29"/>
    </row>
    <row r="87" spans="1:21">
      <c r="A87" s="26" t="s">
        <v>13</v>
      </c>
      <c r="B87" s="26" t="s">
        <v>49</v>
      </c>
      <c r="C87" s="26">
        <v>14.7</v>
      </c>
      <c r="D87" s="27">
        <v>7.1</v>
      </c>
      <c r="E87" s="28">
        <v>8</v>
      </c>
      <c r="F87" s="16">
        <f t="shared" si="108"/>
        <v>0.83495999999999992</v>
      </c>
      <c r="G87" s="16" t="s">
        <v>110</v>
      </c>
      <c r="H87" s="18">
        <v>6</v>
      </c>
      <c r="I87" s="19">
        <f t="shared" si="109"/>
        <v>0.62621999999999989</v>
      </c>
      <c r="J87" s="16" t="s">
        <v>131</v>
      </c>
      <c r="K87" s="18"/>
      <c r="L87" s="19">
        <f t="shared" si="110"/>
        <v>0</v>
      </c>
      <c r="M87" s="16" t="s">
        <v>132</v>
      </c>
      <c r="N87" s="18">
        <v>1</v>
      </c>
      <c r="O87" s="19">
        <f t="shared" si="111"/>
        <v>0.10436999999999999</v>
      </c>
      <c r="P87" s="20">
        <f t="shared" si="112"/>
        <v>7</v>
      </c>
      <c r="Q87" s="19">
        <f t="shared" si="113"/>
        <v>0.73058999999999985</v>
      </c>
      <c r="R87" s="21">
        <f t="shared" si="114"/>
        <v>1</v>
      </c>
      <c r="S87" s="19">
        <f t="shared" si="115"/>
        <v>0.10437000000000007</v>
      </c>
      <c r="U87" s="29"/>
    </row>
    <row r="88" spans="1:21">
      <c r="A88" s="26" t="s">
        <v>13</v>
      </c>
      <c r="B88" s="26" t="s">
        <v>49</v>
      </c>
      <c r="C88" s="26">
        <v>14.7</v>
      </c>
      <c r="D88" s="27">
        <v>8.4</v>
      </c>
      <c r="E88" s="28">
        <v>18</v>
      </c>
      <c r="F88" s="16">
        <f t="shared" si="108"/>
        <v>2.2226399999999997</v>
      </c>
      <c r="G88" s="16" t="s">
        <v>88</v>
      </c>
      <c r="H88" s="18">
        <v>14</v>
      </c>
      <c r="I88" s="19">
        <f t="shared" si="109"/>
        <v>1.72872</v>
      </c>
      <c r="J88" s="16"/>
      <c r="K88" s="18"/>
      <c r="L88" s="19">
        <f t="shared" si="110"/>
        <v>0</v>
      </c>
      <c r="M88" s="16"/>
      <c r="N88" s="18">
        <v>7</v>
      </c>
      <c r="O88" s="19">
        <f t="shared" si="111"/>
        <v>0.86436000000000002</v>
      </c>
      <c r="P88" s="20">
        <f t="shared" si="112"/>
        <v>21</v>
      </c>
      <c r="Q88" s="19">
        <f t="shared" si="113"/>
        <v>2.5930800000000001</v>
      </c>
      <c r="R88" s="21">
        <f t="shared" si="114"/>
        <v>-3</v>
      </c>
      <c r="S88" s="19">
        <f t="shared" si="115"/>
        <v>-0.37044000000000032</v>
      </c>
      <c r="U88" s="29"/>
    </row>
    <row r="89" spans="1:21">
      <c r="A89" s="26" t="s">
        <v>13</v>
      </c>
      <c r="B89" s="26" t="s">
        <v>49</v>
      </c>
      <c r="C89" s="26">
        <v>14.7</v>
      </c>
      <c r="D89" s="27">
        <v>9.1</v>
      </c>
      <c r="E89" s="28">
        <v>162</v>
      </c>
      <c r="F89" s="16">
        <f t="shared" si="108"/>
        <v>21.670739999999999</v>
      </c>
      <c r="G89" s="16" t="s">
        <v>112</v>
      </c>
      <c r="H89" s="18">
        <v>43</v>
      </c>
      <c r="I89" s="19">
        <f t="shared" si="109"/>
        <v>5.7521099999999992</v>
      </c>
      <c r="J89" s="16"/>
      <c r="K89" s="18">
        <v>20</v>
      </c>
      <c r="L89" s="19">
        <f t="shared" si="110"/>
        <v>2.6753999999999998</v>
      </c>
      <c r="M89" s="16"/>
      <c r="N89" s="18">
        <f>64+24</f>
        <v>88</v>
      </c>
      <c r="O89" s="19">
        <f t="shared" si="111"/>
        <v>11.771759999999999</v>
      </c>
      <c r="P89" s="20">
        <f t="shared" si="112"/>
        <v>151</v>
      </c>
      <c r="Q89" s="19">
        <f t="shared" si="113"/>
        <v>20.199269999999999</v>
      </c>
      <c r="R89" s="21">
        <f t="shared" si="114"/>
        <v>11</v>
      </c>
      <c r="S89" s="19">
        <f t="shared" si="115"/>
        <v>1.4714700000000001</v>
      </c>
      <c r="U89" s="29"/>
    </row>
    <row r="90" spans="1:21">
      <c r="A90" s="26" t="s">
        <v>13</v>
      </c>
      <c r="B90" s="26" t="s">
        <v>49</v>
      </c>
      <c r="C90" s="26">
        <v>14.7</v>
      </c>
      <c r="D90" s="27">
        <v>10.8</v>
      </c>
      <c r="E90" s="28">
        <v>3</v>
      </c>
      <c r="F90" s="16">
        <f t="shared" si="108"/>
        <v>0.47627999999999998</v>
      </c>
      <c r="G90" s="16" t="s">
        <v>88</v>
      </c>
      <c r="H90" s="18">
        <v>0</v>
      </c>
      <c r="I90" s="19">
        <f t="shared" si="109"/>
        <v>0</v>
      </c>
      <c r="J90" s="16"/>
      <c r="K90" s="18">
        <v>12</v>
      </c>
      <c r="L90" s="19">
        <f t="shared" si="110"/>
        <v>1.9051199999999999</v>
      </c>
      <c r="M90" s="16"/>
      <c r="N90" s="18"/>
      <c r="O90" s="19">
        <f t="shared" si="111"/>
        <v>0</v>
      </c>
      <c r="P90" s="20">
        <f t="shared" si="112"/>
        <v>12</v>
      </c>
      <c r="Q90" s="19">
        <f t="shared" si="113"/>
        <v>1.9051199999999999</v>
      </c>
      <c r="R90" s="21">
        <f t="shared" si="114"/>
        <v>-9</v>
      </c>
      <c r="S90" s="19">
        <f t="shared" si="115"/>
        <v>-1.4288399999999999</v>
      </c>
      <c r="U90" s="29"/>
    </row>
    <row r="91" spans="1:21">
      <c r="A91" s="26" t="s">
        <v>13</v>
      </c>
      <c r="B91" s="26" t="s">
        <v>49</v>
      </c>
      <c r="C91" s="26">
        <v>14.7</v>
      </c>
      <c r="D91" s="27">
        <v>11.5</v>
      </c>
      <c r="E91" s="28">
        <v>163</v>
      </c>
      <c r="F91" s="16">
        <f t="shared" si="108"/>
        <v>27.555149999999998</v>
      </c>
      <c r="G91" s="16" t="s">
        <v>116</v>
      </c>
      <c r="H91" s="18">
        <v>141</v>
      </c>
      <c r="I91" s="19">
        <f t="shared" si="109"/>
        <v>23.83605</v>
      </c>
      <c r="J91" s="16"/>
      <c r="K91" s="18"/>
      <c r="L91" s="19">
        <f t="shared" si="110"/>
        <v>0</v>
      </c>
      <c r="M91" s="16"/>
      <c r="N91" s="18">
        <v>22</v>
      </c>
      <c r="O91" s="19">
        <f t="shared" si="111"/>
        <v>3.7190999999999996</v>
      </c>
      <c r="P91" s="20">
        <f t="shared" si="112"/>
        <v>163</v>
      </c>
      <c r="Q91" s="19">
        <f t="shared" si="113"/>
        <v>27.555150000000001</v>
      </c>
      <c r="R91" s="21">
        <f t="shared" si="114"/>
        <v>0</v>
      </c>
      <c r="S91" s="19">
        <f t="shared" si="115"/>
        <v>0</v>
      </c>
      <c r="U91" s="29"/>
    </row>
    <row r="92" spans="1:21">
      <c r="A92" s="26" t="s">
        <v>13</v>
      </c>
      <c r="B92" s="26" t="s">
        <v>49</v>
      </c>
      <c r="C92" s="26">
        <v>14.7</v>
      </c>
      <c r="D92" s="27">
        <v>12</v>
      </c>
      <c r="E92" s="28">
        <v>18</v>
      </c>
      <c r="F92" s="16">
        <f t="shared" ref="F92:F102" si="116">(C92*D92*E92/1000)</f>
        <v>3.1751999999999998</v>
      </c>
      <c r="G92" s="17"/>
      <c r="H92" s="18"/>
      <c r="I92" s="19">
        <f t="shared" ref="I92:I102" si="117">(C92*D92*H92/1000)</f>
        <v>0</v>
      </c>
      <c r="J92" s="16"/>
      <c r="K92" s="18"/>
      <c r="L92" s="19">
        <f t="shared" ref="L92:L102" si="118">(C92*D92*K92/1000)</f>
        <v>0</v>
      </c>
      <c r="M92" s="16"/>
      <c r="N92" s="18">
        <v>18</v>
      </c>
      <c r="O92" s="19">
        <f t="shared" ref="O92:O102" si="119">(C92*D92*N92/1000)</f>
        <v>3.1751999999999998</v>
      </c>
      <c r="P92" s="20">
        <f t="shared" ref="P92:P102" si="120">+H92+K92+N92</f>
        <v>18</v>
      </c>
      <c r="Q92" s="19">
        <f t="shared" ref="Q92:Q102" si="121">+I92+L92+O92</f>
        <v>3.1751999999999998</v>
      </c>
      <c r="R92" s="21">
        <f t="shared" ref="R92:R102" si="122">E92-P92</f>
        <v>0</v>
      </c>
      <c r="S92" s="19">
        <f t="shared" ref="S92:S102" si="123">F92-Q92</f>
        <v>0</v>
      </c>
      <c r="U92" s="29"/>
    </row>
    <row r="93" spans="1:21">
      <c r="A93" s="26" t="s">
        <v>13</v>
      </c>
      <c r="B93" s="26" t="s">
        <v>49</v>
      </c>
      <c r="C93" s="26">
        <v>14.7</v>
      </c>
      <c r="D93" s="27"/>
      <c r="E93" s="28"/>
      <c r="F93" s="16">
        <f t="shared" si="116"/>
        <v>0</v>
      </c>
      <c r="G93" s="17"/>
      <c r="H93" s="18"/>
      <c r="I93" s="19">
        <f t="shared" si="117"/>
        <v>0</v>
      </c>
      <c r="J93" s="16"/>
      <c r="K93" s="18"/>
      <c r="L93" s="19">
        <f t="shared" si="118"/>
        <v>0</v>
      </c>
      <c r="M93" s="16"/>
      <c r="N93" s="18"/>
      <c r="O93" s="19">
        <f t="shared" si="119"/>
        <v>0</v>
      </c>
      <c r="P93" s="20">
        <f t="shared" si="120"/>
        <v>0</v>
      </c>
      <c r="Q93" s="19">
        <f t="shared" si="121"/>
        <v>0</v>
      </c>
      <c r="R93" s="21">
        <f t="shared" si="122"/>
        <v>0</v>
      </c>
      <c r="S93" s="19">
        <f t="shared" si="123"/>
        <v>0</v>
      </c>
      <c r="U93" s="29"/>
    </row>
    <row r="94" spans="1:21">
      <c r="A94" s="26" t="s">
        <v>13</v>
      </c>
      <c r="B94" s="26" t="s">
        <v>49</v>
      </c>
      <c r="C94" s="26">
        <v>14.7</v>
      </c>
      <c r="D94" s="27"/>
      <c r="E94" s="28"/>
      <c r="F94" s="16">
        <f t="shared" si="116"/>
        <v>0</v>
      </c>
      <c r="G94" s="17"/>
      <c r="H94" s="18"/>
      <c r="I94" s="19">
        <f t="shared" si="117"/>
        <v>0</v>
      </c>
      <c r="J94" s="16"/>
      <c r="K94" s="18"/>
      <c r="L94" s="19">
        <f t="shared" si="118"/>
        <v>0</v>
      </c>
      <c r="M94" s="16"/>
      <c r="N94" s="18"/>
      <c r="O94" s="19">
        <f t="shared" si="119"/>
        <v>0</v>
      </c>
      <c r="P94" s="20">
        <f t="shared" si="120"/>
        <v>0</v>
      </c>
      <c r="Q94" s="19">
        <f t="shared" si="121"/>
        <v>0</v>
      </c>
      <c r="R94" s="21">
        <f t="shared" si="122"/>
        <v>0</v>
      </c>
      <c r="S94" s="19">
        <f t="shared" si="123"/>
        <v>0</v>
      </c>
      <c r="U94" s="29"/>
    </row>
    <row r="95" spans="1:21">
      <c r="A95" s="26" t="s">
        <v>13</v>
      </c>
      <c r="B95" s="26" t="s">
        <v>49</v>
      </c>
      <c r="C95" s="26">
        <v>14.7</v>
      </c>
      <c r="D95" s="27"/>
      <c r="E95" s="28"/>
      <c r="F95" s="16">
        <f t="shared" si="116"/>
        <v>0</v>
      </c>
      <c r="G95" s="17"/>
      <c r="H95" s="18"/>
      <c r="I95" s="19">
        <f t="shared" si="117"/>
        <v>0</v>
      </c>
      <c r="J95" s="16"/>
      <c r="K95" s="18"/>
      <c r="L95" s="19">
        <f t="shared" si="118"/>
        <v>0</v>
      </c>
      <c r="M95" s="16"/>
      <c r="N95" s="18"/>
      <c r="O95" s="19">
        <f t="shared" si="119"/>
        <v>0</v>
      </c>
      <c r="P95" s="20">
        <f t="shared" si="120"/>
        <v>0</v>
      </c>
      <c r="Q95" s="19">
        <f t="shared" si="121"/>
        <v>0</v>
      </c>
      <c r="R95" s="21">
        <f t="shared" si="122"/>
        <v>0</v>
      </c>
      <c r="S95" s="19">
        <f t="shared" si="123"/>
        <v>0</v>
      </c>
      <c r="U95" s="29"/>
    </row>
    <row r="96" spans="1:21">
      <c r="A96" s="26" t="s">
        <v>13</v>
      </c>
      <c r="B96" s="26" t="s">
        <v>49</v>
      </c>
      <c r="C96" s="26">
        <v>14.7</v>
      </c>
      <c r="D96" s="27"/>
      <c r="E96" s="28"/>
      <c r="F96" s="16">
        <f t="shared" si="116"/>
        <v>0</v>
      </c>
      <c r="G96" s="17"/>
      <c r="H96" s="18"/>
      <c r="I96" s="19">
        <f t="shared" si="117"/>
        <v>0</v>
      </c>
      <c r="J96" s="16"/>
      <c r="K96" s="18"/>
      <c r="L96" s="19">
        <f t="shared" si="118"/>
        <v>0</v>
      </c>
      <c r="M96" s="16"/>
      <c r="N96" s="18"/>
      <c r="O96" s="19">
        <f t="shared" si="119"/>
        <v>0</v>
      </c>
      <c r="P96" s="20">
        <f t="shared" si="120"/>
        <v>0</v>
      </c>
      <c r="Q96" s="19">
        <f t="shared" si="121"/>
        <v>0</v>
      </c>
      <c r="R96" s="21">
        <f t="shared" si="122"/>
        <v>0</v>
      </c>
      <c r="S96" s="19">
        <f t="shared" si="123"/>
        <v>0</v>
      </c>
      <c r="U96" s="29"/>
    </row>
    <row r="97" spans="1:21">
      <c r="A97" s="26" t="s">
        <v>13</v>
      </c>
      <c r="B97" s="26" t="s">
        <v>49</v>
      </c>
      <c r="C97" s="26">
        <v>14.7</v>
      </c>
      <c r="D97" s="27"/>
      <c r="E97" s="28"/>
      <c r="F97" s="16">
        <f t="shared" si="116"/>
        <v>0</v>
      </c>
      <c r="G97" s="17"/>
      <c r="H97" s="18"/>
      <c r="I97" s="19">
        <f t="shared" si="117"/>
        <v>0</v>
      </c>
      <c r="J97" s="16"/>
      <c r="K97" s="18"/>
      <c r="L97" s="19">
        <f t="shared" si="118"/>
        <v>0</v>
      </c>
      <c r="M97" s="16"/>
      <c r="N97" s="18"/>
      <c r="O97" s="19">
        <f t="shared" si="119"/>
        <v>0</v>
      </c>
      <c r="P97" s="20">
        <f t="shared" si="120"/>
        <v>0</v>
      </c>
      <c r="Q97" s="19">
        <f t="shared" si="121"/>
        <v>0</v>
      </c>
      <c r="R97" s="21">
        <f t="shared" si="122"/>
        <v>0</v>
      </c>
      <c r="S97" s="19">
        <f t="shared" si="123"/>
        <v>0</v>
      </c>
      <c r="U97" s="29"/>
    </row>
    <row r="98" spans="1:21">
      <c r="A98" s="26" t="s">
        <v>13</v>
      </c>
      <c r="B98" s="26" t="s">
        <v>49</v>
      </c>
      <c r="C98" s="26">
        <v>14.7</v>
      </c>
      <c r="D98" s="27"/>
      <c r="E98" s="28"/>
      <c r="F98" s="16">
        <f t="shared" si="116"/>
        <v>0</v>
      </c>
      <c r="G98" s="17"/>
      <c r="H98" s="18"/>
      <c r="I98" s="19">
        <f t="shared" si="117"/>
        <v>0</v>
      </c>
      <c r="J98" s="16"/>
      <c r="K98" s="18"/>
      <c r="L98" s="19">
        <f t="shared" si="118"/>
        <v>0</v>
      </c>
      <c r="M98" s="16"/>
      <c r="N98" s="18"/>
      <c r="O98" s="19">
        <f t="shared" si="119"/>
        <v>0</v>
      </c>
      <c r="P98" s="20">
        <f t="shared" si="120"/>
        <v>0</v>
      </c>
      <c r="Q98" s="19">
        <f t="shared" si="121"/>
        <v>0</v>
      </c>
      <c r="R98" s="21">
        <f t="shared" si="122"/>
        <v>0</v>
      </c>
      <c r="S98" s="19">
        <f t="shared" si="123"/>
        <v>0</v>
      </c>
      <c r="U98" s="29"/>
    </row>
    <row r="99" spans="1:21">
      <c r="A99" s="26" t="s">
        <v>13</v>
      </c>
      <c r="B99" s="26" t="s">
        <v>49</v>
      </c>
      <c r="C99" s="26">
        <v>14.7</v>
      </c>
      <c r="D99" s="27"/>
      <c r="E99" s="28"/>
      <c r="F99" s="16">
        <f t="shared" si="116"/>
        <v>0</v>
      </c>
      <c r="G99" s="17"/>
      <c r="H99" s="18"/>
      <c r="I99" s="19">
        <f t="shared" si="117"/>
        <v>0</v>
      </c>
      <c r="J99" s="16"/>
      <c r="K99" s="18"/>
      <c r="L99" s="19">
        <f t="shared" si="118"/>
        <v>0</v>
      </c>
      <c r="M99" s="16"/>
      <c r="N99" s="18"/>
      <c r="O99" s="19">
        <f t="shared" si="119"/>
        <v>0</v>
      </c>
      <c r="P99" s="20">
        <f t="shared" si="120"/>
        <v>0</v>
      </c>
      <c r="Q99" s="19">
        <f t="shared" si="121"/>
        <v>0</v>
      </c>
      <c r="R99" s="21">
        <f t="shared" si="122"/>
        <v>0</v>
      </c>
      <c r="S99" s="19">
        <f t="shared" si="123"/>
        <v>0</v>
      </c>
      <c r="U99" s="29"/>
    </row>
    <row r="100" spans="1:21">
      <c r="A100" s="26" t="s">
        <v>13</v>
      </c>
      <c r="B100" s="26" t="s">
        <v>49</v>
      </c>
      <c r="C100" s="26">
        <v>14.7</v>
      </c>
      <c r="D100" s="27"/>
      <c r="E100" s="28"/>
      <c r="F100" s="16">
        <f t="shared" si="116"/>
        <v>0</v>
      </c>
      <c r="G100" s="17"/>
      <c r="H100" s="18"/>
      <c r="I100" s="19">
        <f t="shared" si="117"/>
        <v>0</v>
      </c>
      <c r="J100" s="16"/>
      <c r="K100" s="18"/>
      <c r="L100" s="19">
        <f t="shared" si="118"/>
        <v>0</v>
      </c>
      <c r="M100" s="16"/>
      <c r="N100" s="18"/>
      <c r="O100" s="19">
        <f t="shared" si="119"/>
        <v>0</v>
      </c>
      <c r="P100" s="20">
        <f t="shared" si="120"/>
        <v>0</v>
      </c>
      <c r="Q100" s="19">
        <f t="shared" si="121"/>
        <v>0</v>
      </c>
      <c r="R100" s="21">
        <f t="shared" si="122"/>
        <v>0</v>
      </c>
      <c r="S100" s="19">
        <f t="shared" si="123"/>
        <v>0</v>
      </c>
      <c r="U100" s="29"/>
    </row>
    <row r="101" spans="1:21">
      <c r="A101" s="26" t="s">
        <v>13</v>
      </c>
      <c r="B101" s="26" t="s">
        <v>49</v>
      </c>
      <c r="C101" s="26">
        <v>14.7</v>
      </c>
      <c r="D101" s="27"/>
      <c r="E101" s="28"/>
      <c r="F101" s="16">
        <f t="shared" si="116"/>
        <v>0</v>
      </c>
      <c r="G101" s="17"/>
      <c r="H101" s="18"/>
      <c r="I101" s="19">
        <f t="shared" si="117"/>
        <v>0</v>
      </c>
      <c r="J101" s="16"/>
      <c r="K101" s="18"/>
      <c r="L101" s="19">
        <f t="shared" si="118"/>
        <v>0</v>
      </c>
      <c r="M101" s="16"/>
      <c r="N101" s="18"/>
      <c r="O101" s="19">
        <f t="shared" si="119"/>
        <v>0</v>
      </c>
      <c r="P101" s="20">
        <f t="shared" si="120"/>
        <v>0</v>
      </c>
      <c r="Q101" s="19">
        <f t="shared" si="121"/>
        <v>0</v>
      </c>
      <c r="R101" s="21">
        <f t="shared" si="122"/>
        <v>0</v>
      </c>
      <c r="S101" s="19">
        <f t="shared" si="123"/>
        <v>0</v>
      </c>
      <c r="U101" s="29"/>
    </row>
    <row r="102" spans="1:21">
      <c r="A102" s="26" t="s">
        <v>13</v>
      </c>
      <c r="B102" s="26" t="s">
        <v>49</v>
      </c>
      <c r="C102" s="26">
        <v>14.7</v>
      </c>
      <c r="D102" s="27"/>
      <c r="E102" s="28"/>
      <c r="F102" s="16">
        <f t="shared" si="116"/>
        <v>0</v>
      </c>
      <c r="G102" s="17"/>
      <c r="H102" s="18"/>
      <c r="I102" s="19">
        <f t="shared" si="117"/>
        <v>0</v>
      </c>
      <c r="J102" s="16"/>
      <c r="K102" s="18"/>
      <c r="L102" s="19">
        <f t="shared" si="118"/>
        <v>0</v>
      </c>
      <c r="M102" s="16"/>
      <c r="N102" s="18"/>
      <c r="O102" s="19">
        <f t="shared" si="119"/>
        <v>0</v>
      </c>
      <c r="P102" s="20">
        <f t="shared" si="120"/>
        <v>0</v>
      </c>
      <c r="Q102" s="19">
        <f t="shared" si="121"/>
        <v>0</v>
      </c>
      <c r="R102" s="21">
        <f t="shared" si="122"/>
        <v>0</v>
      </c>
      <c r="S102" s="19">
        <f t="shared" si="123"/>
        <v>0</v>
      </c>
      <c r="U102" s="29"/>
    </row>
    <row r="103" spans="1:21">
      <c r="A103" s="26" t="s">
        <v>13</v>
      </c>
      <c r="B103" s="26" t="s">
        <v>49</v>
      </c>
      <c r="C103" s="26">
        <v>14.7</v>
      </c>
      <c r="D103" s="27"/>
      <c r="E103" s="28"/>
      <c r="F103" s="16">
        <f t="shared" si="108"/>
        <v>0</v>
      </c>
      <c r="G103" s="17"/>
      <c r="H103" s="18"/>
      <c r="I103" s="19">
        <f t="shared" si="109"/>
        <v>0</v>
      </c>
      <c r="J103" s="16"/>
      <c r="K103" s="18"/>
      <c r="L103" s="19">
        <f t="shared" si="110"/>
        <v>0</v>
      </c>
      <c r="M103" s="16"/>
      <c r="N103" s="18"/>
      <c r="O103" s="19">
        <f t="shared" si="111"/>
        <v>0</v>
      </c>
      <c r="P103" s="20">
        <f t="shared" si="112"/>
        <v>0</v>
      </c>
      <c r="Q103" s="19">
        <f t="shared" si="113"/>
        <v>0</v>
      </c>
      <c r="R103" s="21">
        <f t="shared" si="114"/>
        <v>0</v>
      </c>
      <c r="S103" s="19">
        <f t="shared" si="115"/>
        <v>0</v>
      </c>
      <c r="U103" s="29"/>
    </row>
    <row r="104" spans="1:21">
      <c r="A104" s="26"/>
      <c r="B104" s="26"/>
      <c r="C104" s="26"/>
      <c r="D104" s="27"/>
      <c r="E104" s="31">
        <f t="shared" ref="E104:F104" si="124">SUM(E86:E103)</f>
        <v>413</v>
      </c>
      <c r="F104" s="38">
        <f t="shared" si="124"/>
        <v>59.912789999999994</v>
      </c>
      <c r="G104" s="17"/>
      <c r="H104" s="31">
        <f>SUM(H86:H103)</f>
        <v>226</v>
      </c>
      <c r="I104" s="38">
        <f t="shared" ref="I104" si="125">SUM(I86:I103)</f>
        <v>34.077539999999999</v>
      </c>
      <c r="J104" s="16"/>
      <c r="K104" s="31">
        <f>SUM(K86:K103)</f>
        <v>32</v>
      </c>
      <c r="L104" s="38">
        <f t="shared" ref="L104" si="126">SUM(L86:L103)</f>
        <v>4.5805199999999999</v>
      </c>
      <c r="M104" s="16"/>
      <c r="N104" s="31">
        <f t="shared" ref="N104" si="127">SUM(N86:N103)</f>
        <v>156</v>
      </c>
      <c r="O104" s="38">
        <f t="shared" ref="O104" si="128">SUM(O86:O103)</f>
        <v>21.575189999999999</v>
      </c>
      <c r="P104" s="31">
        <f t="shared" ref="P104" si="129">SUM(P86:P103)</f>
        <v>414</v>
      </c>
      <c r="Q104" s="38">
        <f t="shared" ref="Q104" si="130">SUM(Q86:Q103)</f>
        <v>60.233249999999998</v>
      </c>
      <c r="R104" s="31">
        <f t="shared" ref="R104" si="131">SUM(R86:R103)</f>
        <v>-1</v>
      </c>
      <c r="S104" s="38">
        <f t="shared" ref="S104" si="132">SUM(S86:S103)</f>
        <v>-0.32046000000000019</v>
      </c>
      <c r="U104" s="29"/>
    </row>
    <row r="105" spans="1:21">
      <c r="A105" s="26" t="s">
        <v>13</v>
      </c>
      <c r="B105" s="26" t="s">
        <v>50</v>
      </c>
      <c r="C105" s="26">
        <v>16.5</v>
      </c>
      <c r="D105" s="27">
        <v>6.5</v>
      </c>
      <c r="E105" s="28">
        <v>38</v>
      </c>
      <c r="F105" s="16">
        <f t="shared" ref="F105:F134" si="133">(C105*D105*E105/1000)</f>
        <v>4.0754999999999999</v>
      </c>
      <c r="G105" s="16" t="s">
        <v>88</v>
      </c>
      <c r="H105" s="18">
        <v>36</v>
      </c>
      <c r="I105" s="19">
        <f t="shared" ref="I105:I134" si="134">(C105*D105*H105/1000)</f>
        <v>3.8610000000000002</v>
      </c>
      <c r="J105" s="16" t="s">
        <v>88</v>
      </c>
      <c r="K105" s="43">
        <v>1</v>
      </c>
      <c r="L105" s="19">
        <f t="shared" ref="L105:L134" si="135">(C105*D105*K105/1000)</f>
        <v>0.10725</v>
      </c>
      <c r="M105" s="16" t="s">
        <v>93</v>
      </c>
      <c r="N105" s="18"/>
      <c r="O105" s="19">
        <f t="shared" ref="O105:O134" si="136">(C105*D105*N105/1000)</f>
        <v>0</v>
      </c>
      <c r="P105" s="20">
        <f t="shared" ref="P105:P134" si="137">+H105+K105+N105</f>
        <v>37</v>
      </c>
      <c r="Q105" s="19">
        <f t="shared" ref="Q105:Q134" si="138">+I105+L105+O105</f>
        <v>3.9682500000000003</v>
      </c>
      <c r="R105" s="21">
        <f t="shared" ref="R105:R134" si="139">E105-P105</f>
        <v>1</v>
      </c>
      <c r="S105" s="19">
        <f t="shared" ref="S105:S134" si="140">F105-Q105</f>
        <v>0.10724999999999962</v>
      </c>
      <c r="U105" s="29"/>
    </row>
    <row r="106" spans="1:21">
      <c r="A106" s="26" t="s">
        <v>13</v>
      </c>
      <c r="B106" s="26" t="s">
        <v>50</v>
      </c>
      <c r="C106" s="26">
        <v>16.5</v>
      </c>
      <c r="D106" s="27">
        <v>6.7</v>
      </c>
      <c r="E106" s="28">
        <v>16</v>
      </c>
      <c r="F106" s="16">
        <f t="shared" si="133"/>
        <v>1.7687999999999999</v>
      </c>
      <c r="G106" s="16" t="s">
        <v>112</v>
      </c>
      <c r="H106" s="18">
        <v>25</v>
      </c>
      <c r="I106" s="19">
        <f t="shared" si="134"/>
        <v>2.7637499999999999</v>
      </c>
      <c r="J106" s="16" t="s">
        <v>116</v>
      </c>
      <c r="K106" s="43">
        <v>1</v>
      </c>
      <c r="L106" s="19">
        <f t="shared" si="135"/>
        <v>0.11055</v>
      </c>
      <c r="M106" s="16" t="s">
        <v>130</v>
      </c>
      <c r="N106" s="18"/>
      <c r="O106" s="19">
        <f t="shared" si="136"/>
        <v>0</v>
      </c>
      <c r="P106" s="20">
        <f t="shared" si="137"/>
        <v>26</v>
      </c>
      <c r="Q106" s="19">
        <f t="shared" si="138"/>
        <v>2.8742999999999999</v>
      </c>
      <c r="R106" s="21">
        <f t="shared" si="139"/>
        <v>-10</v>
      </c>
      <c r="S106" s="19">
        <f t="shared" si="140"/>
        <v>-1.1054999999999999</v>
      </c>
      <c r="U106" s="29"/>
    </row>
    <row r="107" spans="1:21">
      <c r="A107" s="26" t="s">
        <v>13</v>
      </c>
      <c r="B107" s="26" t="s">
        <v>50</v>
      </c>
      <c r="C107" s="26">
        <v>16.5</v>
      </c>
      <c r="D107" s="27">
        <v>6.9</v>
      </c>
      <c r="E107" s="28">
        <v>69</v>
      </c>
      <c r="F107" s="16">
        <f t="shared" si="133"/>
        <v>7.8556500000000007</v>
      </c>
      <c r="G107" s="16" t="s">
        <v>114</v>
      </c>
      <c r="H107" s="18">
        <v>62</v>
      </c>
      <c r="I107" s="19">
        <f t="shared" si="134"/>
        <v>7.0587000000000009</v>
      </c>
      <c r="J107" s="16"/>
      <c r="K107" s="43">
        <v>2</v>
      </c>
      <c r="L107" s="19">
        <f t="shared" si="135"/>
        <v>0.22770000000000001</v>
      </c>
      <c r="M107" s="16"/>
      <c r="N107" s="18"/>
      <c r="O107" s="19">
        <f t="shared" si="136"/>
        <v>0</v>
      </c>
      <c r="P107" s="20">
        <f t="shared" si="137"/>
        <v>64</v>
      </c>
      <c r="Q107" s="19">
        <f t="shared" si="138"/>
        <v>7.2864000000000004</v>
      </c>
      <c r="R107" s="21">
        <f t="shared" si="139"/>
        <v>5</v>
      </c>
      <c r="S107" s="19">
        <f t="shared" si="140"/>
        <v>0.56925000000000026</v>
      </c>
      <c r="U107" s="29"/>
    </row>
    <row r="108" spans="1:21">
      <c r="A108" s="26" t="s">
        <v>13</v>
      </c>
      <c r="B108" s="26" t="s">
        <v>50</v>
      </c>
      <c r="C108" s="26">
        <v>16.5</v>
      </c>
      <c r="D108" s="27">
        <v>7.2</v>
      </c>
      <c r="E108" s="28">
        <v>37</v>
      </c>
      <c r="F108" s="16">
        <f t="shared" si="133"/>
        <v>4.3955999999999991</v>
      </c>
      <c r="G108" s="16" t="s">
        <v>113</v>
      </c>
      <c r="H108" s="18">
        <v>31</v>
      </c>
      <c r="I108" s="19">
        <f t="shared" si="134"/>
        <v>3.6827999999999999</v>
      </c>
      <c r="J108" s="16"/>
      <c r="K108" s="43">
        <v>1</v>
      </c>
      <c r="L108" s="19">
        <f t="shared" si="135"/>
        <v>0.1188</v>
      </c>
      <c r="M108" s="16"/>
      <c r="N108" s="18"/>
      <c r="O108" s="19">
        <f t="shared" si="136"/>
        <v>0</v>
      </c>
      <c r="P108" s="20">
        <f t="shared" si="137"/>
        <v>32</v>
      </c>
      <c r="Q108" s="19">
        <f t="shared" si="138"/>
        <v>3.8015999999999996</v>
      </c>
      <c r="R108" s="21">
        <f t="shared" si="139"/>
        <v>5</v>
      </c>
      <c r="S108" s="19">
        <f t="shared" si="140"/>
        <v>0.59399999999999942</v>
      </c>
      <c r="U108" s="29"/>
    </row>
    <row r="109" spans="1:21">
      <c r="A109" s="26" t="s">
        <v>13</v>
      </c>
      <c r="B109" s="26" t="s">
        <v>50</v>
      </c>
      <c r="C109" s="26">
        <v>16.5</v>
      </c>
      <c r="D109" s="27">
        <v>8</v>
      </c>
      <c r="E109" s="28">
        <v>43</v>
      </c>
      <c r="F109" s="16">
        <f t="shared" si="133"/>
        <v>5.6760000000000002</v>
      </c>
      <c r="G109" s="16" t="s">
        <v>93</v>
      </c>
      <c r="H109" s="18">
        <v>28</v>
      </c>
      <c r="I109" s="19">
        <f t="shared" si="134"/>
        <v>3.6960000000000002</v>
      </c>
      <c r="J109" s="16"/>
      <c r="K109" s="43">
        <v>8</v>
      </c>
      <c r="L109" s="19">
        <f t="shared" si="135"/>
        <v>1.056</v>
      </c>
      <c r="M109" s="16"/>
      <c r="N109" s="18"/>
      <c r="O109" s="19">
        <f t="shared" si="136"/>
        <v>0</v>
      </c>
      <c r="P109" s="20">
        <f t="shared" si="137"/>
        <v>36</v>
      </c>
      <c r="Q109" s="19">
        <f t="shared" si="138"/>
        <v>4.7520000000000007</v>
      </c>
      <c r="R109" s="42">
        <f t="shared" si="139"/>
        <v>7</v>
      </c>
      <c r="S109" s="19">
        <f t="shared" si="140"/>
        <v>0.92399999999999949</v>
      </c>
      <c r="U109" s="29"/>
    </row>
    <row r="110" spans="1:21">
      <c r="A110" s="26" t="s">
        <v>13</v>
      </c>
      <c r="B110" s="26" t="s">
        <v>50</v>
      </c>
      <c r="C110" s="26">
        <v>16.5</v>
      </c>
      <c r="D110" s="27">
        <v>9.8000000000000007</v>
      </c>
      <c r="E110" s="28">
        <v>148</v>
      </c>
      <c r="F110" s="16">
        <f t="shared" si="133"/>
        <v>23.931600000000003</v>
      </c>
      <c r="G110" s="16" t="s">
        <v>115</v>
      </c>
      <c r="H110" s="18">
        <v>114</v>
      </c>
      <c r="I110" s="19">
        <f t="shared" si="134"/>
        <v>18.433800000000002</v>
      </c>
      <c r="J110" s="16"/>
      <c r="K110" s="43"/>
      <c r="L110" s="19">
        <f t="shared" si="135"/>
        <v>0</v>
      </c>
      <c r="M110" s="16"/>
      <c r="N110" s="18">
        <v>17</v>
      </c>
      <c r="O110" s="19">
        <f t="shared" si="136"/>
        <v>2.7488999999999999</v>
      </c>
      <c r="P110" s="20">
        <f t="shared" si="137"/>
        <v>131</v>
      </c>
      <c r="Q110" s="19">
        <f t="shared" si="138"/>
        <v>21.182700000000001</v>
      </c>
      <c r="R110" s="42">
        <f t="shared" si="139"/>
        <v>17</v>
      </c>
      <c r="S110" s="19">
        <f t="shared" si="140"/>
        <v>2.7489000000000026</v>
      </c>
      <c r="U110" s="29"/>
    </row>
    <row r="111" spans="1:21">
      <c r="A111" s="26" t="s">
        <v>13</v>
      </c>
      <c r="B111" s="26" t="s">
        <v>50</v>
      </c>
      <c r="C111" s="26">
        <v>16.5</v>
      </c>
      <c r="D111" s="27">
        <v>11.1</v>
      </c>
      <c r="E111" s="28">
        <v>25</v>
      </c>
      <c r="F111" s="16">
        <f t="shared" ref="F111:F133" si="141">(C111*D111*E111/1000)</f>
        <v>4.5787500000000003</v>
      </c>
      <c r="G111" s="17"/>
      <c r="H111" s="18">
        <v>4</v>
      </c>
      <c r="I111" s="19">
        <f t="shared" ref="I111:I133" si="142">(C111*D111*H111/1000)</f>
        <v>0.73260000000000003</v>
      </c>
      <c r="J111" s="16"/>
      <c r="K111" s="43">
        <v>11</v>
      </c>
      <c r="L111" s="19">
        <f t="shared" ref="L111:L133" si="143">(C111*D111*K111/1000)</f>
        <v>2.0146500000000001</v>
      </c>
      <c r="M111" s="16"/>
      <c r="N111" s="18"/>
      <c r="O111" s="19">
        <f t="shared" ref="O111:O133" si="144">(C111*D111*N111/1000)</f>
        <v>0</v>
      </c>
      <c r="P111" s="20">
        <f t="shared" ref="P111:P133" si="145">+H111+K111+N111</f>
        <v>15</v>
      </c>
      <c r="Q111" s="19">
        <f t="shared" ref="Q111:Q133" si="146">+I111+L111+O111</f>
        <v>2.7472500000000002</v>
      </c>
      <c r="R111" s="42">
        <f t="shared" ref="R111:R133" si="147">E111-P111</f>
        <v>10</v>
      </c>
      <c r="S111" s="19">
        <f t="shared" ref="S111:S133" si="148">F111-Q111</f>
        <v>1.8315000000000001</v>
      </c>
      <c r="U111" s="29"/>
    </row>
    <row r="112" spans="1:21">
      <c r="A112" s="26" t="s">
        <v>13</v>
      </c>
      <c r="B112" s="26" t="s">
        <v>50</v>
      </c>
      <c r="C112" s="26">
        <v>16.5</v>
      </c>
      <c r="D112" s="27">
        <v>6</v>
      </c>
      <c r="E112" s="28"/>
      <c r="F112" s="16">
        <f t="shared" ref="F112:F131" si="149">(C112*D112*E112/1000)</f>
        <v>0</v>
      </c>
      <c r="G112" s="17"/>
      <c r="H112" s="18">
        <v>2</v>
      </c>
      <c r="I112" s="19">
        <f t="shared" ref="I112:I131" si="150">(C112*D112*H112/1000)</f>
        <v>0.19800000000000001</v>
      </c>
      <c r="J112" s="16"/>
      <c r="K112" s="43"/>
      <c r="L112" s="19">
        <f t="shared" ref="L112:L131" si="151">(C112*D112*K112/1000)</f>
        <v>0</v>
      </c>
      <c r="M112" s="16"/>
      <c r="N112" s="18"/>
      <c r="O112" s="19">
        <f t="shared" si="144"/>
        <v>0</v>
      </c>
      <c r="P112" s="20">
        <f t="shared" si="145"/>
        <v>2</v>
      </c>
      <c r="Q112" s="19">
        <f t="shared" si="146"/>
        <v>0.19800000000000001</v>
      </c>
      <c r="R112" s="21">
        <f t="shared" si="147"/>
        <v>-2</v>
      </c>
      <c r="S112" s="19">
        <f t="shared" si="148"/>
        <v>-0.19800000000000001</v>
      </c>
      <c r="U112" s="29"/>
    </row>
    <row r="113" spans="1:21">
      <c r="A113" s="26" t="s">
        <v>13</v>
      </c>
      <c r="B113" s="26" t="s">
        <v>50</v>
      </c>
      <c r="C113" s="26">
        <v>16.5</v>
      </c>
      <c r="D113" s="27">
        <v>6.2</v>
      </c>
      <c r="E113" s="28"/>
      <c r="F113" s="16">
        <f t="shared" si="149"/>
        <v>0</v>
      </c>
      <c r="G113" s="17"/>
      <c r="H113" s="18">
        <v>1</v>
      </c>
      <c r="I113" s="19">
        <f t="shared" si="150"/>
        <v>0.1023</v>
      </c>
      <c r="J113" s="16"/>
      <c r="K113" s="43"/>
      <c r="L113" s="19">
        <f t="shared" si="151"/>
        <v>0</v>
      </c>
      <c r="M113" s="16"/>
      <c r="N113" s="18"/>
      <c r="O113" s="19">
        <f t="shared" si="144"/>
        <v>0</v>
      </c>
      <c r="P113" s="20">
        <f t="shared" si="145"/>
        <v>1</v>
      </c>
      <c r="Q113" s="19">
        <f t="shared" si="146"/>
        <v>0.1023</v>
      </c>
      <c r="R113" s="21">
        <f t="shared" si="147"/>
        <v>-1</v>
      </c>
      <c r="S113" s="19">
        <f t="shared" si="148"/>
        <v>-0.1023</v>
      </c>
      <c r="U113" s="29"/>
    </row>
    <row r="114" spans="1:21">
      <c r="A114" s="26" t="s">
        <v>13</v>
      </c>
      <c r="B114" s="26" t="s">
        <v>50</v>
      </c>
      <c r="C114" s="26">
        <v>16.5</v>
      </c>
      <c r="D114" s="27">
        <v>6.3</v>
      </c>
      <c r="E114" s="28"/>
      <c r="F114" s="16">
        <f t="shared" si="149"/>
        <v>0</v>
      </c>
      <c r="G114" s="17"/>
      <c r="H114" s="18">
        <v>0</v>
      </c>
      <c r="I114" s="19">
        <f t="shared" si="150"/>
        <v>0</v>
      </c>
      <c r="J114" s="16"/>
      <c r="K114" s="43">
        <v>1</v>
      </c>
      <c r="L114" s="19">
        <f t="shared" si="151"/>
        <v>0.10395</v>
      </c>
      <c r="M114" s="16"/>
      <c r="N114" s="18"/>
      <c r="O114" s="19">
        <f t="shared" si="144"/>
        <v>0</v>
      </c>
      <c r="P114" s="20">
        <f t="shared" si="145"/>
        <v>1</v>
      </c>
      <c r="Q114" s="19">
        <f t="shared" si="146"/>
        <v>0.10395</v>
      </c>
      <c r="R114" s="21">
        <f t="shared" si="147"/>
        <v>-1</v>
      </c>
      <c r="S114" s="19">
        <f t="shared" si="148"/>
        <v>-0.10395</v>
      </c>
      <c r="U114" s="29"/>
    </row>
    <row r="115" spans="1:21">
      <c r="A115" s="26" t="s">
        <v>13</v>
      </c>
      <c r="B115" s="26" t="s">
        <v>50</v>
      </c>
      <c r="C115" s="26">
        <v>16.5</v>
      </c>
      <c r="D115" s="27">
        <v>8.1999999999999993</v>
      </c>
      <c r="E115" s="28"/>
      <c r="F115" s="16">
        <f t="shared" si="149"/>
        <v>0</v>
      </c>
      <c r="G115" s="17"/>
      <c r="H115" s="18">
        <v>0</v>
      </c>
      <c r="I115" s="19">
        <f t="shared" si="150"/>
        <v>0</v>
      </c>
      <c r="J115" s="16"/>
      <c r="K115" s="43"/>
      <c r="L115" s="19">
        <f t="shared" si="151"/>
        <v>0</v>
      </c>
      <c r="M115" s="16"/>
      <c r="N115" s="18"/>
      <c r="O115" s="19">
        <f t="shared" si="144"/>
        <v>0</v>
      </c>
      <c r="P115" s="20">
        <f t="shared" si="145"/>
        <v>0</v>
      </c>
      <c r="Q115" s="19">
        <f t="shared" si="146"/>
        <v>0</v>
      </c>
      <c r="R115" s="21">
        <f t="shared" si="147"/>
        <v>0</v>
      </c>
      <c r="S115" s="19">
        <f t="shared" si="148"/>
        <v>0</v>
      </c>
      <c r="U115" s="29"/>
    </row>
    <row r="116" spans="1:21">
      <c r="A116" s="26" t="s">
        <v>13</v>
      </c>
      <c r="B116" s="26" t="s">
        <v>50</v>
      </c>
      <c r="C116" s="26">
        <v>16.5</v>
      </c>
      <c r="D116" s="27">
        <v>8.4</v>
      </c>
      <c r="E116" s="28"/>
      <c r="F116" s="16">
        <f t="shared" si="149"/>
        <v>0</v>
      </c>
      <c r="G116" s="17"/>
      <c r="H116" s="18">
        <v>0</v>
      </c>
      <c r="I116" s="19">
        <f t="shared" si="150"/>
        <v>0</v>
      </c>
      <c r="J116" s="16"/>
      <c r="K116" s="43"/>
      <c r="L116" s="19">
        <f t="shared" si="151"/>
        <v>0</v>
      </c>
      <c r="M116" s="16"/>
      <c r="N116" s="18"/>
      <c r="O116" s="19">
        <f t="shared" si="144"/>
        <v>0</v>
      </c>
      <c r="P116" s="20">
        <f t="shared" si="145"/>
        <v>0</v>
      </c>
      <c r="Q116" s="19">
        <f t="shared" si="146"/>
        <v>0</v>
      </c>
      <c r="R116" s="21">
        <f t="shared" si="147"/>
        <v>0</v>
      </c>
      <c r="S116" s="19">
        <f t="shared" si="148"/>
        <v>0</v>
      </c>
      <c r="U116" s="29"/>
    </row>
    <row r="117" spans="1:21">
      <c r="A117" s="26" t="s">
        <v>13</v>
      </c>
      <c r="B117" s="26" t="s">
        <v>50</v>
      </c>
      <c r="C117" s="26">
        <v>16.5</v>
      </c>
      <c r="D117" s="27">
        <v>8.6999999999999993</v>
      </c>
      <c r="E117" s="28"/>
      <c r="F117" s="16">
        <f t="shared" si="149"/>
        <v>0</v>
      </c>
      <c r="G117" s="17"/>
      <c r="H117" s="18">
        <v>0</v>
      </c>
      <c r="I117" s="19">
        <f t="shared" si="150"/>
        <v>0</v>
      </c>
      <c r="J117" s="16"/>
      <c r="K117" s="43">
        <v>1</v>
      </c>
      <c r="L117" s="19">
        <f t="shared" si="151"/>
        <v>0.14354999999999998</v>
      </c>
      <c r="M117" s="16"/>
      <c r="N117" s="18"/>
      <c r="O117" s="19">
        <f t="shared" si="144"/>
        <v>0</v>
      </c>
      <c r="P117" s="20">
        <f t="shared" si="145"/>
        <v>1</v>
      </c>
      <c r="Q117" s="19">
        <f t="shared" si="146"/>
        <v>0.14354999999999998</v>
      </c>
      <c r="R117" s="21">
        <f t="shared" si="147"/>
        <v>-1</v>
      </c>
      <c r="S117" s="19">
        <f t="shared" si="148"/>
        <v>-0.14354999999999998</v>
      </c>
      <c r="U117" s="29"/>
    </row>
    <row r="118" spans="1:21">
      <c r="A118" s="26" t="s">
        <v>13</v>
      </c>
      <c r="B118" s="26" t="s">
        <v>50</v>
      </c>
      <c r="C118" s="26">
        <v>16.5</v>
      </c>
      <c r="D118" s="27">
        <v>9</v>
      </c>
      <c r="E118" s="28"/>
      <c r="F118" s="16">
        <f t="shared" si="149"/>
        <v>0</v>
      </c>
      <c r="G118" s="17"/>
      <c r="H118" s="18">
        <v>1</v>
      </c>
      <c r="I118" s="19">
        <f t="shared" si="150"/>
        <v>0.14849999999999999</v>
      </c>
      <c r="J118" s="16"/>
      <c r="K118" s="43"/>
      <c r="L118" s="19">
        <f t="shared" si="151"/>
        <v>0</v>
      </c>
      <c r="M118" s="16"/>
      <c r="N118" s="18"/>
      <c r="O118" s="19">
        <f t="shared" si="144"/>
        <v>0</v>
      </c>
      <c r="P118" s="20">
        <f t="shared" si="145"/>
        <v>1</v>
      </c>
      <c r="Q118" s="19">
        <f t="shared" si="146"/>
        <v>0.14849999999999999</v>
      </c>
      <c r="R118" s="21">
        <f t="shared" si="147"/>
        <v>-1</v>
      </c>
      <c r="S118" s="19">
        <f t="shared" si="148"/>
        <v>-0.14849999999999999</v>
      </c>
      <c r="U118" s="29"/>
    </row>
    <row r="119" spans="1:21">
      <c r="A119" s="26" t="s">
        <v>13</v>
      </c>
      <c r="B119" s="26" t="s">
        <v>50</v>
      </c>
      <c r="C119" s="26">
        <v>16.5</v>
      </c>
      <c r="D119" s="27">
        <v>9.1</v>
      </c>
      <c r="E119" s="28"/>
      <c r="F119" s="16">
        <f t="shared" si="149"/>
        <v>0</v>
      </c>
      <c r="G119" s="17"/>
      <c r="H119" s="18">
        <v>3</v>
      </c>
      <c r="I119" s="19">
        <f t="shared" si="150"/>
        <v>0.45045000000000007</v>
      </c>
      <c r="J119" s="16"/>
      <c r="K119" s="43"/>
      <c r="L119" s="19">
        <f t="shared" si="151"/>
        <v>0</v>
      </c>
      <c r="M119" s="16"/>
      <c r="N119" s="18"/>
      <c r="O119" s="19">
        <f t="shared" si="144"/>
        <v>0</v>
      </c>
      <c r="P119" s="20">
        <f t="shared" si="145"/>
        <v>3</v>
      </c>
      <c r="Q119" s="19">
        <f t="shared" si="146"/>
        <v>0.45045000000000007</v>
      </c>
      <c r="R119" s="21">
        <f t="shared" si="147"/>
        <v>-3</v>
      </c>
      <c r="S119" s="19">
        <f t="shared" si="148"/>
        <v>-0.45045000000000007</v>
      </c>
      <c r="U119" s="29"/>
    </row>
    <row r="120" spans="1:21">
      <c r="A120" s="26" t="s">
        <v>13</v>
      </c>
      <c r="B120" s="26" t="s">
        <v>50</v>
      </c>
      <c r="C120" s="26">
        <v>16.5</v>
      </c>
      <c r="D120" s="27">
        <v>9.1999999999999993</v>
      </c>
      <c r="E120" s="28"/>
      <c r="F120" s="16">
        <f t="shared" si="149"/>
        <v>0</v>
      </c>
      <c r="G120" s="17"/>
      <c r="H120" s="18">
        <v>2</v>
      </c>
      <c r="I120" s="19">
        <f t="shared" si="150"/>
        <v>0.30359999999999998</v>
      </c>
      <c r="J120" s="16"/>
      <c r="K120" s="43"/>
      <c r="L120" s="19">
        <f t="shared" si="151"/>
        <v>0</v>
      </c>
      <c r="M120" s="16"/>
      <c r="N120" s="18"/>
      <c r="O120" s="19">
        <f t="shared" si="144"/>
        <v>0</v>
      </c>
      <c r="P120" s="20">
        <f t="shared" si="145"/>
        <v>2</v>
      </c>
      <c r="Q120" s="19">
        <f t="shared" si="146"/>
        <v>0.30359999999999998</v>
      </c>
      <c r="R120" s="21">
        <f t="shared" si="147"/>
        <v>-2</v>
      </c>
      <c r="S120" s="19">
        <f t="shared" si="148"/>
        <v>-0.30359999999999998</v>
      </c>
      <c r="U120" s="29"/>
    </row>
    <row r="121" spans="1:21">
      <c r="A121" s="26" t="s">
        <v>13</v>
      </c>
      <c r="B121" s="26" t="s">
        <v>50</v>
      </c>
      <c r="C121" s="26">
        <v>16.5</v>
      </c>
      <c r="D121" s="27">
        <v>9.3000000000000007</v>
      </c>
      <c r="E121" s="28"/>
      <c r="F121" s="16">
        <f t="shared" si="149"/>
        <v>0</v>
      </c>
      <c r="G121" s="17"/>
      <c r="H121" s="18">
        <v>0</v>
      </c>
      <c r="I121" s="19">
        <f t="shared" si="150"/>
        <v>0</v>
      </c>
      <c r="J121" s="16"/>
      <c r="K121" s="43">
        <v>3</v>
      </c>
      <c r="L121" s="19">
        <f t="shared" si="151"/>
        <v>0.46035000000000004</v>
      </c>
      <c r="M121" s="16"/>
      <c r="N121" s="18"/>
      <c r="O121" s="19">
        <f t="shared" si="144"/>
        <v>0</v>
      </c>
      <c r="P121" s="20">
        <f t="shared" si="145"/>
        <v>3</v>
      </c>
      <c r="Q121" s="19">
        <f t="shared" si="146"/>
        <v>0.46035000000000004</v>
      </c>
      <c r="R121" s="21">
        <f t="shared" si="147"/>
        <v>-3</v>
      </c>
      <c r="S121" s="19">
        <f t="shared" si="148"/>
        <v>-0.46035000000000004</v>
      </c>
      <c r="U121" s="29"/>
    </row>
    <row r="122" spans="1:21">
      <c r="A122" s="26" t="s">
        <v>13</v>
      </c>
      <c r="B122" s="26" t="s">
        <v>50</v>
      </c>
      <c r="C122" s="26">
        <v>16.5</v>
      </c>
      <c r="D122" s="27">
        <v>9.5</v>
      </c>
      <c r="E122" s="28"/>
      <c r="F122" s="16">
        <f t="shared" si="149"/>
        <v>0</v>
      </c>
      <c r="G122" s="17"/>
      <c r="H122" s="18">
        <v>8</v>
      </c>
      <c r="I122" s="19">
        <f t="shared" si="150"/>
        <v>1.254</v>
      </c>
      <c r="J122" s="16"/>
      <c r="K122" s="43">
        <v>4</v>
      </c>
      <c r="L122" s="19">
        <f t="shared" si="151"/>
        <v>0.627</v>
      </c>
      <c r="M122" s="16"/>
      <c r="N122" s="18">
        <v>1</v>
      </c>
      <c r="O122" s="19">
        <f t="shared" si="144"/>
        <v>0.15675</v>
      </c>
      <c r="P122" s="20">
        <f t="shared" si="145"/>
        <v>13</v>
      </c>
      <c r="Q122" s="19">
        <f t="shared" si="146"/>
        <v>2.03775</v>
      </c>
      <c r="R122" s="21">
        <f t="shared" si="147"/>
        <v>-13</v>
      </c>
      <c r="S122" s="19">
        <f t="shared" si="148"/>
        <v>-2.03775</v>
      </c>
      <c r="U122" s="29"/>
    </row>
    <row r="123" spans="1:21">
      <c r="A123" s="26" t="s">
        <v>13</v>
      </c>
      <c r="B123" s="26" t="s">
        <v>50</v>
      </c>
      <c r="C123" s="26">
        <v>16.5</v>
      </c>
      <c r="D123" s="27">
        <v>9.6</v>
      </c>
      <c r="E123" s="28"/>
      <c r="F123" s="16">
        <f t="shared" si="149"/>
        <v>0</v>
      </c>
      <c r="G123" s="17"/>
      <c r="H123" s="18">
        <v>0</v>
      </c>
      <c r="I123" s="19">
        <f t="shared" si="150"/>
        <v>0</v>
      </c>
      <c r="J123" s="16"/>
      <c r="K123" s="43"/>
      <c r="L123" s="19">
        <f t="shared" si="151"/>
        <v>0</v>
      </c>
      <c r="M123" s="16"/>
      <c r="N123" s="18"/>
      <c r="O123" s="19">
        <f t="shared" si="144"/>
        <v>0</v>
      </c>
      <c r="P123" s="20">
        <f t="shared" si="145"/>
        <v>0</v>
      </c>
      <c r="Q123" s="19">
        <f t="shared" si="146"/>
        <v>0</v>
      </c>
      <c r="R123" s="21">
        <f t="shared" si="147"/>
        <v>0</v>
      </c>
      <c r="S123" s="19">
        <f t="shared" si="148"/>
        <v>0</v>
      </c>
      <c r="U123" s="29"/>
    </row>
    <row r="124" spans="1:21">
      <c r="A124" s="26" t="s">
        <v>13</v>
      </c>
      <c r="B124" s="26" t="s">
        <v>50</v>
      </c>
      <c r="C124" s="26">
        <v>16.5</v>
      </c>
      <c r="D124" s="27">
        <v>9.6999999999999993</v>
      </c>
      <c r="E124" s="28"/>
      <c r="F124" s="16">
        <f t="shared" si="149"/>
        <v>0</v>
      </c>
      <c r="G124" s="17"/>
      <c r="H124" s="18">
        <v>1</v>
      </c>
      <c r="I124" s="19">
        <f t="shared" si="150"/>
        <v>0.16004999999999997</v>
      </c>
      <c r="J124" s="16"/>
      <c r="K124" s="43"/>
      <c r="L124" s="19">
        <f t="shared" si="151"/>
        <v>0</v>
      </c>
      <c r="M124" s="16"/>
      <c r="N124" s="18"/>
      <c r="O124" s="19">
        <f t="shared" si="144"/>
        <v>0</v>
      </c>
      <c r="P124" s="20">
        <f t="shared" si="145"/>
        <v>1</v>
      </c>
      <c r="Q124" s="19">
        <f t="shared" si="146"/>
        <v>0.16004999999999997</v>
      </c>
      <c r="R124" s="21">
        <f t="shared" si="147"/>
        <v>-1</v>
      </c>
      <c r="S124" s="19">
        <f t="shared" si="148"/>
        <v>-0.16004999999999997</v>
      </c>
      <c r="U124" s="29"/>
    </row>
    <row r="125" spans="1:21">
      <c r="A125" s="26" t="s">
        <v>13</v>
      </c>
      <c r="B125" s="26" t="s">
        <v>50</v>
      </c>
      <c r="C125" s="26">
        <v>16.5</v>
      </c>
      <c r="D125" s="27">
        <v>9.8000000000000007</v>
      </c>
      <c r="E125" s="28"/>
      <c r="F125" s="16">
        <f t="shared" ref="F125" si="152">(C125*D125*E125/1000)</f>
        <v>0</v>
      </c>
      <c r="G125" s="17"/>
      <c r="H125" s="18"/>
      <c r="I125" s="19">
        <f t="shared" ref="I125" si="153">(C125*D125*H125/1000)</f>
        <v>0</v>
      </c>
      <c r="J125" s="16"/>
      <c r="K125" s="43">
        <v>6</v>
      </c>
      <c r="L125" s="19">
        <f t="shared" ref="L125" si="154">(C125*D125*K125/1000)</f>
        <v>0.97020000000000006</v>
      </c>
      <c r="M125" s="16"/>
      <c r="N125" s="18"/>
      <c r="O125" s="19">
        <f t="shared" ref="O125" si="155">(C125*D125*N125/1000)</f>
        <v>0</v>
      </c>
      <c r="P125" s="20">
        <f t="shared" ref="P125" si="156">+H125+K125+N125</f>
        <v>6</v>
      </c>
      <c r="Q125" s="19">
        <f t="shared" ref="Q125" si="157">+I125+L125+O125</f>
        <v>0.97020000000000006</v>
      </c>
      <c r="R125" s="21">
        <f t="shared" ref="R125" si="158">E125-P125</f>
        <v>-6</v>
      </c>
      <c r="S125" s="19">
        <f t="shared" ref="S125" si="159">F125-Q125</f>
        <v>-0.97020000000000006</v>
      </c>
      <c r="U125" s="29"/>
    </row>
    <row r="126" spans="1:21">
      <c r="A126" s="26" t="s">
        <v>13</v>
      </c>
      <c r="B126" s="26" t="s">
        <v>50</v>
      </c>
      <c r="C126" s="26">
        <v>16.5</v>
      </c>
      <c r="D126" s="27">
        <v>10.7</v>
      </c>
      <c r="E126" s="28"/>
      <c r="F126" s="16">
        <f t="shared" si="149"/>
        <v>0</v>
      </c>
      <c r="G126" s="17"/>
      <c r="H126" s="18">
        <v>1</v>
      </c>
      <c r="I126" s="19">
        <f t="shared" si="150"/>
        <v>0.17654999999999998</v>
      </c>
      <c r="J126" s="16"/>
      <c r="K126" s="43"/>
      <c r="L126" s="19">
        <f t="shared" si="151"/>
        <v>0</v>
      </c>
      <c r="M126" s="16"/>
      <c r="N126" s="18"/>
      <c r="O126" s="19">
        <f t="shared" si="144"/>
        <v>0</v>
      </c>
      <c r="P126" s="20">
        <f t="shared" si="145"/>
        <v>1</v>
      </c>
      <c r="Q126" s="19">
        <f t="shared" si="146"/>
        <v>0.17654999999999998</v>
      </c>
      <c r="R126" s="21">
        <f t="shared" si="147"/>
        <v>-1</v>
      </c>
      <c r="S126" s="19">
        <f t="shared" si="148"/>
        <v>-0.17654999999999998</v>
      </c>
      <c r="U126" s="29"/>
    </row>
    <row r="127" spans="1:21">
      <c r="A127" s="26" t="s">
        <v>13</v>
      </c>
      <c r="B127" s="26" t="s">
        <v>50</v>
      </c>
      <c r="C127" s="26">
        <v>16.5</v>
      </c>
      <c r="D127" s="27">
        <v>10.8</v>
      </c>
      <c r="E127" s="28"/>
      <c r="F127" s="16">
        <f t="shared" si="149"/>
        <v>0</v>
      </c>
      <c r="G127" s="17"/>
      <c r="H127" s="18">
        <v>0</v>
      </c>
      <c r="I127" s="19">
        <f t="shared" si="150"/>
        <v>0</v>
      </c>
      <c r="J127" s="16"/>
      <c r="K127" s="43">
        <v>1</v>
      </c>
      <c r="L127" s="19">
        <f t="shared" si="151"/>
        <v>0.17820000000000003</v>
      </c>
      <c r="M127" s="16"/>
      <c r="N127" s="18"/>
      <c r="O127" s="19">
        <f t="shared" si="144"/>
        <v>0</v>
      </c>
      <c r="P127" s="20">
        <f t="shared" si="145"/>
        <v>1</v>
      </c>
      <c r="Q127" s="19">
        <f t="shared" si="146"/>
        <v>0.17820000000000003</v>
      </c>
      <c r="R127" s="21">
        <f t="shared" si="147"/>
        <v>-1</v>
      </c>
      <c r="S127" s="19">
        <f t="shared" si="148"/>
        <v>-0.17820000000000003</v>
      </c>
      <c r="T127">
        <v>9.8000000000000007</v>
      </c>
      <c r="U127" s="29"/>
    </row>
    <row r="128" spans="1:21">
      <c r="A128" s="26" t="s">
        <v>13</v>
      </c>
      <c r="B128" s="26" t="s">
        <v>50</v>
      </c>
      <c r="C128" s="26">
        <v>16.5</v>
      </c>
      <c r="D128" s="27">
        <v>10.9</v>
      </c>
      <c r="E128" s="28"/>
      <c r="F128" s="16">
        <f t="shared" si="149"/>
        <v>0</v>
      </c>
      <c r="G128" s="17"/>
      <c r="H128" s="18">
        <v>0</v>
      </c>
      <c r="I128" s="19">
        <f t="shared" si="150"/>
        <v>0</v>
      </c>
      <c r="J128" s="16"/>
      <c r="K128" s="43">
        <v>1</v>
      </c>
      <c r="L128" s="19">
        <f t="shared" si="151"/>
        <v>0.17984999999999998</v>
      </c>
      <c r="M128" s="16"/>
      <c r="N128" s="18"/>
      <c r="O128" s="19">
        <f t="shared" si="144"/>
        <v>0</v>
      </c>
      <c r="P128" s="20">
        <f t="shared" si="145"/>
        <v>1</v>
      </c>
      <c r="Q128" s="19">
        <f t="shared" si="146"/>
        <v>0.17984999999999998</v>
      </c>
      <c r="R128" s="21">
        <f t="shared" si="147"/>
        <v>-1</v>
      </c>
      <c r="S128" s="19">
        <f t="shared" si="148"/>
        <v>-0.17984999999999998</v>
      </c>
      <c r="T128">
        <v>9.8000000000000007</v>
      </c>
      <c r="U128" s="29"/>
    </row>
    <row r="129" spans="1:21">
      <c r="A129" s="26" t="s">
        <v>13</v>
      </c>
      <c r="B129" s="26" t="s">
        <v>50</v>
      </c>
      <c r="C129" s="26">
        <v>16.5</v>
      </c>
      <c r="D129" s="27">
        <v>11</v>
      </c>
      <c r="E129" s="28"/>
      <c r="F129" s="16">
        <f t="shared" si="149"/>
        <v>0</v>
      </c>
      <c r="G129" s="17"/>
      <c r="H129" s="18">
        <v>3</v>
      </c>
      <c r="I129" s="19">
        <f t="shared" si="150"/>
        <v>0.54449999999999998</v>
      </c>
      <c r="J129" s="16"/>
      <c r="K129" s="43"/>
      <c r="L129" s="19">
        <f t="shared" si="151"/>
        <v>0</v>
      </c>
      <c r="M129" s="16"/>
      <c r="N129" s="18"/>
      <c r="O129" s="19">
        <f t="shared" si="144"/>
        <v>0</v>
      </c>
      <c r="P129" s="20">
        <f t="shared" si="145"/>
        <v>3</v>
      </c>
      <c r="Q129" s="19">
        <f t="shared" si="146"/>
        <v>0.54449999999999998</v>
      </c>
      <c r="R129" s="21">
        <f t="shared" si="147"/>
        <v>-3</v>
      </c>
      <c r="S129" s="19">
        <f t="shared" si="148"/>
        <v>-0.54449999999999998</v>
      </c>
      <c r="U129" s="29"/>
    </row>
    <row r="130" spans="1:21">
      <c r="A130" s="26" t="s">
        <v>13</v>
      </c>
      <c r="B130" s="26" t="s">
        <v>50</v>
      </c>
      <c r="C130" s="26">
        <v>16.5</v>
      </c>
      <c r="D130" s="27">
        <v>11.8</v>
      </c>
      <c r="E130" s="28"/>
      <c r="F130" s="16">
        <f t="shared" si="149"/>
        <v>0</v>
      </c>
      <c r="G130" s="17"/>
      <c r="H130" s="18">
        <v>0</v>
      </c>
      <c r="I130" s="19">
        <f t="shared" si="150"/>
        <v>0</v>
      </c>
      <c r="J130" s="16"/>
      <c r="K130" s="43">
        <v>1</v>
      </c>
      <c r="L130" s="19">
        <f t="shared" si="151"/>
        <v>0.19470000000000001</v>
      </c>
      <c r="M130" s="16"/>
      <c r="N130" s="18"/>
      <c r="O130" s="19">
        <f t="shared" si="144"/>
        <v>0</v>
      </c>
      <c r="P130" s="20">
        <f t="shared" si="145"/>
        <v>1</v>
      </c>
      <c r="Q130" s="19">
        <f t="shared" si="146"/>
        <v>0.19470000000000001</v>
      </c>
      <c r="R130" s="21">
        <f t="shared" si="147"/>
        <v>-1</v>
      </c>
      <c r="S130" s="19">
        <f t="shared" si="148"/>
        <v>-0.19470000000000001</v>
      </c>
      <c r="T130">
        <v>11.1</v>
      </c>
      <c r="U130" s="29"/>
    </row>
    <row r="131" spans="1:21">
      <c r="A131" s="26" t="s">
        <v>13</v>
      </c>
      <c r="B131" s="26" t="s">
        <v>50</v>
      </c>
      <c r="C131" s="26">
        <v>16.5</v>
      </c>
      <c r="D131" s="27">
        <v>12</v>
      </c>
      <c r="E131" s="28"/>
      <c r="F131" s="16">
        <f t="shared" si="149"/>
        <v>0</v>
      </c>
      <c r="G131" s="17"/>
      <c r="H131" s="18">
        <v>1</v>
      </c>
      <c r="I131" s="19">
        <f t="shared" si="150"/>
        <v>0.19800000000000001</v>
      </c>
      <c r="J131" s="16"/>
      <c r="K131" s="18"/>
      <c r="L131" s="19">
        <f t="shared" si="151"/>
        <v>0</v>
      </c>
      <c r="M131" s="16"/>
      <c r="N131" s="18"/>
      <c r="O131" s="19">
        <f t="shared" si="144"/>
        <v>0</v>
      </c>
      <c r="P131" s="20">
        <f t="shared" si="145"/>
        <v>1</v>
      </c>
      <c r="Q131" s="19">
        <f t="shared" si="146"/>
        <v>0.19800000000000001</v>
      </c>
      <c r="R131" s="21">
        <f t="shared" si="147"/>
        <v>-1</v>
      </c>
      <c r="S131" s="19">
        <f t="shared" si="148"/>
        <v>-0.19800000000000001</v>
      </c>
      <c r="U131" s="29"/>
    </row>
    <row r="132" spans="1:21">
      <c r="A132" s="26" t="s">
        <v>13</v>
      </c>
      <c r="B132" s="26" t="s">
        <v>50</v>
      </c>
      <c r="C132" s="26">
        <v>16.5</v>
      </c>
      <c r="D132" s="27"/>
      <c r="E132" s="28"/>
      <c r="F132" s="16">
        <f t="shared" si="141"/>
        <v>0</v>
      </c>
      <c r="G132" s="17"/>
      <c r="H132" s="18">
        <v>0</v>
      </c>
      <c r="I132" s="19">
        <f t="shared" si="142"/>
        <v>0</v>
      </c>
      <c r="J132" s="16"/>
      <c r="K132" s="18"/>
      <c r="L132" s="19">
        <f t="shared" si="143"/>
        <v>0</v>
      </c>
      <c r="M132" s="16"/>
      <c r="N132" s="18"/>
      <c r="O132" s="19">
        <f t="shared" si="144"/>
        <v>0</v>
      </c>
      <c r="P132" s="20">
        <f t="shared" si="145"/>
        <v>0</v>
      </c>
      <c r="Q132" s="19">
        <f t="shared" si="146"/>
        <v>0</v>
      </c>
      <c r="R132" s="21">
        <f t="shared" si="147"/>
        <v>0</v>
      </c>
      <c r="S132" s="19">
        <f t="shared" si="148"/>
        <v>0</v>
      </c>
      <c r="U132" s="29"/>
    </row>
    <row r="133" spans="1:21">
      <c r="A133" s="26" t="s">
        <v>13</v>
      </c>
      <c r="B133" s="26" t="s">
        <v>50</v>
      </c>
      <c r="C133" s="26">
        <v>16.5</v>
      </c>
      <c r="D133" s="27"/>
      <c r="E133" s="28"/>
      <c r="F133" s="16">
        <f t="shared" si="141"/>
        <v>0</v>
      </c>
      <c r="G133" s="17"/>
      <c r="H133" s="18">
        <v>0</v>
      </c>
      <c r="I133" s="19">
        <f t="shared" si="142"/>
        <v>0</v>
      </c>
      <c r="J133" s="16"/>
      <c r="K133" s="18"/>
      <c r="L133" s="19">
        <f t="shared" si="143"/>
        <v>0</v>
      </c>
      <c r="M133" s="16"/>
      <c r="N133" s="18"/>
      <c r="O133" s="19">
        <f t="shared" si="144"/>
        <v>0</v>
      </c>
      <c r="P133" s="20">
        <f t="shared" si="145"/>
        <v>0</v>
      </c>
      <c r="Q133" s="19">
        <f t="shared" si="146"/>
        <v>0</v>
      </c>
      <c r="R133" s="21">
        <f t="shared" si="147"/>
        <v>0</v>
      </c>
      <c r="S133" s="19">
        <f t="shared" si="148"/>
        <v>0</v>
      </c>
      <c r="U133" s="29"/>
    </row>
    <row r="134" spans="1:21">
      <c r="A134" s="26" t="s">
        <v>13</v>
      </c>
      <c r="B134" s="26" t="s">
        <v>50</v>
      </c>
      <c r="C134" s="26">
        <v>16.5</v>
      </c>
      <c r="D134" s="27"/>
      <c r="E134" s="28"/>
      <c r="F134" s="16">
        <f t="shared" si="133"/>
        <v>0</v>
      </c>
      <c r="G134" s="17"/>
      <c r="H134" s="18">
        <v>0</v>
      </c>
      <c r="I134" s="19">
        <f t="shared" si="134"/>
        <v>0</v>
      </c>
      <c r="J134" s="16"/>
      <c r="K134" s="18"/>
      <c r="L134" s="19">
        <f t="shared" si="135"/>
        <v>0</v>
      </c>
      <c r="M134" s="16"/>
      <c r="N134" s="18"/>
      <c r="O134" s="19">
        <f t="shared" si="136"/>
        <v>0</v>
      </c>
      <c r="P134" s="20">
        <f t="shared" si="137"/>
        <v>0</v>
      </c>
      <c r="Q134" s="19">
        <f t="shared" si="138"/>
        <v>0</v>
      </c>
      <c r="R134" s="21">
        <f t="shared" si="139"/>
        <v>0</v>
      </c>
      <c r="S134" s="19">
        <f t="shared" si="140"/>
        <v>0</v>
      </c>
      <c r="U134" s="29"/>
    </row>
    <row r="135" spans="1:21">
      <c r="A135" s="26"/>
      <c r="B135" s="26"/>
      <c r="C135" s="26"/>
      <c r="D135" s="27"/>
      <c r="E135" s="31">
        <f t="shared" ref="E135" si="160">SUM(E105:E134)</f>
        <v>376</v>
      </c>
      <c r="F135" s="38">
        <f>SUM(F105:F134)</f>
        <v>52.2819</v>
      </c>
      <c r="G135" s="17"/>
      <c r="H135" s="31">
        <f t="shared" ref="H135" si="161">SUM(H105:H134)</f>
        <v>323</v>
      </c>
      <c r="I135" s="38">
        <f t="shared" ref="I135" si="162">SUM(I105:I134)</f>
        <v>43.764600000000002</v>
      </c>
      <c r="J135" s="16"/>
      <c r="K135" s="31">
        <f t="shared" ref="K135" si="163">SUM(K105:K134)</f>
        <v>42</v>
      </c>
      <c r="L135" s="38">
        <f t="shared" ref="L135" si="164">SUM(L105:L134)</f>
        <v>6.4927500000000009</v>
      </c>
      <c r="M135" s="16"/>
      <c r="N135" s="31"/>
      <c r="O135" s="38">
        <f t="shared" ref="O135" si="165">SUM(O105:O134)</f>
        <v>2.9056500000000001</v>
      </c>
      <c r="P135" s="31">
        <f t="shared" ref="P135" si="166">SUM(P105:P134)</f>
        <v>383</v>
      </c>
      <c r="Q135" s="38">
        <f t="shared" ref="Q135" si="167">SUM(Q105:Q134)</f>
        <v>53.162999999999997</v>
      </c>
      <c r="R135" s="31">
        <f t="shared" ref="R135" si="168">SUM(R105:R134)</f>
        <v>-7</v>
      </c>
      <c r="S135" s="38">
        <f t="shared" ref="S135" si="169">SUM(S105:S134)</f>
        <v>-0.88109999999999977</v>
      </c>
      <c r="U135" s="29"/>
    </row>
    <row r="136" spans="1:21">
      <c r="A136" s="26" t="s">
        <v>13</v>
      </c>
      <c r="B136" s="26" t="s">
        <v>51</v>
      </c>
      <c r="C136" s="26">
        <v>19.8</v>
      </c>
      <c r="D136" s="27">
        <v>6.1</v>
      </c>
      <c r="E136" s="28">
        <v>41</v>
      </c>
      <c r="F136" s="16">
        <f t="shared" ref="F136:F146" si="170">(C136*D136*E136/1000)</f>
        <v>4.9519800000000007</v>
      </c>
      <c r="G136" s="17" t="s">
        <v>88</v>
      </c>
      <c r="H136" s="18">
        <v>16</v>
      </c>
      <c r="I136" s="19">
        <f t="shared" ref="I136:I146" si="171">(C136*D136*H136/1000)</f>
        <v>1.93248</v>
      </c>
      <c r="J136" s="16" t="s">
        <v>86</v>
      </c>
      <c r="K136" s="18">
        <v>15</v>
      </c>
      <c r="L136" s="19">
        <f t="shared" ref="L136:L146" si="172">(C136*D136*K136/1000)</f>
        <v>1.8117000000000001</v>
      </c>
      <c r="M136" s="16" t="s">
        <v>88</v>
      </c>
      <c r="N136" s="18"/>
      <c r="O136" s="19">
        <f t="shared" ref="O136:O146" si="173">(C136*D136*N136/1000)</f>
        <v>0</v>
      </c>
      <c r="P136" s="20">
        <f t="shared" ref="P136:P146" si="174">+H136+K136+N136</f>
        <v>31</v>
      </c>
      <c r="Q136" s="19">
        <f t="shared" ref="Q136:Q146" si="175">+I136+L136+O136</f>
        <v>3.7441800000000001</v>
      </c>
      <c r="R136" s="21">
        <f t="shared" ref="R136:R146" si="176">E136-P136</f>
        <v>10</v>
      </c>
      <c r="S136" s="19">
        <f t="shared" ref="S136:S146" si="177">F136-Q136</f>
        <v>1.2078000000000007</v>
      </c>
      <c r="U136" s="29"/>
    </row>
    <row r="137" spans="1:21">
      <c r="A137" s="26" t="s">
        <v>13</v>
      </c>
      <c r="B137" s="26" t="s">
        <v>51</v>
      </c>
      <c r="C137" s="26">
        <v>19.8</v>
      </c>
      <c r="D137" s="27">
        <v>6.5</v>
      </c>
      <c r="E137" s="28">
        <v>16</v>
      </c>
      <c r="F137" s="16">
        <f t="shared" si="170"/>
        <v>2.0592000000000001</v>
      </c>
      <c r="G137" s="17" t="s">
        <v>103</v>
      </c>
      <c r="H137" s="18">
        <v>7</v>
      </c>
      <c r="I137" s="19">
        <f t="shared" si="171"/>
        <v>0.90090000000000015</v>
      </c>
      <c r="J137" s="16" t="s">
        <v>133</v>
      </c>
      <c r="K137" s="18">
        <v>10</v>
      </c>
      <c r="L137" s="19">
        <f t="shared" si="172"/>
        <v>1.2870000000000001</v>
      </c>
      <c r="M137" s="16" t="s">
        <v>135</v>
      </c>
      <c r="N137" s="18"/>
      <c r="O137" s="19">
        <f t="shared" si="173"/>
        <v>0</v>
      </c>
      <c r="P137" s="20">
        <f t="shared" si="174"/>
        <v>17</v>
      </c>
      <c r="Q137" s="19">
        <f t="shared" si="175"/>
        <v>2.1879000000000004</v>
      </c>
      <c r="R137" s="21">
        <f t="shared" si="176"/>
        <v>-1</v>
      </c>
      <c r="S137" s="19">
        <f t="shared" si="177"/>
        <v>-0.12870000000000026</v>
      </c>
      <c r="U137" s="29"/>
    </row>
    <row r="138" spans="1:21">
      <c r="A138" s="26" t="s">
        <v>13</v>
      </c>
      <c r="B138" s="26" t="s">
        <v>51</v>
      </c>
      <c r="C138" s="26">
        <v>19.8</v>
      </c>
      <c r="D138" s="27">
        <v>6.9</v>
      </c>
      <c r="E138" s="28">
        <v>32</v>
      </c>
      <c r="F138" s="16">
        <f t="shared" si="170"/>
        <v>4.3718399999999997</v>
      </c>
      <c r="G138" s="16" t="s">
        <v>107</v>
      </c>
      <c r="H138" s="18">
        <v>18</v>
      </c>
      <c r="I138" s="19">
        <f t="shared" si="171"/>
        <v>2.4591599999999998</v>
      </c>
      <c r="J138" s="16"/>
      <c r="K138" s="18">
        <f>7+5</f>
        <v>12</v>
      </c>
      <c r="L138" s="19">
        <f t="shared" si="172"/>
        <v>1.63944</v>
      </c>
      <c r="M138" s="16"/>
      <c r="N138" s="18"/>
      <c r="O138" s="19">
        <f t="shared" si="173"/>
        <v>0</v>
      </c>
      <c r="P138" s="20">
        <f t="shared" si="174"/>
        <v>30</v>
      </c>
      <c r="Q138" s="19">
        <f t="shared" si="175"/>
        <v>4.0985999999999994</v>
      </c>
      <c r="R138" s="21">
        <f t="shared" si="176"/>
        <v>2</v>
      </c>
      <c r="S138" s="19">
        <f t="shared" si="177"/>
        <v>0.27324000000000037</v>
      </c>
      <c r="U138" s="29"/>
    </row>
    <row r="139" spans="1:21">
      <c r="A139" s="26" t="s">
        <v>13</v>
      </c>
      <c r="B139" s="26" t="s">
        <v>51</v>
      </c>
      <c r="C139" s="26">
        <v>19.8</v>
      </c>
      <c r="D139" s="27">
        <v>7.1</v>
      </c>
      <c r="E139" s="28">
        <v>76</v>
      </c>
      <c r="F139" s="16">
        <f t="shared" si="170"/>
        <v>10.684079999999998</v>
      </c>
      <c r="G139" s="16" t="s">
        <v>105</v>
      </c>
      <c r="H139" s="18">
        <v>11</v>
      </c>
      <c r="I139" s="19">
        <f t="shared" si="171"/>
        <v>1.5463799999999999</v>
      </c>
      <c r="J139" s="16"/>
      <c r="K139" s="18">
        <v>44</v>
      </c>
      <c r="L139" s="19">
        <f t="shared" si="172"/>
        <v>6.1855199999999995</v>
      </c>
      <c r="M139" s="16"/>
      <c r="N139" s="18"/>
      <c r="O139" s="19">
        <f t="shared" si="173"/>
        <v>0</v>
      </c>
      <c r="P139" s="20">
        <f t="shared" si="174"/>
        <v>55</v>
      </c>
      <c r="Q139" s="19">
        <f t="shared" si="175"/>
        <v>7.7318999999999996</v>
      </c>
      <c r="R139" s="21">
        <f t="shared" si="176"/>
        <v>21</v>
      </c>
      <c r="S139" s="19">
        <f t="shared" si="177"/>
        <v>2.9521799999999985</v>
      </c>
      <c r="U139" s="29"/>
    </row>
    <row r="140" spans="1:21">
      <c r="A140" s="26" t="s">
        <v>13</v>
      </c>
      <c r="B140" s="26" t="s">
        <v>51</v>
      </c>
      <c r="C140" s="26">
        <v>19.8</v>
      </c>
      <c r="D140" s="27">
        <v>7.3</v>
      </c>
      <c r="E140" s="28">
        <v>80</v>
      </c>
      <c r="F140" s="16">
        <f t="shared" si="170"/>
        <v>11.563199999999998</v>
      </c>
      <c r="G140" s="16" t="s">
        <v>91</v>
      </c>
      <c r="H140" s="18">
        <v>42</v>
      </c>
      <c r="I140" s="19">
        <f t="shared" si="171"/>
        <v>6.0706799999999994</v>
      </c>
      <c r="J140" s="16"/>
      <c r="K140" s="18">
        <v>44</v>
      </c>
      <c r="L140" s="19">
        <f t="shared" si="172"/>
        <v>6.3597599999999996</v>
      </c>
      <c r="M140" s="16"/>
      <c r="N140" s="18"/>
      <c r="O140" s="19">
        <f t="shared" si="173"/>
        <v>0</v>
      </c>
      <c r="P140" s="20">
        <f t="shared" si="174"/>
        <v>86</v>
      </c>
      <c r="Q140" s="19">
        <f t="shared" si="175"/>
        <v>12.430439999999999</v>
      </c>
      <c r="R140" s="21">
        <f t="shared" si="176"/>
        <v>-6</v>
      </c>
      <c r="S140" s="19">
        <f t="shared" si="177"/>
        <v>-0.86724000000000068</v>
      </c>
      <c r="U140" s="29"/>
    </row>
    <row r="141" spans="1:21">
      <c r="A141" s="26" t="s">
        <v>13</v>
      </c>
      <c r="B141" s="26" t="s">
        <v>51</v>
      </c>
      <c r="C141" s="26">
        <v>19.8</v>
      </c>
      <c r="D141" s="27">
        <v>7.5</v>
      </c>
      <c r="E141" s="28">
        <v>12</v>
      </c>
      <c r="F141" s="16">
        <f t="shared" si="170"/>
        <v>1.782</v>
      </c>
      <c r="G141" s="16" t="s">
        <v>113</v>
      </c>
      <c r="H141" s="18">
        <v>10</v>
      </c>
      <c r="I141" s="19">
        <f t="shared" si="171"/>
        <v>1.4850000000000001</v>
      </c>
      <c r="J141" s="16"/>
      <c r="K141" s="18"/>
      <c r="L141" s="19">
        <f t="shared" si="172"/>
        <v>0</v>
      </c>
      <c r="M141" s="16"/>
      <c r="N141" s="18"/>
      <c r="O141" s="19">
        <f t="shared" si="173"/>
        <v>0</v>
      </c>
      <c r="P141" s="20">
        <f t="shared" si="174"/>
        <v>10</v>
      </c>
      <c r="Q141" s="19">
        <f t="shared" si="175"/>
        <v>1.4850000000000001</v>
      </c>
      <c r="R141" s="21">
        <f t="shared" si="176"/>
        <v>2</v>
      </c>
      <c r="S141" s="19">
        <f t="shared" si="177"/>
        <v>0.29699999999999993</v>
      </c>
      <c r="U141" s="29"/>
    </row>
    <row r="142" spans="1:21">
      <c r="A142" s="26" t="s">
        <v>13</v>
      </c>
      <c r="B142" s="26" t="s">
        <v>51</v>
      </c>
      <c r="C142" s="26">
        <v>19.8</v>
      </c>
      <c r="D142" s="27">
        <v>8.1999999999999993</v>
      </c>
      <c r="E142" s="28">
        <v>16</v>
      </c>
      <c r="F142" s="16">
        <f t="shared" si="170"/>
        <v>2.5977599999999996</v>
      </c>
      <c r="G142" s="16" t="s">
        <v>89</v>
      </c>
      <c r="H142" s="18">
        <v>9</v>
      </c>
      <c r="I142" s="19">
        <f t="shared" si="171"/>
        <v>1.4612399999999999</v>
      </c>
      <c r="J142" s="16"/>
      <c r="K142" s="18">
        <v>3</v>
      </c>
      <c r="L142" s="19">
        <f t="shared" si="172"/>
        <v>0.4870799999999999</v>
      </c>
      <c r="M142" s="16"/>
      <c r="N142" s="18"/>
      <c r="O142" s="19">
        <f t="shared" si="173"/>
        <v>0</v>
      </c>
      <c r="P142" s="20">
        <f t="shared" si="174"/>
        <v>12</v>
      </c>
      <c r="Q142" s="19">
        <f t="shared" si="175"/>
        <v>1.9483199999999998</v>
      </c>
      <c r="R142" s="21">
        <f t="shared" si="176"/>
        <v>4</v>
      </c>
      <c r="S142" s="19">
        <f t="shared" si="177"/>
        <v>0.6494399999999998</v>
      </c>
      <c r="U142" s="29"/>
    </row>
    <row r="143" spans="1:21">
      <c r="A143" s="26" t="s">
        <v>13</v>
      </c>
      <c r="B143" s="26" t="s">
        <v>51</v>
      </c>
      <c r="C143" s="26">
        <v>19.8</v>
      </c>
      <c r="D143" s="27">
        <v>8.3000000000000007</v>
      </c>
      <c r="E143" s="28">
        <v>16</v>
      </c>
      <c r="F143" s="16">
        <f t="shared" si="170"/>
        <v>2.6294400000000007</v>
      </c>
      <c r="G143" s="16" t="s">
        <v>113</v>
      </c>
      <c r="H143" s="18">
        <v>20</v>
      </c>
      <c r="I143" s="19">
        <f t="shared" si="171"/>
        <v>3.2868000000000008</v>
      </c>
      <c r="J143" s="16"/>
      <c r="K143" s="18">
        <v>1</v>
      </c>
      <c r="L143" s="19">
        <f t="shared" si="172"/>
        <v>0.16434000000000004</v>
      </c>
      <c r="M143" s="16"/>
      <c r="N143" s="18"/>
      <c r="O143" s="19">
        <f t="shared" si="173"/>
        <v>0</v>
      </c>
      <c r="P143" s="20">
        <f t="shared" si="174"/>
        <v>21</v>
      </c>
      <c r="Q143" s="19">
        <f t="shared" si="175"/>
        <v>3.451140000000001</v>
      </c>
      <c r="R143" s="21">
        <f t="shared" si="176"/>
        <v>-5</v>
      </c>
      <c r="S143" s="19">
        <f t="shared" si="177"/>
        <v>-0.82170000000000032</v>
      </c>
      <c r="U143" s="29"/>
    </row>
    <row r="144" spans="1:21">
      <c r="A144" s="26" t="s">
        <v>13</v>
      </c>
      <c r="B144" s="26" t="s">
        <v>51</v>
      </c>
      <c r="C144" s="26">
        <v>19.8</v>
      </c>
      <c r="D144" s="27">
        <v>11.1</v>
      </c>
      <c r="E144" s="28">
        <v>52</v>
      </c>
      <c r="F144" s="16">
        <f t="shared" si="170"/>
        <v>11.428559999999999</v>
      </c>
      <c r="G144" s="16" t="s">
        <v>111</v>
      </c>
      <c r="H144" s="18">
        <v>47</v>
      </c>
      <c r="I144" s="19">
        <f t="shared" si="171"/>
        <v>10.329660000000001</v>
      </c>
      <c r="J144" s="16"/>
      <c r="K144" s="18">
        <v>5</v>
      </c>
      <c r="L144" s="19">
        <f t="shared" si="172"/>
        <v>1.0989</v>
      </c>
      <c r="M144" s="16"/>
      <c r="N144" s="18"/>
      <c r="O144" s="19">
        <f t="shared" si="173"/>
        <v>0</v>
      </c>
      <c r="P144" s="20">
        <f t="shared" si="174"/>
        <v>52</v>
      </c>
      <c r="Q144" s="19">
        <f t="shared" si="175"/>
        <v>11.428560000000001</v>
      </c>
      <c r="R144" s="21">
        <f t="shared" si="176"/>
        <v>0</v>
      </c>
      <c r="S144" s="19">
        <f t="shared" si="177"/>
        <v>0</v>
      </c>
      <c r="U144" s="29"/>
    </row>
    <row r="145" spans="1:21">
      <c r="A145" s="26" t="s">
        <v>13</v>
      </c>
      <c r="B145" s="26" t="s">
        <v>51</v>
      </c>
      <c r="C145" s="26">
        <v>19.8</v>
      </c>
      <c r="D145" s="27">
        <v>11.2</v>
      </c>
      <c r="E145" s="28">
        <v>118</v>
      </c>
      <c r="F145" s="16">
        <f t="shared" si="170"/>
        <v>26.167680000000001</v>
      </c>
      <c r="G145" s="16" t="s">
        <v>133</v>
      </c>
      <c r="H145" s="18">
        <v>92</v>
      </c>
      <c r="I145" s="19">
        <f t="shared" si="171"/>
        <v>20.401919999999997</v>
      </c>
      <c r="J145" s="16"/>
      <c r="K145" s="18"/>
      <c r="L145" s="19">
        <f t="shared" si="172"/>
        <v>0</v>
      </c>
      <c r="M145" s="16"/>
      <c r="N145" s="18">
        <v>10</v>
      </c>
      <c r="O145" s="19">
        <f t="shared" si="173"/>
        <v>2.2176</v>
      </c>
      <c r="P145" s="20">
        <f t="shared" si="174"/>
        <v>102</v>
      </c>
      <c r="Q145" s="19">
        <f t="shared" si="175"/>
        <v>22.619519999999998</v>
      </c>
      <c r="R145" s="21">
        <f t="shared" si="176"/>
        <v>16</v>
      </c>
      <c r="S145" s="19">
        <f t="shared" si="177"/>
        <v>3.5481600000000029</v>
      </c>
      <c r="U145" s="29"/>
    </row>
    <row r="146" spans="1:21">
      <c r="A146" s="26" t="s">
        <v>13</v>
      </c>
      <c r="B146" s="26" t="s">
        <v>51</v>
      </c>
      <c r="C146" s="26">
        <v>19.8</v>
      </c>
      <c r="D146" s="27">
        <v>11.5</v>
      </c>
      <c r="E146" s="28">
        <v>80</v>
      </c>
      <c r="F146" s="16">
        <f t="shared" si="170"/>
        <v>18.216000000000001</v>
      </c>
      <c r="G146" s="17"/>
      <c r="H146" s="18">
        <v>68</v>
      </c>
      <c r="I146" s="19">
        <f t="shared" si="171"/>
        <v>15.483600000000001</v>
      </c>
      <c r="J146" s="16"/>
      <c r="K146" s="18">
        <v>13</v>
      </c>
      <c r="L146" s="19">
        <f t="shared" si="172"/>
        <v>2.9601000000000002</v>
      </c>
      <c r="M146" s="16"/>
      <c r="N146" s="18"/>
      <c r="O146" s="19">
        <f t="shared" si="173"/>
        <v>0</v>
      </c>
      <c r="P146" s="20">
        <f t="shared" si="174"/>
        <v>81</v>
      </c>
      <c r="Q146" s="19">
        <f t="shared" si="175"/>
        <v>18.4437</v>
      </c>
      <c r="R146" s="21">
        <f t="shared" si="176"/>
        <v>-1</v>
      </c>
      <c r="S146" s="19">
        <f t="shared" si="177"/>
        <v>-0.22769999999999868</v>
      </c>
      <c r="U146" s="29"/>
    </row>
    <row r="147" spans="1:21">
      <c r="A147" s="26" t="s">
        <v>13</v>
      </c>
      <c r="B147" s="26" t="s">
        <v>51</v>
      </c>
      <c r="C147" s="26">
        <v>19.8</v>
      </c>
      <c r="D147" s="27">
        <v>11.6</v>
      </c>
      <c r="E147" s="28">
        <v>30</v>
      </c>
      <c r="F147" s="16">
        <f t="shared" ref="F147:F157" si="178">(C147*D147*E147/1000)</f>
        <v>6.8904000000000005</v>
      </c>
      <c r="G147" s="17"/>
      <c r="H147" s="18">
        <v>30</v>
      </c>
      <c r="I147" s="19">
        <f t="shared" ref="I147:I157" si="179">(C147*D147*H147/1000)</f>
        <v>6.8904000000000005</v>
      </c>
      <c r="J147" s="16"/>
      <c r="K147" s="18"/>
      <c r="L147" s="19">
        <f t="shared" ref="L147:L157" si="180">(C147*D147*K147/1000)</f>
        <v>0</v>
      </c>
      <c r="M147" s="16"/>
      <c r="N147" s="18"/>
      <c r="O147" s="19">
        <f t="shared" ref="O147:O157" si="181">(C147*D147*N147/1000)</f>
        <v>0</v>
      </c>
      <c r="P147" s="20">
        <f t="shared" ref="P147:P157" si="182">+H147+K147+N147</f>
        <v>30</v>
      </c>
      <c r="Q147" s="19">
        <f t="shared" ref="Q147:Q157" si="183">+I147+L147+O147</f>
        <v>6.8904000000000005</v>
      </c>
      <c r="R147" s="21">
        <f t="shared" ref="R147:R157" si="184">E147-P147</f>
        <v>0</v>
      </c>
      <c r="S147" s="19">
        <f t="shared" ref="S147:S157" si="185">F147-Q147</f>
        <v>0</v>
      </c>
      <c r="U147" s="29"/>
    </row>
    <row r="148" spans="1:21">
      <c r="A148" s="26" t="s">
        <v>13</v>
      </c>
      <c r="B148" s="26" t="s">
        <v>51</v>
      </c>
      <c r="C148" s="26">
        <v>19.8</v>
      </c>
      <c r="D148" s="27">
        <v>10.8</v>
      </c>
      <c r="E148" s="28"/>
      <c r="F148" s="16">
        <f t="shared" si="178"/>
        <v>0</v>
      </c>
      <c r="G148" s="17"/>
      <c r="H148" s="18">
        <v>3</v>
      </c>
      <c r="I148" s="19">
        <f t="shared" si="179"/>
        <v>0.64152000000000009</v>
      </c>
      <c r="J148" s="16"/>
      <c r="K148" s="18">
        <v>4</v>
      </c>
      <c r="L148" s="19">
        <f t="shared" si="180"/>
        <v>0.85536000000000012</v>
      </c>
      <c r="M148" s="16"/>
      <c r="N148" s="18"/>
      <c r="O148" s="19">
        <f t="shared" si="181"/>
        <v>0</v>
      </c>
      <c r="P148" s="20">
        <f t="shared" si="182"/>
        <v>7</v>
      </c>
      <c r="Q148" s="19">
        <f t="shared" si="183"/>
        <v>1.4968800000000002</v>
      </c>
      <c r="R148" s="21">
        <f t="shared" si="184"/>
        <v>-7</v>
      </c>
      <c r="S148" s="19">
        <f t="shared" si="185"/>
        <v>-1.4968800000000002</v>
      </c>
      <c r="U148" s="29"/>
    </row>
    <row r="149" spans="1:21">
      <c r="A149" s="26" t="s">
        <v>13</v>
      </c>
      <c r="B149" s="26" t="s">
        <v>51</v>
      </c>
      <c r="C149" s="26">
        <v>19.8</v>
      </c>
      <c r="D149" s="27">
        <v>11</v>
      </c>
      <c r="E149" s="28"/>
      <c r="F149" s="16">
        <f t="shared" si="178"/>
        <v>0</v>
      </c>
      <c r="G149" s="17"/>
      <c r="H149" s="18">
        <v>2</v>
      </c>
      <c r="I149" s="19">
        <f t="shared" si="179"/>
        <v>0.43560000000000004</v>
      </c>
      <c r="J149" s="16"/>
      <c r="K149" s="18"/>
      <c r="L149" s="19">
        <f t="shared" si="180"/>
        <v>0</v>
      </c>
      <c r="M149" s="16"/>
      <c r="N149" s="18"/>
      <c r="O149" s="19">
        <f t="shared" si="181"/>
        <v>0</v>
      </c>
      <c r="P149" s="20">
        <f t="shared" si="182"/>
        <v>2</v>
      </c>
      <c r="Q149" s="19">
        <f t="shared" si="183"/>
        <v>0.43560000000000004</v>
      </c>
      <c r="R149" s="21">
        <f t="shared" si="184"/>
        <v>-2</v>
      </c>
      <c r="S149" s="19">
        <f t="shared" si="185"/>
        <v>-0.43560000000000004</v>
      </c>
      <c r="U149" s="29"/>
    </row>
    <row r="150" spans="1:21">
      <c r="A150" s="26" t="s">
        <v>13</v>
      </c>
      <c r="B150" s="26" t="s">
        <v>51</v>
      </c>
      <c r="C150" s="26">
        <v>19.8</v>
      </c>
      <c r="D150" s="27">
        <v>10.7</v>
      </c>
      <c r="E150" s="28"/>
      <c r="F150" s="16">
        <f t="shared" si="178"/>
        <v>0</v>
      </c>
      <c r="G150" s="17"/>
      <c r="H150" s="18">
        <v>1</v>
      </c>
      <c r="I150" s="19">
        <f t="shared" si="179"/>
        <v>0.21185999999999999</v>
      </c>
      <c r="J150" s="16"/>
      <c r="K150" s="18"/>
      <c r="L150" s="19">
        <f t="shared" si="180"/>
        <v>0</v>
      </c>
      <c r="M150" s="16"/>
      <c r="N150" s="18"/>
      <c r="O150" s="19">
        <f t="shared" si="181"/>
        <v>0</v>
      </c>
      <c r="P150" s="20">
        <f t="shared" si="182"/>
        <v>1</v>
      </c>
      <c r="Q150" s="19">
        <f t="shared" si="183"/>
        <v>0.21185999999999999</v>
      </c>
      <c r="R150" s="21">
        <f t="shared" si="184"/>
        <v>-1</v>
      </c>
      <c r="S150" s="19">
        <f t="shared" si="185"/>
        <v>-0.21185999999999999</v>
      </c>
      <c r="U150" s="29"/>
    </row>
    <row r="151" spans="1:21">
      <c r="A151" s="26" t="s">
        <v>13</v>
      </c>
      <c r="B151" s="26" t="s">
        <v>51</v>
      </c>
      <c r="C151" s="26">
        <v>19.8</v>
      </c>
      <c r="D151" s="27">
        <v>10.5</v>
      </c>
      <c r="E151" s="28"/>
      <c r="F151" s="16">
        <f t="shared" si="178"/>
        <v>0</v>
      </c>
      <c r="G151" s="17"/>
      <c r="H151" s="18">
        <v>5</v>
      </c>
      <c r="I151" s="19">
        <f t="shared" si="179"/>
        <v>1.0395000000000001</v>
      </c>
      <c r="J151" s="16"/>
      <c r="K151" s="18"/>
      <c r="L151" s="19">
        <f t="shared" si="180"/>
        <v>0</v>
      </c>
      <c r="M151" s="16"/>
      <c r="N151" s="18"/>
      <c r="O151" s="19">
        <f t="shared" si="181"/>
        <v>0</v>
      </c>
      <c r="P151" s="20">
        <f t="shared" si="182"/>
        <v>5</v>
      </c>
      <c r="Q151" s="19">
        <f t="shared" si="183"/>
        <v>1.0395000000000001</v>
      </c>
      <c r="R151" s="21">
        <f t="shared" si="184"/>
        <v>-5</v>
      </c>
      <c r="S151" s="19">
        <f t="shared" si="185"/>
        <v>-1.0395000000000001</v>
      </c>
      <c r="U151" s="29"/>
    </row>
    <row r="152" spans="1:21">
      <c r="A152" s="26" t="s">
        <v>13</v>
      </c>
      <c r="B152" s="26" t="s">
        <v>51</v>
      </c>
      <c r="C152" s="26">
        <v>19.8</v>
      </c>
      <c r="D152" s="27">
        <v>8.5</v>
      </c>
      <c r="E152" s="28"/>
      <c r="F152" s="16">
        <f t="shared" si="178"/>
        <v>0</v>
      </c>
      <c r="G152" s="17"/>
      <c r="H152" s="18">
        <v>2</v>
      </c>
      <c r="I152" s="19">
        <f t="shared" si="179"/>
        <v>0.33660000000000001</v>
      </c>
      <c r="J152" s="16"/>
      <c r="K152" s="18"/>
      <c r="L152" s="19">
        <f t="shared" si="180"/>
        <v>0</v>
      </c>
      <c r="M152" s="16"/>
      <c r="N152" s="18"/>
      <c r="O152" s="19">
        <f t="shared" si="181"/>
        <v>0</v>
      </c>
      <c r="P152" s="20">
        <f t="shared" si="182"/>
        <v>2</v>
      </c>
      <c r="Q152" s="19">
        <f t="shared" si="183"/>
        <v>0.33660000000000001</v>
      </c>
      <c r="R152" s="21">
        <f t="shared" si="184"/>
        <v>-2</v>
      </c>
      <c r="S152" s="19">
        <f t="shared" si="185"/>
        <v>-0.33660000000000001</v>
      </c>
      <c r="U152" s="29"/>
    </row>
    <row r="153" spans="1:21">
      <c r="A153" s="26" t="s">
        <v>13</v>
      </c>
      <c r="B153" s="26" t="s">
        <v>51</v>
      </c>
      <c r="C153" s="26">
        <v>19.8</v>
      </c>
      <c r="D153" s="27">
        <v>6.9</v>
      </c>
      <c r="E153" s="28"/>
      <c r="F153" s="16">
        <f t="shared" ref="F153:F156" si="186">(C153*D153*E153/1000)</f>
        <v>0</v>
      </c>
      <c r="G153" s="17"/>
      <c r="H153" s="18">
        <v>3</v>
      </c>
      <c r="I153" s="19">
        <f t="shared" ref="I153:I156" si="187">(C153*D153*H153/1000)</f>
        <v>0.40986</v>
      </c>
      <c r="J153" s="16"/>
      <c r="K153" s="18"/>
      <c r="L153" s="19">
        <f t="shared" ref="L153:L156" si="188">(C153*D153*K153/1000)</f>
        <v>0</v>
      </c>
      <c r="M153" s="16"/>
      <c r="N153" s="18"/>
      <c r="O153" s="19">
        <f t="shared" ref="O153:O156" si="189">(C153*D153*N153/1000)</f>
        <v>0</v>
      </c>
      <c r="P153" s="20">
        <f t="shared" ref="P153:P156" si="190">+H153+K153+N153</f>
        <v>3</v>
      </c>
      <c r="Q153" s="19">
        <f t="shared" ref="Q153:Q156" si="191">+I153+L153+O153</f>
        <v>0.40986</v>
      </c>
      <c r="R153" s="21">
        <f t="shared" ref="R153:R156" si="192">E153-P153</f>
        <v>-3</v>
      </c>
      <c r="S153" s="19">
        <f t="shared" ref="S153:S156" si="193">F153-Q153</f>
        <v>-0.40986</v>
      </c>
      <c r="U153" s="29"/>
    </row>
    <row r="154" spans="1:21">
      <c r="A154" s="26" t="s">
        <v>13</v>
      </c>
      <c r="B154" s="26" t="s">
        <v>51</v>
      </c>
      <c r="C154" s="26">
        <v>19.8</v>
      </c>
      <c r="D154" s="27">
        <v>11</v>
      </c>
      <c r="E154" s="28"/>
      <c r="F154" s="16">
        <f t="shared" si="186"/>
        <v>0</v>
      </c>
      <c r="G154" s="17"/>
      <c r="H154" s="18"/>
      <c r="I154" s="19">
        <f t="shared" si="187"/>
        <v>0</v>
      </c>
      <c r="J154" s="16"/>
      <c r="K154" s="18">
        <v>1</v>
      </c>
      <c r="L154" s="19">
        <f t="shared" si="188"/>
        <v>0.21780000000000002</v>
      </c>
      <c r="M154" s="16"/>
      <c r="N154" s="18"/>
      <c r="O154" s="19">
        <f t="shared" si="189"/>
        <v>0</v>
      </c>
      <c r="P154" s="20">
        <f t="shared" si="190"/>
        <v>1</v>
      </c>
      <c r="Q154" s="19">
        <f t="shared" si="191"/>
        <v>0.21780000000000002</v>
      </c>
      <c r="R154" s="21">
        <f t="shared" si="192"/>
        <v>-1</v>
      </c>
      <c r="S154" s="19">
        <f t="shared" si="193"/>
        <v>-0.21780000000000002</v>
      </c>
      <c r="U154" s="29"/>
    </row>
    <row r="155" spans="1:21">
      <c r="A155" s="26" t="s">
        <v>13</v>
      </c>
      <c r="B155" s="26" t="s">
        <v>51</v>
      </c>
      <c r="C155" s="26">
        <v>19.8</v>
      </c>
      <c r="D155" s="27">
        <v>12</v>
      </c>
      <c r="E155" s="28"/>
      <c r="F155" s="16">
        <f t="shared" si="186"/>
        <v>0</v>
      </c>
      <c r="G155" s="17"/>
      <c r="H155" s="18"/>
      <c r="I155" s="19">
        <f t="shared" si="187"/>
        <v>0</v>
      </c>
      <c r="J155" s="16"/>
      <c r="K155" s="18">
        <v>5</v>
      </c>
      <c r="L155" s="19">
        <f t="shared" si="188"/>
        <v>1.1879999999999999</v>
      </c>
      <c r="M155" s="16"/>
      <c r="N155" s="18"/>
      <c r="O155" s="19">
        <f t="shared" si="189"/>
        <v>0</v>
      </c>
      <c r="P155" s="20">
        <f t="shared" si="190"/>
        <v>5</v>
      </c>
      <c r="Q155" s="19">
        <f t="shared" si="191"/>
        <v>1.1879999999999999</v>
      </c>
      <c r="R155" s="21">
        <f t="shared" si="192"/>
        <v>-5</v>
      </c>
      <c r="S155" s="19">
        <f t="shared" si="193"/>
        <v>-1.1879999999999999</v>
      </c>
      <c r="U155" s="29"/>
    </row>
    <row r="156" spans="1:21">
      <c r="A156" s="26" t="s">
        <v>13</v>
      </c>
      <c r="B156" s="26" t="s">
        <v>51</v>
      </c>
      <c r="C156" s="26">
        <v>19.8</v>
      </c>
      <c r="D156" s="27">
        <v>11.75</v>
      </c>
      <c r="E156" s="28"/>
      <c r="F156" s="16">
        <f t="shared" si="186"/>
        <v>0</v>
      </c>
      <c r="G156" s="17"/>
      <c r="H156" s="18"/>
      <c r="I156" s="19">
        <f t="shared" si="187"/>
        <v>0</v>
      </c>
      <c r="J156" s="16"/>
      <c r="K156" s="18">
        <v>4</v>
      </c>
      <c r="L156" s="19">
        <f t="shared" si="188"/>
        <v>0.93059999999999998</v>
      </c>
      <c r="M156" s="16"/>
      <c r="N156" s="18"/>
      <c r="O156" s="19">
        <f t="shared" si="189"/>
        <v>0</v>
      </c>
      <c r="P156" s="20">
        <f t="shared" si="190"/>
        <v>4</v>
      </c>
      <c r="Q156" s="19">
        <f t="shared" si="191"/>
        <v>0.93059999999999998</v>
      </c>
      <c r="R156" s="21">
        <f t="shared" si="192"/>
        <v>-4</v>
      </c>
      <c r="S156" s="19">
        <f t="shared" si="193"/>
        <v>-0.93059999999999998</v>
      </c>
      <c r="U156" s="29"/>
    </row>
    <row r="157" spans="1:21">
      <c r="A157" s="26" t="s">
        <v>13</v>
      </c>
      <c r="B157" s="26" t="s">
        <v>51</v>
      </c>
      <c r="C157" s="26">
        <v>19.8</v>
      </c>
      <c r="D157" s="27">
        <v>10.5</v>
      </c>
      <c r="E157" s="28"/>
      <c r="F157" s="16">
        <f t="shared" si="178"/>
        <v>0</v>
      </c>
      <c r="G157" s="17"/>
      <c r="H157" s="18"/>
      <c r="I157" s="19">
        <f t="shared" si="179"/>
        <v>0</v>
      </c>
      <c r="J157" s="16"/>
      <c r="K157" s="18"/>
      <c r="L157" s="19">
        <f t="shared" si="180"/>
        <v>0</v>
      </c>
      <c r="M157" s="16"/>
      <c r="N157" s="18">
        <v>4</v>
      </c>
      <c r="O157" s="19">
        <f t="shared" si="181"/>
        <v>0.83160000000000001</v>
      </c>
      <c r="P157" s="20">
        <f t="shared" si="182"/>
        <v>4</v>
      </c>
      <c r="Q157" s="19">
        <f t="shared" si="183"/>
        <v>0.83160000000000001</v>
      </c>
      <c r="R157" s="21">
        <f t="shared" si="184"/>
        <v>-4</v>
      </c>
      <c r="S157" s="19">
        <f t="shared" si="185"/>
        <v>-0.83160000000000001</v>
      </c>
      <c r="U157" s="29"/>
    </row>
    <row r="158" spans="1:21">
      <c r="A158" s="26"/>
      <c r="B158" s="26"/>
      <c r="C158" s="26"/>
      <c r="D158" s="27"/>
      <c r="E158" s="31">
        <f>SUM(E136:E157)</f>
        <v>569</v>
      </c>
      <c r="F158" s="38">
        <f>SUM(F136:F157)</f>
        <v>103.34214</v>
      </c>
      <c r="G158" s="17"/>
      <c r="H158" s="31">
        <f>SUM(H136:H157)</f>
        <v>386</v>
      </c>
      <c r="I158" s="38">
        <f>SUM(I136:I157)</f>
        <v>75.323159999999987</v>
      </c>
      <c r="J158" s="16"/>
      <c r="K158" s="31">
        <f>SUM(K136:K157)</f>
        <v>161</v>
      </c>
      <c r="L158" s="38">
        <f>SUM(L136:L157)</f>
        <v>25.185599999999997</v>
      </c>
      <c r="M158" s="16"/>
      <c r="N158" s="31">
        <f t="shared" ref="N158:S158" si="194">SUM(N136:N157)</f>
        <v>14</v>
      </c>
      <c r="O158" s="38">
        <f t="shared" si="194"/>
        <v>3.0491999999999999</v>
      </c>
      <c r="P158" s="31">
        <f t="shared" si="194"/>
        <v>561</v>
      </c>
      <c r="Q158" s="38">
        <f t="shared" si="194"/>
        <v>103.55795999999998</v>
      </c>
      <c r="R158" s="31">
        <f t="shared" si="194"/>
        <v>8</v>
      </c>
      <c r="S158" s="38">
        <f t="shared" si="194"/>
        <v>-0.21581999999999701</v>
      </c>
      <c r="U158" s="29"/>
    </row>
    <row r="159" spans="1:21">
      <c r="A159" s="26" t="s">
        <v>13</v>
      </c>
      <c r="B159" s="26" t="s">
        <v>52</v>
      </c>
      <c r="C159" s="26">
        <v>21.7</v>
      </c>
      <c r="D159" s="27">
        <v>6.5</v>
      </c>
      <c r="E159" s="28">
        <v>74</v>
      </c>
      <c r="F159" s="16">
        <f t="shared" ref="F159:F174" si="195">(C159*D159*E159/1000)</f>
        <v>10.4377</v>
      </c>
      <c r="G159" s="17" t="s">
        <v>88</v>
      </c>
      <c r="H159" s="18">
        <v>67</v>
      </c>
      <c r="I159" s="19">
        <f t="shared" ref="I159:I174" si="196">(C159*D159*H159/1000)</f>
        <v>9.4503499999999985</v>
      </c>
      <c r="J159" s="16" t="s">
        <v>89</v>
      </c>
      <c r="K159" s="18">
        <v>2</v>
      </c>
      <c r="L159" s="19">
        <f t="shared" ref="L159:L174" si="197">(C159*D159*K159/1000)</f>
        <v>0.28209999999999996</v>
      </c>
      <c r="M159" s="16"/>
      <c r="N159" s="18"/>
      <c r="O159" s="19">
        <f t="shared" ref="O159:O174" si="198">(C159*D159*N159/1000)</f>
        <v>0</v>
      </c>
      <c r="P159" s="20">
        <f t="shared" ref="P159:P174" si="199">+H159+K159+N159</f>
        <v>69</v>
      </c>
      <c r="Q159" s="19">
        <f t="shared" ref="Q159:Q174" si="200">+I159+L159+O159</f>
        <v>9.7324499999999983</v>
      </c>
      <c r="R159" s="21">
        <f t="shared" ref="R159:R174" si="201">E159-P159</f>
        <v>5</v>
      </c>
      <c r="S159" s="19">
        <f t="shared" ref="S159:S174" si="202">F159-Q159</f>
        <v>0.70525000000000126</v>
      </c>
      <c r="U159" s="29"/>
    </row>
    <row r="160" spans="1:21">
      <c r="A160" s="26" t="s">
        <v>13</v>
      </c>
      <c r="B160" s="26" t="s">
        <v>52</v>
      </c>
      <c r="C160" s="26">
        <v>21.7</v>
      </c>
      <c r="D160" s="27">
        <v>7.2</v>
      </c>
      <c r="E160" s="28">
        <v>19</v>
      </c>
      <c r="F160" s="16">
        <f t="shared" si="195"/>
        <v>2.9685600000000005</v>
      </c>
      <c r="G160" s="17" t="s">
        <v>108</v>
      </c>
      <c r="H160" s="18">
        <v>27</v>
      </c>
      <c r="I160" s="19">
        <f t="shared" si="196"/>
        <v>4.2184800000000005</v>
      </c>
      <c r="J160" s="16" t="s">
        <v>109</v>
      </c>
      <c r="K160" s="18"/>
      <c r="L160" s="19">
        <f t="shared" si="197"/>
        <v>0</v>
      </c>
      <c r="M160" s="16"/>
      <c r="N160" s="18"/>
      <c r="O160" s="19">
        <f t="shared" si="198"/>
        <v>0</v>
      </c>
      <c r="P160" s="20">
        <f t="shared" si="199"/>
        <v>27</v>
      </c>
      <c r="Q160" s="19">
        <f t="shared" si="200"/>
        <v>4.2184800000000005</v>
      </c>
      <c r="R160" s="21">
        <f t="shared" si="201"/>
        <v>-8</v>
      </c>
      <c r="S160" s="19">
        <f t="shared" si="202"/>
        <v>-1.2499199999999999</v>
      </c>
      <c r="U160" s="29"/>
    </row>
    <row r="161" spans="1:21">
      <c r="A161" s="26" t="s">
        <v>13</v>
      </c>
      <c r="B161" s="26" t="s">
        <v>52</v>
      </c>
      <c r="C161" s="26">
        <v>21.7</v>
      </c>
      <c r="D161" s="27">
        <v>7.5</v>
      </c>
      <c r="E161" s="28">
        <v>42</v>
      </c>
      <c r="F161" s="16">
        <f t="shared" si="195"/>
        <v>6.8354999999999997</v>
      </c>
      <c r="G161" s="16" t="s">
        <v>89</v>
      </c>
      <c r="H161" s="18">
        <v>40</v>
      </c>
      <c r="I161" s="19">
        <f t="shared" si="196"/>
        <v>6.51</v>
      </c>
      <c r="J161" s="16"/>
      <c r="K161" s="18">
        <v>2</v>
      </c>
      <c r="L161" s="19">
        <f t="shared" si="197"/>
        <v>0.32550000000000001</v>
      </c>
      <c r="M161" s="16"/>
      <c r="N161" s="18"/>
      <c r="O161" s="19">
        <f t="shared" si="198"/>
        <v>0</v>
      </c>
      <c r="P161" s="20">
        <f t="shared" si="199"/>
        <v>42</v>
      </c>
      <c r="Q161" s="19">
        <f t="shared" si="200"/>
        <v>6.8354999999999997</v>
      </c>
      <c r="R161" s="21">
        <f t="shared" si="201"/>
        <v>0</v>
      </c>
      <c r="S161" s="19">
        <f t="shared" si="202"/>
        <v>0</v>
      </c>
      <c r="U161" s="29"/>
    </row>
    <row r="162" spans="1:21">
      <c r="A162" s="26" t="s">
        <v>13</v>
      </c>
      <c r="B162" s="26" t="s">
        <v>52</v>
      </c>
      <c r="C162" s="26">
        <v>21.7</v>
      </c>
      <c r="D162" s="27">
        <v>8</v>
      </c>
      <c r="E162" s="28">
        <v>24</v>
      </c>
      <c r="F162" s="16">
        <f t="shared" si="195"/>
        <v>4.1663999999999994</v>
      </c>
      <c r="G162" s="16" t="s">
        <v>108</v>
      </c>
      <c r="H162" s="18">
        <v>24</v>
      </c>
      <c r="I162" s="19">
        <f t="shared" si="196"/>
        <v>4.1663999999999994</v>
      </c>
      <c r="J162" s="16"/>
      <c r="K162" s="18"/>
      <c r="L162" s="19">
        <f t="shared" si="197"/>
        <v>0</v>
      </c>
      <c r="M162" s="16"/>
      <c r="N162" s="18"/>
      <c r="O162" s="19">
        <f t="shared" si="198"/>
        <v>0</v>
      </c>
      <c r="P162" s="20">
        <f t="shared" si="199"/>
        <v>24</v>
      </c>
      <c r="Q162" s="19">
        <f t="shared" si="200"/>
        <v>4.1663999999999994</v>
      </c>
      <c r="R162" s="21">
        <f t="shared" si="201"/>
        <v>0</v>
      </c>
      <c r="S162" s="19">
        <f t="shared" si="202"/>
        <v>0</v>
      </c>
      <c r="U162" s="29"/>
    </row>
    <row r="163" spans="1:21">
      <c r="A163" s="26" t="s">
        <v>13</v>
      </c>
      <c r="B163" s="26" t="s">
        <v>52</v>
      </c>
      <c r="C163" s="26">
        <v>21.7</v>
      </c>
      <c r="D163" s="27">
        <v>8.1</v>
      </c>
      <c r="E163" s="28">
        <v>74</v>
      </c>
      <c r="F163" s="16">
        <f t="shared" si="195"/>
        <v>13.00698</v>
      </c>
      <c r="G163" s="16" t="s">
        <v>93</v>
      </c>
      <c r="H163" s="18">
        <v>73</v>
      </c>
      <c r="I163" s="19">
        <f t="shared" si="196"/>
        <v>12.831209999999999</v>
      </c>
      <c r="J163" s="16"/>
      <c r="K163" s="18"/>
      <c r="L163" s="19">
        <f t="shared" si="197"/>
        <v>0</v>
      </c>
      <c r="M163" s="16"/>
      <c r="N163" s="18"/>
      <c r="O163" s="19">
        <f t="shared" si="198"/>
        <v>0</v>
      </c>
      <c r="P163" s="20">
        <f t="shared" si="199"/>
        <v>73</v>
      </c>
      <c r="Q163" s="19">
        <f t="shared" si="200"/>
        <v>12.831209999999999</v>
      </c>
      <c r="R163" s="21">
        <f t="shared" si="201"/>
        <v>1</v>
      </c>
      <c r="S163" s="19">
        <f t="shared" si="202"/>
        <v>0.17577000000000176</v>
      </c>
      <c r="U163" s="29"/>
    </row>
    <row r="164" spans="1:21">
      <c r="A164" s="26" t="s">
        <v>13</v>
      </c>
      <c r="B164" s="26" t="s">
        <v>52</v>
      </c>
      <c r="C164" s="26">
        <v>21.7</v>
      </c>
      <c r="D164" s="27">
        <v>8.5</v>
      </c>
      <c r="E164" s="28">
        <v>20</v>
      </c>
      <c r="F164" s="16">
        <f t="shared" si="195"/>
        <v>3.6890000000000001</v>
      </c>
      <c r="G164" s="16" t="s">
        <v>109</v>
      </c>
      <c r="H164" s="18">
        <v>22</v>
      </c>
      <c r="I164" s="19">
        <f t="shared" si="196"/>
        <v>4.0579000000000001</v>
      </c>
      <c r="J164" s="16"/>
      <c r="K164" s="18"/>
      <c r="L164" s="19">
        <f t="shared" si="197"/>
        <v>0</v>
      </c>
      <c r="M164" s="16"/>
      <c r="N164" s="18"/>
      <c r="O164" s="19">
        <f t="shared" si="198"/>
        <v>0</v>
      </c>
      <c r="P164" s="20">
        <f t="shared" si="199"/>
        <v>22</v>
      </c>
      <c r="Q164" s="19">
        <f t="shared" si="200"/>
        <v>4.0579000000000001</v>
      </c>
      <c r="R164" s="21">
        <f t="shared" si="201"/>
        <v>-2</v>
      </c>
      <c r="S164" s="19">
        <f t="shared" si="202"/>
        <v>-0.36890000000000001</v>
      </c>
      <c r="U164" s="29"/>
    </row>
    <row r="165" spans="1:21">
      <c r="A165" s="26" t="s">
        <v>13</v>
      </c>
      <c r="B165" s="26" t="s">
        <v>52</v>
      </c>
      <c r="C165" s="26">
        <v>21.7</v>
      </c>
      <c r="D165" s="27">
        <v>9</v>
      </c>
      <c r="E165" s="28">
        <v>16</v>
      </c>
      <c r="F165" s="16">
        <f t="shared" si="195"/>
        <v>3.1247999999999996</v>
      </c>
      <c r="G165" s="17"/>
      <c r="H165" s="18">
        <v>16</v>
      </c>
      <c r="I165" s="19">
        <f t="shared" si="196"/>
        <v>3.1247999999999996</v>
      </c>
      <c r="J165" s="16"/>
      <c r="K165" s="18">
        <v>7</v>
      </c>
      <c r="L165" s="19">
        <f t="shared" si="197"/>
        <v>1.3671</v>
      </c>
      <c r="M165" s="16"/>
      <c r="N165" s="18"/>
      <c r="O165" s="19">
        <f t="shared" si="198"/>
        <v>0</v>
      </c>
      <c r="P165" s="20">
        <f t="shared" si="199"/>
        <v>23</v>
      </c>
      <c r="Q165" s="19">
        <f t="shared" si="200"/>
        <v>4.4918999999999993</v>
      </c>
      <c r="R165" s="21">
        <f t="shared" si="201"/>
        <v>-7</v>
      </c>
      <c r="S165" s="19">
        <f t="shared" si="202"/>
        <v>-1.3670999999999998</v>
      </c>
      <c r="U165" s="29"/>
    </row>
    <row r="166" spans="1:21">
      <c r="A166" s="26" t="s">
        <v>13</v>
      </c>
      <c r="B166" s="26" t="s">
        <v>52</v>
      </c>
      <c r="C166" s="26">
        <v>21.7</v>
      </c>
      <c r="D166" s="27">
        <v>10.1</v>
      </c>
      <c r="E166" s="28">
        <v>16</v>
      </c>
      <c r="F166" s="16">
        <f t="shared" si="195"/>
        <v>3.5067199999999996</v>
      </c>
      <c r="G166" s="17"/>
      <c r="H166" s="18">
        <v>7</v>
      </c>
      <c r="I166" s="19">
        <f t="shared" si="196"/>
        <v>1.5341899999999997</v>
      </c>
      <c r="J166" s="16"/>
      <c r="K166" s="18"/>
      <c r="L166" s="19">
        <f t="shared" si="197"/>
        <v>0</v>
      </c>
      <c r="M166" s="16"/>
      <c r="N166" s="18"/>
      <c r="O166" s="19">
        <f t="shared" si="198"/>
        <v>0</v>
      </c>
      <c r="P166" s="20">
        <f t="shared" si="199"/>
        <v>7</v>
      </c>
      <c r="Q166" s="19">
        <f t="shared" si="200"/>
        <v>1.5341899999999997</v>
      </c>
      <c r="R166" s="21">
        <f t="shared" si="201"/>
        <v>9</v>
      </c>
      <c r="S166" s="19">
        <f t="shared" si="202"/>
        <v>1.9725299999999999</v>
      </c>
      <c r="U166" s="29"/>
    </row>
    <row r="167" spans="1:21">
      <c r="A167" s="26" t="s">
        <v>13</v>
      </c>
      <c r="B167" s="26" t="s">
        <v>52</v>
      </c>
      <c r="C167" s="26">
        <v>21.7</v>
      </c>
      <c r="D167" s="27">
        <v>11.1</v>
      </c>
      <c r="E167" s="28">
        <v>12</v>
      </c>
      <c r="F167" s="16">
        <f t="shared" si="195"/>
        <v>2.8904399999999995</v>
      </c>
      <c r="G167" s="17"/>
      <c r="H167" s="18">
        <v>12</v>
      </c>
      <c r="I167" s="19">
        <f t="shared" si="196"/>
        <v>2.8904399999999995</v>
      </c>
      <c r="J167" s="16"/>
      <c r="K167" s="18"/>
      <c r="L167" s="19">
        <f t="shared" si="197"/>
        <v>0</v>
      </c>
      <c r="M167" s="16"/>
      <c r="N167" s="18"/>
      <c r="O167" s="19">
        <f t="shared" si="198"/>
        <v>0</v>
      </c>
      <c r="P167" s="20">
        <f t="shared" si="199"/>
        <v>12</v>
      </c>
      <c r="Q167" s="19">
        <f t="shared" si="200"/>
        <v>2.8904399999999995</v>
      </c>
      <c r="R167" s="21">
        <f t="shared" si="201"/>
        <v>0</v>
      </c>
      <c r="S167" s="19">
        <f t="shared" si="202"/>
        <v>0</v>
      </c>
      <c r="U167" s="29"/>
    </row>
    <row r="168" spans="1:21">
      <c r="A168" s="26" t="s">
        <v>13</v>
      </c>
      <c r="B168" s="26" t="s">
        <v>52</v>
      </c>
      <c r="C168" s="26">
        <v>21.7</v>
      </c>
      <c r="D168" s="27">
        <v>11.2</v>
      </c>
      <c r="E168" s="28">
        <v>85</v>
      </c>
      <c r="F168" s="16">
        <f t="shared" si="195"/>
        <v>20.658399999999997</v>
      </c>
      <c r="G168" s="17"/>
      <c r="H168" s="18">
        <v>85</v>
      </c>
      <c r="I168" s="19">
        <f t="shared" si="196"/>
        <v>20.658399999999997</v>
      </c>
      <c r="J168" s="16"/>
      <c r="K168" s="18"/>
      <c r="L168" s="19">
        <f t="shared" si="197"/>
        <v>0</v>
      </c>
      <c r="M168" s="16"/>
      <c r="N168" s="18"/>
      <c r="O168" s="19">
        <f t="shared" si="198"/>
        <v>0</v>
      </c>
      <c r="P168" s="20">
        <f t="shared" si="199"/>
        <v>85</v>
      </c>
      <c r="Q168" s="19">
        <f t="shared" si="200"/>
        <v>20.658399999999997</v>
      </c>
      <c r="R168" s="21">
        <f t="shared" si="201"/>
        <v>0</v>
      </c>
      <c r="S168" s="19">
        <f t="shared" si="202"/>
        <v>0</v>
      </c>
      <c r="U168" s="29"/>
    </row>
    <row r="169" spans="1:21">
      <c r="A169" s="26" t="s">
        <v>13</v>
      </c>
      <c r="B169" s="26" t="s">
        <v>52</v>
      </c>
      <c r="C169" s="26">
        <v>21.7</v>
      </c>
      <c r="D169" s="27">
        <v>11.4</v>
      </c>
      <c r="E169" s="28">
        <v>74</v>
      </c>
      <c r="F169" s="16">
        <f t="shared" si="195"/>
        <v>18.30612</v>
      </c>
      <c r="G169" s="17"/>
      <c r="H169" s="18">
        <v>73</v>
      </c>
      <c r="I169" s="19">
        <f t="shared" si="196"/>
        <v>18.058739999999997</v>
      </c>
      <c r="J169" s="16"/>
      <c r="K169" s="18">
        <v>1</v>
      </c>
      <c r="L169" s="19">
        <f t="shared" si="197"/>
        <v>0.24737999999999999</v>
      </c>
      <c r="M169" s="16"/>
      <c r="N169" s="18"/>
      <c r="O169" s="19">
        <f t="shared" si="198"/>
        <v>0</v>
      </c>
      <c r="P169" s="20">
        <f t="shared" si="199"/>
        <v>74</v>
      </c>
      <c r="Q169" s="19">
        <f t="shared" si="200"/>
        <v>18.306119999999996</v>
      </c>
      <c r="R169" s="21">
        <f t="shared" si="201"/>
        <v>0</v>
      </c>
      <c r="S169" s="19">
        <f t="shared" si="202"/>
        <v>0</v>
      </c>
      <c r="U169" s="29"/>
    </row>
    <row r="170" spans="1:21">
      <c r="A170" s="26" t="s">
        <v>13</v>
      </c>
      <c r="B170" s="26" t="s">
        <v>52</v>
      </c>
      <c r="C170" s="26">
        <v>21.7</v>
      </c>
      <c r="D170" s="27">
        <v>12</v>
      </c>
      <c r="E170" s="28">
        <v>46</v>
      </c>
      <c r="F170" s="16">
        <f t="shared" ref="F170:F173" si="203">(C170*D170*E170/1000)</f>
        <v>11.978399999999999</v>
      </c>
      <c r="G170" s="17"/>
      <c r="H170" s="18">
        <v>42</v>
      </c>
      <c r="I170" s="19">
        <f t="shared" ref="I170:I173" si="204">(C170*D170*H170/1000)</f>
        <v>10.9368</v>
      </c>
      <c r="J170" s="16"/>
      <c r="K170" s="18">
        <v>4</v>
      </c>
      <c r="L170" s="19">
        <f t="shared" ref="L170:L173" si="205">(C170*D170*K170/1000)</f>
        <v>1.0415999999999999</v>
      </c>
      <c r="M170" s="16"/>
      <c r="N170" s="18"/>
      <c r="O170" s="19">
        <f t="shared" ref="O170:O173" si="206">(C170*D170*N170/1000)</f>
        <v>0</v>
      </c>
      <c r="P170" s="20">
        <f t="shared" ref="P170:P173" si="207">+H170+K170+N170</f>
        <v>46</v>
      </c>
      <c r="Q170" s="19">
        <f t="shared" ref="Q170:Q173" si="208">+I170+L170+O170</f>
        <v>11.978400000000001</v>
      </c>
      <c r="R170" s="21">
        <f t="shared" ref="R170:R173" si="209">E170-P170</f>
        <v>0</v>
      </c>
      <c r="S170" s="19">
        <f t="shared" ref="S170:S173" si="210">F170-Q170</f>
        <v>0</v>
      </c>
      <c r="U170" s="29"/>
    </row>
    <row r="171" spans="1:21">
      <c r="A171" s="26" t="s">
        <v>13</v>
      </c>
      <c r="B171" s="26" t="s">
        <v>52</v>
      </c>
      <c r="C171" s="26">
        <v>21.7</v>
      </c>
      <c r="D171" s="27">
        <v>6.3</v>
      </c>
      <c r="E171" s="28"/>
      <c r="F171" s="16">
        <f t="shared" si="203"/>
        <v>0</v>
      </c>
      <c r="G171" s="17"/>
      <c r="H171" s="18"/>
      <c r="I171" s="19">
        <f t="shared" si="204"/>
        <v>0</v>
      </c>
      <c r="J171" s="16"/>
      <c r="K171" s="18">
        <v>1</v>
      </c>
      <c r="L171" s="19">
        <f t="shared" si="205"/>
        <v>0.13670999999999997</v>
      </c>
      <c r="M171" s="16"/>
      <c r="N171" s="18"/>
      <c r="O171" s="19">
        <f t="shared" si="206"/>
        <v>0</v>
      </c>
      <c r="P171" s="20">
        <f t="shared" si="207"/>
        <v>1</v>
      </c>
      <c r="Q171" s="19">
        <f t="shared" si="208"/>
        <v>0.13670999999999997</v>
      </c>
      <c r="R171" s="21">
        <f t="shared" si="209"/>
        <v>-1</v>
      </c>
      <c r="S171" s="19">
        <f t="shared" si="210"/>
        <v>-0.13670999999999997</v>
      </c>
      <c r="U171" s="29"/>
    </row>
    <row r="172" spans="1:21">
      <c r="A172" s="26" t="s">
        <v>13</v>
      </c>
      <c r="B172" s="26" t="s">
        <v>52</v>
      </c>
      <c r="C172" s="26">
        <v>21.7</v>
      </c>
      <c r="D172" s="27">
        <v>10</v>
      </c>
      <c r="E172" s="28"/>
      <c r="F172" s="16">
        <f t="shared" si="203"/>
        <v>0</v>
      </c>
      <c r="G172" s="17"/>
      <c r="H172" s="18"/>
      <c r="I172" s="19">
        <f t="shared" si="204"/>
        <v>0</v>
      </c>
      <c r="J172" s="16"/>
      <c r="K172" s="18">
        <v>1</v>
      </c>
      <c r="L172" s="19">
        <f t="shared" si="205"/>
        <v>0.217</v>
      </c>
      <c r="M172" s="16"/>
      <c r="N172" s="18"/>
      <c r="O172" s="19">
        <f t="shared" si="206"/>
        <v>0</v>
      </c>
      <c r="P172" s="20">
        <f t="shared" si="207"/>
        <v>1</v>
      </c>
      <c r="Q172" s="19">
        <f t="shared" si="208"/>
        <v>0.217</v>
      </c>
      <c r="R172" s="21">
        <f t="shared" si="209"/>
        <v>-1</v>
      </c>
      <c r="S172" s="19">
        <f t="shared" si="210"/>
        <v>-0.217</v>
      </c>
      <c r="U172" s="29"/>
    </row>
    <row r="173" spans="1:21">
      <c r="A173" s="26" t="s">
        <v>13</v>
      </c>
      <c r="B173" s="26" t="s">
        <v>52</v>
      </c>
      <c r="C173" s="26">
        <v>21.7</v>
      </c>
      <c r="D173" s="27"/>
      <c r="E173" s="28"/>
      <c r="F173" s="16">
        <f t="shared" si="203"/>
        <v>0</v>
      </c>
      <c r="G173" s="17"/>
      <c r="H173" s="18"/>
      <c r="I173" s="19">
        <f t="shared" si="204"/>
        <v>0</v>
      </c>
      <c r="J173" s="16"/>
      <c r="K173" s="18"/>
      <c r="L173" s="19">
        <f t="shared" si="205"/>
        <v>0</v>
      </c>
      <c r="M173" s="16"/>
      <c r="N173" s="18"/>
      <c r="O173" s="19">
        <f t="shared" si="206"/>
        <v>0</v>
      </c>
      <c r="P173" s="20">
        <f t="shared" si="207"/>
        <v>0</v>
      </c>
      <c r="Q173" s="19">
        <f t="shared" si="208"/>
        <v>0</v>
      </c>
      <c r="R173" s="21">
        <f t="shared" si="209"/>
        <v>0</v>
      </c>
      <c r="S173" s="19">
        <f t="shared" si="210"/>
        <v>0</v>
      </c>
      <c r="U173" s="29"/>
    </row>
    <row r="174" spans="1:21">
      <c r="A174" s="26" t="s">
        <v>13</v>
      </c>
      <c r="B174" s="26" t="s">
        <v>52</v>
      </c>
      <c r="C174" s="26">
        <v>21.7</v>
      </c>
      <c r="D174" s="27"/>
      <c r="E174" s="28"/>
      <c r="F174" s="16">
        <f t="shared" si="195"/>
        <v>0</v>
      </c>
      <c r="G174" s="17"/>
      <c r="H174" s="18"/>
      <c r="I174" s="19">
        <f t="shared" si="196"/>
        <v>0</v>
      </c>
      <c r="J174" s="16"/>
      <c r="K174" s="18"/>
      <c r="L174" s="19">
        <f t="shared" si="197"/>
        <v>0</v>
      </c>
      <c r="M174" s="16"/>
      <c r="N174" s="18"/>
      <c r="O174" s="19">
        <f t="shared" si="198"/>
        <v>0</v>
      </c>
      <c r="P174" s="20">
        <f t="shared" si="199"/>
        <v>0</v>
      </c>
      <c r="Q174" s="19">
        <f t="shared" si="200"/>
        <v>0</v>
      </c>
      <c r="R174" s="21">
        <f t="shared" si="201"/>
        <v>0</v>
      </c>
      <c r="S174" s="19">
        <f t="shared" si="202"/>
        <v>0</v>
      </c>
      <c r="U174" s="29"/>
    </row>
    <row r="175" spans="1:21">
      <c r="A175" s="26"/>
      <c r="B175" s="26"/>
      <c r="C175" s="26"/>
      <c r="D175" s="27"/>
      <c r="E175" s="31">
        <f t="shared" ref="E175:F175" si="211">SUM(E159:E174)</f>
        <v>502</v>
      </c>
      <c r="F175" s="38">
        <f t="shared" si="211"/>
        <v>101.56901999999999</v>
      </c>
      <c r="G175" s="17"/>
      <c r="H175" s="31">
        <f t="shared" ref="H175" si="212">SUM(H159:H174)</f>
        <v>488</v>
      </c>
      <c r="I175" s="38">
        <f t="shared" ref="I175" si="213">SUM(I159:I174)</f>
        <v>98.43771000000001</v>
      </c>
      <c r="J175" s="16"/>
      <c r="K175" s="31">
        <f>SUM(K159:K174)</f>
        <v>18</v>
      </c>
      <c r="L175" s="38">
        <f>SUM(L159:L174)</f>
        <v>3.6173899999999999</v>
      </c>
      <c r="M175" s="16"/>
      <c r="N175" s="31">
        <f t="shared" ref="N175" si="214">SUM(N159:N174)</f>
        <v>0</v>
      </c>
      <c r="O175" s="38">
        <f t="shared" ref="O175" si="215">SUM(O159:O174)</f>
        <v>0</v>
      </c>
      <c r="P175" s="31">
        <f t="shared" ref="P175" si="216">SUM(P159:P174)</f>
        <v>506</v>
      </c>
      <c r="Q175" s="38">
        <f t="shared" ref="Q175" si="217">SUM(Q159:Q174)</f>
        <v>102.05509999999997</v>
      </c>
      <c r="R175" s="31">
        <f t="shared" ref="R175" si="218">SUM(R159:R174)</f>
        <v>-4</v>
      </c>
      <c r="S175" s="38">
        <f t="shared" ref="S175" si="219">SUM(S159:S174)</f>
        <v>-0.48607999999999674</v>
      </c>
      <c r="U175" s="29"/>
    </row>
    <row r="176" spans="1:21">
      <c r="A176" s="26" t="s">
        <v>13</v>
      </c>
      <c r="B176" s="26" t="s">
        <v>53</v>
      </c>
      <c r="C176" s="26">
        <v>23.6</v>
      </c>
      <c r="D176" s="27">
        <v>6.65</v>
      </c>
      <c r="E176" s="28">
        <v>86</v>
      </c>
      <c r="F176" s="16">
        <f t="shared" ref="F176:F182" si="220">(C176*D176*E176/1000)</f>
        <v>13.496840000000002</v>
      </c>
      <c r="G176" s="17" t="s">
        <v>86</v>
      </c>
      <c r="H176" s="18">
        <v>76</v>
      </c>
      <c r="I176" s="19">
        <f t="shared" ref="I176:I182" si="221">(C176*D176*H176/1000)</f>
        <v>11.927440000000002</v>
      </c>
      <c r="J176" s="16" t="s">
        <v>88</v>
      </c>
      <c r="K176" s="18"/>
      <c r="L176" s="19">
        <f t="shared" ref="L176:L182" si="222">(C176*D176*K176/1000)</f>
        <v>0</v>
      </c>
      <c r="M176" s="16"/>
      <c r="N176" s="18"/>
      <c r="O176" s="19">
        <f t="shared" ref="O176:O182" si="223">(C176*D176*N176/1000)</f>
        <v>0</v>
      </c>
      <c r="P176" s="20">
        <f t="shared" ref="P176:P182" si="224">+H176+K176+N176</f>
        <v>76</v>
      </c>
      <c r="Q176" s="19">
        <f t="shared" ref="Q176:Q182" si="225">+I176+L176+O176</f>
        <v>11.927440000000002</v>
      </c>
      <c r="R176" s="21">
        <f t="shared" ref="R176:R182" si="226">E176-P176</f>
        <v>10</v>
      </c>
      <c r="S176" s="19">
        <f t="shared" ref="S176:S182" si="227">F176-Q176</f>
        <v>1.5693999999999999</v>
      </c>
      <c r="U176" s="29"/>
    </row>
    <row r="177" spans="1:21">
      <c r="A177" s="26" t="s">
        <v>13</v>
      </c>
      <c r="B177" s="26" t="s">
        <v>53</v>
      </c>
      <c r="C177" s="26">
        <v>23.6</v>
      </c>
      <c r="D177" s="27">
        <v>6.8</v>
      </c>
      <c r="E177" s="28">
        <v>74</v>
      </c>
      <c r="F177" s="16">
        <f t="shared" si="220"/>
        <v>11.87552</v>
      </c>
      <c r="G177" s="17" t="s">
        <v>97</v>
      </c>
      <c r="H177" s="18">
        <v>81</v>
      </c>
      <c r="I177" s="19">
        <f t="shared" si="221"/>
        <v>12.998880000000002</v>
      </c>
      <c r="J177" s="16" t="s">
        <v>112</v>
      </c>
      <c r="K177" s="18"/>
      <c r="L177" s="19">
        <f t="shared" si="222"/>
        <v>0</v>
      </c>
      <c r="M177" s="16"/>
      <c r="N177" s="18"/>
      <c r="O177" s="19">
        <f t="shared" si="223"/>
        <v>0</v>
      </c>
      <c r="P177" s="20">
        <f t="shared" si="224"/>
        <v>81</v>
      </c>
      <c r="Q177" s="19">
        <f t="shared" si="225"/>
        <v>12.998880000000002</v>
      </c>
      <c r="R177" s="21">
        <f t="shared" si="226"/>
        <v>-7</v>
      </c>
      <c r="S177" s="19">
        <f t="shared" si="227"/>
        <v>-1.1233600000000017</v>
      </c>
      <c r="U177" s="29"/>
    </row>
    <row r="178" spans="1:21">
      <c r="A178" s="26" t="s">
        <v>13</v>
      </c>
      <c r="B178" s="26" t="s">
        <v>53</v>
      </c>
      <c r="C178" s="26">
        <v>23.6</v>
      </c>
      <c r="D178" s="27">
        <v>8.4499999999999993</v>
      </c>
      <c r="E178" s="28">
        <v>92</v>
      </c>
      <c r="F178" s="16">
        <f t="shared" si="220"/>
        <v>18.346640000000001</v>
      </c>
      <c r="G178" s="16" t="s">
        <v>88</v>
      </c>
      <c r="H178" s="18">
        <v>94</v>
      </c>
      <c r="I178" s="19">
        <f t="shared" si="221"/>
        <v>18.745480000000001</v>
      </c>
      <c r="J178" s="16"/>
      <c r="K178" s="18"/>
      <c r="L178" s="19">
        <f t="shared" si="222"/>
        <v>0</v>
      </c>
      <c r="M178" s="16"/>
      <c r="N178" s="18"/>
      <c r="O178" s="19">
        <f t="shared" si="223"/>
        <v>0</v>
      </c>
      <c r="P178" s="20">
        <f t="shared" si="224"/>
        <v>94</v>
      </c>
      <c r="Q178" s="19">
        <f t="shared" si="225"/>
        <v>18.745480000000001</v>
      </c>
      <c r="R178" s="21">
        <f t="shared" si="226"/>
        <v>-2</v>
      </c>
      <c r="S178" s="19">
        <f t="shared" si="227"/>
        <v>-0.39883999999999986</v>
      </c>
      <c r="U178" s="29"/>
    </row>
    <row r="179" spans="1:21">
      <c r="A179" s="26" t="s">
        <v>13</v>
      </c>
      <c r="B179" s="26" t="s">
        <v>53</v>
      </c>
      <c r="C179" s="26">
        <v>23.6</v>
      </c>
      <c r="D179" s="27">
        <v>8.6</v>
      </c>
      <c r="E179" s="28">
        <v>74</v>
      </c>
      <c r="F179" s="16">
        <f t="shared" si="220"/>
        <v>15.01904</v>
      </c>
      <c r="G179" s="16" t="s">
        <v>98</v>
      </c>
      <c r="H179" s="18">
        <v>65</v>
      </c>
      <c r="I179" s="19">
        <f t="shared" si="221"/>
        <v>13.192399999999999</v>
      </c>
      <c r="J179" s="16"/>
      <c r="K179" s="18"/>
      <c r="L179" s="19">
        <f t="shared" si="222"/>
        <v>0</v>
      </c>
      <c r="M179" s="16"/>
      <c r="N179" s="18"/>
      <c r="O179" s="19">
        <f t="shared" si="223"/>
        <v>0</v>
      </c>
      <c r="P179" s="20">
        <f t="shared" si="224"/>
        <v>65</v>
      </c>
      <c r="Q179" s="19">
        <f t="shared" si="225"/>
        <v>13.192399999999999</v>
      </c>
      <c r="R179" s="21">
        <f t="shared" si="226"/>
        <v>9</v>
      </c>
      <c r="S179" s="19">
        <f t="shared" si="227"/>
        <v>1.8266400000000012</v>
      </c>
      <c r="U179" s="29"/>
    </row>
    <row r="180" spans="1:21">
      <c r="A180" s="26" t="s">
        <v>13</v>
      </c>
      <c r="B180" s="26" t="s">
        <v>53</v>
      </c>
      <c r="C180" s="26">
        <v>23.6</v>
      </c>
      <c r="D180" s="27">
        <v>9.1</v>
      </c>
      <c r="E180" s="28">
        <v>37</v>
      </c>
      <c r="F180" s="16">
        <f t="shared" si="220"/>
        <v>7.9461199999999996</v>
      </c>
      <c r="G180" s="16" t="s">
        <v>93</v>
      </c>
      <c r="H180" s="18">
        <v>30</v>
      </c>
      <c r="I180" s="19">
        <f t="shared" si="221"/>
        <v>6.4427999999999992</v>
      </c>
      <c r="J180" s="16"/>
      <c r="K180" s="18"/>
      <c r="L180" s="19">
        <f t="shared" si="222"/>
        <v>0</v>
      </c>
      <c r="M180" s="16"/>
      <c r="N180" s="18"/>
      <c r="O180" s="19">
        <f t="shared" si="223"/>
        <v>0</v>
      </c>
      <c r="P180" s="20">
        <f t="shared" si="224"/>
        <v>30</v>
      </c>
      <c r="Q180" s="19">
        <f t="shared" si="225"/>
        <v>6.4427999999999992</v>
      </c>
      <c r="R180" s="21">
        <f t="shared" si="226"/>
        <v>7</v>
      </c>
      <c r="S180" s="19">
        <f t="shared" si="227"/>
        <v>1.5033200000000004</v>
      </c>
    </row>
    <row r="181" spans="1:21">
      <c r="A181" s="26" t="s">
        <v>13</v>
      </c>
      <c r="B181" s="26" t="s">
        <v>53</v>
      </c>
      <c r="C181" s="26">
        <v>23.6</v>
      </c>
      <c r="D181" s="27">
        <v>10.7</v>
      </c>
      <c r="E181" s="28">
        <v>150</v>
      </c>
      <c r="F181" s="16">
        <f t="shared" si="220"/>
        <v>37.878</v>
      </c>
      <c r="G181" s="16" t="s">
        <v>104</v>
      </c>
      <c r="H181" s="18">
        <v>131</v>
      </c>
      <c r="I181" s="19">
        <f t="shared" si="221"/>
        <v>33.080120000000001</v>
      </c>
      <c r="J181" s="16"/>
      <c r="K181" s="18"/>
      <c r="L181" s="19">
        <f t="shared" si="222"/>
        <v>0</v>
      </c>
      <c r="M181" s="16"/>
      <c r="N181" s="18"/>
      <c r="O181" s="19">
        <f t="shared" si="223"/>
        <v>0</v>
      </c>
      <c r="P181" s="20">
        <f t="shared" si="224"/>
        <v>131</v>
      </c>
      <c r="Q181" s="19">
        <f t="shared" si="225"/>
        <v>33.080120000000001</v>
      </c>
      <c r="R181" s="21">
        <f t="shared" si="226"/>
        <v>19</v>
      </c>
      <c r="S181" s="19">
        <f t="shared" si="227"/>
        <v>4.7978799999999993</v>
      </c>
    </row>
    <row r="182" spans="1:21">
      <c r="A182" s="26" t="s">
        <v>13</v>
      </c>
      <c r="B182" s="26" t="s">
        <v>53</v>
      </c>
      <c r="C182" s="26">
        <v>23.6</v>
      </c>
      <c r="D182" s="27">
        <v>11.7</v>
      </c>
      <c r="E182" s="28">
        <v>142</v>
      </c>
      <c r="F182" s="16">
        <f t="shared" si="220"/>
        <v>39.209040000000002</v>
      </c>
      <c r="G182" s="16" t="s">
        <v>88</v>
      </c>
      <c r="H182" s="18">
        <v>147</v>
      </c>
      <c r="I182" s="19">
        <f t="shared" si="221"/>
        <v>40.589640000000003</v>
      </c>
      <c r="J182" s="16"/>
      <c r="K182" s="18"/>
      <c r="L182" s="19">
        <f t="shared" si="222"/>
        <v>0</v>
      </c>
      <c r="M182" s="16"/>
      <c r="N182" s="18"/>
      <c r="O182" s="19">
        <f t="shared" si="223"/>
        <v>0</v>
      </c>
      <c r="P182" s="20">
        <f t="shared" si="224"/>
        <v>147</v>
      </c>
      <c r="Q182" s="19">
        <f t="shared" si="225"/>
        <v>40.589640000000003</v>
      </c>
      <c r="R182" s="21">
        <f t="shared" si="226"/>
        <v>-5</v>
      </c>
      <c r="S182" s="19">
        <f t="shared" si="227"/>
        <v>-1.3806000000000012</v>
      </c>
    </row>
    <row r="183" spans="1:21">
      <c r="A183" s="26" t="s">
        <v>13</v>
      </c>
      <c r="B183" s="26" t="s">
        <v>53</v>
      </c>
      <c r="C183" s="26">
        <v>23.6</v>
      </c>
      <c r="D183" s="27">
        <v>11.8</v>
      </c>
      <c r="E183" s="28">
        <v>110</v>
      </c>
      <c r="F183" s="16">
        <f t="shared" ref="F183:F200" si="228">(C183*D183*E183/1000)</f>
        <v>30.632800000000003</v>
      </c>
      <c r="G183" s="16" t="s">
        <v>104</v>
      </c>
      <c r="H183" s="18">
        <v>103</v>
      </c>
      <c r="I183" s="19">
        <f t="shared" ref="I183:I200" si="229">(C183*D183*H183/1000)</f>
        <v>28.683440000000001</v>
      </c>
      <c r="J183" s="16"/>
      <c r="K183" s="18"/>
      <c r="L183" s="19">
        <f t="shared" ref="L183:L200" si="230">(C183*D183*K183/1000)</f>
        <v>0</v>
      </c>
      <c r="M183" s="16"/>
      <c r="N183" s="18"/>
      <c r="O183" s="19">
        <f t="shared" ref="O183:O200" si="231">(C183*D183*N183/1000)</f>
        <v>0</v>
      </c>
      <c r="P183" s="20">
        <f t="shared" ref="P183:P200" si="232">+H183+K183+N183</f>
        <v>103</v>
      </c>
      <c r="Q183" s="19">
        <f t="shared" ref="Q183:Q200" si="233">+I183+L183+O183</f>
        <v>28.683440000000001</v>
      </c>
      <c r="R183" s="21">
        <f t="shared" ref="R183:R200" si="234">E183-P183</f>
        <v>7</v>
      </c>
      <c r="S183" s="19">
        <f t="shared" ref="S183:S200" si="235">F183-Q183</f>
        <v>1.9493600000000022</v>
      </c>
    </row>
    <row r="184" spans="1:21">
      <c r="A184" s="26" t="s">
        <v>13</v>
      </c>
      <c r="B184" s="26" t="s">
        <v>53</v>
      </c>
      <c r="C184" s="26">
        <v>23.6</v>
      </c>
      <c r="D184" s="27">
        <v>7.9</v>
      </c>
      <c r="E184" s="28"/>
      <c r="F184" s="16">
        <f t="shared" si="228"/>
        <v>0</v>
      </c>
      <c r="G184" s="16" t="s">
        <v>93</v>
      </c>
      <c r="H184" s="18">
        <v>5</v>
      </c>
      <c r="I184" s="19">
        <f t="shared" si="229"/>
        <v>0.93220000000000014</v>
      </c>
      <c r="J184" s="16"/>
      <c r="K184" s="18"/>
      <c r="L184" s="19">
        <f t="shared" si="230"/>
        <v>0</v>
      </c>
      <c r="M184" s="16"/>
      <c r="N184" s="18"/>
      <c r="O184" s="19">
        <f t="shared" si="231"/>
        <v>0</v>
      </c>
      <c r="P184" s="20">
        <f t="shared" si="232"/>
        <v>5</v>
      </c>
      <c r="Q184" s="19">
        <f t="shared" si="233"/>
        <v>0.93220000000000014</v>
      </c>
      <c r="R184" s="21">
        <f t="shared" si="234"/>
        <v>-5</v>
      </c>
      <c r="S184" s="19">
        <f t="shared" si="235"/>
        <v>-0.93220000000000014</v>
      </c>
    </row>
    <row r="185" spans="1:21">
      <c r="A185" s="26" t="s">
        <v>13</v>
      </c>
      <c r="B185" s="26" t="s">
        <v>53</v>
      </c>
      <c r="C185" s="26">
        <v>23.6</v>
      </c>
      <c r="D185" s="27">
        <v>10.5</v>
      </c>
      <c r="E185" s="28"/>
      <c r="F185" s="16">
        <f t="shared" si="228"/>
        <v>0</v>
      </c>
      <c r="G185" s="16" t="s">
        <v>105</v>
      </c>
      <c r="H185" s="18">
        <v>3</v>
      </c>
      <c r="I185" s="19">
        <f t="shared" si="229"/>
        <v>0.74340000000000006</v>
      </c>
      <c r="J185" s="16"/>
      <c r="K185" s="18"/>
      <c r="L185" s="19">
        <f t="shared" si="230"/>
        <v>0</v>
      </c>
      <c r="M185" s="16"/>
      <c r="N185" s="18"/>
      <c r="O185" s="19">
        <f>(C185*D185*N185/1000)</f>
        <v>0</v>
      </c>
      <c r="P185" s="20">
        <f>+H185+K185+N185</f>
        <v>3</v>
      </c>
      <c r="Q185" s="19">
        <f t="shared" si="233"/>
        <v>0.74340000000000006</v>
      </c>
      <c r="R185" s="21">
        <f t="shared" si="234"/>
        <v>-3</v>
      </c>
      <c r="S185" s="19">
        <f t="shared" si="235"/>
        <v>-0.74340000000000006</v>
      </c>
    </row>
    <row r="186" spans="1:21">
      <c r="A186" s="26" t="s">
        <v>13</v>
      </c>
      <c r="B186" s="26" t="s">
        <v>53</v>
      </c>
      <c r="C186" s="26">
        <v>23.6</v>
      </c>
      <c r="D186" s="27">
        <v>10.6</v>
      </c>
      <c r="E186" s="28"/>
      <c r="F186" s="16">
        <f t="shared" si="228"/>
        <v>0</v>
      </c>
      <c r="G186" s="16" t="s">
        <v>111</v>
      </c>
      <c r="H186" s="18">
        <v>2</v>
      </c>
      <c r="I186" s="19">
        <f t="shared" si="229"/>
        <v>0.50031999999999999</v>
      </c>
      <c r="J186" s="16"/>
      <c r="K186" s="18"/>
      <c r="L186" s="19">
        <f t="shared" si="230"/>
        <v>0</v>
      </c>
      <c r="M186" s="16"/>
      <c r="N186" s="18"/>
      <c r="O186" s="19">
        <f t="shared" si="231"/>
        <v>0</v>
      </c>
      <c r="P186" s="20">
        <f t="shared" si="232"/>
        <v>2</v>
      </c>
      <c r="Q186" s="19">
        <f t="shared" si="233"/>
        <v>0.50031999999999999</v>
      </c>
      <c r="R186" s="21">
        <f t="shared" si="234"/>
        <v>-2</v>
      </c>
      <c r="S186" s="19">
        <f t="shared" si="235"/>
        <v>-0.50031999999999999</v>
      </c>
    </row>
    <row r="187" spans="1:21">
      <c r="A187" s="26" t="s">
        <v>13</v>
      </c>
      <c r="B187" s="26" t="s">
        <v>53</v>
      </c>
      <c r="C187" s="26">
        <v>23.6</v>
      </c>
      <c r="D187" s="27">
        <v>11.8</v>
      </c>
      <c r="E187" s="28"/>
      <c r="F187" s="16">
        <f t="shared" si="228"/>
        <v>0</v>
      </c>
      <c r="G187" s="16" t="s">
        <v>109</v>
      </c>
      <c r="H187" s="18">
        <v>3</v>
      </c>
      <c r="I187" s="19">
        <f t="shared" si="229"/>
        <v>0.83544000000000007</v>
      </c>
      <c r="J187" s="16"/>
      <c r="K187" s="18"/>
      <c r="L187" s="19">
        <f t="shared" si="230"/>
        <v>0</v>
      </c>
      <c r="M187" s="16"/>
      <c r="N187" s="18"/>
      <c r="O187" s="19">
        <f t="shared" si="231"/>
        <v>0</v>
      </c>
      <c r="P187" s="20">
        <f t="shared" si="232"/>
        <v>3</v>
      </c>
      <c r="Q187" s="19">
        <f t="shared" si="233"/>
        <v>0.83544000000000007</v>
      </c>
      <c r="R187" s="21">
        <f t="shared" si="234"/>
        <v>-3</v>
      </c>
      <c r="S187" s="19">
        <f t="shared" si="235"/>
        <v>-0.83544000000000007</v>
      </c>
    </row>
    <row r="188" spans="1:21">
      <c r="A188" s="26" t="s">
        <v>13</v>
      </c>
      <c r="B188" s="26" t="s">
        <v>53</v>
      </c>
      <c r="C188" s="26">
        <v>23.6</v>
      </c>
      <c r="D188" s="27">
        <v>11.9</v>
      </c>
      <c r="E188" s="28"/>
      <c r="F188" s="16">
        <f t="shared" si="228"/>
        <v>0</v>
      </c>
      <c r="G188" s="16" t="s">
        <v>89</v>
      </c>
      <c r="H188" s="18">
        <v>3</v>
      </c>
      <c r="I188" s="19">
        <f t="shared" si="229"/>
        <v>0.84252000000000005</v>
      </c>
      <c r="J188" s="16"/>
      <c r="K188" s="18"/>
      <c r="L188" s="19">
        <f t="shared" si="230"/>
        <v>0</v>
      </c>
      <c r="M188" s="16"/>
      <c r="N188" s="18"/>
      <c r="O188" s="19">
        <f t="shared" si="231"/>
        <v>0</v>
      </c>
      <c r="P188" s="20">
        <f t="shared" si="232"/>
        <v>3</v>
      </c>
      <c r="Q188" s="19">
        <f t="shared" si="233"/>
        <v>0.84252000000000005</v>
      </c>
      <c r="R188" s="21">
        <f t="shared" si="234"/>
        <v>-3</v>
      </c>
      <c r="S188" s="19">
        <f t="shared" si="235"/>
        <v>-0.84252000000000005</v>
      </c>
    </row>
    <row r="189" spans="1:21">
      <c r="A189" s="26" t="s">
        <v>13</v>
      </c>
      <c r="B189" s="26" t="s">
        <v>53</v>
      </c>
      <c r="C189" s="26">
        <v>23.6</v>
      </c>
      <c r="D189" s="27">
        <v>7.8</v>
      </c>
      <c r="E189" s="28"/>
      <c r="F189" s="16">
        <f t="shared" si="228"/>
        <v>0</v>
      </c>
      <c r="G189" s="16" t="s">
        <v>112</v>
      </c>
      <c r="H189" s="18">
        <v>1</v>
      </c>
      <c r="I189" s="19">
        <f t="shared" si="229"/>
        <v>0.18408000000000002</v>
      </c>
      <c r="J189" s="16"/>
      <c r="K189" s="18"/>
      <c r="L189" s="19">
        <f t="shared" si="230"/>
        <v>0</v>
      </c>
      <c r="M189" s="16"/>
      <c r="N189" s="18"/>
      <c r="O189" s="19">
        <f t="shared" si="231"/>
        <v>0</v>
      </c>
      <c r="P189" s="20">
        <f t="shared" si="232"/>
        <v>1</v>
      </c>
      <c r="Q189" s="19">
        <f t="shared" si="233"/>
        <v>0.18408000000000002</v>
      </c>
      <c r="R189" s="21">
        <f t="shared" si="234"/>
        <v>-1</v>
      </c>
      <c r="S189" s="19">
        <f t="shared" si="235"/>
        <v>-0.18408000000000002</v>
      </c>
    </row>
    <row r="190" spans="1:21">
      <c r="A190" s="26" t="s">
        <v>13</v>
      </c>
      <c r="B190" s="26" t="s">
        <v>53</v>
      </c>
      <c r="C190" s="26">
        <v>23.6</v>
      </c>
      <c r="D190" s="27">
        <v>7.9</v>
      </c>
      <c r="E190" s="28"/>
      <c r="F190" s="16">
        <f t="shared" ref="F190:F199" si="236">(C190*D190*E190/1000)</f>
        <v>0</v>
      </c>
      <c r="G190" s="17"/>
      <c r="H190" s="18">
        <v>6</v>
      </c>
      <c r="I190" s="19">
        <f t="shared" ref="I190:I199" si="237">(C190*D190*H190/1000)</f>
        <v>1.1186400000000001</v>
      </c>
      <c r="J190" s="16"/>
      <c r="K190" s="18"/>
      <c r="L190" s="19">
        <f t="shared" ref="L190:L199" si="238">(C190*D190*K190/1000)</f>
        <v>0</v>
      </c>
      <c r="M190" s="16"/>
      <c r="N190" s="18"/>
      <c r="O190" s="19">
        <f t="shared" ref="O190:O199" si="239">(C190*D190*N190/1000)</f>
        <v>0</v>
      </c>
      <c r="P190" s="20">
        <f t="shared" ref="P190:P199" si="240">+H190+K190+N190</f>
        <v>6</v>
      </c>
      <c r="Q190" s="19">
        <f t="shared" ref="Q190:Q199" si="241">+I190+L190+O190</f>
        <v>1.1186400000000001</v>
      </c>
      <c r="R190" s="21">
        <f t="shared" ref="R190:R199" si="242">E190-P190</f>
        <v>-6</v>
      </c>
      <c r="S190" s="19">
        <f t="shared" ref="S190:S199" si="243">F190-Q190</f>
        <v>-1.1186400000000001</v>
      </c>
    </row>
    <row r="191" spans="1:21">
      <c r="A191" s="26" t="s">
        <v>13</v>
      </c>
      <c r="B191" s="26" t="s">
        <v>53</v>
      </c>
      <c r="C191" s="26">
        <v>23.6</v>
      </c>
      <c r="D191" s="27">
        <v>8.6999999999999993</v>
      </c>
      <c r="E191" s="28"/>
      <c r="F191" s="16">
        <f t="shared" si="236"/>
        <v>0</v>
      </c>
      <c r="G191" s="17"/>
      <c r="H191" s="18">
        <v>2</v>
      </c>
      <c r="I191" s="19">
        <f t="shared" si="237"/>
        <v>0.41064000000000001</v>
      </c>
      <c r="J191" s="16"/>
      <c r="K191" s="18"/>
      <c r="L191" s="19">
        <f t="shared" si="238"/>
        <v>0</v>
      </c>
      <c r="M191" s="16"/>
      <c r="N191" s="18"/>
      <c r="O191" s="19">
        <f t="shared" si="239"/>
        <v>0</v>
      </c>
      <c r="P191" s="20">
        <f t="shared" si="240"/>
        <v>2</v>
      </c>
      <c r="Q191" s="19">
        <f t="shared" si="241"/>
        <v>0.41064000000000001</v>
      </c>
      <c r="R191" s="21">
        <f t="shared" si="242"/>
        <v>-2</v>
      </c>
      <c r="S191" s="19">
        <f t="shared" si="243"/>
        <v>-0.41064000000000001</v>
      </c>
    </row>
    <row r="192" spans="1:21">
      <c r="A192" s="26" t="s">
        <v>13</v>
      </c>
      <c r="B192" s="26" t="s">
        <v>53</v>
      </c>
      <c r="C192" s="26">
        <v>23.6</v>
      </c>
      <c r="D192" s="27">
        <v>6.3</v>
      </c>
      <c r="E192" s="28"/>
      <c r="F192" s="16">
        <f t="shared" si="236"/>
        <v>0</v>
      </c>
      <c r="G192" s="17"/>
      <c r="H192" s="18"/>
      <c r="I192" s="19">
        <f t="shared" si="237"/>
        <v>0</v>
      </c>
      <c r="J192" s="16"/>
      <c r="K192" s="18">
        <v>1</v>
      </c>
      <c r="L192" s="19">
        <f t="shared" si="238"/>
        <v>0.14868000000000001</v>
      </c>
      <c r="M192" s="16"/>
      <c r="N192" s="18"/>
      <c r="O192" s="19">
        <f t="shared" si="239"/>
        <v>0</v>
      </c>
      <c r="P192" s="20">
        <f t="shared" si="240"/>
        <v>1</v>
      </c>
      <c r="Q192" s="19">
        <f t="shared" si="241"/>
        <v>0.14868000000000001</v>
      </c>
      <c r="R192" s="21">
        <f t="shared" si="242"/>
        <v>-1</v>
      </c>
      <c r="S192" s="19">
        <f t="shared" si="243"/>
        <v>-0.14868000000000001</v>
      </c>
    </row>
    <row r="193" spans="1:19">
      <c r="A193" s="26" t="s">
        <v>13</v>
      </c>
      <c r="B193" s="26" t="s">
        <v>53</v>
      </c>
      <c r="C193" s="26">
        <v>23.6</v>
      </c>
      <c r="D193" s="27">
        <v>6.5</v>
      </c>
      <c r="E193" s="28"/>
      <c r="F193" s="16">
        <f t="shared" si="236"/>
        <v>0</v>
      </c>
      <c r="G193" s="17"/>
      <c r="H193" s="18"/>
      <c r="I193" s="19">
        <f t="shared" si="237"/>
        <v>0</v>
      </c>
      <c r="J193" s="16"/>
      <c r="K193" s="18">
        <v>3</v>
      </c>
      <c r="L193" s="19">
        <f t="shared" si="238"/>
        <v>0.46020000000000005</v>
      </c>
      <c r="M193" s="16"/>
      <c r="N193" s="18"/>
      <c r="O193" s="19">
        <f t="shared" si="239"/>
        <v>0</v>
      </c>
      <c r="P193" s="20">
        <f t="shared" si="240"/>
        <v>3</v>
      </c>
      <c r="Q193" s="19">
        <f t="shared" si="241"/>
        <v>0.46020000000000005</v>
      </c>
      <c r="R193" s="21">
        <f t="shared" si="242"/>
        <v>-3</v>
      </c>
      <c r="S193" s="19">
        <f t="shared" si="243"/>
        <v>-0.46020000000000005</v>
      </c>
    </row>
    <row r="194" spans="1:19">
      <c r="A194" s="26" t="s">
        <v>13</v>
      </c>
      <c r="B194" s="26" t="s">
        <v>53</v>
      </c>
      <c r="C194" s="26">
        <v>23.6</v>
      </c>
      <c r="D194" s="27">
        <v>7.7</v>
      </c>
      <c r="E194" s="28"/>
      <c r="F194" s="16">
        <f t="shared" si="236"/>
        <v>0</v>
      </c>
      <c r="G194" s="17"/>
      <c r="H194" s="18"/>
      <c r="I194" s="19">
        <f t="shared" si="237"/>
        <v>0</v>
      </c>
      <c r="J194" s="16"/>
      <c r="K194" s="18">
        <v>1</v>
      </c>
      <c r="L194" s="19">
        <f t="shared" si="238"/>
        <v>0.18172000000000002</v>
      </c>
      <c r="M194" s="16"/>
      <c r="N194" s="18"/>
      <c r="O194" s="19">
        <f t="shared" si="239"/>
        <v>0</v>
      </c>
      <c r="P194" s="20">
        <f t="shared" si="240"/>
        <v>1</v>
      </c>
      <c r="Q194" s="19">
        <f t="shared" si="241"/>
        <v>0.18172000000000002</v>
      </c>
      <c r="R194" s="21">
        <f t="shared" si="242"/>
        <v>-1</v>
      </c>
      <c r="S194" s="19">
        <f t="shared" si="243"/>
        <v>-0.18172000000000002</v>
      </c>
    </row>
    <row r="195" spans="1:19">
      <c r="A195" s="26" t="s">
        <v>13</v>
      </c>
      <c r="B195" s="26" t="s">
        <v>53</v>
      </c>
      <c r="C195" s="26">
        <v>23.6</v>
      </c>
      <c r="D195" s="27">
        <v>10.199999999999999</v>
      </c>
      <c r="E195" s="28"/>
      <c r="F195" s="16">
        <f t="shared" si="236"/>
        <v>0</v>
      </c>
      <c r="G195" s="17"/>
      <c r="H195" s="18"/>
      <c r="I195" s="19">
        <f t="shared" si="237"/>
        <v>0</v>
      </c>
      <c r="J195" s="16"/>
      <c r="K195" s="18">
        <v>3</v>
      </c>
      <c r="L195" s="19">
        <f t="shared" si="238"/>
        <v>0.72215999999999991</v>
      </c>
      <c r="M195" s="16"/>
      <c r="N195" s="18"/>
      <c r="O195" s="19">
        <f t="shared" si="239"/>
        <v>0</v>
      </c>
      <c r="P195" s="20">
        <f t="shared" si="240"/>
        <v>3</v>
      </c>
      <c r="Q195" s="19">
        <f t="shared" si="241"/>
        <v>0.72215999999999991</v>
      </c>
      <c r="R195" s="21">
        <f t="shared" si="242"/>
        <v>-3</v>
      </c>
      <c r="S195" s="19">
        <f t="shared" si="243"/>
        <v>-0.72215999999999991</v>
      </c>
    </row>
    <row r="196" spans="1:19">
      <c r="A196" s="26" t="s">
        <v>13</v>
      </c>
      <c r="B196" s="26" t="s">
        <v>53</v>
      </c>
      <c r="C196" s="26">
        <v>23.6</v>
      </c>
      <c r="D196" s="27">
        <v>11.2</v>
      </c>
      <c r="E196" s="28"/>
      <c r="F196" s="16">
        <f t="shared" si="236"/>
        <v>0</v>
      </c>
      <c r="G196" s="17"/>
      <c r="H196" s="18"/>
      <c r="I196" s="19">
        <f t="shared" si="237"/>
        <v>0</v>
      </c>
      <c r="J196" s="16"/>
      <c r="K196" s="18">
        <v>1</v>
      </c>
      <c r="L196" s="19">
        <f t="shared" si="238"/>
        <v>0.26432</v>
      </c>
      <c r="M196" s="16"/>
      <c r="N196" s="18"/>
      <c r="O196" s="19">
        <f t="shared" si="239"/>
        <v>0</v>
      </c>
      <c r="P196" s="20">
        <f t="shared" si="240"/>
        <v>1</v>
      </c>
      <c r="Q196" s="19">
        <f t="shared" si="241"/>
        <v>0.26432</v>
      </c>
      <c r="R196" s="21">
        <f t="shared" si="242"/>
        <v>-1</v>
      </c>
      <c r="S196" s="19">
        <f t="shared" si="243"/>
        <v>-0.26432</v>
      </c>
    </row>
    <row r="197" spans="1:19">
      <c r="A197" s="26" t="s">
        <v>13</v>
      </c>
      <c r="B197" s="26" t="s">
        <v>53</v>
      </c>
      <c r="C197" s="26">
        <v>23.6</v>
      </c>
      <c r="D197" s="27">
        <v>6</v>
      </c>
      <c r="E197" s="28"/>
      <c r="F197" s="16">
        <f t="shared" si="236"/>
        <v>0</v>
      </c>
      <c r="G197" s="17"/>
      <c r="H197" s="18"/>
      <c r="I197" s="19">
        <f t="shared" si="237"/>
        <v>0</v>
      </c>
      <c r="J197" s="16"/>
      <c r="K197" s="18">
        <v>2</v>
      </c>
      <c r="L197" s="19">
        <f t="shared" si="238"/>
        <v>0.28320000000000006</v>
      </c>
      <c r="M197" s="16"/>
      <c r="N197" s="18"/>
      <c r="O197" s="19">
        <f t="shared" si="239"/>
        <v>0</v>
      </c>
      <c r="P197" s="20">
        <f t="shared" si="240"/>
        <v>2</v>
      </c>
      <c r="Q197" s="19">
        <f t="shared" si="241"/>
        <v>0.28320000000000006</v>
      </c>
      <c r="R197" s="21">
        <f t="shared" si="242"/>
        <v>-2</v>
      </c>
      <c r="S197" s="19">
        <f t="shared" si="243"/>
        <v>-0.28320000000000006</v>
      </c>
    </row>
    <row r="198" spans="1:19">
      <c r="A198" s="26" t="s">
        <v>13</v>
      </c>
      <c r="B198" s="26" t="s">
        <v>53</v>
      </c>
      <c r="C198" s="26">
        <v>23.6</v>
      </c>
      <c r="D198" s="27">
        <v>6.3</v>
      </c>
      <c r="E198" s="28"/>
      <c r="F198" s="16">
        <f t="shared" si="236"/>
        <v>0</v>
      </c>
      <c r="G198" s="17"/>
      <c r="H198" s="18"/>
      <c r="I198" s="19">
        <f t="shared" si="237"/>
        <v>0</v>
      </c>
      <c r="J198" s="16"/>
      <c r="K198" s="18">
        <v>2</v>
      </c>
      <c r="L198" s="19">
        <f t="shared" si="238"/>
        <v>0.29736000000000001</v>
      </c>
      <c r="M198" s="16"/>
      <c r="N198" s="18"/>
      <c r="O198" s="19">
        <f t="shared" si="239"/>
        <v>0</v>
      </c>
      <c r="P198" s="20">
        <f t="shared" si="240"/>
        <v>2</v>
      </c>
      <c r="Q198" s="19">
        <f t="shared" si="241"/>
        <v>0.29736000000000001</v>
      </c>
      <c r="R198" s="21">
        <f t="shared" si="242"/>
        <v>-2</v>
      </c>
      <c r="S198" s="19">
        <f t="shared" si="243"/>
        <v>-0.29736000000000001</v>
      </c>
    </row>
    <row r="199" spans="1:19">
      <c r="A199" s="26" t="s">
        <v>13</v>
      </c>
      <c r="B199" s="26" t="s">
        <v>53</v>
      </c>
      <c r="C199" s="26">
        <v>23.6</v>
      </c>
      <c r="D199" s="27">
        <v>6.4</v>
      </c>
      <c r="E199" s="28"/>
      <c r="F199" s="16">
        <f t="shared" si="236"/>
        <v>0</v>
      </c>
      <c r="G199" s="17"/>
      <c r="H199" s="18"/>
      <c r="I199" s="19">
        <f t="shared" si="237"/>
        <v>0</v>
      </c>
      <c r="J199" s="16"/>
      <c r="K199" s="18">
        <v>2</v>
      </c>
      <c r="L199" s="19">
        <f t="shared" si="238"/>
        <v>0.30208000000000002</v>
      </c>
      <c r="M199" s="16"/>
      <c r="N199" s="18"/>
      <c r="O199" s="19">
        <f t="shared" si="239"/>
        <v>0</v>
      </c>
      <c r="P199" s="20">
        <f t="shared" si="240"/>
        <v>2</v>
      </c>
      <c r="Q199" s="19">
        <f t="shared" si="241"/>
        <v>0.30208000000000002</v>
      </c>
      <c r="R199" s="21">
        <f t="shared" si="242"/>
        <v>-2</v>
      </c>
      <c r="S199" s="19">
        <f t="shared" si="243"/>
        <v>-0.30208000000000002</v>
      </c>
    </row>
    <row r="200" spans="1:19">
      <c r="A200" s="26" t="s">
        <v>13</v>
      </c>
      <c r="B200" s="26" t="s">
        <v>53</v>
      </c>
      <c r="C200" s="26">
        <v>23.6</v>
      </c>
      <c r="D200" s="27">
        <v>6.5</v>
      </c>
      <c r="E200" s="28"/>
      <c r="F200" s="16">
        <f t="shared" si="228"/>
        <v>0</v>
      </c>
      <c r="G200" s="17"/>
      <c r="H200" s="18"/>
      <c r="I200" s="19">
        <f t="shared" si="229"/>
        <v>0</v>
      </c>
      <c r="J200" s="16"/>
      <c r="K200" s="18">
        <v>4</v>
      </c>
      <c r="L200" s="19">
        <f t="shared" si="230"/>
        <v>0.61360000000000003</v>
      </c>
      <c r="M200" s="16"/>
      <c r="N200" s="18"/>
      <c r="O200" s="19">
        <f t="shared" si="231"/>
        <v>0</v>
      </c>
      <c r="P200" s="20">
        <f t="shared" si="232"/>
        <v>4</v>
      </c>
      <c r="Q200" s="19">
        <f t="shared" si="233"/>
        <v>0.61360000000000003</v>
      </c>
      <c r="R200" s="21">
        <f t="shared" si="234"/>
        <v>-4</v>
      </c>
      <c r="S200" s="19">
        <f t="shared" si="235"/>
        <v>-0.61360000000000003</v>
      </c>
    </row>
    <row r="201" spans="1:19">
      <c r="A201" s="26"/>
      <c r="B201" s="26"/>
      <c r="C201" s="26"/>
      <c r="D201" s="27"/>
      <c r="E201" s="31">
        <f>SUM(E176:E200)</f>
        <v>765</v>
      </c>
      <c r="F201" s="38">
        <f>SUM(F176:F200)</f>
        <v>174.404</v>
      </c>
      <c r="G201" s="26"/>
      <c r="H201" s="31">
        <f>SUM(H176:H200)</f>
        <v>752</v>
      </c>
      <c r="I201" s="38">
        <f>SUM(I176:I200)</f>
        <v>171.22744</v>
      </c>
      <c r="J201" s="26"/>
      <c r="K201" s="31">
        <f>SUM(K176:K200)</f>
        <v>19</v>
      </c>
      <c r="L201" s="38">
        <f>SUM(L176:L200)</f>
        <v>3.27332</v>
      </c>
      <c r="M201" s="26"/>
      <c r="N201" s="31">
        <f t="shared" ref="N201:S201" si="244">SUM(N176:N200)</f>
        <v>0</v>
      </c>
      <c r="O201" s="38">
        <f t="shared" si="244"/>
        <v>0</v>
      </c>
      <c r="P201" s="31">
        <f t="shared" si="244"/>
        <v>771</v>
      </c>
      <c r="Q201" s="38">
        <f t="shared" si="244"/>
        <v>174.50075999999999</v>
      </c>
      <c r="R201" s="31">
        <f t="shared" si="244"/>
        <v>-6</v>
      </c>
      <c r="S201" s="38">
        <f t="shared" si="244"/>
        <v>-9.6760000000000623E-2</v>
      </c>
    </row>
    <row r="202" spans="1:19">
      <c r="A202" s="26" t="s">
        <v>13</v>
      </c>
      <c r="B202" s="26" t="s">
        <v>54</v>
      </c>
      <c r="C202" s="26">
        <v>25.4</v>
      </c>
      <c r="D202" s="27">
        <v>7.1</v>
      </c>
      <c r="E202" s="28">
        <v>8</v>
      </c>
      <c r="F202" s="16">
        <f>(C202*D202*E202/1000)</f>
        <v>1.4427199999999998</v>
      </c>
      <c r="G202" s="16" t="s">
        <v>88</v>
      </c>
      <c r="H202" s="18">
        <v>8</v>
      </c>
      <c r="I202" s="19">
        <f>(C202*D202*H202/1000)</f>
        <v>1.4427199999999998</v>
      </c>
      <c r="J202" s="16"/>
      <c r="K202" s="18"/>
      <c r="L202" s="19">
        <f>(C202*D202*K202/1000)</f>
        <v>0</v>
      </c>
      <c r="M202" s="16"/>
      <c r="N202" s="18"/>
      <c r="O202" s="19">
        <f>(C202*D202*N202/1000)</f>
        <v>0</v>
      </c>
      <c r="P202" s="20">
        <f>+H202+K202+N202</f>
        <v>8</v>
      </c>
      <c r="Q202" s="19">
        <f>+I202+L202+O202</f>
        <v>1.4427199999999998</v>
      </c>
      <c r="R202" s="21">
        <f>E202-P202</f>
        <v>0</v>
      </c>
      <c r="S202" s="19">
        <f>F202-Q202</f>
        <v>0</v>
      </c>
    </row>
    <row r="203" spans="1:19">
      <c r="A203" s="26"/>
      <c r="B203" s="26"/>
      <c r="C203" s="26"/>
      <c r="D203" s="27"/>
      <c r="E203" s="31">
        <f t="shared" ref="E203:F203" si="245">SUM(E202)</f>
        <v>8</v>
      </c>
      <c r="F203" s="38">
        <f t="shared" si="245"/>
        <v>1.4427199999999998</v>
      </c>
      <c r="G203" s="16" t="s">
        <v>135</v>
      </c>
      <c r="H203" s="31">
        <f t="shared" ref="H203" si="246">SUM(H202)</f>
        <v>8</v>
      </c>
      <c r="I203" s="38">
        <f t="shared" ref="I203" si="247">SUM(I202)</f>
        <v>1.4427199999999998</v>
      </c>
      <c r="J203" s="26"/>
      <c r="K203" s="31">
        <f t="shared" ref="K203" si="248">SUM(K202)</f>
        <v>0</v>
      </c>
      <c r="L203" s="38">
        <f t="shared" ref="L203" si="249">SUM(L202)</f>
        <v>0</v>
      </c>
      <c r="M203" s="26"/>
      <c r="N203" s="31">
        <f t="shared" ref="N203" si="250">SUM(N202)</f>
        <v>0</v>
      </c>
      <c r="O203" s="38">
        <f t="shared" ref="O203" si="251">SUM(O202)</f>
        <v>0</v>
      </c>
      <c r="P203" s="31">
        <f t="shared" ref="P203" si="252">SUM(P202)</f>
        <v>8</v>
      </c>
      <c r="Q203" s="38">
        <f t="shared" ref="Q203" si="253">SUM(Q202)</f>
        <v>1.4427199999999998</v>
      </c>
      <c r="R203" s="31">
        <f t="shared" ref="R203" si="254">SUM(R202)</f>
        <v>0</v>
      </c>
      <c r="S203" s="38">
        <f t="shared" ref="S203" si="255">SUM(S202)</f>
        <v>0</v>
      </c>
    </row>
    <row r="204" spans="1:19">
      <c r="A204" s="26" t="s">
        <v>13</v>
      </c>
      <c r="B204" s="26" t="s">
        <v>55</v>
      </c>
      <c r="C204" s="26">
        <v>16</v>
      </c>
      <c r="D204" s="27">
        <v>7.15</v>
      </c>
      <c r="E204" s="28">
        <v>36</v>
      </c>
      <c r="F204" s="16">
        <f t="shared" ref="F204:F209" si="256">(C204*D204*E204/1000)</f>
        <v>4.1184000000000003</v>
      </c>
      <c r="G204" s="17" t="s">
        <v>88</v>
      </c>
      <c r="H204" s="18">
        <v>16</v>
      </c>
      <c r="I204" s="19">
        <f t="shared" ref="I204:I209" si="257">(C204*D204*H204/1000)</f>
        <v>1.8304</v>
      </c>
      <c r="J204" s="16" t="s">
        <v>88</v>
      </c>
      <c r="K204" s="18">
        <v>4</v>
      </c>
      <c r="L204" s="19">
        <f t="shared" ref="L204:L209" si="258">(C204*D204*K204/1000)</f>
        <v>0.45760000000000001</v>
      </c>
      <c r="M204" s="16"/>
      <c r="N204" s="18"/>
      <c r="O204" s="19">
        <f t="shared" ref="O204:O209" si="259">(C204*D204*N204/1000)</f>
        <v>0</v>
      </c>
      <c r="P204" s="20">
        <f t="shared" ref="P204:P209" si="260">+H204+K204+N204</f>
        <v>20</v>
      </c>
      <c r="Q204" s="19">
        <f t="shared" ref="Q204:Q209" si="261">+I204+L204+O204</f>
        <v>2.2880000000000003</v>
      </c>
      <c r="R204" s="21">
        <f t="shared" ref="R204:R209" si="262">E204-P204</f>
        <v>16</v>
      </c>
      <c r="S204" s="19">
        <f t="shared" ref="S204:S209" si="263">F204-Q204</f>
        <v>1.8304</v>
      </c>
    </row>
    <row r="205" spans="1:19">
      <c r="A205" s="26" t="s">
        <v>13</v>
      </c>
      <c r="B205" s="26" t="s">
        <v>55</v>
      </c>
      <c r="C205" s="26">
        <v>16</v>
      </c>
      <c r="D205" s="27">
        <v>7.2</v>
      </c>
      <c r="E205" s="28">
        <v>38</v>
      </c>
      <c r="F205" s="16">
        <f t="shared" si="256"/>
        <v>4.3776000000000002</v>
      </c>
      <c r="G205" s="17" t="s">
        <v>129</v>
      </c>
      <c r="H205" s="18">
        <f>35+17</f>
        <v>52</v>
      </c>
      <c r="I205" s="19">
        <f t="shared" si="257"/>
        <v>5.9904000000000002</v>
      </c>
      <c r="J205" s="16" t="s">
        <v>135</v>
      </c>
      <c r="K205" s="18"/>
      <c r="L205" s="19">
        <f t="shared" si="258"/>
        <v>0</v>
      </c>
      <c r="M205" s="16"/>
      <c r="N205" s="18"/>
      <c r="O205" s="19">
        <f t="shared" si="259"/>
        <v>0</v>
      </c>
      <c r="P205" s="20">
        <f t="shared" si="260"/>
        <v>52</v>
      </c>
      <c r="Q205" s="19">
        <f t="shared" si="261"/>
        <v>5.9904000000000002</v>
      </c>
      <c r="R205" s="21">
        <f t="shared" si="262"/>
        <v>-14</v>
      </c>
      <c r="S205" s="19">
        <f t="shared" si="263"/>
        <v>-1.6128</v>
      </c>
    </row>
    <row r="206" spans="1:19">
      <c r="A206" s="26" t="s">
        <v>13</v>
      </c>
      <c r="B206" s="26" t="s">
        <v>55</v>
      </c>
      <c r="C206" s="26">
        <v>16</v>
      </c>
      <c r="D206" s="27">
        <v>10</v>
      </c>
      <c r="E206" s="28">
        <v>30</v>
      </c>
      <c r="F206" s="16">
        <f t="shared" si="256"/>
        <v>4.8</v>
      </c>
      <c r="G206" s="17"/>
      <c r="H206" s="18">
        <v>12</v>
      </c>
      <c r="I206" s="19">
        <f t="shared" si="257"/>
        <v>1.92</v>
      </c>
      <c r="J206" s="16"/>
      <c r="K206" s="18">
        <v>16</v>
      </c>
      <c r="L206" s="19">
        <f t="shared" si="258"/>
        <v>2.56</v>
      </c>
      <c r="M206" s="16"/>
      <c r="N206" s="18"/>
      <c r="O206" s="19">
        <f t="shared" si="259"/>
        <v>0</v>
      </c>
      <c r="P206" s="20">
        <f t="shared" si="260"/>
        <v>28</v>
      </c>
      <c r="Q206" s="19">
        <f t="shared" si="261"/>
        <v>4.4800000000000004</v>
      </c>
      <c r="R206" s="21">
        <f t="shared" si="262"/>
        <v>2</v>
      </c>
      <c r="S206" s="19">
        <f t="shared" si="263"/>
        <v>0.3199999999999994</v>
      </c>
    </row>
    <row r="207" spans="1:19">
      <c r="A207" s="26" t="s">
        <v>13</v>
      </c>
      <c r="B207" s="26" t="s">
        <v>55</v>
      </c>
      <c r="C207" s="26">
        <v>16</v>
      </c>
      <c r="D207" s="27">
        <v>11.3</v>
      </c>
      <c r="E207" s="28">
        <v>4</v>
      </c>
      <c r="F207" s="16">
        <f t="shared" ref="F207:F208" si="264">(C207*D207*E207/1000)</f>
        <v>0.72320000000000007</v>
      </c>
      <c r="G207" s="17"/>
      <c r="H207" s="18">
        <v>4</v>
      </c>
      <c r="I207" s="19">
        <f t="shared" ref="I207:I208" si="265">(C207*D207*H207/1000)</f>
        <v>0.72320000000000007</v>
      </c>
      <c r="J207" s="16"/>
      <c r="K207" s="18"/>
      <c r="L207" s="19">
        <f t="shared" ref="L207:L208" si="266">(C207*D207*K207/1000)</f>
        <v>0</v>
      </c>
      <c r="M207" s="16"/>
      <c r="N207" s="18"/>
      <c r="O207" s="19">
        <f t="shared" ref="O207:O208" si="267">(C207*D207*N207/1000)</f>
        <v>0</v>
      </c>
      <c r="P207" s="20">
        <f t="shared" ref="P207:P208" si="268">+H207+K207+N207</f>
        <v>4</v>
      </c>
      <c r="Q207" s="19">
        <f t="shared" ref="Q207:Q208" si="269">+I207+L207+O207</f>
        <v>0.72320000000000007</v>
      </c>
      <c r="R207" s="21">
        <f t="shared" ref="R207:R208" si="270">E207-P207</f>
        <v>0</v>
      </c>
      <c r="S207" s="19">
        <f t="shared" ref="S207:S208" si="271">F207-Q207</f>
        <v>0</v>
      </c>
    </row>
    <row r="208" spans="1:19">
      <c r="A208" s="26" t="s">
        <v>13</v>
      </c>
      <c r="B208" s="26" t="s">
        <v>55</v>
      </c>
      <c r="C208" s="26">
        <v>16</v>
      </c>
      <c r="D208" s="27">
        <v>7</v>
      </c>
      <c r="E208" s="28"/>
      <c r="F208" s="16">
        <f t="shared" si="264"/>
        <v>0</v>
      </c>
      <c r="G208" s="17"/>
      <c r="H208" s="18"/>
      <c r="I208" s="19">
        <f t="shared" si="265"/>
        <v>0</v>
      </c>
      <c r="J208" s="16"/>
      <c r="K208" s="18">
        <v>4</v>
      </c>
      <c r="L208" s="19">
        <f t="shared" si="266"/>
        <v>0.44800000000000001</v>
      </c>
      <c r="M208" s="16"/>
      <c r="N208" s="18"/>
      <c r="O208" s="19">
        <f t="shared" si="267"/>
        <v>0</v>
      </c>
      <c r="P208" s="20">
        <f t="shared" si="268"/>
        <v>4</v>
      </c>
      <c r="Q208" s="19">
        <f t="shared" si="269"/>
        <v>0.44800000000000001</v>
      </c>
      <c r="R208" s="21">
        <f t="shared" si="270"/>
        <v>-4</v>
      </c>
      <c r="S208" s="19">
        <f t="shared" si="271"/>
        <v>-0.44800000000000001</v>
      </c>
    </row>
    <row r="209" spans="1:19">
      <c r="A209" s="26" t="s">
        <v>13</v>
      </c>
      <c r="B209" s="26" t="s">
        <v>55</v>
      </c>
      <c r="C209" s="26">
        <v>16</v>
      </c>
      <c r="D209" s="27">
        <v>9.8000000000000007</v>
      </c>
      <c r="E209" s="28"/>
      <c r="F209" s="16">
        <f t="shared" si="256"/>
        <v>0</v>
      </c>
      <c r="G209" s="17"/>
      <c r="H209" s="18"/>
      <c r="I209" s="19">
        <f t="shared" si="257"/>
        <v>0</v>
      </c>
      <c r="J209" s="16"/>
      <c r="K209" s="18">
        <v>2</v>
      </c>
      <c r="L209" s="19">
        <f t="shared" si="258"/>
        <v>0.31360000000000005</v>
      </c>
      <c r="M209" s="16"/>
      <c r="N209" s="18"/>
      <c r="O209" s="19">
        <f t="shared" si="259"/>
        <v>0</v>
      </c>
      <c r="P209" s="20">
        <f t="shared" si="260"/>
        <v>2</v>
      </c>
      <c r="Q209" s="19">
        <f t="shared" si="261"/>
        <v>0.31360000000000005</v>
      </c>
      <c r="R209" s="21">
        <f t="shared" si="262"/>
        <v>-2</v>
      </c>
      <c r="S209" s="19">
        <f t="shared" si="263"/>
        <v>-0.31360000000000005</v>
      </c>
    </row>
    <row r="210" spans="1:19">
      <c r="A210" s="26"/>
      <c r="B210" s="26"/>
      <c r="C210" s="26"/>
      <c r="D210" s="27"/>
      <c r="E210" s="31">
        <f t="shared" ref="E210:F210" si="272">SUM(E204:E209)</f>
        <v>108</v>
      </c>
      <c r="F210" s="38">
        <f t="shared" si="272"/>
        <v>14.0192</v>
      </c>
      <c r="G210" s="26"/>
      <c r="H210" s="31">
        <f t="shared" ref="H210" si="273">SUM(H204:H209)</f>
        <v>84</v>
      </c>
      <c r="I210" s="38">
        <f t="shared" ref="I210" si="274">SUM(I204:I209)</f>
        <v>10.464</v>
      </c>
      <c r="J210" s="26"/>
      <c r="K210" s="31">
        <f t="shared" ref="K210" si="275">SUM(K204:K209)</f>
        <v>26</v>
      </c>
      <c r="L210" s="38">
        <f t="shared" ref="L210" si="276">SUM(L204:L209)</f>
        <v>3.7791999999999999</v>
      </c>
      <c r="M210" s="26"/>
      <c r="N210" s="31">
        <f t="shared" ref="N210" si="277">SUM(N204:N209)</f>
        <v>0</v>
      </c>
      <c r="O210" s="38">
        <f t="shared" ref="O210" si="278">SUM(O204:O209)</f>
        <v>0</v>
      </c>
      <c r="P210" s="31">
        <f t="shared" ref="P210" si="279">SUM(P204:P209)</f>
        <v>110</v>
      </c>
      <c r="Q210" s="38">
        <f t="shared" ref="Q210" si="280">SUM(Q204:Q209)</f>
        <v>14.243200000000002</v>
      </c>
      <c r="R210" s="31">
        <f t="shared" ref="R210" si="281">SUM(R204:R209)</f>
        <v>-2</v>
      </c>
      <c r="S210" s="38">
        <f t="shared" ref="S210" si="282">SUM(S204:S209)</f>
        <v>-0.22400000000000064</v>
      </c>
    </row>
    <row r="211" spans="1:19">
      <c r="A211" s="26" t="s">
        <v>13</v>
      </c>
      <c r="B211" s="26" t="s">
        <v>56</v>
      </c>
      <c r="C211" s="26">
        <v>17.899999999999999</v>
      </c>
      <c r="D211" s="27">
        <v>6.3</v>
      </c>
      <c r="E211" s="28">
        <v>80</v>
      </c>
      <c r="F211" s="16">
        <f t="shared" ref="F211:F225" si="283">(C211*D211*E211/1000)</f>
        <v>9.0215999999999994</v>
      </c>
      <c r="G211" s="17" t="s">
        <v>88</v>
      </c>
      <c r="H211" s="18">
        <v>68</v>
      </c>
      <c r="I211" s="19">
        <f t="shared" ref="I211:I225" si="284">(C211*D211*H211/1000)</f>
        <v>7.668359999999999</v>
      </c>
      <c r="J211" s="16" t="s">
        <v>114</v>
      </c>
      <c r="K211" s="18">
        <v>2</v>
      </c>
      <c r="L211" s="19">
        <f t="shared" ref="L211:L225" si="285">(C211*D211*K211/1000)</f>
        <v>0.22553999999999996</v>
      </c>
      <c r="M211" s="16" t="s">
        <v>88</v>
      </c>
      <c r="N211" s="18"/>
      <c r="O211" s="19">
        <f t="shared" ref="O211:O225" si="286">(C211*D211*N211/1000)</f>
        <v>0</v>
      </c>
      <c r="P211" s="20">
        <f>+H211+K211+N211</f>
        <v>70</v>
      </c>
      <c r="Q211" s="19">
        <f t="shared" ref="Q211:Q225" si="287">+I211+L211+O211</f>
        <v>7.8938999999999986</v>
      </c>
      <c r="R211" s="21">
        <f t="shared" ref="R211:R225" si="288">E211-P211</f>
        <v>10</v>
      </c>
      <c r="S211" s="19">
        <f t="shared" ref="S211:S225" si="289">F211-Q211</f>
        <v>1.1277000000000008</v>
      </c>
    </row>
    <row r="212" spans="1:19">
      <c r="A212" s="26" t="s">
        <v>13</v>
      </c>
      <c r="B212" s="26" t="s">
        <v>56</v>
      </c>
      <c r="C212" s="26">
        <v>17.899999999999999</v>
      </c>
      <c r="D212" s="27">
        <v>7</v>
      </c>
      <c r="E212" s="28">
        <v>16</v>
      </c>
      <c r="F212" s="16">
        <f t="shared" si="283"/>
        <v>2.0047999999999999</v>
      </c>
      <c r="G212" s="17" t="s">
        <v>103</v>
      </c>
      <c r="H212" s="18">
        <v>27</v>
      </c>
      <c r="I212" s="19">
        <f t="shared" si="284"/>
        <v>3.3830999999999993</v>
      </c>
      <c r="J212" s="16" t="s">
        <v>131</v>
      </c>
      <c r="K212" s="18"/>
      <c r="L212" s="19">
        <f t="shared" si="285"/>
        <v>0</v>
      </c>
      <c r="M212" s="16" t="s">
        <v>134</v>
      </c>
      <c r="N212" s="18">
        <v>2</v>
      </c>
      <c r="O212" s="19">
        <f t="shared" si="286"/>
        <v>0.25059999999999999</v>
      </c>
      <c r="P212" s="20">
        <f t="shared" ref="P212:P225" si="290">+H212+K212+N212</f>
        <v>29</v>
      </c>
      <c r="Q212" s="19">
        <f t="shared" si="287"/>
        <v>3.6336999999999993</v>
      </c>
      <c r="R212" s="21">
        <f t="shared" si="288"/>
        <v>-13</v>
      </c>
      <c r="S212" s="19">
        <f t="shared" si="289"/>
        <v>-1.6288999999999993</v>
      </c>
    </row>
    <row r="213" spans="1:19">
      <c r="A213" s="26" t="s">
        <v>13</v>
      </c>
      <c r="B213" s="26" t="s">
        <v>56</v>
      </c>
      <c r="C213" s="26">
        <v>17.899999999999999</v>
      </c>
      <c r="D213" s="27">
        <v>7.6</v>
      </c>
      <c r="E213" s="28">
        <v>296</v>
      </c>
      <c r="F213" s="16">
        <f t="shared" si="283"/>
        <v>40.26784</v>
      </c>
      <c r="G213" s="16" t="s">
        <v>89</v>
      </c>
      <c r="H213" s="18">
        <v>165</v>
      </c>
      <c r="I213" s="19">
        <f t="shared" si="284"/>
        <v>22.4466</v>
      </c>
      <c r="J213" s="16"/>
      <c r="K213" s="18">
        <v>120</v>
      </c>
      <c r="L213" s="19">
        <f t="shared" si="285"/>
        <v>16.3248</v>
      </c>
      <c r="M213" s="16"/>
      <c r="N213" s="18"/>
      <c r="O213" s="19">
        <f t="shared" si="286"/>
        <v>0</v>
      </c>
      <c r="P213" s="20">
        <f t="shared" si="290"/>
        <v>285</v>
      </c>
      <c r="Q213" s="19">
        <f t="shared" si="287"/>
        <v>38.7714</v>
      </c>
      <c r="R213" s="21">
        <f t="shared" si="288"/>
        <v>11</v>
      </c>
      <c r="S213" s="19">
        <f t="shared" si="289"/>
        <v>1.4964399999999998</v>
      </c>
    </row>
    <row r="214" spans="1:19">
      <c r="A214" s="26" t="s">
        <v>13</v>
      </c>
      <c r="B214" s="26" t="s">
        <v>56</v>
      </c>
      <c r="C214" s="26">
        <v>17.899999999999999</v>
      </c>
      <c r="D214" s="27">
        <v>8.4499999999999993</v>
      </c>
      <c r="E214" s="28">
        <v>16</v>
      </c>
      <c r="F214" s="16">
        <f t="shared" si="283"/>
        <v>2.4200799999999996</v>
      </c>
      <c r="G214" s="16" t="s">
        <v>109</v>
      </c>
      <c r="H214" s="18">
        <v>16</v>
      </c>
      <c r="I214" s="19">
        <f t="shared" si="284"/>
        <v>2.4200799999999996</v>
      </c>
      <c r="J214" s="16"/>
      <c r="K214" s="18">
        <v>10</v>
      </c>
      <c r="L214" s="19">
        <f t="shared" si="285"/>
        <v>1.5125499999999996</v>
      </c>
      <c r="M214" s="16" t="s">
        <v>93</v>
      </c>
      <c r="N214" s="18">
        <v>4</v>
      </c>
      <c r="O214" s="19">
        <f t="shared" si="286"/>
        <v>0.60501999999999989</v>
      </c>
      <c r="P214" s="20">
        <f t="shared" si="290"/>
        <v>30</v>
      </c>
      <c r="Q214" s="19">
        <f t="shared" si="287"/>
        <v>4.5376499999999993</v>
      </c>
      <c r="R214" s="21">
        <f t="shared" si="288"/>
        <v>-14</v>
      </c>
      <c r="S214" s="19">
        <f t="shared" si="289"/>
        <v>-2.1175699999999997</v>
      </c>
    </row>
    <row r="215" spans="1:19">
      <c r="A215" s="26" t="s">
        <v>13</v>
      </c>
      <c r="B215" s="26" t="s">
        <v>56</v>
      </c>
      <c r="C215" s="26">
        <v>17.899999999999999</v>
      </c>
      <c r="D215" s="27">
        <v>9.1</v>
      </c>
      <c r="E215" s="28">
        <v>148</v>
      </c>
      <c r="F215" s="16">
        <f t="shared" si="283"/>
        <v>24.107719999999997</v>
      </c>
      <c r="G215" s="16" t="s">
        <v>89</v>
      </c>
      <c r="H215" s="18">
        <v>103</v>
      </c>
      <c r="I215" s="19">
        <f t="shared" si="284"/>
        <v>16.777669999999997</v>
      </c>
      <c r="J215" s="16"/>
      <c r="K215" s="18">
        <f>6+21</f>
        <v>27</v>
      </c>
      <c r="L215" s="19">
        <f t="shared" si="285"/>
        <v>4.3980299999999994</v>
      </c>
      <c r="M215" s="16" t="s">
        <v>176</v>
      </c>
      <c r="N215" s="18">
        <f>7+5</f>
        <v>12</v>
      </c>
      <c r="O215" s="19">
        <f t="shared" si="286"/>
        <v>1.9546799999999998</v>
      </c>
      <c r="P215" s="20">
        <f t="shared" si="290"/>
        <v>142</v>
      </c>
      <c r="Q215" s="19">
        <f t="shared" si="287"/>
        <v>23.130379999999995</v>
      </c>
      <c r="R215" s="21">
        <f t="shared" si="288"/>
        <v>6</v>
      </c>
      <c r="S215" s="19">
        <f t="shared" si="289"/>
        <v>0.97734000000000165</v>
      </c>
    </row>
    <row r="216" spans="1:19">
      <c r="A216" s="26" t="s">
        <v>13</v>
      </c>
      <c r="B216" s="26" t="s">
        <v>56</v>
      </c>
      <c r="C216" s="26">
        <v>17.899999999999999</v>
      </c>
      <c r="D216" s="27">
        <v>9.9</v>
      </c>
      <c r="E216" s="28">
        <v>80</v>
      </c>
      <c r="F216" s="16">
        <f t="shared" si="283"/>
        <v>14.1768</v>
      </c>
      <c r="G216" s="16" t="s">
        <v>112</v>
      </c>
      <c r="H216" s="18">
        <v>51</v>
      </c>
      <c r="I216" s="19">
        <f t="shared" si="284"/>
        <v>9.0377099999999988</v>
      </c>
      <c r="J216" s="16"/>
      <c r="K216" s="18">
        <v>22</v>
      </c>
      <c r="L216" s="19">
        <f t="shared" si="285"/>
        <v>3.8986199999999993</v>
      </c>
      <c r="M216" s="16"/>
      <c r="N216" s="18"/>
      <c r="O216" s="19">
        <f t="shared" si="286"/>
        <v>0</v>
      </c>
      <c r="P216" s="20">
        <f t="shared" si="290"/>
        <v>73</v>
      </c>
      <c r="Q216" s="19">
        <f t="shared" si="287"/>
        <v>12.936329999999998</v>
      </c>
      <c r="R216" s="21">
        <f t="shared" si="288"/>
        <v>7</v>
      </c>
      <c r="S216" s="19">
        <f t="shared" si="289"/>
        <v>1.240470000000002</v>
      </c>
    </row>
    <row r="217" spans="1:19">
      <c r="A217" s="26" t="s">
        <v>13</v>
      </c>
      <c r="B217" s="26" t="s">
        <v>56</v>
      </c>
      <c r="C217" s="26">
        <v>17.899999999999999</v>
      </c>
      <c r="D217" s="27">
        <v>11.8</v>
      </c>
      <c r="E217" s="28">
        <v>8</v>
      </c>
      <c r="F217" s="16">
        <f t="shared" ref="F217:F224" si="291">(C217*D217*E217/1000)</f>
        <v>1.6897599999999999</v>
      </c>
      <c r="G217" s="16" t="s">
        <v>114</v>
      </c>
      <c r="H217" s="18">
        <v>8</v>
      </c>
      <c r="I217" s="19">
        <f t="shared" ref="I217:I224" si="292">(C217*D217*H217/1000)</f>
        <v>1.6897599999999999</v>
      </c>
      <c r="J217" s="16"/>
      <c r="K217" s="18"/>
      <c r="L217" s="19">
        <f t="shared" ref="L217:L224" si="293">(C217*D217*K217/1000)</f>
        <v>0</v>
      </c>
      <c r="M217" s="16"/>
      <c r="N217" s="18"/>
      <c r="O217" s="19">
        <f t="shared" ref="O217:O224" si="294">(C217*D217*N217/1000)</f>
        <v>0</v>
      </c>
      <c r="P217" s="20">
        <f t="shared" ref="P217:P224" si="295">+H217+K217+N217</f>
        <v>8</v>
      </c>
      <c r="Q217" s="19">
        <f t="shared" ref="Q217:Q224" si="296">+I217+L217+O217</f>
        <v>1.6897599999999999</v>
      </c>
      <c r="R217" s="21">
        <f t="shared" ref="R217:R224" si="297">E217-P217</f>
        <v>0</v>
      </c>
      <c r="S217" s="19">
        <f t="shared" ref="S217:S224" si="298">F217-Q217</f>
        <v>0</v>
      </c>
    </row>
    <row r="218" spans="1:19">
      <c r="A218" s="26" t="s">
        <v>13</v>
      </c>
      <c r="B218" s="26" t="s">
        <v>56</v>
      </c>
      <c r="C218" s="26">
        <v>17.899999999999999</v>
      </c>
      <c r="D218" s="27">
        <v>11.1</v>
      </c>
      <c r="E218" s="28"/>
      <c r="F218" s="16">
        <f t="shared" si="291"/>
        <v>0</v>
      </c>
      <c r="G218" s="16" t="s">
        <v>115</v>
      </c>
      <c r="H218" s="18">
        <v>1</v>
      </c>
      <c r="I218" s="19">
        <f t="shared" si="292"/>
        <v>0.19868999999999998</v>
      </c>
      <c r="J218" s="16"/>
      <c r="K218" s="18"/>
      <c r="L218" s="19">
        <f t="shared" si="293"/>
        <v>0</v>
      </c>
      <c r="M218" s="16"/>
      <c r="N218" s="18"/>
      <c r="O218" s="19">
        <f t="shared" si="294"/>
        <v>0</v>
      </c>
      <c r="P218" s="20">
        <f t="shared" si="295"/>
        <v>1</v>
      </c>
      <c r="Q218" s="19">
        <f t="shared" si="296"/>
        <v>0.19868999999999998</v>
      </c>
      <c r="R218" s="21">
        <f t="shared" si="297"/>
        <v>-1</v>
      </c>
      <c r="S218" s="19">
        <f t="shared" si="298"/>
        <v>-0.19868999999999998</v>
      </c>
    </row>
    <row r="219" spans="1:19">
      <c r="A219" s="26" t="s">
        <v>13</v>
      </c>
      <c r="B219" s="26" t="s">
        <v>56</v>
      </c>
      <c r="C219" s="26">
        <v>17.899999999999999</v>
      </c>
      <c r="D219" s="27">
        <v>11.7</v>
      </c>
      <c r="E219" s="28"/>
      <c r="F219" s="16">
        <f t="shared" si="291"/>
        <v>0</v>
      </c>
      <c r="G219" s="16"/>
      <c r="H219" s="18"/>
      <c r="I219" s="19">
        <f t="shared" si="292"/>
        <v>0</v>
      </c>
      <c r="J219" s="16"/>
      <c r="K219" s="18"/>
      <c r="L219" s="19">
        <f t="shared" si="293"/>
        <v>0</v>
      </c>
      <c r="M219" s="16"/>
      <c r="N219" s="18">
        <v>3</v>
      </c>
      <c r="O219" s="19">
        <f t="shared" si="294"/>
        <v>0.62829000000000002</v>
      </c>
      <c r="P219" s="20">
        <f t="shared" si="295"/>
        <v>3</v>
      </c>
      <c r="Q219" s="19">
        <f t="shared" si="296"/>
        <v>0.62829000000000002</v>
      </c>
      <c r="R219" s="21">
        <f t="shared" si="297"/>
        <v>-3</v>
      </c>
      <c r="S219" s="19">
        <f t="shared" si="298"/>
        <v>-0.62829000000000002</v>
      </c>
    </row>
    <row r="220" spans="1:19">
      <c r="A220" s="26" t="s">
        <v>13</v>
      </c>
      <c r="B220" s="26" t="s">
        <v>56</v>
      </c>
      <c r="C220" s="26">
        <v>17.899999999999999</v>
      </c>
      <c r="D220" s="27">
        <v>9</v>
      </c>
      <c r="E220" s="28"/>
      <c r="F220" s="16">
        <f t="shared" si="291"/>
        <v>0</v>
      </c>
      <c r="G220" s="16"/>
      <c r="H220" s="18"/>
      <c r="I220" s="19">
        <f t="shared" si="292"/>
        <v>0</v>
      </c>
      <c r="J220" s="16"/>
      <c r="K220" s="18"/>
      <c r="L220" s="19">
        <f t="shared" si="293"/>
        <v>0</v>
      </c>
      <c r="M220" s="16"/>
      <c r="N220" s="18">
        <v>1</v>
      </c>
      <c r="O220" s="19">
        <f t="shared" si="294"/>
        <v>0.16109999999999999</v>
      </c>
      <c r="P220" s="20">
        <f t="shared" si="295"/>
        <v>1</v>
      </c>
      <c r="Q220" s="19">
        <f t="shared" si="296"/>
        <v>0.16109999999999999</v>
      </c>
      <c r="R220" s="21">
        <f t="shared" si="297"/>
        <v>-1</v>
      </c>
      <c r="S220" s="19">
        <f t="shared" si="298"/>
        <v>-0.16109999999999999</v>
      </c>
    </row>
    <row r="221" spans="1:19">
      <c r="A221" s="26" t="s">
        <v>13</v>
      </c>
      <c r="B221" s="26" t="s">
        <v>56</v>
      </c>
      <c r="C221" s="26">
        <v>17.899999999999999</v>
      </c>
      <c r="D221" s="27">
        <v>11.5</v>
      </c>
      <c r="E221" s="28"/>
      <c r="F221" s="16">
        <f t="shared" si="291"/>
        <v>0</v>
      </c>
      <c r="G221" s="16"/>
      <c r="H221" s="18"/>
      <c r="I221" s="19">
        <f t="shared" si="292"/>
        <v>0</v>
      </c>
      <c r="J221" s="16"/>
      <c r="K221" s="18"/>
      <c r="L221" s="19">
        <f t="shared" si="293"/>
        <v>0</v>
      </c>
      <c r="M221" s="16"/>
      <c r="N221" s="18">
        <v>1</v>
      </c>
      <c r="O221" s="19">
        <f t="shared" si="294"/>
        <v>0.20585000000000001</v>
      </c>
      <c r="P221" s="20">
        <f t="shared" si="295"/>
        <v>1</v>
      </c>
      <c r="Q221" s="19">
        <f t="shared" si="296"/>
        <v>0.20585000000000001</v>
      </c>
      <c r="R221" s="21">
        <f t="shared" si="297"/>
        <v>-1</v>
      </c>
      <c r="S221" s="19">
        <f t="shared" si="298"/>
        <v>-0.20585000000000001</v>
      </c>
    </row>
    <row r="222" spans="1:19">
      <c r="A222" s="26" t="s">
        <v>13</v>
      </c>
      <c r="B222" s="26" t="s">
        <v>56</v>
      </c>
      <c r="C222" s="26">
        <v>17.899999999999999</v>
      </c>
      <c r="D222" s="27">
        <v>11.6</v>
      </c>
      <c r="E222" s="28"/>
      <c r="F222" s="16">
        <f t="shared" si="291"/>
        <v>0</v>
      </c>
      <c r="G222" s="16"/>
      <c r="H222" s="18"/>
      <c r="I222" s="19">
        <f t="shared" si="292"/>
        <v>0</v>
      </c>
      <c r="J222" s="16"/>
      <c r="K222" s="18"/>
      <c r="L222" s="19">
        <f t="shared" si="293"/>
        <v>0</v>
      </c>
      <c r="M222" s="16"/>
      <c r="N222" s="18">
        <v>1</v>
      </c>
      <c r="O222" s="19">
        <f t="shared" si="294"/>
        <v>0.20763999999999999</v>
      </c>
      <c r="P222" s="20">
        <f t="shared" si="295"/>
        <v>1</v>
      </c>
      <c r="Q222" s="19">
        <f t="shared" si="296"/>
        <v>0.20763999999999999</v>
      </c>
      <c r="R222" s="21">
        <f t="shared" si="297"/>
        <v>-1</v>
      </c>
      <c r="S222" s="19">
        <f t="shared" si="298"/>
        <v>-0.20763999999999999</v>
      </c>
    </row>
    <row r="223" spans="1:19">
      <c r="A223" s="26" t="s">
        <v>13</v>
      </c>
      <c r="B223" s="26" t="s">
        <v>56</v>
      </c>
      <c r="C223" s="26">
        <v>17.899999999999999</v>
      </c>
      <c r="D223" s="27">
        <v>6.1</v>
      </c>
      <c r="E223" s="28"/>
      <c r="F223" s="16">
        <f t="shared" si="291"/>
        <v>0</v>
      </c>
      <c r="G223" s="16"/>
      <c r="H223" s="18"/>
      <c r="I223" s="19">
        <f t="shared" si="292"/>
        <v>0</v>
      </c>
      <c r="J223" s="16"/>
      <c r="K223" s="18"/>
      <c r="L223" s="19">
        <f t="shared" si="293"/>
        <v>0</v>
      </c>
      <c r="M223" s="16"/>
      <c r="N223" s="18">
        <v>1</v>
      </c>
      <c r="O223" s="19">
        <f t="shared" si="294"/>
        <v>0.10918999999999998</v>
      </c>
      <c r="P223" s="20">
        <f t="shared" si="295"/>
        <v>1</v>
      </c>
      <c r="Q223" s="19">
        <f t="shared" si="296"/>
        <v>0.10918999999999998</v>
      </c>
      <c r="R223" s="21">
        <f t="shared" si="297"/>
        <v>-1</v>
      </c>
      <c r="S223" s="19">
        <f t="shared" si="298"/>
        <v>-0.10918999999999998</v>
      </c>
    </row>
    <row r="224" spans="1:19">
      <c r="A224" s="26" t="s">
        <v>13</v>
      </c>
      <c r="B224" s="26" t="s">
        <v>56</v>
      </c>
      <c r="C224" s="26">
        <v>17.899999999999999</v>
      </c>
      <c r="D224" s="27"/>
      <c r="E224" s="28"/>
      <c r="F224" s="16">
        <f t="shared" si="291"/>
        <v>0</v>
      </c>
      <c r="G224" s="16"/>
      <c r="H224" s="18"/>
      <c r="I224" s="19">
        <f t="shared" si="292"/>
        <v>0</v>
      </c>
      <c r="J224" s="16"/>
      <c r="K224" s="18"/>
      <c r="L224" s="19">
        <f t="shared" si="293"/>
        <v>0</v>
      </c>
      <c r="M224" s="16"/>
      <c r="N224" s="18"/>
      <c r="O224" s="19">
        <f t="shared" si="294"/>
        <v>0</v>
      </c>
      <c r="P224" s="20">
        <f t="shared" si="295"/>
        <v>0</v>
      </c>
      <c r="Q224" s="19">
        <f t="shared" si="296"/>
        <v>0</v>
      </c>
      <c r="R224" s="21">
        <f t="shared" si="297"/>
        <v>0</v>
      </c>
      <c r="S224" s="19">
        <f t="shared" si="298"/>
        <v>0</v>
      </c>
    </row>
    <row r="225" spans="1:19">
      <c r="A225" s="26" t="s">
        <v>13</v>
      </c>
      <c r="B225" s="26" t="s">
        <v>56</v>
      </c>
      <c r="C225" s="26">
        <v>17.899999999999999</v>
      </c>
      <c r="D225" s="27"/>
      <c r="E225" s="28"/>
      <c r="F225" s="16">
        <f t="shared" si="283"/>
        <v>0</v>
      </c>
      <c r="G225" s="16"/>
      <c r="H225" s="18"/>
      <c r="I225" s="19">
        <f t="shared" si="284"/>
        <v>0</v>
      </c>
      <c r="J225" s="16"/>
      <c r="K225" s="18"/>
      <c r="L225" s="19">
        <f t="shared" si="285"/>
        <v>0</v>
      </c>
      <c r="M225" s="16"/>
      <c r="N225" s="18"/>
      <c r="O225" s="19">
        <f t="shared" si="286"/>
        <v>0</v>
      </c>
      <c r="P225" s="20">
        <f t="shared" si="290"/>
        <v>0</v>
      </c>
      <c r="Q225" s="19">
        <f t="shared" si="287"/>
        <v>0</v>
      </c>
      <c r="R225" s="21">
        <f t="shared" si="288"/>
        <v>0</v>
      </c>
      <c r="S225" s="19">
        <f t="shared" si="289"/>
        <v>0</v>
      </c>
    </row>
    <row r="226" spans="1:19">
      <c r="A226" s="26"/>
      <c r="B226" s="26"/>
      <c r="C226" s="26"/>
      <c r="D226" s="27"/>
      <c r="E226" s="31">
        <f t="shared" ref="E226:F226" si="299">SUM(E211:E225)</f>
        <v>644</v>
      </c>
      <c r="F226" s="38">
        <f t="shared" si="299"/>
        <v>93.688600000000008</v>
      </c>
      <c r="G226" s="26"/>
      <c r="H226" s="31">
        <f t="shared" ref="H226" si="300">SUM(H211:H225)</f>
        <v>439</v>
      </c>
      <c r="I226" s="38">
        <f t="shared" ref="I226" si="301">SUM(I211:I225)</f>
        <v>63.62196999999999</v>
      </c>
      <c r="J226" s="26"/>
      <c r="K226" s="31">
        <f t="shared" ref="K226" si="302">SUM(K211:K225)</f>
        <v>181</v>
      </c>
      <c r="L226" s="38">
        <f t="shared" ref="L226" si="303">SUM(L211:L225)</f>
        <v>26.359539999999996</v>
      </c>
      <c r="M226" s="26"/>
      <c r="N226" s="31">
        <f t="shared" ref="N226" si="304">SUM(N211:N225)</f>
        <v>25</v>
      </c>
      <c r="O226" s="38">
        <f t="shared" ref="O226" si="305">SUM(O211:O225)</f>
        <v>4.1223699999999992</v>
      </c>
      <c r="P226" s="31">
        <f t="shared" ref="P226" si="306">SUM(P211:P225)</f>
        <v>645</v>
      </c>
      <c r="Q226" s="38">
        <f t="shared" ref="Q226" si="307">SUM(Q211:Q225)</f>
        <v>94.103880000000004</v>
      </c>
      <c r="R226" s="31">
        <f t="shared" ref="R226" si="308">SUM(R211:R225)</f>
        <v>-1</v>
      </c>
      <c r="S226" s="38">
        <f t="shared" ref="S226" si="309">SUM(S211:S225)</f>
        <v>-0.41527999999999488</v>
      </c>
    </row>
    <row r="227" spans="1:19">
      <c r="A227" s="26" t="s">
        <v>13</v>
      </c>
      <c r="B227" s="26" t="s">
        <v>57</v>
      </c>
      <c r="C227" s="26">
        <v>6.17</v>
      </c>
      <c r="D227" s="27">
        <v>8.1</v>
      </c>
      <c r="E227" s="28">
        <v>32</v>
      </c>
      <c r="F227" s="16">
        <f t="shared" ref="F227:F231" si="310">(C227*D227*E227/1000)</f>
        <v>1.5992639999999998</v>
      </c>
      <c r="G227" s="17" t="s">
        <v>88</v>
      </c>
      <c r="H227" s="18"/>
      <c r="I227" s="19">
        <f t="shared" ref="I227:I231" si="311">(C227*D227*H227/1000)</f>
        <v>0</v>
      </c>
      <c r="J227" s="16" t="s">
        <v>107</v>
      </c>
      <c r="K227" s="18">
        <v>23</v>
      </c>
      <c r="L227" s="19">
        <f t="shared" ref="L227:L231" si="312">(C227*D227*K227/1000)</f>
        <v>1.1494709999999999</v>
      </c>
      <c r="M227" s="16" t="s">
        <v>93</v>
      </c>
      <c r="N227" s="18">
        <v>9</v>
      </c>
      <c r="O227" s="19">
        <f t="shared" ref="O227:O231" si="313">(C227*D227*N227/1000)</f>
        <v>0.44979299999999994</v>
      </c>
      <c r="P227" s="20">
        <f t="shared" ref="P227:P231" si="314">+H227+K227+N227</f>
        <v>32</v>
      </c>
      <c r="Q227" s="19">
        <f t="shared" ref="Q227:Q231" si="315">+I227+L227+O227</f>
        <v>1.5992639999999998</v>
      </c>
      <c r="R227" s="21">
        <f t="shared" ref="R227:R231" si="316">E227-P227</f>
        <v>0</v>
      </c>
      <c r="S227" s="19">
        <f t="shared" ref="S227:S231" si="317">F227-Q227</f>
        <v>0</v>
      </c>
    </row>
    <row r="228" spans="1:19">
      <c r="A228" s="26" t="s">
        <v>13</v>
      </c>
      <c r="B228" s="26" t="s">
        <v>57</v>
      </c>
      <c r="C228" s="26">
        <v>6.17</v>
      </c>
      <c r="D228" s="27">
        <v>10.5</v>
      </c>
      <c r="E228" s="28">
        <v>57</v>
      </c>
      <c r="F228" s="16">
        <f t="shared" si="310"/>
        <v>3.6927449999999999</v>
      </c>
      <c r="G228" s="17" t="s">
        <v>129</v>
      </c>
      <c r="H228" s="18">
        <v>27</v>
      </c>
      <c r="I228" s="19">
        <f t="shared" si="311"/>
        <v>1.7491949999999998</v>
      </c>
      <c r="J228" s="16" t="s">
        <v>131</v>
      </c>
      <c r="K228" s="18">
        <v>30</v>
      </c>
      <c r="L228" s="19">
        <f t="shared" si="312"/>
        <v>1.9435499999999999</v>
      </c>
      <c r="M228" s="16" t="s">
        <v>132</v>
      </c>
      <c r="N228" s="18">
        <v>1</v>
      </c>
      <c r="O228" s="19">
        <f t="shared" si="313"/>
        <v>6.4784999999999995E-2</v>
      </c>
      <c r="P228" s="20">
        <f t="shared" si="314"/>
        <v>58</v>
      </c>
      <c r="Q228" s="19">
        <f t="shared" si="315"/>
        <v>3.7575299999999996</v>
      </c>
      <c r="R228" s="21">
        <f t="shared" si="316"/>
        <v>-1</v>
      </c>
      <c r="S228" s="19">
        <f t="shared" si="317"/>
        <v>-6.4784999999999648E-2</v>
      </c>
    </row>
    <row r="229" spans="1:19">
      <c r="A229" s="26" t="s">
        <v>13</v>
      </c>
      <c r="B229" s="26" t="s">
        <v>57</v>
      </c>
      <c r="C229" s="26">
        <v>6.17</v>
      </c>
      <c r="D229" s="27">
        <v>11</v>
      </c>
      <c r="E229" s="28">
        <v>76</v>
      </c>
      <c r="F229" s="16">
        <f t="shared" si="310"/>
        <v>5.1581200000000011</v>
      </c>
      <c r="G229" s="17"/>
      <c r="H229" s="18">
        <v>35</v>
      </c>
      <c r="I229" s="19">
        <f t="shared" si="311"/>
        <v>2.3754500000000003</v>
      </c>
      <c r="J229" s="16"/>
      <c r="K229" s="18">
        <v>40</v>
      </c>
      <c r="L229" s="19">
        <f t="shared" si="312"/>
        <v>2.7148000000000003</v>
      </c>
      <c r="M229" s="16"/>
      <c r="N229" s="18">
        <v>2</v>
      </c>
      <c r="O229" s="19">
        <f t="shared" si="313"/>
        <v>0.13574</v>
      </c>
      <c r="P229" s="20">
        <f t="shared" si="314"/>
        <v>77</v>
      </c>
      <c r="Q229" s="19">
        <f t="shared" si="315"/>
        <v>5.2259900000000012</v>
      </c>
      <c r="R229" s="21">
        <f t="shared" si="316"/>
        <v>-1</v>
      </c>
      <c r="S229" s="19">
        <f t="shared" si="317"/>
        <v>-6.7870000000000097E-2</v>
      </c>
    </row>
    <row r="230" spans="1:19">
      <c r="A230" s="26" t="s">
        <v>13</v>
      </c>
      <c r="B230" s="26" t="s">
        <v>57</v>
      </c>
      <c r="C230" s="26">
        <v>6.17</v>
      </c>
      <c r="D230" s="27">
        <v>11.5</v>
      </c>
      <c r="E230" s="28">
        <v>86</v>
      </c>
      <c r="F230" s="16">
        <f t="shared" si="310"/>
        <v>6.1021299999999998</v>
      </c>
      <c r="G230" s="17"/>
      <c r="H230" s="18">
        <v>37</v>
      </c>
      <c r="I230" s="19">
        <f t="shared" si="311"/>
        <v>2.6253350000000002</v>
      </c>
      <c r="J230" s="16"/>
      <c r="K230" s="18">
        <v>30</v>
      </c>
      <c r="L230" s="19">
        <f t="shared" si="312"/>
        <v>2.1286499999999999</v>
      </c>
      <c r="M230" s="16"/>
      <c r="N230" s="18">
        <v>1</v>
      </c>
      <c r="O230" s="19">
        <f t="shared" si="313"/>
        <v>7.0955000000000004E-2</v>
      </c>
      <c r="P230" s="20">
        <f t="shared" si="314"/>
        <v>68</v>
      </c>
      <c r="Q230" s="19">
        <f t="shared" si="315"/>
        <v>4.8249399999999998</v>
      </c>
      <c r="R230" s="21">
        <f t="shared" si="316"/>
        <v>18</v>
      </c>
      <c r="S230" s="19">
        <f t="shared" si="317"/>
        <v>1.27719</v>
      </c>
    </row>
    <row r="231" spans="1:19">
      <c r="A231" s="26" t="s">
        <v>13</v>
      </c>
      <c r="B231" s="26" t="s">
        <v>57</v>
      </c>
      <c r="C231" s="26">
        <v>6.17</v>
      </c>
      <c r="D231" s="27">
        <v>12</v>
      </c>
      <c r="E231" s="28">
        <v>245</v>
      </c>
      <c r="F231" s="16">
        <f t="shared" si="310"/>
        <v>18.139800000000001</v>
      </c>
      <c r="G231" s="17"/>
      <c r="H231" s="18">
        <v>211</v>
      </c>
      <c r="I231" s="19">
        <f t="shared" si="311"/>
        <v>15.622439999999999</v>
      </c>
      <c r="J231" s="16"/>
      <c r="K231" s="18">
        <v>41</v>
      </c>
      <c r="L231" s="19">
        <f t="shared" si="312"/>
        <v>3.0356399999999999</v>
      </c>
      <c r="M231" s="16"/>
      <c r="N231" s="18">
        <v>9</v>
      </c>
      <c r="O231" s="19">
        <f t="shared" si="313"/>
        <v>0.66635999999999995</v>
      </c>
      <c r="P231" s="20">
        <f t="shared" si="314"/>
        <v>261</v>
      </c>
      <c r="Q231" s="19">
        <f t="shared" si="315"/>
        <v>19.324439999999999</v>
      </c>
      <c r="R231" s="21">
        <f t="shared" si="316"/>
        <v>-16</v>
      </c>
      <c r="S231" s="19">
        <f t="shared" si="317"/>
        <v>-1.1846399999999981</v>
      </c>
    </row>
    <row r="232" spans="1:19">
      <c r="A232" s="26"/>
      <c r="B232" s="26"/>
      <c r="C232" s="26"/>
      <c r="D232" s="27"/>
      <c r="E232" s="31">
        <f t="shared" ref="E232:F232" si="318">SUM(E227:E231)</f>
        <v>496</v>
      </c>
      <c r="F232" s="38">
        <f t="shared" si="318"/>
        <v>34.692059</v>
      </c>
      <c r="G232" s="26"/>
      <c r="H232" s="31">
        <f t="shared" ref="H232" si="319">SUM(H227:H231)</f>
        <v>310</v>
      </c>
      <c r="I232" s="38">
        <f t="shared" ref="I232" si="320">SUM(I227:I231)</f>
        <v>22.372419999999998</v>
      </c>
      <c r="J232" s="26"/>
      <c r="K232" s="31">
        <f t="shared" ref="K232" si="321">SUM(K227:K231)</f>
        <v>164</v>
      </c>
      <c r="L232" s="38">
        <f t="shared" ref="L232" si="322">SUM(L227:L231)</f>
        <v>10.972111000000002</v>
      </c>
      <c r="M232" s="26"/>
      <c r="N232" s="31">
        <f t="shared" ref="N232" si="323">SUM(N227:N231)</f>
        <v>22</v>
      </c>
      <c r="O232" s="38">
        <f t="shared" ref="O232" si="324">SUM(O227:O231)</f>
        <v>1.3876329999999999</v>
      </c>
      <c r="P232" s="31">
        <f t="shared" ref="P232" si="325">SUM(P227:P231)</f>
        <v>496</v>
      </c>
      <c r="Q232" s="38">
        <f t="shared" ref="Q232" si="326">SUM(Q227:Q231)</f>
        <v>34.732163999999997</v>
      </c>
      <c r="R232" s="31">
        <f t="shared" ref="R232" si="327">SUM(R227:R231)</f>
        <v>0</v>
      </c>
      <c r="S232" s="38">
        <f t="shared" ref="S232" si="328">SUM(S227:S231)</f>
        <v>-4.0104999999997837E-2</v>
      </c>
    </row>
    <row r="233" spans="1:19">
      <c r="A233" s="26" t="s">
        <v>13</v>
      </c>
      <c r="B233" s="26" t="s">
        <v>58</v>
      </c>
      <c r="C233" s="26">
        <v>7.34</v>
      </c>
      <c r="D233" s="27">
        <v>10.5</v>
      </c>
      <c r="E233" s="28">
        <v>41</v>
      </c>
      <c r="F233" s="16">
        <f t="shared" ref="F233:F240" si="329">(C233*D233*E233/1000)</f>
        <v>3.1598699999999997</v>
      </c>
      <c r="G233" s="16" t="s">
        <v>93</v>
      </c>
      <c r="H233" s="18">
        <v>59</v>
      </c>
      <c r="I233" s="19">
        <f t="shared" ref="I233:I240" si="330">(C233*D233*H233/1000)</f>
        <v>4.5471299999999992</v>
      </c>
      <c r="J233" s="16" t="s">
        <v>107</v>
      </c>
      <c r="K233" s="18"/>
      <c r="L233" s="19">
        <f t="shared" ref="L233:L240" si="331">(C233*D233*K233/1000)</f>
        <v>0</v>
      </c>
      <c r="M233" s="16" t="s">
        <v>88</v>
      </c>
      <c r="N233" s="18"/>
      <c r="O233" s="19">
        <f t="shared" ref="O233:O240" si="332">(C233*D233*N233/1000)</f>
        <v>0</v>
      </c>
      <c r="P233" s="20">
        <f t="shared" ref="P233:P240" si="333">+H233+K233+N233</f>
        <v>59</v>
      </c>
      <c r="Q233" s="19">
        <f t="shared" ref="Q233:Q240" si="334">+I233+L233+O233</f>
        <v>4.5471299999999992</v>
      </c>
      <c r="R233" s="21">
        <f t="shared" ref="R233:R240" si="335">E233-P233</f>
        <v>-18</v>
      </c>
      <c r="S233" s="19">
        <f t="shared" ref="S233:S240" si="336">F233-Q233</f>
        <v>-1.3872599999999995</v>
      </c>
    </row>
    <row r="234" spans="1:19">
      <c r="A234" s="26" t="s">
        <v>13</v>
      </c>
      <c r="B234" s="26" t="s">
        <v>58</v>
      </c>
      <c r="C234" s="26">
        <v>7.34</v>
      </c>
      <c r="D234" s="27">
        <v>11.5</v>
      </c>
      <c r="E234" s="28">
        <v>61</v>
      </c>
      <c r="F234" s="16">
        <f t="shared" si="329"/>
        <v>5.1490100000000005</v>
      </c>
      <c r="G234" s="16" t="s">
        <v>130</v>
      </c>
      <c r="H234" s="18">
        <v>35</v>
      </c>
      <c r="I234" s="19">
        <f t="shared" si="330"/>
        <v>2.9543499999999998</v>
      </c>
      <c r="J234" s="16" t="s">
        <v>131</v>
      </c>
      <c r="K234" s="18">
        <v>22</v>
      </c>
      <c r="L234" s="19">
        <f t="shared" si="331"/>
        <v>1.8570199999999999</v>
      </c>
      <c r="M234" s="16" t="s">
        <v>135</v>
      </c>
      <c r="N234" s="18">
        <v>9</v>
      </c>
      <c r="O234" s="19">
        <f t="shared" si="332"/>
        <v>0.75968999999999998</v>
      </c>
      <c r="P234" s="20">
        <f t="shared" si="333"/>
        <v>66</v>
      </c>
      <c r="Q234" s="19">
        <f t="shared" si="334"/>
        <v>5.5710600000000001</v>
      </c>
      <c r="R234" s="21">
        <f t="shared" si="335"/>
        <v>-5</v>
      </c>
      <c r="S234" s="19">
        <f t="shared" si="336"/>
        <v>-0.42204999999999959</v>
      </c>
    </row>
    <row r="235" spans="1:19">
      <c r="A235" s="26" t="s">
        <v>13</v>
      </c>
      <c r="B235" s="26" t="s">
        <v>58</v>
      </c>
      <c r="C235" s="26">
        <v>7.34</v>
      </c>
      <c r="D235" s="27">
        <v>12</v>
      </c>
      <c r="E235" s="28">
        <v>258</v>
      </c>
      <c r="F235" s="16">
        <f t="shared" ref="F235:F239" si="337">(C235*D235*E235/1000)</f>
        <v>22.724640000000001</v>
      </c>
      <c r="G235" s="17"/>
      <c r="H235" s="18">
        <f t="shared" ref="H235" si="338">78+39</f>
        <v>117</v>
      </c>
      <c r="I235" s="19">
        <f t="shared" ref="I235:I239" si="339">(C235*D235*H235/1000)</f>
        <v>10.30536</v>
      </c>
      <c r="J235" s="16"/>
      <c r="K235" s="18">
        <v>99</v>
      </c>
      <c r="L235" s="19">
        <f t="shared" ref="L235:L239" si="340">(C235*D235*K235/1000)</f>
        <v>8.7199200000000001</v>
      </c>
      <c r="M235" s="16"/>
      <c r="N235" s="18">
        <v>20</v>
      </c>
      <c r="O235" s="19">
        <f t="shared" ref="O235:O239" si="341">(C235*D235*N235/1000)</f>
        <v>1.7615999999999998</v>
      </c>
      <c r="P235" s="20">
        <f t="shared" ref="P235:P239" si="342">+H235+K235+N235</f>
        <v>236</v>
      </c>
      <c r="Q235" s="19">
        <f t="shared" ref="Q235:Q239" si="343">+I235+L235+O235</f>
        <v>20.786880000000004</v>
      </c>
      <c r="R235" s="21">
        <f t="shared" ref="R235:R239" si="344">E235-P235</f>
        <v>22</v>
      </c>
      <c r="S235" s="19">
        <f t="shared" ref="S235:S239" si="345">F235-Q235</f>
        <v>1.9377599999999973</v>
      </c>
    </row>
    <row r="236" spans="1:19">
      <c r="A236" s="26" t="s">
        <v>13</v>
      </c>
      <c r="B236" s="26" t="s">
        <v>58</v>
      </c>
      <c r="C236" s="26">
        <v>7.34</v>
      </c>
      <c r="D236" s="27">
        <v>11.8</v>
      </c>
      <c r="E236" s="28"/>
      <c r="F236" s="16">
        <f t="shared" si="337"/>
        <v>0</v>
      </c>
      <c r="G236" s="17"/>
      <c r="H236" s="18">
        <v>1</v>
      </c>
      <c r="I236" s="19">
        <f t="shared" si="339"/>
        <v>8.6612000000000008E-2</v>
      </c>
      <c r="J236" s="16"/>
      <c r="K236" s="18"/>
      <c r="L236" s="19">
        <f t="shared" si="340"/>
        <v>0</v>
      </c>
      <c r="M236" s="16"/>
      <c r="N236" s="18"/>
      <c r="O236" s="19">
        <f t="shared" si="341"/>
        <v>0</v>
      </c>
      <c r="P236" s="20">
        <f t="shared" si="342"/>
        <v>1</v>
      </c>
      <c r="Q236" s="19">
        <f t="shared" si="343"/>
        <v>8.6612000000000008E-2</v>
      </c>
      <c r="R236" s="21">
        <f t="shared" si="344"/>
        <v>-1</v>
      </c>
      <c r="S236" s="19">
        <f t="shared" si="345"/>
        <v>-8.6612000000000008E-2</v>
      </c>
    </row>
    <row r="237" spans="1:19">
      <c r="A237" s="26" t="s">
        <v>13</v>
      </c>
      <c r="B237" s="26" t="s">
        <v>58</v>
      </c>
      <c r="C237" s="26">
        <v>7.34</v>
      </c>
      <c r="D237" s="27">
        <v>6</v>
      </c>
      <c r="E237" s="28"/>
      <c r="F237" s="16">
        <f t="shared" si="337"/>
        <v>0</v>
      </c>
      <c r="G237" s="17"/>
      <c r="H237" s="18"/>
      <c r="I237" s="19">
        <f t="shared" si="339"/>
        <v>0</v>
      </c>
      <c r="J237" s="16"/>
      <c r="K237" s="18"/>
      <c r="L237" s="19">
        <f t="shared" si="340"/>
        <v>0</v>
      </c>
      <c r="M237" s="16"/>
      <c r="N237" s="18">
        <v>2</v>
      </c>
      <c r="O237" s="19">
        <f t="shared" si="341"/>
        <v>8.8079999999999992E-2</v>
      </c>
      <c r="P237" s="20">
        <f t="shared" si="342"/>
        <v>2</v>
      </c>
      <c r="Q237" s="19">
        <f t="shared" si="343"/>
        <v>8.8079999999999992E-2</v>
      </c>
      <c r="R237" s="21">
        <f t="shared" si="344"/>
        <v>-2</v>
      </c>
      <c r="S237" s="19">
        <f t="shared" si="345"/>
        <v>-8.8079999999999992E-2</v>
      </c>
    </row>
    <row r="238" spans="1:19">
      <c r="A238" s="26" t="s">
        <v>13</v>
      </c>
      <c r="B238" s="26" t="s">
        <v>58</v>
      </c>
      <c r="C238" s="26">
        <v>7.34</v>
      </c>
      <c r="D238" s="27"/>
      <c r="E238" s="28"/>
      <c r="F238" s="16">
        <f t="shared" si="337"/>
        <v>0</v>
      </c>
      <c r="G238" s="17"/>
      <c r="H238" s="18"/>
      <c r="I238" s="19">
        <f t="shared" si="339"/>
        <v>0</v>
      </c>
      <c r="J238" s="16"/>
      <c r="K238" s="18"/>
      <c r="L238" s="19">
        <f t="shared" si="340"/>
        <v>0</v>
      </c>
      <c r="M238" s="16"/>
      <c r="N238" s="18"/>
      <c r="O238" s="19">
        <f t="shared" si="341"/>
        <v>0</v>
      </c>
      <c r="P238" s="20">
        <f t="shared" si="342"/>
        <v>0</v>
      </c>
      <c r="Q238" s="19">
        <f t="shared" si="343"/>
        <v>0</v>
      </c>
      <c r="R238" s="21">
        <f t="shared" si="344"/>
        <v>0</v>
      </c>
      <c r="S238" s="19">
        <f t="shared" si="345"/>
        <v>0</v>
      </c>
    </row>
    <row r="239" spans="1:19">
      <c r="A239" s="26" t="s">
        <v>13</v>
      </c>
      <c r="B239" s="26" t="s">
        <v>58</v>
      </c>
      <c r="C239" s="26">
        <v>7.34</v>
      </c>
      <c r="D239" s="27"/>
      <c r="E239" s="28"/>
      <c r="F239" s="16">
        <f t="shared" si="337"/>
        <v>0</v>
      </c>
      <c r="G239" s="17"/>
      <c r="H239" s="18"/>
      <c r="I239" s="19">
        <f t="shared" si="339"/>
        <v>0</v>
      </c>
      <c r="J239" s="16"/>
      <c r="K239" s="18"/>
      <c r="L239" s="19">
        <f t="shared" si="340"/>
        <v>0</v>
      </c>
      <c r="M239" s="16"/>
      <c r="N239" s="18"/>
      <c r="O239" s="19">
        <f t="shared" si="341"/>
        <v>0</v>
      </c>
      <c r="P239" s="20">
        <f t="shared" si="342"/>
        <v>0</v>
      </c>
      <c r="Q239" s="19">
        <f t="shared" si="343"/>
        <v>0</v>
      </c>
      <c r="R239" s="21">
        <f t="shared" si="344"/>
        <v>0</v>
      </c>
      <c r="S239" s="19">
        <f t="shared" si="345"/>
        <v>0</v>
      </c>
    </row>
    <row r="240" spans="1:19">
      <c r="A240" s="26" t="s">
        <v>13</v>
      </c>
      <c r="B240" s="26" t="s">
        <v>58</v>
      </c>
      <c r="C240" s="26">
        <v>7.34</v>
      </c>
      <c r="D240" s="27"/>
      <c r="E240" s="28"/>
      <c r="F240" s="16">
        <f t="shared" si="329"/>
        <v>0</v>
      </c>
      <c r="G240" s="17"/>
      <c r="H240" s="18"/>
      <c r="I240" s="19">
        <f t="shared" si="330"/>
        <v>0</v>
      </c>
      <c r="J240" s="16"/>
      <c r="K240" s="18"/>
      <c r="L240" s="19">
        <f t="shared" si="331"/>
        <v>0</v>
      </c>
      <c r="M240" s="16"/>
      <c r="N240" s="18"/>
      <c r="O240" s="19">
        <f t="shared" si="332"/>
        <v>0</v>
      </c>
      <c r="P240" s="20">
        <f t="shared" si="333"/>
        <v>0</v>
      </c>
      <c r="Q240" s="19">
        <f t="shared" si="334"/>
        <v>0</v>
      </c>
      <c r="R240" s="21">
        <f t="shared" si="335"/>
        <v>0</v>
      </c>
      <c r="S240" s="19">
        <f t="shared" si="336"/>
        <v>0</v>
      </c>
    </row>
    <row r="241" spans="1:19">
      <c r="A241" s="26"/>
      <c r="B241" s="26"/>
      <c r="C241" s="26"/>
      <c r="D241" s="27"/>
      <c r="E241" s="31">
        <f>SUM(E233:E240)</f>
        <v>360</v>
      </c>
      <c r="F241" s="38">
        <f>SUM(F233:F240)</f>
        <v>31.033520000000003</v>
      </c>
      <c r="G241" s="26"/>
      <c r="H241" s="31">
        <f>SUM(H233:H240)</f>
        <v>212</v>
      </c>
      <c r="I241" s="38">
        <f>SUM(I233:I240)</f>
        <v>17.893452</v>
      </c>
      <c r="J241" s="26"/>
      <c r="K241" s="31">
        <f>SUM(K233:K240)</f>
        <v>121</v>
      </c>
      <c r="L241" s="38">
        <f>SUM(L233:L240)</f>
        <v>10.57694</v>
      </c>
      <c r="M241" s="26"/>
      <c r="N241" s="31">
        <f t="shared" ref="N241:S241" si="346">SUM(N233:N240)</f>
        <v>31</v>
      </c>
      <c r="O241" s="38">
        <f t="shared" si="346"/>
        <v>2.6093699999999997</v>
      </c>
      <c r="P241" s="31">
        <f t="shared" si="346"/>
        <v>364</v>
      </c>
      <c r="Q241" s="38">
        <f t="shared" si="346"/>
        <v>31.079762000000002</v>
      </c>
      <c r="R241" s="31">
        <f t="shared" si="346"/>
        <v>-4</v>
      </c>
      <c r="S241" s="38">
        <f t="shared" si="346"/>
        <v>-4.6242000000001823E-2</v>
      </c>
    </row>
    <row r="242" spans="1:19">
      <c r="A242" s="33"/>
      <c r="B242" s="33"/>
      <c r="C242" s="34"/>
      <c r="D242" s="34"/>
      <c r="E242" s="34">
        <f>SUM(E228:E241)/2</f>
        <v>840</v>
      </c>
      <c r="F242" s="35">
        <f>SUM(F6:F241)/2</f>
        <v>906.74457099999995</v>
      </c>
      <c r="G242" s="26"/>
      <c r="H242" s="34">
        <f>SUM(H228:H241)/2</f>
        <v>522</v>
      </c>
      <c r="I242" s="35">
        <f>SUM(I228:I241)/2</f>
        <v>40.265871999999995</v>
      </c>
      <c r="J242" s="26"/>
      <c r="K242" s="34">
        <f>SUM(K228:K241)/2</f>
        <v>273.5</v>
      </c>
      <c r="L242" s="35">
        <f>SUM(L228:L241)/2</f>
        <v>20.974315499999999</v>
      </c>
      <c r="M242" s="26"/>
      <c r="N242" s="34">
        <f t="shared" ref="N242:S242" si="347">SUM(N228:N241)/2</f>
        <v>48.5</v>
      </c>
      <c r="O242" s="35">
        <f t="shared" si="347"/>
        <v>3.7721064999999996</v>
      </c>
      <c r="P242" s="34">
        <f t="shared" si="347"/>
        <v>844</v>
      </c>
      <c r="Q242" s="35">
        <f t="shared" si="347"/>
        <v>65.012293999999997</v>
      </c>
      <c r="R242" s="34">
        <f t="shared" si="347"/>
        <v>-4</v>
      </c>
      <c r="S242" s="35">
        <f t="shared" si="347"/>
        <v>-8.6346999999999674E-2</v>
      </c>
    </row>
  </sheetData>
  <sortState ref="D95:N113">
    <sortCondition ref="D95:D113"/>
  </sortState>
  <mergeCells count="10">
    <mergeCell ref="J4:L4"/>
    <mergeCell ref="M4:O4"/>
    <mergeCell ref="P4:Q4"/>
    <mergeCell ref="R4:S4"/>
    <mergeCell ref="G1:H1"/>
    <mergeCell ref="I1:J1"/>
    <mergeCell ref="M1:N1"/>
    <mergeCell ref="Q1:S1"/>
    <mergeCell ref="F2:G2"/>
    <mergeCell ref="R2:S2"/>
  </mergeCells>
  <pageMargins left="0.22" right="0.2" top="0.35" bottom="0.28000000000000003" header="0.3" footer="0.3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/>
  <dimension ref="A1:U154"/>
  <sheetViews>
    <sheetView zoomScale="75" zoomScaleNormal="75" workbookViewId="0">
      <pane ySplit="5" topLeftCell="A6" activePane="bottomLeft" state="frozen"/>
      <selection pane="bottomLeft" activeCell="M115" sqref="M11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3" t="s">
        <v>63</v>
      </c>
      <c r="H1" s="144"/>
      <c r="I1" s="145" t="s">
        <v>69</v>
      </c>
      <c r="J1" s="144"/>
      <c r="K1" s="3"/>
      <c r="L1" s="4"/>
      <c r="M1" s="146" t="str">
        <f>+F2</f>
        <v>LOI-13  07.04.23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28</v>
      </c>
      <c r="B2" s="8"/>
      <c r="C2" s="9"/>
      <c r="D2" s="9"/>
      <c r="E2" s="10"/>
      <c r="F2" s="146" t="s">
        <v>62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146" t="str">
        <f>+M1</f>
        <v>LOI-13  07.04.23</v>
      </c>
      <c r="S2" s="146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 hidden="1">
      <c r="A6" s="26" t="s">
        <v>13</v>
      </c>
      <c r="B6" s="26" t="s">
        <v>60</v>
      </c>
      <c r="C6" s="26">
        <v>15</v>
      </c>
      <c r="D6" s="27">
        <v>11</v>
      </c>
      <c r="E6" s="28">
        <v>18</v>
      </c>
      <c r="F6" s="16">
        <f>(C6*D6*E6/1000)</f>
        <v>2.97</v>
      </c>
      <c r="G6" s="16" t="s">
        <v>88</v>
      </c>
      <c r="H6" s="18">
        <v>13</v>
      </c>
      <c r="I6" s="19">
        <f>(C6*D6*H6/1000)</f>
        <v>2.145</v>
      </c>
      <c r="J6" s="16" t="s">
        <v>91</v>
      </c>
      <c r="K6" s="18"/>
      <c r="L6" s="19">
        <f>(C6*D6*K6/1000)</f>
        <v>0</v>
      </c>
      <c r="M6" s="16"/>
      <c r="N6" s="18"/>
      <c r="O6" s="19">
        <f>(C6*D6*N6/1000)</f>
        <v>0</v>
      </c>
      <c r="P6" s="20">
        <f>+H6+K6+N6</f>
        <v>13</v>
      </c>
      <c r="Q6" s="19">
        <f>+I6+L6+O6</f>
        <v>2.145</v>
      </c>
      <c r="R6" s="21">
        <f>E6-P6</f>
        <v>5</v>
      </c>
      <c r="S6" s="19">
        <f>F6-Q6</f>
        <v>0.82500000000000018</v>
      </c>
      <c r="U6" s="29"/>
    </row>
    <row r="7" spans="1:21" hidden="1">
      <c r="A7" s="26" t="s">
        <v>13</v>
      </c>
      <c r="B7" s="26" t="s">
        <v>60</v>
      </c>
      <c r="C7" s="26">
        <v>15</v>
      </c>
      <c r="D7" s="27">
        <v>11.7</v>
      </c>
      <c r="E7" s="28"/>
      <c r="F7" s="16">
        <f t="shared" ref="F7:F13" si="0">(C7*D7*E7/1000)</f>
        <v>0</v>
      </c>
      <c r="G7" s="16" t="s">
        <v>112</v>
      </c>
      <c r="H7" s="18"/>
      <c r="I7" s="19">
        <f t="shared" ref="I7:I13" si="1">(C7*D7*H7/1000)</f>
        <v>0</v>
      </c>
      <c r="J7" s="16" t="s">
        <v>113</v>
      </c>
      <c r="K7" s="18">
        <v>2</v>
      </c>
      <c r="L7" s="19">
        <f t="shared" ref="L7:L13" si="2">(C7*D7*K7/1000)</f>
        <v>0.35099999999999998</v>
      </c>
      <c r="M7" s="16"/>
      <c r="N7" s="18"/>
      <c r="O7" s="19">
        <f t="shared" ref="O7:O13" si="3">(C7*D7*N7/1000)</f>
        <v>0</v>
      </c>
      <c r="P7" s="20">
        <f t="shared" ref="P7:P13" si="4">+H7+K7+N7</f>
        <v>2</v>
      </c>
      <c r="Q7" s="19">
        <f t="shared" ref="Q7:Q13" si="5">+I7+L7+O7</f>
        <v>0.35099999999999998</v>
      </c>
      <c r="R7" s="21">
        <f t="shared" ref="R7:R13" si="6">E7-P7</f>
        <v>-2</v>
      </c>
      <c r="S7" s="19">
        <f t="shared" ref="S7:S13" si="7">F7-Q7</f>
        <v>-0.35099999999999998</v>
      </c>
      <c r="U7" s="29"/>
    </row>
    <row r="8" spans="1:21" hidden="1">
      <c r="A8" s="26" t="s">
        <v>13</v>
      </c>
      <c r="B8" s="26" t="s">
        <v>60</v>
      </c>
      <c r="C8" s="26">
        <v>15</v>
      </c>
      <c r="D8" s="27">
        <v>11.3</v>
      </c>
      <c r="E8" s="28"/>
      <c r="F8" s="16">
        <f t="shared" si="0"/>
        <v>0</v>
      </c>
      <c r="G8" s="16"/>
      <c r="H8" s="18"/>
      <c r="I8" s="19">
        <f t="shared" si="1"/>
        <v>0</v>
      </c>
      <c r="J8" s="16"/>
      <c r="K8" s="18">
        <v>1</v>
      </c>
      <c r="L8" s="19">
        <f t="shared" si="2"/>
        <v>0.16950000000000001</v>
      </c>
      <c r="M8" s="16"/>
      <c r="N8" s="18"/>
      <c r="O8" s="19">
        <f t="shared" si="3"/>
        <v>0</v>
      </c>
      <c r="P8" s="20">
        <f t="shared" si="4"/>
        <v>1</v>
      </c>
      <c r="Q8" s="19">
        <f t="shared" si="5"/>
        <v>0.16950000000000001</v>
      </c>
      <c r="R8" s="21">
        <f t="shared" si="6"/>
        <v>-1</v>
      </c>
      <c r="S8" s="19">
        <f t="shared" si="7"/>
        <v>-0.16950000000000001</v>
      </c>
      <c r="U8" s="29"/>
    </row>
    <row r="9" spans="1:21" hidden="1">
      <c r="A9" s="26" t="s">
        <v>13</v>
      </c>
      <c r="B9" s="26" t="s">
        <v>60</v>
      </c>
      <c r="C9" s="26">
        <v>15</v>
      </c>
      <c r="D9" s="27">
        <v>10</v>
      </c>
      <c r="E9" s="28"/>
      <c r="F9" s="16">
        <f t="shared" si="0"/>
        <v>0</v>
      </c>
      <c r="G9" s="16"/>
      <c r="H9" s="18"/>
      <c r="I9" s="19">
        <f t="shared" si="1"/>
        <v>0</v>
      </c>
      <c r="J9" s="16"/>
      <c r="K9" s="18">
        <v>2</v>
      </c>
      <c r="L9" s="19">
        <f t="shared" si="2"/>
        <v>0.3</v>
      </c>
      <c r="M9" s="16"/>
      <c r="N9" s="18"/>
      <c r="O9" s="19">
        <f t="shared" si="3"/>
        <v>0</v>
      </c>
      <c r="P9" s="20">
        <f t="shared" si="4"/>
        <v>2</v>
      </c>
      <c r="Q9" s="19">
        <f t="shared" si="5"/>
        <v>0.3</v>
      </c>
      <c r="R9" s="21">
        <f t="shared" si="6"/>
        <v>-2</v>
      </c>
      <c r="S9" s="19">
        <f t="shared" si="7"/>
        <v>-0.3</v>
      </c>
      <c r="U9" s="29"/>
    </row>
    <row r="10" spans="1:21" hidden="1">
      <c r="A10" s="26" t="s">
        <v>13</v>
      </c>
      <c r="B10" s="26" t="s">
        <v>60</v>
      </c>
      <c r="C10" s="26">
        <v>15</v>
      </c>
      <c r="D10" s="27">
        <v>8.6999999999999993</v>
      </c>
      <c r="E10" s="28"/>
      <c r="F10" s="16">
        <f t="shared" si="0"/>
        <v>0</v>
      </c>
      <c r="G10" s="16"/>
      <c r="H10" s="18"/>
      <c r="I10" s="19">
        <f t="shared" si="1"/>
        <v>0</v>
      </c>
      <c r="J10" s="16"/>
      <c r="K10" s="18">
        <v>3</v>
      </c>
      <c r="L10" s="19">
        <f t="shared" si="2"/>
        <v>0.39150000000000001</v>
      </c>
      <c r="M10" s="16"/>
      <c r="N10" s="18"/>
      <c r="O10" s="19">
        <f t="shared" si="3"/>
        <v>0</v>
      </c>
      <c r="P10" s="20">
        <f t="shared" si="4"/>
        <v>3</v>
      </c>
      <c r="Q10" s="19">
        <f t="shared" si="5"/>
        <v>0.39150000000000001</v>
      </c>
      <c r="R10" s="21">
        <f t="shared" si="6"/>
        <v>-3</v>
      </c>
      <c r="S10" s="19">
        <f t="shared" si="7"/>
        <v>-0.39150000000000001</v>
      </c>
      <c r="U10" s="29"/>
    </row>
    <row r="11" spans="1:21" hidden="1">
      <c r="A11" s="26" t="s">
        <v>13</v>
      </c>
      <c r="B11" s="26" t="s">
        <v>60</v>
      </c>
      <c r="C11" s="26">
        <v>15</v>
      </c>
      <c r="D11" s="27"/>
      <c r="E11" s="28"/>
      <c r="F11" s="16">
        <f t="shared" si="0"/>
        <v>0</v>
      </c>
      <c r="G11" s="16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20">
        <f t="shared" si="4"/>
        <v>0</v>
      </c>
      <c r="Q11" s="19">
        <f t="shared" si="5"/>
        <v>0</v>
      </c>
      <c r="R11" s="21">
        <f t="shared" si="6"/>
        <v>0</v>
      </c>
      <c r="S11" s="19">
        <f t="shared" si="7"/>
        <v>0</v>
      </c>
      <c r="U11" s="29"/>
    </row>
    <row r="12" spans="1:21" hidden="1">
      <c r="A12" s="26" t="s">
        <v>13</v>
      </c>
      <c r="B12" s="26" t="s">
        <v>60</v>
      </c>
      <c r="C12" s="26">
        <v>15</v>
      </c>
      <c r="D12" s="27"/>
      <c r="E12" s="28"/>
      <c r="F12" s="16">
        <f t="shared" si="0"/>
        <v>0</v>
      </c>
      <c r="G12" s="16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20">
        <f t="shared" si="4"/>
        <v>0</v>
      </c>
      <c r="Q12" s="19">
        <f t="shared" si="5"/>
        <v>0</v>
      </c>
      <c r="R12" s="21">
        <f t="shared" si="6"/>
        <v>0</v>
      </c>
      <c r="S12" s="19">
        <f t="shared" si="7"/>
        <v>0</v>
      </c>
      <c r="U12" s="29"/>
    </row>
    <row r="13" spans="1:21" hidden="1">
      <c r="A13" s="26" t="s">
        <v>13</v>
      </c>
      <c r="B13" s="26" t="s">
        <v>60</v>
      </c>
      <c r="C13" s="26">
        <v>15</v>
      </c>
      <c r="D13" s="27"/>
      <c r="E13" s="28"/>
      <c r="F13" s="16">
        <f t="shared" si="0"/>
        <v>0</v>
      </c>
      <c r="G13" s="16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20">
        <f t="shared" si="4"/>
        <v>0</v>
      </c>
      <c r="Q13" s="19">
        <f t="shared" si="5"/>
        <v>0</v>
      </c>
      <c r="R13" s="21">
        <f t="shared" si="6"/>
        <v>0</v>
      </c>
      <c r="S13" s="19">
        <f t="shared" si="7"/>
        <v>0</v>
      </c>
      <c r="U13" s="29"/>
    </row>
    <row r="14" spans="1:21" hidden="1">
      <c r="A14" s="36"/>
      <c r="B14" s="36"/>
      <c r="C14" s="36"/>
      <c r="D14" s="38"/>
      <c r="E14" s="31">
        <f t="shared" ref="E14:F14" si="8">SUM(E6:E13)</f>
        <v>18</v>
      </c>
      <c r="F14" s="38">
        <f t="shared" si="8"/>
        <v>2.97</v>
      </c>
      <c r="G14" s="16"/>
      <c r="H14" s="31">
        <f t="shared" ref="H14" si="9">SUM(H6:H13)</f>
        <v>13</v>
      </c>
      <c r="I14" s="38">
        <f t="shared" ref="I14" si="10">SUM(I6:I13)</f>
        <v>2.145</v>
      </c>
      <c r="J14" s="16"/>
      <c r="K14" s="31">
        <f t="shared" ref="K14" si="11">SUM(K6:K13)</f>
        <v>8</v>
      </c>
      <c r="L14" s="38">
        <f t="shared" ref="L14" si="12">SUM(L6:L13)</f>
        <v>1.212</v>
      </c>
      <c r="M14" s="16"/>
      <c r="N14" s="31">
        <f t="shared" ref="N14" si="13">SUM(N6:N13)</f>
        <v>0</v>
      </c>
      <c r="O14" s="38">
        <f t="shared" ref="O14" si="14">SUM(O6:O13)</f>
        <v>0</v>
      </c>
      <c r="P14" s="31">
        <f t="shared" ref="P14" si="15">SUM(P6:P13)</f>
        <v>21</v>
      </c>
      <c r="Q14" s="38">
        <f t="shared" ref="Q14" si="16">SUM(Q6:Q13)</f>
        <v>3.3570000000000002</v>
      </c>
      <c r="R14" s="31">
        <f t="shared" ref="R14" si="17">SUM(R6:R13)</f>
        <v>-3</v>
      </c>
      <c r="S14" s="38">
        <f t="shared" ref="S14" si="18">SUM(S6:S13)</f>
        <v>-0.38699999999999979</v>
      </c>
      <c r="U14" s="29"/>
    </row>
    <row r="15" spans="1:21" hidden="1">
      <c r="A15" s="26" t="s">
        <v>13</v>
      </c>
      <c r="B15" s="26" t="s">
        <v>45</v>
      </c>
      <c r="C15" s="26">
        <v>9.26</v>
      </c>
      <c r="D15" s="27">
        <v>7.3</v>
      </c>
      <c r="E15" s="28">
        <v>2</v>
      </c>
      <c r="F15" s="16">
        <f t="shared" ref="F15:F17" si="19">(C15*D15*E15/1000)</f>
        <v>0.13519600000000001</v>
      </c>
      <c r="G15" s="16" t="s">
        <v>114</v>
      </c>
      <c r="H15" s="18">
        <v>2</v>
      </c>
      <c r="I15" s="19">
        <f t="shared" ref="I15:I17" si="20">(C15*D15*H15/1000)</f>
        <v>0.13519600000000001</v>
      </c>
      <c r="J15" s="16"/>
      <c r="K15" s="18"/>
      <c r="L15" s="19">
        <f t="shared" ref="L15:L17" si="21">(C15*D15*K15/1000)</f>
        <v>0</v>
      </c>
      <c r="M15" s="16"/>
      <c r="N15" s="18"/>
      <c r="O15" s="19">
        <f t="shared" ref="O15:O17" si="22">(C15*D15*N15/1000)</f>
        <v>0</v>
      </c>
      <c r="P15" s="20">
        <f t="shared" ref="P15:P17" si="23">+H15+K15+N15</f>
        <v>2</v>
      </c>
      <c r="Q15" s="19">
        <f t="shared" ref="Q15:Q17" si="24">+I15+L15+O15</f>
        <v>0.13519600000000001</v>
      </c>
      <c r="R15" s="21">
        <f t="shared" ref="R15:R17" si="25">E15-P15</f>
        <v>0</v>
      </c>
      <c r="S15" s="19">
        <f t="shared" ref="S15:S17" si="26">F15-Q15</f>
        <v>0</v>
      </c>
      <c r="U15" s="29"/>
    </row>
    <row r="16" spans="1:21" hidden="1">
      <c r="A16" s="26" t="s">
        <v>13</v>
      </c>
      <c r="B16" s="26" t="s">
        <v>45</v>
      </c>
      <c r="C16" s="26">
        <v>9.26</v>
      </c>
      <c r="D16" s="27">
        <v>8</v>
      </c>
      <c r="E16" s="28">
        <v>4</v>
      </c>
      <c r="F16" s="16">
        <f t="shared" si="19"/>
        <v>0.29631999999999997</v>
      </c>
      <c r="G16" s="16" t="s">
        <v>113</v>
      </c>
      <c r="H16" s="18">
        <v>4</v>
      </c>
      <c r="I16" s="19">
        <f t="shared" si="20"/>
        <v>0.29631999999999997</v>
      </c>
      <c r="J16" s="16"/>
      <c r="K16" s="18"/>
      <c r="L16" s="19">
        <f t="shared" si="21"/>
        <v>0</v>
      </c>
      <c r="M16" s="16"/>
      <c r="N16" s="18"/>
      <c r="O16" s="19">
        <f t="shared" si="22"/>
        <v>0</v>
      </c>
      <c r="P16" s="20">
        <f t="shared" si="23"/>
        <v>4</v>
      </c>
      <c r="Q16" s="19">
        <f t="shared" si="24"/>
        <v>0.29631999999999997</v>
      </c>
      <c r="R16" s="21">
        <f t="shared" si="25"/>
        <v>0</v>
      </c>
      <c r="S16" s="19">
        <f t="shared" si="26"/>
        <v>0</v>
      </c>
      <c r="U16" s="29"/>
    </row>
    <row r="17" spans="1:21" hidden="1">
      <c r="A17" s="26" t="s">
        <v>13</v>
      </c>
      <c r="B17" s="26" t="s">
        <v>45</v>
      </c>
      <c r="C17" s="26">
        <v>9.26</v>
      </c>
      <c r="D17" s="27">
        <v>10.199999999999999</v>
      </c>
      <c r="E17" s="28">
        <v>9</v>
      </c>
      <c r="F17" s="16">
        <f t="shared" si="19"/>
        <v>0.85006799999999993</v>
      </c>
      <c r="G17" s="17"/>
      <c r="H17" s="18">
        <v>2</v>
      </c>
      <c r="I17" s="19">
        <f t="shared" si="20"/>
        <v>0.18890399999999999</v>
      </c>
      <c r="J17" s="16"/>
      <c r="K17" s="18"/>
      <c r="L17" s="19">
        <f t="shared" si="21"/>
        <v>0</v>
      </c>
      <c r="M17" s="16"/>
      <c r="N17" s="18"/>
      <c r="O17" s="19">
        <f t="shared" si="22"/>
        <v>0</v>
      </c>
      <c r="P17" s="20">
        <f t="shared" si="23"/>
        <v>2</v>
      </c>
      <c r="Q17" s="19">
        <f t="shared" si="24"/>
        <v>0.18890399999999999</v>
      </c>
      <c r="R17" s="21">
        <f t="shared" si="25"/>
        <v>7</v>
      </c>
      <c r="S17" s="19">
        <f t="shared" si="26"/>
        <v>0.66116399999999997</v>
      </c>
      <c r="U17" s="29"/>
    </row>
    <row r="18" spans="1:21" hidden="1">
      <c r="A18" s="26" t="s">
        <v>13</v>
      </c>
      <c r="B18" s="26" t="s">
        <v>45</v>
      </c>
      <c r="C18" s="26">
        <v>9.26</v>
      </c>
      <c r="D18" s="27">
        <v>10.8</v>
      </c>
      <c r="E18" s="28">
        <v>8</v>
      </c>
      <c r="F18" s="16">
        <f t="shared" ref="F18:F27" si="27">(C18*D18*E18/1000)</f>
        <v>0.80006400000000011</v>
      </c>
      <c r="G18" s="17"/>
      <c r="H18" s="18"/>
      <c r="I18" s="19">
        <f t="shared" ref="I18:I27" si="28">(C18*D18*H18/1000)</f>
        <v>0</v>
      </c>
      <c r="J18" s="16"/>
      <c r="K18" s="18"/>
      <c r="L18" s="19">
        <f t="shared" ref="L18:L27" si="29">(C18*D18*K18/1000)</f>
        <v>0</v>
      </c>
      <c r="M18" s="16"/>
      <c r="N18" s="18"/>
      <c r="O18" s="19">
        <f t="shared" ref="O18:O27" si="30">(C18*D18*N18/1000)</f>
        <v>0</v>
      </c>
      <c r="P18" s="20">
        <f t="shared" ref="P18:P27" si="31">+H18+K18+N18</f>
        <v>0</v>
      </c>
      <c r="Q18" s="19">
        <f t="shared" ref="Q18:Q27" si="32">+I18+L18+O18</f>
        <v>0</v>
      </c>
      <c r="R18" s="21">
        <f t="shared" ref="R18:R27" si="33">E18-P18</f>
        <v>8</v>
      </c>
      <c r="S18" s="19">
        <f t="shared" ref="S18:S27" si="34">F18-Q18</f>
        <v>0.80006400000000011</v>
      </c>
      <c r="U18" s="29"/>
    </row>
    <row r="19" spans="1:21" hidden="1">
      <c r="A19" s="26" t="s">
        <v>13</v>
      </c>
      <c r="B19" s="26" t="s">
        <v>45</v>
      </c>
      <c r="C19" s="26">
        <v>9.26</v>
      </c>
      <c r="D19" s="27">
        <v>9.5</v>
      </c>
      <c r="E19" s="28"/>
      <c r="F19" s="16">
        <f t="shared" ref="F19:F22" si="35">(C19*D19*E19/1000)</f>
        <v>0</v>
      </c>
      <c r="G19" s="17"/>
      <c r="H19" s="18">
        <v>2</v>
      </c>
      <c r="I19" s="19">
        <f t="shared" ref="I19:I22" si="36">(C19*D19*H19/1000)</f>
        <v>0.17593999999999999</v>
      </c>
      <c r="J19" s="16"/>
      <c r="K19" s="18"/>
      <c r="L19" s="19">
        <f t="shared" ref="L19:L22" si="37">(C19*D19*K19/1000)</f>
        <v>0</v>
      </c>
      <c r="M19" s="16"/>
      <c r="N19" s="18"/>
      <c r="O19" s="19">
        <f t="shared" ref="O19:O22" si="38">(C19*D19*N19/1000)</f>
        <v>0</v>
      </c>
      <c r="P19" s="20">
        <f t="shared" ref="P19:P22" si="39">+H19+K19+N19</f>
        <v>2</v>
      </c>
      <c r="Q19" s="19">
        <f t="shared" ref="Q19:Q22" si="40">+I19+L19+O19</f>
        <v>0.17593999999999999</v>
      </c>
      <c r="R19" s="21">
        <f t="shared" ref="R19:R22" si="41">E19-P19</f>
        <v>-2</v>
      </c>
      <c r="S19" s="19">
        <f t="shared" ref="S19:S22" si="42">F19-Q19</f>
        <v>-0.17593999999999999</v>
      </c>
      <c r="U19" s="29"/>
    </row>
    <row r="20" spans="1:21" hidden="1">
      <c r="A20" s="26" t="s">
        <v>13</v>
      </c>
      <c r="B20" s="26" t="s">
        <v>45</v>
      </c>
      <c r="C20" s="26">
        <v>9.26</v>
      </c>
      <c r="D20" s="27">
        <v>10</v>
      </c>
      <c r="E20" s="28"/>
      <c r="F20" s="16">
        <f t="shared" si="35"/>
        <v>0</v>
      </c>
      <c r="G20" s="17"/>
      <c r="H20" s="18">
        <v>2</v>
      </c>
      <c r="I20" s="19">
        <f t="shared" si="36"/>
        <v>0.18519999999999998</v>
      </c>
      <c r="J20" s="16"/>
      <c r="K20" s="18"/>
      <c r="L20" s="19">
        <f t="shared" si="37"/>
        <v>0</v>
      </c>
      <c r="M20" s="16"/>
      <c r="N20" s="18"/>
      <c r="O20" s="19">
        <f t="shared" si="38"/>
        <v>0</v>
      </c>
      <c r="P20" s="20">
        <f t="shared" si="39"/>
        <v>2</v>
      </c>
      <c r="Q20" s="19">
        <f t="shared" si="40"/>
        <v>0.18519999999999998</v>
      </c>
      <c r="R20" s="21">
        <f t="shared" si="41"/>
        <v>-2</v>
      </c>
      <c r="S20" s="19">
        <f t="shared" si="42"/>
        <v>-0.18519999999999998</v>
      </c>
      <c r="U20" s="29"/>
    </row>
    <row r="21" spans="1:21" hidden="1">
      <c r="A21" s="26" t="s">
        <v>13</v>
      </c>
      <c r="B21" s="26" t="s">
        <v>45</v>
      </c>
      <c r="C21" s="26">
        <v>9.26</v>
      </c>
      <c r="D21" s="27">
        <v>7.3</v>
      </c>
      <c r="E21" s="28"/>
      <c r="F21" s="16">
        <f t="shared" si="35"/>
        <v>0</v>
      </c>
      <c r="G21" s="17"/>
      <c r="H21" s="18">
        <v>3</v>
      </c>
      <c r="I21" s="19">
        <f t="shared" si="36"/>
        <v>0.20279399999999997</v>
      </c>
      <c r="J21" s="16"/>
      <c r="K21" s="18"/>
      <c r="L21" s="19">
        <f t="shared" si="37"/>
        <v>0</v>
      </c>
      <c r="M21" s="16"/>
      <c r="N21" s="18"/>
      <c r="O21" s="19">
        <f t="shared" si="38"/>
        <v>0</v>
      </c>
      <c r="P21" s="20">
        <f t="shared" si="39"/>
        <v>3</v>
      </c>
      <c r="Q21" s="19">
        <f t="shared" si="40"/>
        <v>0.20279399999999997</v>
      </c>
      <c r="R21" s="21">
        <f t="shared" si="41"/>
        <v>-3</v>
      </c>
      <c r="S21" s="19">
        <f t="shared" si="42"/>
        <v>-0.20279399999999997</v>
      </c>
      <c r="U21" s="29"/>
    </row>
    <row r="22" spans="1:21" hidden="1">
      <c r="A22" s="26" t="s">
        <v>13</v>
      </c>
      <c r="B22" s="26" t="s">
        <v>45</v>
      </c>
      <c r="C22" s="26">
        <v>9.26</v>
      </c>
      <c r="D22" s="27">
        <v>8.4</v>
      </c>
      <c r="E22" s="28"/>
      <c r="F22" s="16">
        <f t="shared" si="35"/>
        <v>0</v>
      </c>
      <c r="G22" s="17"/>
      <c r="H22" s="18">
        <v>1</v>
      </c>
      <c r="I22" s="19">
        <f t="shared" si="36"/>
        <v>7.7784000000000006E-2</v>
      </c>
      <c r="J22" s="16"/>
      <c r="K22" s="18"/>
      <c r="L22" s="19">
        <f t="shared" si="37"/>
        <v>0</v>
      </c>
      <c r="M22" s="16"/>
      <c r="N22" s="18"/>
      <c r="O22" s="19">
        <f t="shared" si="38"/>
        <v>0</v>
      </c>
      <c r="P22" s="20">
        <f t="shared" si="39"/>
        <v>1</v>
      </c>
      <c r="Q22" s="19">
        <f t="shared" si="40"/>
        <v>7.7784000000000006E-2</v>
      </c>
      <c r="R22" s="21">
        <f t="shared" si="41"/>
        <v>-1</v>
      </c>
      <c r="S22" s="19">
        <f t="shared" si="42"/>
        <v>-7.7784000000000006E-2</v>
      </c>
      <c r="U22" s="29"/>
    </row>
    <row r="23" spans="1:21" hidden="1">
      <c r="A23" s="26" t="s">
        <v>13</v>
      </c>
      <c r="B23" s="26" t="s">
        <v>45</v>
      </c>
      <c r="C23" s="26">
        <v>9.26</v>
      </c>
      <c r="D23" s="27">
        <v>9.8000000000000007</v>
      </c>
      <c r="E23" s="28"/>
      <c r="F23" s="16">
        <f t="shared" si="27"/>
        <v>0</v>
      </c>
      <c r="G23" s="17"/>
      <c r="H23" s="18">
        <v>1</v>
      </c>
      <c r="I23" s="19">
        <f t="shared" si="28"/>
        <v>9.0748000000000009E-2</v>
      </c>
      <c r="J23" s="16"/>
      <c r="K23" s="18"/>
      <c r="L23" s="19">
        <f t="shared" si="29"/>
        <v>0</v>
      </c>
      <c r="M23" s="16"/>
      <c r="N23" s="18"/>
      <c r="O23" s="19">
        <f t="shared" si="30"/>
        <v>0</v>
      </c>
      <c r="P23" s="20">
        <f t="shared" si="31"/>
        <v>1</v>
      </c>
      <c r="Q23" s="19">
        <f t="shared" si="32"/>
        <v>9.0748000000000009E-2</v>
      </c>
      <c r="R23" s="21">
        <f t="shared" si="33"/>
        <v>-1</v>
      </c>
      <c r="S23" s="19">
        <f t="shared" si="34"/>
        <v>-9.0748000000000009E-2</v>
      </c>
      <c r="U23" s="29"/>
    </row>
    <row r="24" spans="1:21" hidden="1">
      <c r="A24" s="26" t="s">
        <v>13</v>
      </c>
      <c r="B24" s="26" t="s">
        <v>45</v>
      </c>
      <c r="C24" s="26">
        <v>9.26</v>
      </c>
      <c r="D24" s="27">
        <v>10</v>
      </c>
      <c r="E24" s="28"/>
      <c r="F24" s="16">
        <f t="shared" si="27"/>
        <v>0</v>
      </c>
      <c r="G24" s="17"/>
      <c r="H24" s="18">
        <v>1</v>
      </c>
      <c r="I24" s="19">
        <f t="shared" si="28"/>
        <v>9.2599999999999988E-2</v>
      </c>
      <c r="J24" s="16"/>
      <c r="K24" s="18"/>
      <c r="L24" s="19">
        <f t="shared" si="29"/>
        <v>0</v>
      </c>
      <c r="M24" s="16"/>
      <c r="N24" s="18"/>
      <c r="O24" s="19">
        <f t="shared" si="30"/>
        <v>0</v>
      </c>
      <c r="P24" s="20">
        <f t="shared" si="31"/>
        <v>1</v>
      </c>
      <c r="Q24" s="19">
        <f t="shared" si="32"/>
        <v>9.2599999999999988E-2</v>
      </c>
      <c r="R24" s="21">
        <f t="shared" si="33"/>
        <v>-1</v>
      </c>
      <c r="S24" s="19">
        <f t="shared" si="34"/>
        <v>-9.2599999999999988E-2</v>
      </c>
      <c r="U24" s="29"/>
    </row>
    <row r="25" spans="1:21" hidden="1">
      <c r="A25" s="26" t="s">
        <v>13</v>
      </c>
      <c r="B25" s="26" t="s">
        <v>45</v>
      </c>
      <c r="C25" s="26">
        <v>9.26</v>
      </c>
      <c r="D25" s="27">
        <v>10.6</v>
      </c>
      <c r="E25" s="28"/>
      <c r="F25" s="16">
        <f t="shared" si="27"/>
        <v>0</v>
      </c>
      <c r="G25" s="17"/>
      <c r="H25" s="18">
        <v>4</v>
      </c>
      <c r="I25" s="19">
        <f t="shared" si="28"/>
        <v>0.39262399999999997</v>
      </c>
      <c r="J25" s="16"/>
      <c r="K25" s="18"/>
      <c r="L25" s="19">
        <f t="shared" si="29"/>
        <v>0</v>
      </c>
      <c r="M25" s="16"/>
      <c r="N25" s="18"/>
      <c r="O25" s="19">
        <f t="shared" si="30"/>
        <v>0</v>
      </c>
      <c r="P25" s="20">
        <f t="shared" si="31"/>
        <v>4</v>
      </c>
      <c r="Q25" s="19">
        <f t="shared" si="32"/>
        <v>0.39262399999999997</v>
      </c>
      <c r="R25" s="21">
        <f t="shared" si="33"/>
        <v>-4</v>
      </c>
      <c r="S25" s="19">
        <f t="shared" si="34"/>
        <v>-0.39262399999999997</v>
      </c>
      <c r="U25" s="29"/>
    </row>
    <row r="26" spans="1:21" hidden="1">
      <c r="A26" s="26" t="s">
        <v>13</v>
      </c>
      <c r="B26" s="26" t="s">
        <v>45</v>
      </c>
      <c r="C26" s="26">
        <v>9.26</v>
      </c>
      <c r="D26" s="27">
        <v>10</v>
      </c>
      <c r="E26" s="28"/>
      <c r="F26" s="16">
        <f t="shared" si="27"/>
        <v>0</v>
      </c>
      <c r="G26" s="17"/>
      <c r="H26" s="18">
        <v>2</v>
      </c>
      <c r="I26" s="19">
        <f t="shared" si="28"/>
        <v>0.18519999999999998</v>
      </c>
      <c r="J26" s="16"/>
      <c r="K26" s="18"/>
      <c r="L26" s="19">
        <f t="shared" si="29"/>
        <v>0</v>
      </c>
      <c r="M26" s="16"/>
      <c r="N26" s="18"/>
      <c r="O26" s="19">
        <f t="shared" si="30"/>
        <v>0</v>
      </c>
      <c r="P26" s="20">
        <f t="shared" si="31"/>
        <v>2</v>
      </c>
      <c r="Q26" s="19">
        <f t="shared" si="32"/>
        <v>0.18519999999999998</v>
      </c>
      <c r="R26" s="21">
        <f t="shared" si="33"/>
        <v>-2</v>
      </c>
      <c r="S26" s="19">
        <f t="shared" si="34"/>
        <v>-0.18519999999999998</v>
      </c>
      <c r="U26" s="29"/>
    </row>
    <row r="27" spans="1:21" hidden="1">
      <c r="A27" s="26" t="s">
        <v>13</v>
      </c>
      <c r="B27" s="26" t="s">
        <v>45</v>
      </c>
      <c r="C27" s="26">
        <v>9.26</v>
      </c>
      <c r="D27" s="27">
        <v>8.5</v>
      </c>
      <c r="E27" s="28"/>
      <c r="F27" s="16">
        <f t="shared" si="27"/>
        <v>0</v>
      </c>
      <c r="G27" s="17"/>
      <c r="H27" s="18">
        <v>2</v>
      </c>
      <c r="I27" s="19">
        <f t="shared" si="28"/>
        <v>0.15741999999999998</v>
      </c>
      <c r="J27" s="16"/>
      <c r="K27" s="18"/>
      <c r="L27" s="19">
        <f t="shared" si="29"/>
        <v>0</v>
      </c>
      <c r="M27" s="16"/>
      <c r="N27" s="18"/>
      <c r="O27" s="19">
        <f t="shared" si="30"/>
        <v>0</v>
      </c>
      <c r="P27" s="20">
        <f t="shared" si="31"/>
        <v>2</v>
      </c>
      <c r="Q27" s="19">
        <f t="shared" si="32"/>
        <v>0.15741999999999998</v>
      </c>
      <c r="R27" s="21">
        <f t="shared" si="33"/>
        <v>-2</v>
      </c>
      <c r="S27" s="19">
        <f t="shared" si="34"/>
        <v>-0.15741999999999998</v>
      </c>
      <c r="U27" s="29"/>
    </row>
    <row r="28" spans="1:21" hidden="1">
      <c r="A28" s="36"/>
      <c r="B28" s="36"/>
      <c r="C28" s="36"/>
      <c r="D28" s="38"/>
      <c r="E28" s="31">
        <f>SUM(E15:E27)</f>
        <v>23</v>
      </c>
      <c r="F28" s="38">
        <f>SUM(F15:F27)</f>
        <v>2.0816480000000004</v>
      </c>
      <c r="G28" s="17"/>
      <c r="H28" s="31">
        <f>SUM(H15:H27)</f>
        <v>26</v>
      </c>
      <c r="I28" s="38">
        <f>SUM(I15:I27)</f>
        <v>2.1807300000000001</v>
      </c>
      <c r="J28" s="16"/>
      <c r="K28" s="31">
        <f>SUM(K15:K27)</f>
        <v>0</v>
      </c>
      <c r="L28" s="38">
        <f>SUM(L15:L27)</f>
        <v>0</v>
      </c>
      <c r="M28" s="16"/>
      <c r="N28" s="31">
        <f t="shared" ref="N28:S28" si="43">SUM(N15:N27)</f>
        <v>0</v>
      </c>
      <c r="O28" s="38">
        <f t="shared" si="43"/>
        <v>0</v>
      </c>
      <c r="P28" s="31">
        <f t="shared" si="43"/>
        <v>26</v>
      </c>
      <c r="Q28" s="38">
        <f t="shared" si="43"/>
        <v>2.1807300000000001</v>
      </c>
      <c r="R28" s="31">
        <f t="shared" si="43"/>
        <v>-3</v>
      </c>
      <c r="S28" s="38">
        <f t="shared" si="43"/>
        <v>-9.9081999999999698E-2</v>
      </c>
      <c r="U28" s="29"/>
    </row>
    <row r="29" spans="1:21" hidden="1">
      <c r="A29" s="26" t="s">
        <v>13</v>
      </c>
      <c r="B29" s="26" t="s">
        <v>46</v>
      </c>
      <c r="C29" s="26">
        <v>10.7</v>
      </c>
      <c r="D29" s="27">
        <v>7.5</v>
      </c>
      <c r="E29" s="28">
        <v>5</v>
      </c>
      <c r="F29" s="16">
        <f t="shared" ref="F29:F35" si="44">(C29*D29*E29/1000)</f>
        <v>0.40125</v>
      </c>
      <c r="G29" s="17" t="s">
        <v>102</v>
      </c>
      <c r="H29" s="18">
        <v>0</v>
      </c>
      <c r="I29" s="19">
        <f t="shared" ref="I29:I38" si="45">(C29*D29*H29/1000)</f>
        <v>0</v>
      </c>
      <c r="J29" s="16" t="s">
        <v>114</v>
      </c>
      <c r="K29" s="18">
        <v>1</v>
      </c>
      <c r="L29" s="19">
        <f t="shared" ref="L29:L38" si="46">(C29*D29*K29/1000)</f>
        <v>8.0250000000000002E-2</v>
      </c>
      <c r="M29" s="16"/>
      <c r="N29" s="18"/>
      <c r="O29" s="19">
        <f t="shared" ref="O29:O38" si="47">(C29*D29*N29/1000)</f>
        <v>0</v>
      </c>
      <c r="P29" s="20">
        <f t="shared" ref="P29:P35" si="48">+H29+K29+N29</f>
        <v>1</v>
      </c>
      <c r="Q29" s="19">
        <f t="shared" ref="Q29:Q35" si="49">+I29+L29+O29</f>
        <v>8.0250000000000002E-2</v>
      </c>
      <c r="R29" s="21">
        <f t="shared" ref="R29:R35" si="50">E29-P29</f>
        <v>4</v>
      </c>
      <c r="S29" s="19">
        <f t="shared" ref="S29:S35" si="51">F29-Q29</f>
        <v>0.32100000000000001</v>
      </c>
      <c r="U29" s="29"/>
    </row>
    <row r="30" spans="1:21" hidden="1">
      <c r="A30" s="26" t="s">
        <v>13</v>
      </c>
      <c r="B30" s="26" t="s">
        <v>46</v>
      </c>
      <c r="C30" s="26">
        <v>10.7</v>
      </c>
      <c r="D30" s="27">
        <v>8.5</v>
      </c>
      <c r="E30" s="28">
        <v>12</v>
      </c>
      <c r="F30" s="16">
        <f t="shared" si="44"/>
        <v>1.0913999999999999</v>
      </c>
      <c r="G30" s="17" t="s">
        <v>99</v>
      </c>
      <c r="H30" s="18">
        <v>0</v>
      </c>
      <c r="I30" s="19">
        <f t="shared" si="45"/>
        <v>0</v>
      </c>
      <c r="J30" s="16" t="s">
        <v>115</v>
      </c>
      <c r="K30" s="18">
        <v>5</v>
      </c>
      <c r="L30" s="19">
        <f t="shared" si="46"/>
        <v>0.45474999999999993</v>
      </c>
      <c r="M30" s="16"/>
      <c r="N30" s="18"/>
      <c r="O30" s="19">
        <f t="shared" si="47"/>
        <v>0</v>
      </c>
      <c r="P30" s="20">
        <f t="shared" si="48"/>
        <v>5</v>
      </c>
      <c r="Q30" s="19">
        <f t="shared" si="49"/>
        <v>0.45474999999999993</v>
      </c>
      <c r="R30" s="21">
        <f t="shared" si="50"/>
        <v>7</v>
      </c>
      <c r="S30" s="19">
        <f t="shared" si="51"/>
        <v>0.63664999999999994</v>
      </c>
      <c r="U30" s="29"/>
    </row>
    <row r="31" spans="1:21" hidden="1">
      <c r="A31" s="26" t="s">
        <v>13</v>
      </c>
      <c r="B31" s="26" t="s">
        <v>46</v>
      </c>
      <c r="C31" s="26">
        <v>10.7</v>
      </c>
      <c r="D31" s="27">
        <v>10.199999999999999</v>
      </c>
      <c r="E31" s="28">
        <v>26</v>
      </c>
      <c r="F31" s="16">
        <f t="shared" si="44"/>
        <v>2.8376399999999995</v>
      </c>
      <c r="G31" s="16" t="s">
        <v>93</v>
      </c>
      <c r="H31" s="18">
        <v>10</v>
      </c>
      <c r="I31" s="19">
        <f t="shared" si="45"/>
        <v>1.0913999999999999</v>
      </c>
      <c r="J31" s="16"/>
      <c r="K31" s="18"/>
      <c r="L31" s="19">
        <f t="shared" si="46"/>
        <v>0</v>
      </c>
      <c r="M31" s="16"/>
      <c r="N31" s="18"/>
      <c r="O31" s="19">
        <f t="shared" si="47"/>
        <v>0</v>
      </c>
      <c r="P31" s="20">
        <f t="shared" si="48"/>
        <v>10</v>
      </c>
      <c r="Q31" s="19">
        <f t="shared" si="49"/>
        <v>1.0913999999999999</v>
      </c>
      <c r="R31" s="21">
        <f t="shared" si="50"/>
        <v>16</v>
      </c>
      <c r="S31" s="19">
        <f t="shared" si="51"/>
        <v>1.7462399999999996</v>
      </c>
      <c r="U31" s="29"/>
    </row>
    <row r="32" spans="1:21" hidden="1">
      <c r="A32" s="26" t="s">
        <v>13</v>
      </c>
      <c r="B32" s="26" t="s">
        <v>46</v>
      </c>
      <c r="C32" s="26">
        <v>10.7</v>
      </c>
      <c r="D32" s="27">
        <v>10.7</v>
      </c>
      <c r="E32" s="28">
        <v>14</v>
      </c>
      <c r="F32" s="16">
        <f t="shared" si="44"/>
        <v>1.6028599999999997</v>
      </c>
      <c r="G32" s="16" t="s">
        <v>103</v>
      </c>
      <c r="H32" s="18">
        <v>5</v>
      </c>
      <c r="I32" s="19">
        <f t="shared" si="45"/>
        <v>0.5724499999999999</v>
      </c>
      <c r="J32" s="16"/>
      <c r="K32" s="18">
        <v>2</v>
      </c>
      <c r="L32" s="19">
        <f t="shared" si="46"/>
        <v>0.22897999999999996</v>
      </c>
      <c r="M32" s="16"/>
      <c r="N32" s="18"/>
      <c r="O32" s="19">
        <f t="shared" si="47"/>
        <v>0</v>
      </c>
      <c r="P32" s="20">
        <f t="shared" si="48"/>
        <v>7</v>
      </c>
      <c r="Q32" s="19">
        <f t="shared" si="49"/>
        <v>0.80142999999999986</v>
      </c>
      <c r="R32" s="21">
        <f t="shared" si="50"/>
        <v>7</v>
      </c>
      <c r="S32" s="19">
        <f t="shared" si="51"/>
        <v>0.80142999999999986</v>
      </c>
      <c r="U32" s="29"/>
    </row>
    <row r="33" spans="1:21" hidden="1">
      <c r="A33" s="26" t="s">
        <v>13</v>
      </c>
      <c r="B33" s="26" t="s">
        <v>46</v>
      </c>
      <c r="C33" s="26">
        <v>10.7</v>
      </c>
      <c r="D33" s="27">
        <v>11.3</v>
      </c>
      <c r="E33" s="28">
        <v>7</v>
      </c>
      <c r="F33" s="16">
        <f t="shared" si="44"/>
        <v>0.84636999999999996</v>
      </c>
      <c r="G33" s="16" t="s">
        <v>88</v>
      </c>
      <c r="H33" s="18">
        <v>2</v>
      </c>
      <c r="I33" s="19">
        <f t="shared" si="45"/>
        <v>0.24181999999999998</v>
      </c>
      <c r="J33" s="16"/>
      <c r="K33" s="18"/>
      <c r="L33" s="19">
        <f t="shared" si="46"/>
        <v>0</v>
      </c>
      <c r="M33" s="16"/>
      <c r="N33" s="18"/>
      <c r="O33" s="19">
        <f t="shared" si="47"/>
        <v>0</v>
      </c>
      <c r="P33" s="20">
        <f t="shared" si="48"/>
        <v>2</v>
      </c>
      <c r="Q33" s="19">
        <f t="shared" si="49"/>
        <v>0.24181999999999998</v>
      </c>
      <c r="R33" s="21">
        <f t="shared" si="50"/>
        <v>5</v>
      </c>
      <c r="S33" s="19">
        <f t="shared" si="51"/>
        <v>0.60454999999999992</v>
      </c>
      <c r="U33" s="29"/>
    </row>
    <row r="34" spans="1:21" hidden="1">
      <c r="A34" s="26" t="s">
        <v>13</v>
      </c>
      <c r="B34" s="26" t="s">
        <v>46</v>
      </c>
      <c r="C34" s="26">
        <v>10.7</v>
      </c>
      <c r="D34" s="27">
        <v>11.8</v>
      </c>
      <c r="E34" s="28">
        <v>42</v>
      </c>
      <c r="F34" s="16">
        <f t="shared" si="44"/>
        <v>5.3029200000000003</v>
      </c>
      <c r="G34" s="16" t="s">
        <v>112</v>
      </c>
      <c r="H34" s="18">
        <v>32</v>
      </c>
      <c r="I34" s="19">
        <f t="shared" si="45"/>
        <v>4.0403200000000004</v>
      </c>
      <c r="J34" s="16"/>
      <c r="K34" s="18">
        <v>1</v>
      </c>
      <c r="L34" s="19">
        <f t="shared" si="46"/>
        <v>0.12626000000000001</v>
      </c>
      <c r="M34" s="16"/>
      <c r="N34" s="18"/>
      <c r="O34" s="19">
        <f t="shared" si="47"/>
        <v>0</v>
      </c>
      <c r="P34" s="20">
        <f t="shared" si="48"/>
        <v>33</v>
      </c>
      <c r="Q34" s="19">
        <f t="shared" si="49"/>
        <v>4.1665800000000006</v>
      </c>
      <c r="R34" s="21">
        <f t="shared" si="50"/>
        <v>9</v>
      </c>
      <c r="S34" s="19">
        <f t="shared" si="51"/>
        <v>1.1363399999999997</v>
      </c>
      <c r="U34" s="29"/>
    </row>
    <row r="35" spans="1:21" hidden="1">
      <c r="A35" s="26" t="s">
        <v>13</v>
      </c>
      <c r="B35" s="26" t="s">
        <v>46</v>
      </c>
      <c r="C35" s="26">
        <v>10.7</v>
      </c>
      <c r="D35" s="27">
        <v>12</v>
      </c>
      <c r="E35" s="28">
        <v>10</v>
      </c>
      <c r="F35" s="16">
        <f t="shared" si="44"/>
        <v>1.2839999999999998</v>
      </c>
      <c r="G35" s="17"/>
      <c r="H35" s="18">
        <v>14</v>
      </c>
      <c r="I35" s="19">
        <f t="shared" si="45"/>
        <v>1.7975999999999996</v>
      </c>
      <c r="J35" s="16"/>
      <c r="K35" s="18">
        <v>1</v>
      </c>
      <c r="L35" s="19">
        <f t="shared" si="46"/>
        <v>0.12839999999999999</v>
      </c>
      <c r="M35" s="16"/>
      <c r="N35" s="18"/>
      <c r="O35" s="19">
        <f t="shared" si="47"/>
        <v>0</v>
      </c>
      <c r="P35" s="20">
        <f t="shared" si="48"/>
        <v>15</v>
      </c>
      <c r="Q35" s="19">
        <f t="shared" si="49"/>
        <v>1.9259999999999997</v>
      </c>
      <c r="R35" s="21">
        <f t="shared" si="50"/>
        <v>-5</v>
      </c>
      <c r="S35" s="19">
        <f t="shared" si="51"/>
        <v>-0.6419999999999999</v>
      </c>
      <c r="U35" s="29"/>
    </row>
    <row r="36" spans="1:21" hidden="1">
      <c r="A36" s="26" t="s">
        <v>13</v>
      </c>
      <c r="B36" s="26" t="s">
        <v>46</v>
      </c>
      <c r="C36" s="26">
        <v>10.7</v>
      </c>
      <c r="D36" s="27">
        <v>10.5</v>
      </c>
      <c r="E36" s="28"/>
      <c r="F36" s="16"/>
      <c r="G36" s="17"/>
      <c r="H36" s="18">
        <v>7</v>
      </c>
      <c r="I36" s="19">
        <f t="shared" si="45"/>
        <v>0.78644999999999998</v>
      </c>
      <c r="J36" s="16"/>
      <c r="K36" s="18"/>
      <c r="L36" s="19">
        <f t="shared" si="46"/>
        <v>0</v>
      </c>
      <c r="M36" s="16"/>
      <c r="N36" s="18"/>
      <c r="O36" s="19">
        <f t="shared" si="47"/>
        <v>0</v>
      </c>
      <c r="P36" s="20">
        <f t="shared" ref="P36:P38" si="52">+H36+K36+N36</f>
        <v>7</v>
      </c>
      <c r="Q36" s="19">
        <f t="shared" ref="Q36:Q38" si="53">+I36+L36+O36</f>
        <v>0.78644999999999998</v>
      </c>
      <c r="R36" s="21">
        <f t="shared" ref="R36:R38" si="54">E36-P36</f>
        <v>-7</v>
      </c>
      <c r="S36" s="19">
        <f t="shared" ref="S36:S38" si="55">F36-Q36</f>
        <v>-0.78644999999999998</v>
      </c>
      <c r="U36" s="29"/>
    </row>
    <row r="37" spans="1:21" hidden="1">
      <c r="A37" s="26" t="s">
        <v>13</v>
      </c>
      <c r="B37" s="26" t="s">
        <v>46</v>
      </c>
      <c r="C37" s="26">
        <v>10.7</v>
      </c>
      <c r="D37" s="27">
        <v>10.3</v>
      </c>
      <c r="E37" s="28"/>
      <c r="F37" s="16"/>
      <c r="G37" s="17"/>
      <c r="H37" s="18">
        <v>1</v>
      </c>
      <c r="I37" s="19">
        <f t="shared" si="45"/>
        <v>0.11020999999999999</v>
      </c>
      <c r="J37" s="16"/>
      <c r="K37" s="18"/>
      <c r="L37" s="19">
        <f t="shared" si="46"/>
        <v>0</v>
      </c>
      <c r="M37" s="16"/>
      <c r="N37" s="18"/>
      <c r="O37" s="19">
        <f t="shared" si="47"/>
        <v>0</v>
      </c>
      <c r="P37" s="20">
        <f t="shared" si="52"/>
        <v>1</v>
      </c>
      <c r="Q37" s="19">
        <f t="shared" si="53"/>
        <v>0.11020999999999999</v>
      </c>
      <c r="R37" s="21">
        <f t="shared" si="54"/>
        <v>-1</v>
      </c>
      <c r="S37" s="19">
        <f t="shared" si="55"/>
        <v>-0.11020999999999999</v>
      </c>
      <c r="U37" s="29"/>
    </row>
    <row r="38" spans="1:21" hidden="1">
      <c r="A38" s="26" t="s">
        <v>13</v>
      </c>
      <c r="B38" s="26" t="s">
        <v>46</v>
      </c>
      <c r="C38" s="26">
        <v>10.7</v>
      </c>
      <c r="D38" s="27">
        <v>11.4</v>
      </c>
      <c r="E38" s="28"/>
      <c r="F38" s="16"/>
      <c r="G38" s="17"/>
      <c r="H38" s="18">
        <v>1</v>
      </c>
      <c r="I38" s="19">
        <f t="shared" si="45"/>
        <v>0.12197999999999999</v>
      </c>
      <c r="J38" s="16"/>
      <c r="K38" s="18"/>
      <c r="L38" s="19">
        <f t="shared" si="46"/>
        <v>0</v>
      </c>
      <c r="M38" s="16"/>
      <c r="N38" s="18"/>
      <c r="O38" s="19">
        <f t="shared" si="47"/>
        <v>0</v>
      </c>
      <c r="P38" s="20">
        <f t="shared" si="52"/>
        <v>1</v>
      </c>
      <c r="Q38" s="19">
        <f t="shared" si="53"/>
        <v>0.12197999999999999</v>
      </c>
      <c r="R38" s="21">
        <f t="shared" si="54"/>
        <v>-1</v>
      </c>
      <c r="S38" s="19">
        <f t="shared" si="55"/>
        <v>-0.12197999999999999</v>
      </c>
      <c r="U38" s="29"/>
    </row>
    <row r="39" spans="1:21" hidden="1">
      <c r="A39" s="26" t="s">
        <v>13</v>
      </c>
      <c r="B39" s="26" t="s">
        <v>46</v>
      </c>
      <c r="C39" s="26">
        <v>10.7</v>
      </c>
      <c r="D39" s="27">
        <v>10.25</v>
      </c>
      <c r="E39" s="28"/>
      <c r="F39" s="16"/>
      <c r="G39" s="17"/>
      <c r="H39" s="18">
        <v>7</v>
      </c>
      <c r="I39" s="19">
        <f t="shared" ref="I39" si="56">(C39*D39*H39/1000)</f>
        <v>0.76772499999999999</v>
      </c>
      <c r="J39" s="16"/>
      <c r="K39" s="18"/>
      <c r="L39" s="19">
        <f t="shared" ref="L39:L51" si="57">(C39*D39*K39/1000)</f>
        <v>0</v>
      </c>
      <c r="M39" s="16"/>
      <c r="N39" s="18"/>
      <c r="O39" s="19">
        <f t="shared" ref="O39:O51" si="58">(C39*D39*N39/1000)</f>
        <v>0</v>
      </c>
      <c r="P39" s="20">
        <f t="shared" ref="P39:P51" si="59">+H39+K39+N39</f>
        <v>7</v>
      </c>
      <c r="Q39" s="19">
        <f t="shared" ref="Q39:Q51" si="60">+I39+L39+O39</f>
        <v>0.76772499999999999</v>
      </c>
      <c r="R39" s="21">
        <f t="shared" ref="R39:R51" si="61">E39-P39</f>
        <v>-7</v>
      </c>
      <c r="S39" s="19">
        <f t="shared" ref="S39:S51" si="62">F39-Q39</f>
        <v>-0.76772499999999999</v>
      </c>
      <c r="U39" s="29"/>
    </row>
    <row r="40" spans="1:21" hidden="1">
      <c r="A40" s="26" t="s">
        <v>13</v>
      </c>
      <c r="B40" s="26" t="s">
        <v>46</v>
      </c>
      <c r="C40" s="26">
        <v>10.7</v>
      </c>
      <c r="D40" s="27">
        <v>7.3</v>
      </c>
      <c r="E40" s="28"/>
      <c r="F40" s="16"/>
      <c r="G40" s="17"/>
      <c r="H40" s="18"/>
      <c r="I40" s="19">
        <f t="shared" ref="I40:I51" si="63">(C40*D40*H40/1000)</f>
        <v>0</v>
      </c>
      <c r="J40" s="16"/>
      <c r="K40" s="18">
        <v>2</v>
      </c>
      <c r="L40" s="19">
        <f t="shared" si="57"/>
        <v>0.15622</v>
      </c>
      <c r="M40" s="16"/>
      <c r="N40" s="18"/>
      <c r="O40" s="19">
        <f t="shared" si="58"/>
        <v>0</v>
      </c>
      <c r="P40" s="20">
        <f t="shared" si="59"/>
        <v>2</v>
      </c>
      <c r="Q40" s="19">
        <f t="shared" si="60"/>
        <v>0.15622</v>
      </c>
      <c r="R40" s="21">
        <f t="shared" si="61"/>
        <v>-2</v>
      </c>
      <c r="S40" s="19">
        <f t="shared" si="62"/>
        <v>-0.15622</v>
      </c>
      <c r="U40" s="29"/>
    </row>
    <row r="41" spans="1:21" hidden="1">
      <c r="A41" s="26" t="s">
        <v>13</v>
      </c>
      <c r="B41" s="26" t="s">
        <v>46</v>
      </c>
      <c r="C41" s="26">
        <v>10.7</v>
      </c>
      <c r="D41" s="27">
        <v>8</v>
      </c>
      <c r="E41" s="28"/>
      <c r="F41" s="16"/>
      <c r="G41" s="17"/>
      <c r="H41" s="18"/>
      <c r="I41" s="19">
        <f t="shared" si="63"/>
        <v>0</v>
      </c>
      <c r="J41" s="16"/>
      <c r="K41" s="18">
        <v>8</v>
      </c>
      <c r="L41" s="19">
        <f t="shared" si="57"/>
        <v>0.68479999999999996</v>
      </c>
      <c r="M41" s="16"/>
      <c r="N41" s="18"/>
      <c r="O41" s="19">
        <f t="shared" si="58"/>
        <v>0</v>
      </c>
      <c r="P41" s="20">
        <f t="shared" si="59"/>
        <v>8</v>
      </c>
      <c r="Q41" s="19">
        <f t="shared" si="60"/>
        <v>0.68479999999999996</v>
      </c>
      <c r="R41" s="21">
        <f t="shared" si="61"/>
        <v>-8</v>
      </c>
      <c r="S41" s="19">
        <f t="shared" si="62"/>
        <v>-0.68479999999999996</v>
      </c>
      <c r="U41" s="29"/>
    </row>
    <row r="42" spans="1:21" hidden="1">
      <c r="A42" s="26" t="s">
        <v>13</v>
      </c>
      <c r="B42" s="26" t="s">
        <v>46</v>
      </c>
      <c r="C42" s="26">
        <v>10.7</v>
      </c>
      <c r="D42" s="27">
        <v>8.9</v>
      </c>
      <c r="E42" s="28"/>
      <c r="F42" s="16"/>
      <c r="G42" s="17"/>
      <c r="H42" s="18"/>
      <c r="I42" s="19">
        <f t="shared" si="63"/>
        <v>0</v>
      </c>
      <c r="J42" s="16"/>
      <c r="K42" s="18">
        <v>6</v>
      </c>
      <c r="L42" s="19">
        <f t="shared" si="57"/>
        <v>0.57138</v>
      </c>
      <c r="M42" s="16"/>
      <c r="N42" s="18"/>
      <c r="O42" s="19">
        <f t="shared" si="58"/>
        <v>0</v>
      </c>
      <c r="P42" s="20">
        <f t="shared" si="59"/>
        <v>6</v>
      </c>
      <c r="Q42" s="19">
        <f t="shared" si="60"/>
        <v>0.57138</v>
      </c>
      <c r="R42" s="21">
        <f t="shared" si="61"/>
        <v>-6</v>
      </c>
      <c r="S42" s="19">
        <f t="shared" si="62"/>
        <v>-0.57138</v>
      </c>
      <c r="U42" s="29"/>
    </row>
    <row r="43" spans="1:21" hidden="1">
      <c r="A43" s="26" t="s">
        <v>13</v>
      </c>
      <c r="B43" s="26" t="s">
        <v>46</v>
      </c>
      <c r="C43" s="26">
        <v>10.7</v>
      </c>
      <c r="D43" s="27">
        <v>9.1</v>
      </c>
      <c r="E43" s="28"/>
      <c r="F43" s="16"/>
      <c r="G43" s="17"/>
      <c r="H43" s="18"/>
      <c r="I43" s="19">
        <f t="shared" si="63"/>
        <v>0</v>
      </c>
      <c r="J43" s="16"/>
      <c r="K43" s="18">
        <v>1</v>
      </c>
      <c r="L43" s="19">
        <f t="shared" si="57"/>
        <v>9.7369999999999984E-2</v>
      </c>
      <c r="M43" s="16"/>
      <c r="N43" s="18"/>
      <c r="O43" s="19">
        <f t="shared" si="58"/>
        <v>0</v>
      </c>
      <c r="P43" s="20">
        <f t="shared" si="59"/>
        <v>1</v>
      </c>
      <c r="Q43" s="19">
        <f t="shared" si="60"/>
        <v>9.7369999999999984E-2</v>
      </c>
      <c r="R43" s="21">
        <f t="shared" si="61"/>
        <v>-1</v>
      </c>
      <c r="S43" s="19">
        <f t="shared" si="62"/>
        <v>-9.7369999999999984E-2</v>
      </c>
      <c r="U43" s="29"/>
    </row>
    <row r="44" spans="1:21" hidden="1">
      <c r="A44" s="26" t="s">
        <v>13</v>
      </c>
      <c r="B44" s="26" t="s">
        <v>46</v>
      </c>
      <c r="C44" s="26">
        <v>10.7</v>
      </c>
      <c r="D44" s="27">
        <v>9.1999999999999993</v>
      </c>
      <c r="E44" s="28"/>
      <c r="F44" s="16"/>
      <c r="G44" s="17"/>
      <c r="H44" s="18"/>
      <c r="I44" s="19">
        <f t="shared" si="63"/>
        <v>0</v>
      </c>
      <c r="J44" s="16"/>
      <c r="K44" s="18">
        <v>3</v>
      </c>
      <c r="L44" s="19">
        <f t="shared" si="57"/>
        <v>0.29531999999999992</v>
      </c>
      <c r="M44" s="16"/>
      <c r="N44" s="18"/>
      <c r="O44" s="19">
        <f t="shared" si="58"/>
        <v>0</v>
      </c>
      <c r="P44" s="20">
        <f t="shared" si="59"/>
        <v>3</v>
      </c>
      <c r="Q44" s="19">
        <f t="shared" si="60"/>
        <v>0.29531999999999992</v>
      </c>
      <c r="R44" s="21">
        <f t="shared" si="61"/>
        <v>-3</v>
      </c>
      <c r="S44" s="19">
        <f t="shared" si="62"/>
        <v>-0.29531999999999992</v>
      </c>
      <c r="U44" s="29"/>
    </row>
    <row r="45" spans="1:21" hidden="1">
      <c r="A45" s="26" t="s">
        <v>13</v>
      </c>
      <c r="B45" s="26" t="s">
        <v>46</v>
      </c>
      <c r="C45" s="26">
        <v>10.7</v>
      </c>
      <c r="D45" s="27">
        <v>9.3000000000000007</v>
      </c>
      <c r="E45" s="28"/>
      <c r="F45" s="16"/>
      <c r="G45" s="17"/>
      <c r="H45" s="18"/>
      <c r="I45" s="19">
        <f t="shared" si="63"/>
        <v>0</v>
      </c>
      <c r="J45" s="16"/>
      <c r="K45" s="18">
        <v>3</v>
      </c>
      <c r="L45" s="19">
        <f t="shared" si="57"/>
        <v>0.29853000000000002</v>
      </c>
      <c r="M45" s="16"/>
      <c r="N45" s="18"/>
      <c r="O45" s="19">
        <f t="shared" si="58"/>
        <v>0</v>
      </c>
      <c r="P45" s="20">
        <f t="shared" si="59"/>
        <v>3</v>
      </c>
      <c r="Q45" s="19">
        <f t="shared" si="60"/>
        <v>0.29853000000000002</v>
      </c>
      <c r="R45" s="21">
        <f t="shared" si="61"/>
        <v>-3</v>
      </c>
      <c r="S45" s="19">
        <f t="shared" si="62"/>
        <v>-0.29853000000000002</v>
      </c>
      <c r="U45" s="29"/>
    </row>
    <row r="46" spans="1:21" hidden="1">
      <c r="A46" s="26" t="s">
        <v>13</v>
      </c>
      <c r="B46" s="26" t="s">
        <v>46</v>
      </c>
      <c r="C46" s="26">
        <v>10.7</v>
      </c>
      <c r="D46" s="27">
        <v>9.75</v>
      </c>
      <c r="E46" s="28"/>
      <c r="F46" s="16"/>
      <c r="G46" s="17"/>
      <c r="H46" s="18"/>
      <c r="I46" s="19">
        <f t="shared" si="63"/>
        <v>0</v>
      </c>
      <c r="J46" s="16"/>
      <c r="K46" s="18">
        <v>1</v>
      </c>
      <c r="L46" s="19">
        <f t="shared" si="57"/>
        <v>0.10432499999999999</v>
      </c>
      <c r="M46" s="16"/>
      <c r="N46" s="18"/>
      <c r="O46" s="19">
        <f t="shared" si="58"/>
        <v>0</v>
      </c>
      <c r="P46" s="20">
        <f t="shared" si="59"/>
        <v>1</v>
      </c>
      <c r="Q46" s="19">
        <f t="shared" si="60"/>
        <v>0.10432499999999999</v>
      </c>
      <c r="R46" s="21">
        <f t="shared" si="61"/>
        <v>-1</v>
      </c>
      <c r="S46" s="19">
        <f t="shared" si="62"/>
        <v>-0.10432499999999999</v>
      </c>
      <c r="U46" s="29"/>
    </row>
    <row r="47" spans="1:21" hidden="1">
      <c r="A47" s="26" t="s">
        <v>13</v>
      </c>
      <c r="B47" s="26" t="s">
        <v>46</v>
      </c>
      <c r="C47" s="26">
        <v>10.7</v>
      </c>
      <c r="D47" s="27">
        <v>10.8</v>
      </c>
      <c r="E47" s="28"/>
      <c r="F47" s="16"/>
      <c r="G47" s="17"/>
      <c r="H47" s="18"/>
      <c r="I47" s="19">
        <f t="shared" si="63"/>
        <v>0</v>
      </c>
      <c r="J47" s="16"/>
      <c r="K47" s="18">
        <v>1</v>
      </c>
      <c r="L47" s="19">
        <f t="shared" si="57"/>
        <v>0.11556</v>
      </c>
      <c r="M47" s="16"/>
      <c r="N47" s="18"/>
      <c r="O47" s="19">
        <f t="shared" si="58"/>
        <v>0</v>
      </c>
      <c r="P47" s="20">
        <f t="shared" si="59"/>
        <v>1</v>
      </c>
      <c r="Q47" s="19">
        <f t="shared" si="60"/>
        <v>0.11556</v>
      </c>
      <c r="R47" s="21">
        <f t="shared" si="61"/>
        <v>-1</v>
      </c>
      <c r="S47" s="19">
        <f t="shared" si="62"/>
        <v>-0.11556</v>
      </c>
      <c r="U47" s="29"/>
    </row>
    <row r="48" spans="1:21" hidden="1">
      <c r="A48" s="26" t="s">
        <v>13</v>
      </c>
      <c r="B48" s="26" t="s">
        <v>46</v>
      </c>
      <c r="C48" s="26">
        <v>10.7</v>
      </c>
      <c r="D48" s="27">
        <v>11.1</v>
      </c>
      <c r="E48" s="28"/>
      <c r="F48" s="16"/>
      <c r="G48" s="17"/>
      <c r="H48" s="18"/>
      <c r="I48" s="19">
        <f t="shared" si="63"/>
        <v>0</v>
      </c>
      <c r="J48" s="16"/>
      <c r="K48" s="18">
        <v>2</v>
      </c>
      <c r="L48" s="19">
        <f t="shared" si="57"/>
        <v>0.23753999999999997</v>
      </c>
      <c r="M48" s="16"/>
      <c r="N48" s="18"/>
      <c r="O48" s="19">
        <f t="shared" si="58"/>
        <v>0</v>
      </c>
      <c r="P48" s="20">
        <f t="shared" si="59"/>
        <v>2</v>
      </c>
      <c r="Q48" s="19">
        <f t="shared" si="60"/>
        <v>0.23753999999999997</v>
      </c>
      <c r="R48" s="21">
        <f t="shared" si="61"/>
        <v>-2</v>
      </c>
      <c r="S48" s="19">
        <f t="shared" si="62"/>
        <v>-0.23753999999999997</v>
      </c>
      <c r="U48" s="29"/>
    </row>
    <row r="49" spans="1:21" hidden="1">
      <c r="A49" s="26" t="s">
        <v>13</v>
      </c>
      <c r="B49" s="26" t="s">
        <v>46</v>
      </c>
      <c r="C49" s="26">
        <v>10.7</v>
      </c>
      <c r="D49" s="27">
        <v>11.4</v>
      </c>
      <c r="E49" s="28"/>
      <c r="F49" s="16"/>
      <c r="G49" s="17"/>
      <c r="H49" s="18"/>
      <c r="I49" s="19">
        <f t="shared" si="63"/>
        <v>0</v>
      </c>
      <c r="J49" s="16"/>
      <c r="K49" s="18">
        <v>1</v>
      </c>
      <c r="L49" s="19">
        <f t="shared" si="57"/>
        <v>0.12197999999999999</v>
      </c>
      <c r="M49" s="16"/>
      <c r="N49" s="18"/>
      <c r="O49" s="19">
        <f t="shared" si="58"/>
        <v>0</v>
      </c>
      <c r="P49" s="20">
        <f t="shared" si="59"/>
        <v>1</v>
      </c>
      <c r="Q49" s="19">
        <f t="shared" si="60"/>
        <v>0.12197999999999999</v>
      </c>
      <c r="R49" s="21">
        <f t="shared" si="61"/>
        <v>-1</v>
      </c>
      <c r="S49" s="19">
        <f t="shared" si="62"/>
        <v>-0.12197999999999999</v>
      </c>
      <c r="U49" s="29"/>
    </row>
    <row r="50" spans="1:21" hidden="1">
      <c r="A50" s="26" t="s">
        <v>13</v>
      </c>
      <c r="B50" s="26" t="s">
        <v>46</v>
      </c>
      <c r="C50" s="26">
        <v>10.7</v>
      </c>
      <c r="D50" s="27">
        <v>11.5</v>
      </c>
      <c r="E50" s="28"/>
      <c r="F50" s="16"/>
      <c r="G50" s="17"/>
      <c r="H50" s="18"/>
      <c r="I50" s="19">
        <f t="shared" si="63"/>
        <v>0</v>
      </c>
      <c r="J50" s="16"/>
      <c r="K50" s="18">
        <v>1</v>
      </c>
      <c r="L50" s="19">
        <f t="shared" si="57"/>
        <v>0.12304999999999999</v>
      </c>
      <c r="M50" s="16"/>
      <c r="N50" s="18"/>
      <c r="O50" s="19">
        <f t="shared" si="58"/>
        <v>0</v>
      </c>
      <c r="P50" s="20">
        <f t="shared" si="59"/>
        <v>1</v>
      </c>
      <c r="Q50" s="19">
        <f t="shared" si="60"/>
        <v>0.12304999999999999</v>
      </c>
      <c r="R50" s="21">
        <f t="shared" si="61"/>
        <v>-1</v>
      </c>
      <c r="S50" s="19">
        <f t="shared" si="62"/>
        <v>-0.12304999999999999</v>
      </c>
      <c r="U50" s="29"/>
    </row>
    <row r="51" spans="1:21" hidden="1">
      <c r="A51" s="26" t="s">
        <v>13</v>
      </c>
      <c r="B51" s="26" t="s">
        <v>46</v>
      </c>
      <c r="C51" s="26">
        <v>10.7</v>
      </c>
      <c r="D51" s="27">
        <v>11.7</v>
      </c>
      <c r="E51" s="28"/>
      <c r="F51" s="16"/>
      <c r="G51" s="17"/>
      <c r="H51" s="18"/>
      <c r="I51" s="19">
        <f t="shared" si="63"/>
        <v>0</v>
      </c>
      <c r="J51" s="16"/>
      <c r="K51" s="18">
        <v>1</v>
      </c>
      <c r="L51" s="19">
        <f t="shared" si="57"/>
        <v>0.12519</v>
      </c>
      <c r="M51" s="16"/>
      <c r="N51" s="18"/>
      <c r="O51" s="19">
        <f t="shared" si="58"/>
        <v>0</v>
      </c>
      <c r="P51" s="20">
        <f t="shared" si="59"/>
        <v>1</v>
      </c>
      <c r="Q51" s="19">
        <f t="shared" si="60"/>
        <v>0.12519</v>
      </c>
      <c r="R51" s="21">
        <f t="shared" si="61"/>
        <v>-1</v>
      </c>
      <c r="S51" s="19">
        <f t="shared" si="62"/>
        <v>-0.12519</v>
      </c>
      <c r="U51" s="29"/>
    </row>
    <row r="52" spans="1:21" hidden="1">
      <c r="A52" s="36"/>
      <c r="B52" s="36"/>
      <c r="C52" s="36"/>
      <c r="D52" s="38"/>
      <c r="E52" s="31">
        <f t="shared" ref="E52:F52" si="64">SUM(E29:E35)</f>
        <v>116</v>
      </c>
      <c r="F52" s="38">
        <f t="shared" si="64"/>
        <v>13.366440000000001</v>
      </c>
      <c r="G52" s="17"/>
      <c r="H52" s="31">
        <f>SUM(H29:H51)</f>
        <v>79</v>
      </c>
      <c r="I52" s="38">
        <f>SUM(I29:I51)</f>
        <v>9.5299550000000011</v>
      </c>
      <c r="J52" s="16"/>
      <c r="K52" s="31">
        <f>SUM(K29:K51)</f>
        <v>40</v>
      </c>
      <c r="L52" s="38">
        <f>SUM(L29:L51)</f>
        <v>3.9499049999999998</v>
      </c>
      <c r="M52" s="16"/>
      <c r="N52" s="31">
        <f t="shared" ref="N52:S52" si="65">SUM(N29:N51)</f>
        <v>0</v>
      </c>
      <c r="O52" s="38">
        <f t="shared" si="65"/>
        <v>0</v>
      </c>
      <c r="P52" s="31">
        <f t="shared" si="65"/>
        <v>119</v>
      </c>
      <c r="Q52" s="38">
        <f t="shared" si="65"/>
        <v>13.479859999999999</v>
      </c>
      <c r="R52" s="31">
        <f t="shared" si="65"/>
        <v>-3</v>
      </c>
      <c r="S52" s="38">
        <f t="shared" si="65"/>
        <v>-0.11342000000000138</v>
      </c>
      <c r="U52" s="29"/>
    </row>
    <row r="53" spans="1:21" hidden="1">
      <c r="A53" s="26" t="s">
        <v>13</v>
      </c>
      <c r="B53" s="26" t="s">
        <v>61</v>
      </c>
      <c r="C53" s="26">
        <v>12.2</v>
      </c>
      <c r="D53" s="27">
        <v>9.3000000000000007</v>
      </c>
      <c r="E53" s="28">
        <v>28</v>
      </c>
      <c r="F53" s="16">
        <f t="shared" ref="F53:F64" si="66">(C53*D53*E53/1000)</f>
        <v>3.1768800000000001</v>
      </c>
      <c r="G53" s="17" t="s">
        <v>91</v>
      </c>
      <c r="H53" s="18">
        <f>3+16</f>
        <v>19</v>
      </c>
      <c r="I53" s="19">
        <f t="shared" ref="I53:I64" si="67">(C53*D53*H53/1000)</f>
        <v>2.1557400000000002</v>
      </c>
      <c r="J53" s="16" t="s">
        <v>93</v>
      </c>
      <c r="K53" s="18">
        <v>8</v>
      </c>
      <c r="L53" s="19">
        <f t="shared" ref="L53:L64" si="68">(C53*D53*K53/1000)</f>
        <v>0.90768000000000004</v>
      </c>
      <c r="M53" s="16" t="s">
        <v>93</v>
      </c>
      <c r="N53" s="18"/>
      <c r="O53" s="19">
        <f t="shared" ref="O53:O64" si="69">(C53*D53*N53/1000)</f>
        <v>0</v>
      </c>
      <c r="P53" s="20">
        <f t="shared" ref="P53:P64" si="70">+H53+K53+N53</f>
        <v>27</v>
      </c>
      <c r="Q53" s="19">
        <f t="shared" ref="Q53:Q64" si="71">+I53+L53+O53</f>
        <v>3.0634200000000003</v>
      </c>
      <c r="R53" s="21">
        <f t="shared" ref="R53:R64" si="72">E53-P53</f>
        <v>1</v>
      </c>
      <c r="S53" s="19">
        <f t="shared" ref="S53:S64" si="73">F53-Q53</f>
        <v>0.11345999999999989</v>
      </c>
      <c r="U53" s="29"/>
    </row>
    <row r="54" spans="1:21" hidden="1">
      <c r="A54" s="26" t="s">
        <v>13</v>
      </c>
      <c r="B54" s="26" t="s">
        <v>61</v>
      </c>
      <c r="C54" s="26">
        <v>12.2</v>
      </c>
      <c r="D54" s="27">
        <v>10</v>
      </c>
      <c r="E54" s="28">
        <v>39</v>
      </c>
      <c r="F54" s="16">
        <f t="shared" si="66"/>
        <v>4.758</v>
      </c>
      <c r="G54" s="17" t="s">
        <v>99</v>
      </c>
      <c r="H54" s="18">
        <v>34</v>
      </c>
      <c r="I54" s="19">
        <f t="shared" si="67"/>
        <v>4.1479999999999997</v>
      </c>
      <c r="J54" s="16" t="s">
        <v>108</v>
      </c>
      <c r="K54" s="18">
        <v>5</v>
      </c>
      <c r="L54" s="19">
        <f t="shared" si="68"/>
        <v>0.61</v>
      </c>
      <c r="M54" s="16" t="s">
        <v>115</v>
      </c>
      <c r="N54" s="18">
        <v>1</v>
      </c>
      <c r="O54" s="19">
        <f t="shared" si="69"/>
        <v>0.122</v>
      </c>
      <c r="P54" s="20">
        <f t="shared" si="70"/>
        <v>40</v>
      </c>
      <c r="Q54" s="19">
        <f t="shared" si="71"/>
        <v>4.88</v>
      </c>
      <c r="R54" s="21">
        <f t="shared" si="72"/>
        <v>-1</v>
      </c>
      <c r="S54" s="19">
        <f t="shared" si="73"/>
        <v>-0.12199999999999989</v>
      </c>
      <c r="U54" s="29"/>
    </row>
    <row r="55" spans="1:21" hidden="1">
      <c r="A55" s="26" t="s">
        <v>13</v>
      </c>
      <c r="B55" s="26" t="s">
        <v>61</v>
      </c>
      <c r="C55" s="26">
        <v>12.2</v>
      </c>
      <c r="D55" s="27">
        <v>11.1</v>
      </c>
      <c r="E55" s="28">
        <v>21</v>
      </c>
      <c r="F55" s="16">
        <f t="shared" si="66"/>
        <v>2.8438199999999996</v>
      </c>
      <c r="G55" s="17"/>
      <c r="H55" s="18">
        <f>1+15</f>
        <v>16</v>
      </c>
      <c r="I55" s="19">
        <f t="shared" si="67"/>
        <v>2.1667199999999998</v>
      </c>
      <c r="J55" s="16"/>
      <c r="K55" s="18">
        <v>10</v>
      </c>
      <c r="L55" s="19">
        <f t="shared" si="68"/>
        <v>1.3541999999999998</v>
      </c>
      <c r="M55" s="16"/>
      <c r="N55" s="18"/>
      <c r="O55" s="19">
        <f t="shared" si="69"/>
        <v>0</v>
      </c>
      <c r="P55" s="20">
        <f t="shared" si="70"/>
        <v>26</v>
      </c>
      <c r="Q55" s="19">
        <f t="shared" si="71"/>
        <v>3.5209199999999994</v>
      </c>
      <c r="R55" s="21">
        <f t="shared" si="72"/>
        <v>-5</v>
      </c>
      <c r="S55" s="19">
        <f t="shared" si="73"/>
        <v>-0.67709999999999981</v>
      </c>
      <c r="U55" s="29"/>
    </row>
    <row r="56" spans="1:21" hidden="1">
      <c r="A56" s="26" t="s">
        <v>13</v>
      </c>
      <c r="B56" s="26" t="s">
        <v>61</v>
      </c>
      <c r="C56" s="26">
        <v>12.2</v>
      </c>
      <c r="D56" s="27">
        <v>11.5</v>
      </c>
      <c r="E56" s="28">
        <v>23</v>
      </c>
      <c r="F56" s="16">
        <f t="shared" si="66"/>
        <v>3.2268999999999997</v>
      </c>
      <c r="G56" s="17"/>
      <c r="H56" s="18">
        <v>5</v>
      </c>
      <c r="I56" s="19">
        <f t="shared" si="67"/>
        <v>0.7014999999999999</v>
      </c>
      <c r="J56" s="16"/>
      <c r="K56" s="18">
        <v>5</v>
      </c>
      <c r="L56" s="19">
        <f t="shared" si="68"/>
        <v>0.7014999999999999</v>
      </c>
      <c r="M56" s="16"/>
      <c r="N56" s="18">
        <v>4</v>
      </c>
      <c r="O56" s="19">
        <f t="shared" si="69"/>
        <v>0.56119999999999992</v>
      </c>
      <c r="P56" s="20">
        <f t="shared" si="70"/>
        <v>14</v>
      </c>
      <c r="Q56" s="19">
        <f t="shared" si="71"/>
        <v>1.9641999999999997</v>
      </c>
      <c r="R56" s="21">
        <f t="shared" si="72"/>
        <v>9</v>
      </c>
      <c r="S56" s="19">
        <f t="shared" si="73"/>
        <v>1.2626999999999999</v>
      </c>
      <c r="U56" s="29"/>
    </row>
    <row r="57" spans="1:21" hidden="1">
      <c r="A57" s="26" t="s">
        <v>13</v>
      </c>
      <c r="B57" s="26" t="s">
        <v>61</v>
      </c>
      <c r="C57" s="26">
        <v>12.2</v>
      </c>
      <c r="D57" s="27">
        <v>12</v>
      </c>
      <c r="E57" s="28">
        <v>42</v>
      </c>
      <c r="F57" s="16">
        <f t="shared" ref="F57:F63" si="74">(C57*D57*E57/1000)</f>
        <v>6.1487999999999996</v>
      </c>
      <c r="G57" s="17"/>
      <c r="H57" s="18">
        <f t="shared" ref="H57" si="75">2+30</f>
        <v>32</v>
      </c>
      <c r="I57" s="19">
        <f t="shared" ref="I57:I63" si="76">(C57*D57*H57/1000)</f>
        <v>4.6847999999999992</v>
      </c>
      <c r="J57" s="16"/>
      <c r="K57" s="18">
        <v>11</v>
      </c>
      <c r="L57" s="19">
        <f t="shared" ref="L57:L63" si="77">(C57*D57*K57/1000)</f>
        <v>1.6103999999999996</v>
      </c>
      <c r="M57" s="16"/>
      <c r="N57" s="18">
        <v>2</v>
      </c>
      <c r="O57" s="19">
        <f t="shared" ref="O57:O63" si="78">(C57*D57*N57/1000)</f>
        <v>0.29279999999999995</v>
      </c>
      <c r="P57" s="20">
        <f t="shared" ref="P57:P63" si="79">+H57+K57+N57</f>
        <v>45</v>
      </c>
      <c r="Q57" s="19">
        <f t="shared" ref="Q57:Q63" si="80">+I57+L57+O57</f>
        <v>6.5879999999999983</v>
      </c>
      <c r="R57" s="21">
        <f t="shared" ref="R57:R63" si="81">E57-P57</f>
        <v>-3</v>
      </c>
      <c r="S57" s="19">
        <f t="shared" ref="S57:S63" si="82">F57-Q57</f>
        <v>-0.4391999999999987</v>
      </c>
      <c r="U57" s="29"/>
    </row>
    <row r="58" spans="1:21" hidden="1">
      <c r="A58" s="26" t="s">
        <v>13</v>
      </c>
      <c r="B58" s="26" t="s">
        <v>61</v>
      </c>
      <c r="C58" s="26">
        <v>12.2</v>
      </c>
      <c r="D58" s="27">
        <v>11.3</v>
      </c>
      <c r="E58" s="28"/>
      <c r="F58" s="16">
        <f t="shared" si="74"/>
        <v>0</v>
      </c>
      <c r="G58" s="17"/>
      <c r="H58" s="18"/>
      <c r="I58" s="19">
        <f t="shared" si="76"/>
        <v>0</v>
      </c>
      <c r="J58" s="16"/>
      <c r="K58" s="18"/>
      <c r="L58" s="19">
        <f t="shared" si="77"/>
        <v>0</v>
      </c>
      <c r="M58" s="16"/>
      <c r="N58" s="18">
        <v>4</v>
      </c>
      <c r="O58" s="19">
        <f t="shared" si="78"/>
        <v>0.55144000000000004</v>
      </c>
      <c r="P58" s="20">
        <f t="shared" si="79"/>
        <v>4</v>
      </c>
      <c r="Q58" s="19">
        <f t="shared" si="80"/>
        <v>0.55144000000000004</v>
      </c>
      <c r="R58" s="21">
        <f t="shared" si="81"/>
        <v>-4</v>
      </c>
      <c r="S58" s="19">
        <f t="shared" si="82"/>
        <v>-0.55144000000000004</v>
      </c>
      <c r="U58" s="29"/>
    </row>
    <row r="59" spans="1:21" hidden="1">
      <c r="A59" s="26" t="s">
        <v>13</v>
      </c>
      <c r="B59" s="26" t="s">
        <v>61</v>
      </c>
      <c r="C59" s="26">
        <v>12.2</v>
      </c>
      <c r="D59" s="27"/>
      <c r="E59" s="28"/>
      <c r="F59" s="16">
        <f t="shared" si="74"/>
        <v>0</v>
      </c>
      <c r="G59" s="17"/>
      <c r="H59" s="18"/>
      <c r="I59" s="19">
        <f t="shared" si="76"/>
        <v>0</v>
      </c>
      <c r="J59" s="16"/>
      <c r="K59" s="18"/>
      <c r="L59" s="19">
        <f t="shared" si="77"/>
        <v>0</v>
      </c>
      <c r="M59" s="16"/>
      <c r="N59" s="18"/>
      <c r="O59" s="19">
        <f t="shared" si="78"/>
        <v>0</v>
      </c>
      <c r="P59" s="20">
        <f t="shared" si="79"/>
        <v>0</v>
      </c>
      <c r="Q59" s="19">
        <f t="shared" si="80"/>
        <v>0</v>
      </c>
      <c r="R59" s="21">
        <f t="shared" si="81"/>
        <v>0</v>
      </c>
      <c r="S59" s="19">
        <f t="shared" si="82"/>
        <v>0</v>
      </c>
      <c r="U59" s="29"/>
    </row>
    <row r="60" spans="1:21" hidden="1">
      <c r="A60" s="26" t="s">
        <v>13</v>
      </c>
      <c r="B60" s="26" t="s">
        <v>61</v>
      </c>
      <c r="C60" s="26">
        <v>12.2</v>
      </c>
      <c r="D60" s="27"/>
      <c r="E60" s="28"/>
      <c r="F60" s="16">
        <f t="shared" si="74"/>
        <v>0</v>
      </c>
      <c r="G60" s="17"/>
      <c r="H60" s="18"/>
      <c r="I60" s="19">
        <f t="shared" si="76"/>
        <v>0</v>
      </c>
      <c r="J60" s="16"/>
      <c r="K60" s="18"/>
      <c r="L60" s="19">
        <f t="shared" si="77"/>
        <v>0</v>
      </c>
      <c r="M60" s="16"/>
      <c r="N60" s="18"/>
      <c r="O60" s="19">
        <f t="shared" si="78"/>
        <v>0</v>
      </c>
      <c r="P60" s="20">
        <f t="shared" si="79"/>
        <v>0</v>
      </c>
      <c r="Q60" s="19">
        <f t="shared" si="80"/>
        <v>0</v>
      </c>
      <c r="R60" s="21">
        <f t="shared" si="81"/>
        <v>0</v>
      </c>
      <c r="S60" s="19">
        <f t="shared" si="82"/>
        <v>0</v>
      </c>
      <c r="U60" s="29"/>
    </row>
    <row r="61" spans="1:21" hidden="1">
      <c r="A61" s="26" t="s">
        <v>13</v>
      </c>
      <c r="B61" s="26" t="s">
        <v>61</v>
      </c>
      <c r="C61" s="26">
        <v>12.2</v>
      </c>
      <c r="D61" s="27"/>
      <c r="E61" s="28"/>
      <c r="F61" s="16">
        <f t="shared" si="74"/>
        <v>0</v>
      </c>
      <c r="G61" s="17"/>
      <c r="H61" s="18"/>
      <c r="I61" s="19">
        <f t="shared" si="76"/>
        <v>0</v>
      </c>
      <c r="J61" s="16"/>
      <c r="K61" s="18"/>
      <c r="L61" s="19">
        <f t="shared" si="77"/>
        <v>0</v>
      </c>
      <c r="M61" s="16"/>
      <c r="N61" s="18"/>
      <c r="O61" s="19">
        <f t="shared" si="78"/>
        <v>0</v>
      </c>
      <c r="P61" s="20">
        <f t="shared" si="79"/>
        <v>0</v>
      </c>
      <c r="Q61" s="19">
        <f t="shared" si="80"/>
        <v>0</v>
      </c>
      <c r="R61" s="21">
        <f t="shared" si="81"/>
        <v>0</v>
      </c>
      <c r="S61" s="19">
        <f t="shared" si="82"/>
        <v>0</v>
      </c>
      <c r="U61" s="29"/>
    </row>
    <row r="62" spans="1:21" hidden="1">
      <c r="A62" s="26" t="s">
        <v>13</v>
      </c>
      <c r="B62" s="26" t="s">
        <v>61</v>
      </c>
      <c r="C62" s="26">
        <v>12.2</v>
      </c>
      <c r="D62" s="27"/>
      <c r="E62" s="28"/>
      <c r="F62" s="16">
        <f t="shared" si="74"/>
        <v>0</v>
      </c>
      <c r="G62" s="17"/>
      <c r="H62" s="18"/>
      <c r="I62" s="19">
        <f t="shared" si="76"/>
        <v>0</v>
      </c>
      <c r="J62" s="16"/>
      <c r="K62" s="18"/>
      <c r="L62" s="19">
        <f t="shared" si="77"/>
        <v>0</v>
      </c>
      <c r="M62" s="16"/>
      <c r="N62" s="18"/>
      <c r="O62" s="19">
        <f t="shared" si="78"/>
        <v>0</v>
      </c>
      <c r="P62" s="20">
        <f t="shared" si="79"/>
        <v>0</v>
      </c>
      <c r="Q62" s="19">
        <f t="shared" si="80"/>
        <v>0</v>
      </c>
      <c r="R62" s="21">
        <f t="shared" si="81"/>
        <v>0</v>
      </c>
      <c r="S62" s="19">
        <f t="shared" si="82"/>
        <v>0</v>
      </c>
      <c r="U62" s="29"/>
    </row>
    <row r="63" spans="1:21" hidden="1">
      <c r="A63" s="26" t="s">
        <v>13</v>
      </c>
      <c r="B63" s="26" t="s">
        <v>61</v>
      </c>
      <c r="C63" s="26">
        <v>12.2</v>
      </c>
      <c r="D63" s="27"/>
      <c r="E63" s="28"/>
      <c r="F63" s="16">
        <f t="shared" si="74"/>
        <v>0</v>
      </c>
      <c r="G63" s="17"/>
      <c r="H63" s="18"/>
      <c r="I63" s="19">
        <f t="shared" si="76"/>
        <v>0</v>
      </c>
      <c r="J63" s="16"/>
      <c r="K63" s="18"/>
      <c r="L63" s="19">
        <f t="shared" si="77"/>
        <v>0</v>
      </c>
      <c r="M63" s="16"/>
      <c r="N63" s="18"/>
      <c r="O63" s="19">
        <f t="shared" si="78"/>
        <v>0</v>
      </c>
      <c r="P63" s="20">
        <f t="shared" si="79"/>
        <v>0</v>
      </c>
      <c r="Q63" s="19">
        <f t="shared" si="80"/>
        <v>0</v>
      </c>
      <c r="R63" s="21">
        <f t="shared" si="81"/>
        <v>0</v>
      </c>
      <c r="S63" s="19">
        <f t="shared" si="82"/>
        <v>0</v>
      </c>
      <c r="U63" s="29"/>
    </row>
    <row r="64" spans="1:21" hidden="1">
      <c r="A64" s="26" t="s">
        <v>13</v>
      </c>
      <c r="B64" s="26" t="s">
        <v>61</v>
      </c>
      <c r="C64" s="26">
        <v>12.2</v>
      </c>
      <c r="D64" s="27"/>
      <c r="E64" s="28"/>
      <c r="F64" s="16">
        <f t="shared" si="66"/>
        <v>0</v>
      </c>
      <c r="G64" s="17"/>
      <c r="H64" s="18"/>
      <c r="I64" s="19">
        <f t="shared" si="67"/>
        <v>0</v>
      </c>
      <c r="J64" s="16"/>
      <c r="K64" s="18"/>
      <c r="L64" s="19">
        <f t="shared" si="68"/>
        <v>0</v>
      </c>
      <c r="M64" s="16"/>
      <c r="N64" s="18"/>
      <c r="O64" s="19">
        <f t="shared" si="69"/>
        <v>0</v>
      </c>
      <c r="P64" s="20">
        <f t="shared" si="70"/>
        <v>0</v>
      </c>
      <c r="Q64" s="19">
        <f t="shared" si="71"/>
        <v>0</v>
      </c>
      <c r="R64" s="21">
        <f t="shared" si="72"/>
        <v>0</v>
      </c>
      <c r="S64" s="19">
        <f t="shared" si="73"/>
        <v>0</v>
      </c>
      <c r="U64" s="29"/>
    </row>
    <row r="65" spans="1:21" hidden="1">
      <c r="A65" s="36"/>
      <c r="B65" s="36"/>
      <c r="C65" s="36"/>
      <c r="D65" s="38"/>
      <c r="E65" s="31">
        <f t="shared" ref="E65:F65" si="83">SUM(E53:E64)</f>
        <v>153</v>
      </c>
      <c r="F65" s="38">
        <f t="shared" si="83"/>
        <v>20.154399999999995</v>
      </c>
      <c r="G65" s="17"/>
      <c r="H65" s="31">
        <f t="shared" ref="H65" si="84">SUM(H53:H64)</f>
        <v>106</v>
      </c>
      <c r="I65" s="38">
        <f t="shared" ref="I65" si="85">SUM(I53:I64)</f>
        <v>13.856759999999998</v>
      </c>
      <c r="J65" s="16"/>
      <c r="K65" s="31">
        <f t="shared" ref="K65" si="86">SUM(K53:K64)</f>
        <v>39</v>
      </c>
      <c r="L65" s="38">
        <f t="shared" ref="L65" si="87">SUM(L53:L64)</f>
        <v>5.1837799999999996</v>
      </c>
      <c r="M65" s="16"/>
      <c r="N65" s="31">
        <f t="shared" ref="N65" si="88">SUM(N53:N64)</f>
        <v>11</v>
      </c>
      <c r="O65" s="38">
        <f t="shared" ref="O65" si="89">SUM(O53:O64)</f>
        <v>1.5274399999999999</v>
      </c>
      <c r="P65" s="31">
        <f t="shared" ref="P65" si="90">SUM(P53:P64)</f>
        <v>156</v>
      </c>
      <c r="Q65" s="38">
        <f t="shared" ref="Q65" si="91">SUM(Q53:Q64)</f>
        <v>20.567979999999999</v>
      </c>
      <c r="R65" s="31">
        <f t="shared" ref="R65" si="92">SUM(R53:R64)</f>
        <v>-3</v>
      </c>
      <c r="S65" s="38">
        <f t="shared" ref="S65" si="93">SUM(S53:S64)</f>
        <v>-0.41357999999999862</v>
      </c>
      <c r="U65" s="29"/>
    </row>
    <row r="66" spans="1:21" hidden="1">
      <c r="A66" s="26" t="s">
        <v>13</v>
      </c>
      <c r="B66" s="26" t="s">
        <v>47</v>
      </c>
      <c r="C66" s="26">
        <v>18.2</v>
      </c>
      <c r="D66" s="27">
        <v>7.2</v>
      </c>
      <c r="E66" s="28">
        <v>8</v>
      </c>
      <c r="F66" s="16">
        <f t="shared" ref="F66:F72" si="94">(C66*D66*E66/1000)</f>
        <v>1.0483199999999999</v>
      </c>
      <c r="G66" s="17" t="s">
        <v>88</v>
      </c>
      <c r="H66" s="18">
        <v>8</v>
      </c>
      <c r="I66" s="19">
        <f t="shared" ref="I66:I72" si="95">(C66*D66*H66/1000)</f>
        <v>1.0483199999999999</v>
      </c>
      <c r="J66" s="16" t="s">
        <v>93</v>
      </c>
      <c r="K66" s="18"/>
      <c r="L66" s="19">
        <f t="shared" ref="L66:L72" si="96">(C66*D66*K66/1000)</f>
        <v>0</v>
      </c>
      <c r="M66" s="16" t="s">
        <v>91</v>
      </c>
      <c r="N66" s="18"/>
      <c r="O66" s="19">
        <f t="shared" ref="O66:O72" si="97">(C66*D66*N66/1000)</f>
        <v>0</v>
      </c>
      <c r="P66" s="20">
        <f t="shared" ref="P66:P72" si="98">+H66+K66+N66</f>
        <v>8</v>
      </c>
      <c r="Q66" s="19">
        <f t="shared" ref="Q66:Q72" si="99">+I66+L66+O66</f>
        <v>1.0483199999999999</v>
      </c>
      <c r="R66" s="21">
        <f t="shared" ref="R66:R72" si="100">E66-P66</f>
        <v>0</v>
      </c>
      <c r="S66" s="19">
        <f t="shared" ref="S66:S72" si="101">F66-Q66</f>
        <v>0</v>
      </c>
      <c r="U66" s="29"/>
    </row>
    <row r="67" spans="1:21" hidden="1">
      <c r="A67" s="26" t="s">
        <v>13</v>
      </c>
      <c r="B67" s="26" t="s">
        <v>47</v>
      </c>
      <c r="C67" s="26">
        <v>18.2</v>
      </c>
      <c r="D67" s="27">
        <v>9.8000000000000007</v>
      </c>
      <c r="E67" s="28">
        <v>18</v>
      </c>
      <c r="F67" s="16">
        <f t="shared" si="94"/>
        <v>3.2104800000000004</v>
      </c>
      <c r="G67" s="17" t="s">
        <v>109</v>
      </c>
      <c r="H67" s="18">
        <v>6</v>
      </c>
      <c r="I67" s="19">
        <f t="shared" si="95"/>
        <v>1.07016</v>
      </c>
      <c r="J67" s="16" t="s">
        <v>112</v>
      </c>
      <c r="K67" s="18">
        <v>11</v>
      </c>
      <c r="L67" s="19">
        <f t="shared" si="96"/>
        <v>1.9619599999999999</v>
      </c>
      <c r="M67" s="16" t="s">
        <v>113</v>
      </c>
      <c r="N67" s="18"/>
      <c r="O67" s="19">
        <f t="shared" si="97"/>
        <v>0</v>
      </c>
      <c r="P67" s="20">
        <f t="shared" si="98"/>
        <v>17</v>
      </c>
      <c r="Q67" s="19">
        <f t="shared" si="99"/>
        <v>3.0321199999999999</v>
      </c>
      <c r="R67" s="21">
        <f t="shared" si="100"/>
        <v>1</v>
      </c>
      <c r="S67" s="19">
        <f t="shared" si="101"/>
        <v>0.17836000000000052</v>
      </c>
      <c r="U67" s="29"/>
    </row>
    <row r="68" spans="1:21" hidden="1">
      <c r="A68" s="26" t="s">
        <v>13</v>
      </c>
      <c r="B68" s="26" t="s">
        <v>47</v>
      </c>
      <c r="C68" s="26">
        <v>18.2</v>
      </c>
      <c r="D68" s="27">
        <v>10.8</v>
      </c>
      <c r="E68" s="28">
        <v>8</v>
      </c>
      <c r="F68" s="16">
        <f t="shared" si="94"/>
        <v>1.5724800000000001</v>
      </c>
      <c r="G68" s="17"/>
      <c r="H68" s="18">
        <v>14</v>
      </c>
      <c r="I68" s="19">
        <f t="shared" si="95"/>
        <v>2.7518400000000001</v>
      </c>
      <c r="J68" s="16"/>
      <c r="K68" s="18"/>
      <c r="L68" s="19">
        <f t="shared" si="96"/>
        <v>0</v>
      </c>
      <c r="M68" s="16"/>
      <c r="N68" s="18"/>
      <c r="O68" s="19">
        <f t="shared" si="97"/>
        <v>0</v>
      </c>
      <c r="P68" s="20">
        <f t="shared" si="98"/>
        <v>14</v>
      </c>
      <c r="Q68" s="19">
        <f t="shared" si="99"/>
        <v>2.7518400000000001</v>
      </c>
      <c r="R68" s="21">
        <f t="shared" si="100"/>
        <v>-6</v>
      </c>
      <c r="S68" s="19">
        <f t="shared" si="101"/>
        <v>-1.17936</v>
      </c>
      <c r="U68" s="29"/>
    </row>
    <row r="69" spans="1:21" hidden="1">
      <c r="A69" s="26" t="s">
        <v>13</v>
      </c>
      <c r="B69" s="26" t="s">
        <v>47</v>
      </c>
      <c r="C69" s="26">
        <v>18.2</v>
      </c>
      <c r="D69" s="27">
        <v>11.6</v>
      </c>
      <c r="E69" s="28">
        <v>16</v>
      </c>
      <c r="F69" s="16">
        <f t="shared" si="94"/>
        <v>3.3779199999999996</v>
      </c>
      <c r="G69" s="17"/>
      <c r="H69" s="18">
        <v>8</v>
      </c>
      <c r="I69" s="19">
        <f t="shared" si="95"/>
        <v>1.6889599999999998</v>
      </c>
      <c r="J69" s="16"/>
      <c r="K69" s="18"/>
      <c r="L69" s="19">
        <f t="shared" si="96"/>
        <v>0</v>
      </c>
      <c r="M69" s="16"/>
      <c r="N69" s="18">
        <v>11</v>
      </c>
      <c r="O69" s="19">
        <f t="shared" si="97"/>
        <v>2.3223199999999995</v>
      </c>
      <c r="P69" s="20">
        <f t="shared" si="98"/>
        <v>19</v>
      </c>
      <c r="Q69" s="19">
        <f t="shared" si="99"/>
        <v>4.0112799999999993</v>
      </c>
      <c r="R69" s="21">
        <f t="shared" si="100"/>
        <v>-3</v>
      </c>
      <c r="S69" s="19">
        <f t="shared" si="101"/>
        <v>-0.6333599999999997</v>
      </c>
      <c r="U69" s="29"/>
    </row>
    <row r="70" spans="1:21" hidden="1">
      <c r="A70" s="26" t="s">
        <v>13</v>
      </c>
      <c r="B70" s="26" t="s">
        <v>47</v>
      </c>
      <c r="C70" s="26">
        <v>18.2</v>
      </c>
      <c r="D70" s="27">
        <v>11.7</v>
      </c>
      <c r="E70" s="28">
        <v>16</v>
      </c>
      <c r="F70" s="16">
        <f t="shared" si="94"/>
        <v>3.4070399999999994</v>
      </c>
      <c r="G70" s="17"/>
      <c r="H70" s="18">
        <v>5</v>
      </c>
      <c r="I70" s="19">
        <f t="shared" si="95"/>
        <v>1.0646999999999998</v>
      </c>
      <c r="J70" s="16"/>
      <c r="K70" s="18"/>
      <c r="L70" s="19">
        <f t="shared" si="96"/>
        <v>0</v>
      </c>
      <c r="M70" s="16"/>
      <c r="N70" s="18"/>
      <c r="O70" s="19">
        <f t="shared" si="97"/>
        <v>0</v>
      </c>
      <c r="P70" s="20">
        <f t="shared" si="98"/>
        <v>5</v>
      </c>
      <c r="Q70" s="19">
        <f t="shared" si="99"/>
        <v>1.0646999999999998</v>
      </c>
      <c r="R70" s="21">
        <f t="shared" si="100"/>
        <v>11</v>
      </c>
      <c r="S70" s="19">
        <f t="shared" si="101"/>
        <v>2.3423399999999996</v>
      </c>
      <c r="U70" s="29"/>
    </row>
    <row r="71" spans="1:21" hidden="1">
      <c r="A71" s="26" t="s">
        <v>13</v>
      </c>
      <c r="B71" s="26" t="s">
        <v>47</v>
      </c>
      <c r="C71" s="26">
        <v>18.2</v>
      </c>
      <c r="D71" s="27">
        <v>11.8</v>
      </c>
      <c r="E71" s="28">
        <v>8</v>
      </c>
      <c r="F71" s="16">
        <f t="shared" si="94"/>
        <v>1.7180799999999998</v>
      </c>
      <c r="G71" s="17"/>
      <c r="H71" s="18">
        <v>12</v>
      </c>
      <c r="I71" s="19">
        <f t="shared" si="95"/>
        <v>2.5771199999999999</v>
      </c>
      <c r="J71" s="16"/>
      <c r="K71" s="18"/>
      <c r="L71" s="19">
        <f t="shared" si="96"/>
        <v>0</v>
      </c>
      <c r="M71" s="16"/>
      <c r="N71" s="18"/>
      <c r="O71" s="19">
        <f t="shared" si="97"/>
        <v>0</v>
      </c>
      <c r="P71" s="20">
        <f t="shared" si="98"/>
        <v>12</v>
      </c>
      <c r="Q71" s="19">
        <f t="shared" si="99"/>
        <v>2.5771199999999999</v>
      </c>
      <c r="R71" s="21">
        <f t="shared" si="100"/>
        <v>-4</v>
      </c>
      <c r="S71" s="19">
        <f t="shared" si="101"/>
        <v>-0.85904000000000003</v>
      </c>
      <c r="U71" s="29"/>
    </row>
    <row r="72" spans="1:21" hidden="1">
      <c r="A72" s="26" t="s">
        <v>13</v>
      </c>
      <c r="B72" s="26" t="s">
        <v>47</v>
      </c>
      <c r="C72" s="26">
        <v>18.2</v>
      </c>
      <c r="D72" s="27">
        <v>12</v>
      </c>
      <c r="E72" s="28">
        <v>22</v>
      </c>
      <c r="F72" s="16">
        <f t="shared" si="94"/>
        <v>4.8047999999999993</v>
      </c>
      <c r="G72" s="17"/>
      <c r="H72" s="18">
        <v>6</v>
      </c>
      <c r="I72" s="19">
        <f t="shared" si="95"/>
        <v>1.3103999999999998</v>
      </c>
      <c r="J72" s="16"/>
      <c r="K72" s="18">
        <v>11</v>
      </c>
      <c r="L72" s="19">
        <f t="shared" si="96"/>
        <v>2.4023999999999996</v>
      </c>
      <c r="M72" s="16"/>
      <c r="N72" s="18">
        <v>5</v>
      </c>
      <c r="O72" s="19">
        <f t="shared" si="97"/>
        <v>1.0920000000000001</v>
      </c>
      <c r="P72" s="20">
        <f t="shared" si="98"/>
        <v>22</v>
      </c>
      <c r="Q72" s="19">
        <f t="shared" si="99"/>
        <v>4.8048000000000002</v>
      </c>
      <c r="R72" s="21">
        <f t="shared" si="100"/>
        <v>0</v>
      </c>
      <c r="S72" s="19">
        <f t="shared" si="101"/>
        <v>0</v>
      </c>
      <c r="U72" s="29"/>
    </row>
    <row r="73" spans="1:21" hidden="1">
      <c r="A73" s="36"/>
      <c r="B73" s="36"/>
      <c r="C73" s="36"/>
      <c r="D73" s="38"/>
      <c r="E73" s="31">
        <f t="shared" ref="E73:F73" si="102">SUM(E66:E72)</f>
        <v>96</v>
      </c>
      <c r="F73" s="38">
        <f t="shared" si="102"/>
        <v>19.139120000000002</v>
      </c>
      <c r="G73" s="17"/>
      <c r="H73" s="31">
        <f t="shared" ref="H73" si="103">SUM(H66:H72)</f>
        <v>59</v>
      </c>
      <c r="I73" s="38">
        <f t="shared" ref="I73" si="104">SUM(I66:I72)</f>
        <v>11.5115</v>
      </c>
      <c r="J73" s="16"/>
      <c r="K73" s="31">
        <f t="shared" ref="K73" si="105">SUM(K66:K72)</f>
        <v>22</v>
      </c>
      <c r="L73" s="38">
        <f t="shared" ref="L73" si="106">SUM(L66:L72)</f>
        <v>4.3643599999999996</v>
      </c>
      <c r="M73" s="16"/>
      <c r="N73" s="31">
        <f t="shared" ref="N73" si="107">SUM(N66:N72)</f>
        <v>16</v>
      </c>
      <c r="O73" s="38">
        <f t="shared" ref="O73" si="108">SUM(O66:O72)</f>
        <v>3.4143199999999996</v>
      </c>
      <c r="P73" s="31">
        <f t="shared" ref="P73" si="109">SUM(P66:P72)</f>
        <v>97</v>
      </c>
      <c r="Q73" s="38">
        <f t="shared" ref="Q73" si="110">SUM(Q66:Q72)</f>
        <v>19.290179999999999</v>
      </c>
      <c r="R73" s="31">
        <f t="shared" ref="R73" si="111">SUM(R66:R72)</f>
        <v>-1</v>
      </c>
      <c r="S73" s="38">
        <f t="shared" ref="S73" si="112">SUM(S66:S72)</f>
        <v>-0.15105999999999953</v>
      </c>
      <c r="U73" s="29"/>
    </row>
    <row r="74" spans="1:21">
      <c r="A74" s="26" t="s">
        <v>13</v>
      </c>
      <c r="B74" s="26" t="s">
        <v>49</v>
      </c>
      <c r="C74" s="26">
        <v>14.7</v>
      </c>
      <c r="D74" s="27">
        <v>7.1</v>
      </c>
      <c r="E74" s="28">
        <v>32</v>
      </c>
      <c r="F74" s="16">
        <f t="shared" ref="F74:F77" si="113">(C74*D74*E74/1000)</f>
        <v>3.3398399999999997</v>
      </c>
      <c r="G74" s="16" t="s">
        <v>88</v>
      </c>
      <c r="H74" s="18">
        <v>18</v>
      </c>
      <c r="I74" s="19">
        <f t="shared" ref="I74:I77" si="114">(C74*D74*H74/1000)</f>
        <v>1.8786599999999998</v>
      </c>
      <c r="J74" s="16" t="s">
        <v>107</v>
      </c>
      <c r="K74" s="18"/>
      <c r="L74" s="19">
        <f t="shared" ref="L74:L77" si="115">(C74*D74*K74/1000)</f>
        <v>0</v>
      </c>
      <c r="M74" s="16" t="s">
        <v>93</v>
      </c>
      <c r="N74" s="18">
        <v>14</v>
      </c>
      <c r="O74" s="19">
        <f t="shared" ref="O74:O77" si="116">(C74*D74*N74/1000)</f>
        <v>1.4611799999999999</v>
      </c>
      <c r="P74" s="20">
        <f t="shared" ref="P74:P77" si="117">+H74+K74+N74</f>
        <v>32</v>
      </c>
      <c r="Q74" s="19">
        <f t="shared" ref="Q74:Q77" si="118">+I74+L74+O74</f>
        <v>3.3398399999999997</v>
      </c>
      <c r="R74" s="21">
        <f t="shared" ref="R74:R77" si="119">E74-P74</f>
        <v>0</v>
      </c>
      <c r="S74" s="19">
        <f t="shared" ref="S74:S77" si="120">F74-Q74</f>
        <v>0</v>
      </c>
      <c r="U74" s="29"/>
    </row>
    <row r="75" spans="1:21">
      <c r="A75" s="26" t="s">
        <v>13</v>
      </c>
      <c r="B75" s="26" t="s">
        <v>49</v>
      </c>
      <c r="C75" s="26">
        <v>14.7</v>
      </c>
      <c r="D75" s="27">
        <v>10.8</v>
      </c>
      <c r="E75" s="28">
        <v>21</v>
      </c>
      <c r="F75" s="16">
        <f t="shared" si="113"/>
        <v>3.3339600000000003</v>
      </c>
      <c r="G75" s="16" t="s">
        <v>116</v>
      </c>
      <c r="H75" s="18">
        <v>20</v>
      </c>
      <c r="I75" s="19">
        <f t="shared" si="114"/>
        <v>3.1751999999999998</v>
      </c>
      <c r="J75" s="16" t="s">
        <v>131</v>
      </c>
      <c r="K75" s="18"/>
      <c r="L75" s="19">
        <f t="shared" si="115"/>
        <v>0</v>
      </c>
      <c r="M75" s="16" t="s">
        <v>132</v>
      </c>
      <c r="N75" s="18"/>
      <c r="O75" s="19">
        <f t="shared" si="116"/>
        <v>0</v>
      </c>
      <c r="P75" s="20">
        <f t="shared" si="117"/>
        <v>20</v>
      </c>
      <c r="Q75" s="19">
        <f t="shared" si="118"/>
        <v>3.1751999999999998</v>
      </c>
      <c r="R75" s="21">
        <f t="shared" si="119"/>
        <v>1</v>
      </c>
      <c r="S75" s="19">
        <f t="shared" si="120"/>
        <v>0.15876000000000046</v>
      </c>
      <c r="U75" s="29"/>
    </row>
    <row r="76" spans="1:21">
      <c r="A76" s="26" t="s">
        <v>13</v>
      </c>
      <c r="B76" s="26" t="s">
        <v>49</v>
      </c>
      <c r="C76" s="26">
        <v>14.7</v>
      </c>
      <c r="D76" s="27">
        <v>11.5</v>
      </c>
      <c r="E76" s="28">
        <v>34</v>
      </c>
      <c r="F76" s="16">
        <f t="shared" si="113"/>
        <v>5.7477</v>
      </c>
      <c r="G76" s="17"/>
      <c r="H76" s="18"/>
      <c r="I76" s="19">
        <f t="shared" si="114"/>
        <v>0</v>
      </c>
      <c r="J76" s="16"/>
      <c r="K76" s="18"/>
      <c r="L76" s="19">
        <f t="shared" si="115"/>
        <v>0</v>
      </c>
      <c r="M76" s="16"/>
      <c r="N76" s="18">
        <v>34</v>
      </c>
      <c r="O76" s="19">
        <f t="shared" si="116"/>
        <v>5.7477</v>
      </c>
      <c r="P76" s="20">
        <f t="shared" si="117"/>
        <v>34</v>
      </c>
      <c r="Q76" s="19">
        <f t="shared" si="118"/>
        <v>5.7477</v>
      </c>
      <c r="R76" s="21">
        <f t="shared" si="119"/>
        <v>0</v>
      </c>
      <c r="S76" s="19">
        <f t="shared" si="120"/>
        <v>0</v>
      </c>
      <c r="U76" s="29"/>
    </row>
    <row r="77" spans="1:21">
      <c r="A77" s="26" t="s">
        <v>13</v>
      </c>
      <c r="B77" s="26" t="s">
        <v>49</v>
      </c>
      <c r="C77" s="26">
        <v>14.7</v>
      </c>
      <c r="D77" s="27">
        <v>12</v>
      </c>
      <c r="E77" s="28">
        <v>5</v>
      </c>
      <c r="F77" s="16">
        <f t="shared" si="113"/>
        <v>0.8819999999999999</v>
      </c>
      <c r="G77" s="17"/>
      <c r="H77" s="18"/>
      <c r="I77" s="19">
        <f t="shared" si="114"/>
        <v>0</v>
      </c>
      <c r="J77" s="16"/>
      <c r="K77" s="18"/>
      <c r="L77" s="19">
        <f t="shared" si="115"/>
        <v>0</v>
      </c>
      <c r="M77" s="16"/>
      <c r="N77" s="18">
        <v>6</v>
      </c>
      <c r="O77" s="19">
        <f t="shared" si="116"/>
        <v>1.0583999999999998</v>
      </c>
      <c r="P77" s="20">
        <f t="shared" si="117"/>
        <v>6</v>
      </c>
      <c r="Q77" s="19">
        <f t="shared" si="118"/>
        <v>1.0583999999999998</v>
      </c>
      <c r="R77" s="21">
        <f t="shared" si="119"/>
        <v>-1</v>
      </c>
      <c r="S77" s="19">
        <f t="shared" si="120"/>
        <v>-0.17639999999999989</v>
      </c>
      <c r="U77" s="29"/>
    </row>
    <row r="78" spans="1:21">
      <c r="A78" s="36"/>
      <c r="B78" s="36"/>
      <c r="C78" s="36"/>
      <c r="D78" s="38"/>
      <c r="E78" s="31">
        <f t="shared" ref="E78:F78" si="121">SUM(E74:E77)</f>
        <v>92</v>
      </c>
      <c r="F78" s="38">
        <f t="shared" si="121"/>
        <v>13.3035</v>
      </c>
      <c r="G78" s="17"/>
      <c r="H78" s="31">
        <f t="shared" ref="H78" si="122">SUM(H74:H77)</f>
        <v>38</v>
      </c>
      <c r="I78" s="38">
        <f t="shared" ref="I78" si="123">SUM(I74:I77)</f>
        <v>5.0538599999999994</v>
      </c>
      <c r="J78" s="16"/>
      <c r="K78" s="31">
        <f t="shared" ref="K78" si="124">SUM(K74:K77)</f>
        <v>0</v>
      </c>
      <c r="L78" s="38">
        <f t="shared" ref="L78" si="125">SUM(L74:L77)</f>
        <v>0</v>
      </c>
      <c r="M78" s="16"/>
      <c r="N78" s="31">
        <f t="shared" ref="N78" si="126">SUM(N74:N77)</f>
        <v>54</v>
      </c>
      <c r="O78" s="38">
        <f t="shared" ref="O78" si="127">SUM(O74:O77)</f>
        <v>8.2672799999999995</v>
      </c>
      <c r="P78" s="31">
        <f t="shared" ref="P78" si="128">SUM(P74:P77)</f>
        <v>92</v>
      </c>
      <c r="Q78" s="38">
        <f t="shared" ref="Q78" si="129">SUM(Q74:Q77)</f>
        <v>13.32114</v>
      </c>
      <c r="R78" s="31">
        <f t="shared" ref="R78" si="130">SUM(R74:R77)</f>
        <v>0</v>
      </c>
      <c r="S78" s="38">
        <f t="shared" ref="S78" si="131">SUM(S74:S77)</f>
        <v>-1.7639999999999434E-2</v>
      </c>
      <c r="U78" s="29"/>
    </row>
    <row r="79" spans="1:21" hidden="1">
      <c r="A79" s="26" t="s">
        <v>13</v>
      </c>
      <c r="B79" s="26" t="s">
        <v>50</v>
      </c>
      <c r="C79" s="26">
        <v>16.5</v>
      </c>
      <c r="D79" s="27">
        <v>6.5</v>
      </c>
      <c r="E79" s="28">
        <v>2</v>
      </c>
      <c r="F79" s="16">
        <f t="shared" ref="F79:F82" si="132">(C79*D79*E79/1000)</f>
        <v>0.2145</v>
      </c>
      <c r="G79" s="16" t="s">
        <v>88</v>
      </c>
      <c r="H79" s="18"/>
      <c r="I79" s="19">
        <f t="shared" ref="I79:I82" si="133">(C79*D79*H79/1000)</f>
        <v>0</v>
      </c>
      <c r="J79" s="16" t="s">
        <v>93</v>
      </c>
      <c r="K79" s="18"/>
      <c r="L79" s="19">
        <f t="shared" ref="L79:L82" si="134">(C79*D79*K79/1000)</f>
        <v>0</v>
      </c>
      <c r="M79" s="16" t="s">
        <v>114</v>
      </c>
      <c r="N79" s="18"/>
      <c r="O79" s="19">
        <f t="shared" ref="O79:O82" si="135">(C79*D79*N79/1000)</f>
        <v>0</v>
      </c>
      <c r="P79" s="20">
        <f t="shared" ref="P79:P82" si="136">+H79+K79+N79</f>
        <v>0</v>
      </c>
      <c r="Q79" s="19">
        <f t="shared" ref="Q79:Q82" si="137">+I79+L79+O79</f>
        <v>0</v>
      </c>
      <c r="R79" s="21">
        <f t="shared" ref="R79:R82" si="138">E79-P79</f>
        <v>2</v>
      </c>
      <c r="S79" s="19">
        <f t="shared" ref="S79:S82" si="139">F79-Q79</f>
        <v>0.2145</v>
      </c>
      <c r="U79" s="29"/>
    </row>
    <row r="80" spans="1:21" hidden="1">
      <c r="A80" s="26" t="s">
        <v>13</v>
      </c>
      <c r="B80" s="26" t="s">
        <v>50</v>
      </c>
      <c r="C80" s="26">
        <v>16.5</v>
      </c>
      <c r="D80" s="27">
        <v>6.7</v>
      </c>
      <c r="E80" s="28">
        <v>16</v>
      </c>
      <c r="F80" s="16">
        <f t="shared" si="132"/>
        <v>1.7687999999999999</v>
      </c>
      <c r="G80" s="16" t="s">
        <v>112</v>
      </c>
      <c r="H80" s="18"/>
      <c r="I80" s="19">
        <f t="shared" si="133"/>
        <v>0</v>
      </c>
      <c r="J80" s="16" t="s">
        <v>115</v>
      </c>
      <c r="K80" s="18">
        <v>15</v>
      </c>
      <c r="L80" s="19">
        <f t="shared" si="134"/>
        <v>1.65825</v>
      </c>
      <c r="M80" s="16" t="s">
        <v>115</v>
      </c>
      <c r="N80" s="18"/>
      <c r="O80" s="19">
        <f t="shared" si="135"/>
        <v>0</v>
      </c>
      <c r="P80" s="20">
        <f t="shared" si="136"/>
        <v>15</v>
      </c>
      <c r="Q80" s="19">
        <f t="shared" si="137"/>
        <v>1.65825</v>
      </c>
      <c r="R80" s="21">
        <f t="shared" si="138"/>
        <v>1</v>
      </c>
      <c r="S80" s="19">
        <f t="shared" si="139"/>
        <v>0.11054999999999993</v>
      </c>
      <c r="U80" s="29"/>
    </row>
    <row r="81" spans="1:21" hidden="1">
      <c r="A81" s="26" t="s">
        <v>13</v>
      </c>
      <c r="B81" s="26" t="s">
        <v>50</v>
      </c>
      <c r="C81" s="26">
        <v>16.5</v>
      </c>
      <c r="D81" s="27">
        <v>8.6999999999999993</v>
      </c>
      <c r="E81" s="28">
        <v>16</v>
      </c>
      <c r="F81" s="16">
        <f t="shared" si="132"/>
        <v>2.2967999999999997</v>
      </c>
      <c r="G81" s="17"/>
      <c r="H81" s="18"/>
      <c r="I81" s="19">
        <f t="shared" si="133"/>
        <v>0</v>
      </c>
      <c r="J81" s="16"/>
      <c r="K81" s="18">
        <v>8</v>
      </c>
      <c r="L81" s="19">
        <f t="shared" si="134"/>
        <v>1.1483999999999999</v>
      </c>
      <c r="M81" s="16" t="s">
        <v>88</v>
      </c>
      <c r="N81" s="18">
        <f>11+1</f>
        <v>12</v>
      </c>
      <c r="O81" s="19">
        <f t="shared" si="135"/>
        <v>1.7225999999999999</v>
      </c>
      <c r="P81" s="20">
        <f t="shared" si="136"/>
        <v>20</v>
      </c>
      <c r="Q81" s="19">
        <f t="shared" si="137"/>
        <v>2.8709999999999996</v>
      </c>
      <c r="R81" s="21">
        <f t="shared" si="138"/>
        <v>-4</v>
      </c>
      <c r="S81" s="19">
        <f t="shared" si="139"/>
        <v>-0.57419999999999982</v>
      </c>
      <c r="U81" s="29"/>
    </row>
    <row r="82" spans="1:21" hidden="1">
      <c r="A82" s="26" t="s">
        <v>13</v>
      </c>
      <c r="B82" s="26" t="s">
        <v>50</v>
      </c>
      <c r="C82" s="26">
        <v>16.5</v>
      </c>
      <c r="D82" s="27">
        <v>11.8</v>
      </c>
      <c r="E82" s="28">
        <v>16</v>
      </c>
      <c r="F82" s="16">
        <f t="shared" si="132"/>
        <v>3.1152000000000002</v>
      </c>
      <c r="G82" s="17"/>
      <c r="H82" s="18">
        <v>12</v>
      </c>
      <c r="I82" s="19">
        <f t="shared" si="133"/>
        <v>2.3364000000000003</v>
      </c>
      <c r="J82" s="16"/>
      <c r="K82" s="18"/>
      <c r="L82" s="19">
        <f t="shared" si="134"/>
        <v>0</v>
      </c>
      <c r="M82" s="16" t="s">
        <v>116</v>
      </c>
      <c r="N82" s="18">
        <v>4</v>
      </c>
      <c r="O82" s="19">
        <f t="shared" si="135"/>
        <v>0.77880000000000005</v>
      </c>
      <c r="P82" s="20">
        <f t="shared" si="136"/>
        <v>16</v>
      </c>
      <c r="Q82" s="19">
        <f t="shared" si="137"/>
        <v>3.1152000000000002</v>
      </c>
      <c r="R82" s="21">
        <f t="shared" si="138"/>
        <v>0</v>
      </c>
      <c r="S82" s="19">
        <f t="shared" si="139"/>
        <v>0</v>
      </c>
      <c r="U82" s="29"/>
    </row>
    <row r="83" spans="1:21" hidden="1">
      <c r="A83" s="36"/>
      <c r="B83" s="36"/>
      <c r="C83" s="36"/>
      <c r="D83" s="38"/>
      <c r="E83" s="31">
        <f t="shared" ref="E83" si="140">SUM(E79:E82)</f>
        <v>50</v>
      </c>
      <c r="F83" s="38">
        <f>SUM(F79:F82)</f>
        <v>7.3952999999999989</v>
      </c>
      <c r="G83" s="17"/>
      <c r="H83" s="31">
        <f t="shared" ref="H83" si="141">SUM(H79:H82)</f>
        <v>12</v>
      </c>
      <c r="I83" s="38">
        <f t="shared" ref="I83" si="142">SUM(I79:I82)</f>
        <v>2.3364000000000003</v>
      </c>
      <c r="J83" s="16"/>
      <c r="K83" s="31">
        <f t="shared" ref="K83" si="143">SUM(K79:K82)</f>
        <v>23</v>
      </c>
      <c r="L83" s="38">
        <f t="shared" ref="L83" si="144">SUM(L79:L82)</f>
        <v>2.8066499999999999</v>
      </c>
      <c r="M83" s="16"/>
      <c r="N83" s="31">
        <f>SUM(N79:N82)</f>
        <v>16</v>
      </c>
      <c r="O83" s="38">
        <f>SUM(O79:O82)</f>
        <v>2.5013999999999998</v>
      </c>
      <c r="P83" s="31">
        <f t="shared" ref="P83" si="145">SUM(P79:P82)</f>
        <v>51</v>
      </c>
      <c r="Q83" s="38">
        <f t="shared" ref="Q83" si="146">SUM(Q79:Q82)</f>
        <v>7.6444499999999991</v>
      </c>
      <c r="R83" s="31">
        <f t="shared" ref="R83" si="147">SUM(R79:R82)</f>
        <v>-1</v>
      </c>
      <c r="S83" s="38">
        <f t="shared" ref="S83" si="148">SUM(S79:S82)</f>
        <v>-0.24914999999999987</v>
      </c>
      <c r="U83" s="29"/>
    </row>
    <row r="84" spans="1:21">
      <c r="A84" s="26" t="s">
        <v>13</v>
      </c>
      <c r="B84" s="26" t="s">
        <v>51</v>
      </c>
      <c r="C84" s="26">
        <v>19.8</v>
      </c>
      <c r="D84" s="27">
        <v>7.5</v>
      </c>
      <c r="E84" s="28">
        <v>18</v>
      </c>
      <c r="F84" s="16">
        <f t="shared" ref="F84:F92" si="149">(C84*D84*E84/1000)</f>
        <v>2.673</v>
      </c>
      <c r="G84" s="17" t="s">
        <v>88</v>
      </c>
      <c r="H84" s="18"/>
      <c r="I84" s="19">
        <f t="shared" ref="I84:I92" si="150">(C84*D84*H84/1000)</f>
        <v>0</v>
      </c>
      <c r="J84" s="16" t="s">
        <v>111</v>
      </c>
      <c r="K84" s="18"/>
      <c r="L84" s="19">
        <f t="shared" ref="L84:L92" si="151">(C84*D84*K84/1000)</f>
        <v>0</v>
      </c>
      <c r="M84" s="16" t="s">
        <v>86</v>
      </c>
      <c r="N84" s="18">
        <v>13</v>
      </c>
      <c r="O84" s="19">
        <f t="shared" ref="O84:O92" si="152">(C84*D84*N84/1000)</f>
        <v>1.9305000000000001</v>
      </c>
      <c r="P84" s="20">
        <f t="shared" ref="P84:P92" si="153">+H84+K84+N84</f>
        <v>13</v>
      </c>
      <c r="Q84" s="19">
        <f t="shared" ref="Q84:Q92" si="154">+I84+L84+O84</f>
        <v>1.9305000000000001</v>
      </c>
      <c r="R84" s="21">
        <f t="shared" ref="R84:R92" si="155">E84-P84</f>
        <v>5</v>
      </c>
      <c r="S84" s="19">
        <f t="shared" ref="S84:S92" si="156">F84-Q84</f>
        <v>0.74249999999999994</v>
      </c>
      <c r="U84" s="29"/>
    </row>
    <row r="85" spans="1:21">
      <c r="A85" s="26" t="s">
        <v>13</v>
      </c>
      <c r="B85" s="26" t="s">
        <v>51</v>
      </c>
      <c r="C85" s="26">
        <v>19.8</v>
      </c>
      <c r="D85" s="27">
        <v>8.1999999999999993</v>
      </c>
      <c r="E85" s="28">
        <v>1</v>
      </c>
      <c r="F85" s="16">
        <f t="shared" si="149"/>
        <v>0.16235999999999998</v>
      </c>
      <c r="G85" s="17" t="s">
        <v>103</v>
      </c>
      <c r="H85" s="18"/>
      <c r="I85" s="19">
        <f t="shared" si="150"/>
        <v>0</v>
      </c>
      <c r="J85" s="16" t="s">
        <v>133</v>
      </c>
      <c r="K85" s="18"/>
      <c r="L85" s="19">
        <f t="shared" si="151"/>
        <v>0</v>
      </c>
      <c r="M85" s="16" t="s">
        <v>133</v>
      </c>
      <c r="N85" s="18">
        <v>1</v>
      </c>
      <c r="O85" s="19">
        <f t="shared" si="152"/>
        <v>0.16235999999999998</v>
      </c>
      <c r="P85" s="20">
        <f t="shared" si="153"/>
        <v>1</v>
      </c>
      <c r="Q85" s="19">
        <f t="shared" si="154"/>
        <v>0.16235999999999998</v>
      </c>
      <c r="R85" s="21">
        <f t="shared" si="155"/>
        <v>0</v>
      </c>
      <c r="S85" s="19">
        <f t="shared" si="156"/>
        <v>0</v>
      </c>
      <c r="U85" s="29"/>
    </row>
    <row r="86" spans="1:21">
      <c r="A86" s="26" t="s">
        <v>13</v>
      </c>
      <c r="B86" s="26" t="s">
        <v>51</v>
      </c>
      <c r="C86" s="26">
        <v>19.8</v>
      </c>
      <c r="D86" s="27">
        <v>8.3000000000000007</v>
      </c>
      <c r="E86" s="28">
        <v>17</v>
      </c>
      <c r="F86" s="16">
        <f t="shared" si="149"/>
        <v>2.7937800000000008</v>
      </c>
      <c r="G86" s="16" t="s">
        <v>107</v>
      </c>
      <c r="H86" s="18"/>
      <c r="I86" s="19">
        <f t="shared" si="150"/>
        <v>0</v>
      </c>
      <c r="J86" s="16"/>
      <c r="K86" s="18"/>
      <c r="L86" s="19">
        <f t="shared" si="151"/>
        <v>0</v>
      </c>
      <c r="M86" s="16"/>
      <c r="N86" s="18">
        <v>17</v>
      </c>
      <c r="O86" s="19">
        <f t="shared" si="152"/>
        <v>2.7937800000000008</v>
      </c>
      <c r="P86" s="20">
        <f t="shared" si="153"/>
        <v>17</v>
      </c>
      <c r="Q86" s="19">
        <f t="shared" si="154"/>
        <v>2.7937800000000008</v>
      </c>
      <c r="R86" s="21">
        <f t="shared" si="155"/>
        <v>0</v>
      </c>
      <c r="S86" s="19">
        <f t="shared" si="156"/>
        <v>0</v>
      </c>
      <c r="U86" s="29"/>
    </row>
    <row r="87" spans="1:21">
      <c r="A87" s="26" t="s">
        <v>13</v>
      </c>
      <c r="B87" s="26" t="s">
        <v>51</v>
      </c>
      <c r="C87" s="26">
        <v>19.8</v>
      </c>
      <c r="D87" s="27">
        <v>8.5</v>
      </c>
      <c r="E87" s="28">
        <v>20</v>
      </c>
      <c r="F87" s="16">
        <f t="shared" si="149"/>
        <v>3.3660000000000001</v>
      </c>
      <c r="G87" s="16" t="s">
        <v>105</v>
      </c>
      <c r="H87" s="18">
        <v>13</v>
      </c>
      <c r="I87" s="19">
        <f t="shared" si="150"/>
        <v>2.1879</v>
      </c>
      <c r="J87" s="16"/>
      <c r="K87" s="18"/>
      <c r="L87" s="19">
        <f t="shared" si="151"/>
        <v>0</v>
      </c>
      <c r="M87" s="16"/>
      <c r="N87" s="18">
        <v>12</v>
      </c>
      <c r="O87" s="19">
        <f t="shared" si="152"/>
        <v>2.0196000000000001</v>
      </c>
      <c r="P87" s="20">
        <f t="shared" si="153"/>
        <v>25</v>
      </c>
      <c r="Q87" s="19">
        <f t="shared" si="154"/>
        <v>4.2074999999999996</v>
      </c>
      <c r="R87" s="21">
        <f t="shared" si="155"/>
        <v>-5</v>
      </c>
      <c r="S87" s="19">
        <f t="shared" si="156"/>
        <v>-0.84149999999999947</v>
      </c>
      <c r="U87" s="29"/>
    </row>
    <row r="88" spans="1:21">
      <c r="A88" s="26" t="s">
        <v>13</v>
      </c>
      <c r="B88" s="26" t="s">
        <v>51</v>
      </c>
      <c r="C88" s="26">
        <v>19.8</v>
      </c>
      <c r="D88" s="27">
        <v>8.6999999999999993</v>
      </c>
      <c r="E88" s="28">
        <v>16</v>
      </c>
      <c r="F88" s="16">
        <f t="shared" si="149"/>
        <v>2.7561599999999999</v>
      </c>
      <c r="G88" s="16" t="s">
        <v>91</v>
      </c>
      <c r="H88" s="18">
        <v>16</v>
      </c>
      <c r="I88" s="19">
        <f t="shared" si="150"/>
        <v>2.7561599999999999</v>
      </c>
      <c r="J88" s="16"/>
      <c r="K88" s="18"/>
      <c r="L88" s="19">
        <f t="shared" si="151"/>
        <v>0</v>
      </c>
      <c r="M88" s="16"/>
      <c r="N88" s="18"/>
      <c r="O88" s="19">
        <f t="shared" si="152"/>
        <v>0</v>
      </c>
      <c r="P88" s="20">
        <f t="shared" si="153"/>
        <v>16</v>
      </c>
      <c r="Q88" s="19">
        <f t="shared" si="154"/>
        <v>2.7561599999999999</v>
      </c>
      <c r="R88" s="21">
        <f t="shared" si="155"/>
        <v>0</v>
      </c>
      <c r="S88" s="19">
        <f t="shared" si="156"/>
        <v>0</v>
      </c>
      <c r="U88" s="29"/>
    </row>
    <row r="89" spans="1:21">
      <c r="A89" s="26" t="s">
        <v>13</v>
      </c>
      <c r="B89" s="26" t="s">
        <v>51</v>
      </c>
      <c r="C89" s="26">
        <v>19.8</v>
      </c>
      <c r="D89" s="27">
        <v>11.1</v>
      </c>
      <c r="E89" s="28">
        <v>10</v>
      </c>
      <c r="F89" s="16">
        <f t="shared" si="149"/>
        <v>2.1978</v>
      </c>
      <c r="G89" s="16" t="s">
        <v>113</v>
      </c>
      <c r="H89" s="18"/>
      <c r="I89" s="19">
        <f t="shared" si="150"/>
        <v>0</v>
      </c>
      <c r="J89" s="16"/>
      <c r="K89" s="18"/>
      <c r="L89" s="19">
        <f t="shared" si="151"/>
        <v>0</v>
      </c>
      <c r="M89" s="16"/>
      <c r="N89" s="18">
        <v>6</v>
      </c>
      <c r="O89" s="19">
        <f t="shared" si="152"/>
        <v>1.3186800000000001</v>
      </c>
      <c r="P89" s="20">
        <f t="shared" si="153"/>
        <v>6</v>
      </c>
      <c r="Q89" s="19">
        <f t="shared" si="154"/>
        <v>1.3186800000000001</v>
      </c>
      <c r="R89" s="21">
        <f t="shared" si="155"/>
        <v>4</v>
      </c>
      <c r="S89" s="19">
        <f t="shared" si="156"/>
        <v>0.8791199999999999</v>
      </c>
      <c r="U89" s="29"/>
    </row>
    <row r="90" spans="1:21">
      <c r="A90" s="26" t="s">
        <v>13</v>
      </c>
      <c r="B90" s="26" t="s">
        <v>51</v>
      </c>
      <c r="C90" s="26">
        <v>19.8</v>
      </c>
      <c r="D90" s="27">
        <v>11.6</v>
      </c>
      <c r="E90" s="28">
        <v>17</v>
      </c>
      <c r="F90" s="16">
        <f t="shared" si="149"/>
        <v>3.90456</v>
      </c>
      <c r="G90" s="17"/>
      <c r="H90" s="18"/>
      <c r="I90" s="19">
        <f t="shared" si="150"/>
        <v>0</v>
      </c>
      <c r="J90" s="16"/>
      <c r="K90" s="18">
        <v>21</v>
      </c>
      <c r="L90" s="19">
        <f t="shared" si="151"/>
        <v>4.8232799999999996</v>
      </c>
      <c r="M90" s="16"/>
      <c r="N90" s="18"/>
      <c r="O90" s="19">
        <f t="shared" si="152"/>
        <v>0</v>
      </c>
      <c r="P90" s="20">
        <f t="shared" si="153"/>
        <v>21</v>
      </c>
      <c r="Q90" s="19">
        <f t="shared" si="154"/>
        <v>4.8232799999999996</v>
      </c>
      <c r="R90" s="21">
        <f t="shared" si="155"/>
        <v>-4</v>
      </c>
      <c r="S90" s="19">
        <f t="shared" si="156"/>
        <v>-0.91871999999999954</v>
      </c>
      <c r="U90" s="29"/>
    </row>
    <row r="91" spans="1:21">
      <c r="A91" s="26" t="s">
        <v>13</v>
      </c>
      <c r="B91" s="26" t="s">
        <v>51</v>
      </c>
      <c r="C91" s="26">
        <v>19.8</v>
      </c>
      <c r="D91" s="27">
        <v>11.75</v>
      </c>
      <c r="E91" s="28">
        <v>10</v>
      </c>
      <c r="F91" s="16">
        <f t="shared" si="149"/>
        <v>2.3264999999999998</v>
      </c>
      <c r="G91" s="17"/>
      <c r="H91" s="18">
        <v>6</v>
      </c>
      <c r="I91" s="19">
        <f t="shared" si="150"/>
        <v>1.3959000000000001</v>
      </c>
      <c r="J91" s="16"/>
      <c r="K91" s="18">
        <v>4</v>
      </c>
      <c r="L91" s="19">
        <f t="shared" si="151"/>
        <v>0.93059999999999998</v>
      </c>
      <c r="M91" s="16"/>
      <c r="N91" s="18"/>
      <c r="O91" s="19">
        <f t="shared" si="152"/>
        <v>0</v>
      </c>
      <c r="P91" s="20">
        <f t="shared" si="153"/>
        <v>10</v>
      </c>
      <c r="Q91" s="19">
        <f t="shared" si="154"/>
        <v>2.3265000000000002</v>
      </c>
      <c r="R91" s="21">
        <f t="shared" si="155"/>
        <v>0</v>
      </c>
      <c r="S91" s="19">
        <f t="shared" si="156"/>
        <v>0</v>
      </c>
      <c r="U91" s="29"/>
    </row>
    <row r="92" spans="1:21">
      <c r="A92" s="26" t="s">
        <v>13</v>
      </c>
      <c r="B92" s="26" t="s">
        <v>51</v>
      </c>
      <c r="C92" s="26">
        <v>19.8</v>
      </c>
      <c r="D92" s="27">
        <v>12</v>
      </c>
      <c r="E92" s="28">
        <v>18</v>
      </c>
      <c r="F92" s="16">
        <f t="shared" si="149"/>
        <v>4.2768000000000006</v>
      </c>
      <c r="G92" s="17"/>
      <c r="H92" s="18">
        <v>9</v>
      </c>
      <c r="I92" s="19">
        <f t="shared" si="150"/>
        <v>2.1384000000000003</v>
      </c>
      <c r="J92" s="16"/>
      <c r="K92" s="18">
        <v>9</v>
      </c>
      <c r="L92" s="19">
        <f t="shared" si="151"/>
        <v>2.1384000000000003</v>
      </c>
      <c r="M92" s="16"/>
      <c r="N92" s="18"/>
      <c r="O92" s="19">
        <f t="shared" si="152"/>
        <v>0</v>
      </c>
      <c r="P92" s="20">
        <f t="shared" si="153"/>
        <v>18</v>
      </c>
      <c r="Q92" s="19">
        <f t="shared" si="154"/>
        <v>4.2768000000000006</v>
      </c>
      <c r="R92" s="21">
        <f t="shared" si="155"/>
        <v>0</v>
      </c>
      <c r="S92" s="19">
        <f t="shared" si="156"/>
        <v>0</v>
      </c>
      <c r="U92" s="29"/>
    </row>
    <row r="93" spans="1:21">
      <c r="A93" s="36"/>
      <c r="B93" s="36"/>
      <c r="C93" s="36"/>
      <c r="D93" s="38"/>
      <c r="E93" s="31">
        <f t="shared" ref="E93:F93" si="157">SUM(E84:E92)</f>
        <v>127</v>
      </c>
      <c r="F93" s="38">
        <f t="shared" si="157"/>
        <v>24.456960000000002</v>
      </c>
      <c r="G93" s="17"/>
      <c r="H93" s="31">
        <f t="shared" ref="H93" si="158">SUM(H84:H92)</f>
        <v>44</v>
      </c>
      <c r="I93" s="38">
        <f t="shared" ref="I93" si="159">SUM(I84:I92)</f>
        <v>8.4783600000000003</v>
      </c>
      <c r="J93" s="16"/>
      <c r="K93" s="31">
        <f t="shared" ref="K93" si="160">SUM(K84:K92)</f>
        <v>34</v>
      </c>
      <c r="L93" s="38">
        <f t="shared" ref="L93" si="161">SUM(L84:L92)</f>
        <v>7.8922799999999995</v>
      </c>
      <c r="M93" s="16"/>
      <c r="N93" s="31">
        <f t="shared" ref="N93" si="162">SUM(N84:N92)</f>
        <v>49</v>
      </c>
      <c r="O93" s="38">
        <f t="shared" ref="O93" si="163">SUM(O84:O92)</f>
        <v>8.2249200000000009</v>
      </c>
      <c r="P93" s="31">
        <f t="shared" ref="P93" si="164">SUM(P84:P92)</f>
        <v>127</v>
      </c>
      <c r="Q93" s="38">
        <f t="shared" ref="Q93" si="165">SUM(Q84:Q92)</f>
        <v>24.595559999999999</v>
      </c>
      <c r="R93" s="31">
        <f t="shared" ref="R93" si="166">SUM(R84:R92)</f>
        <v>0</v>
      </c>
      <c r="S93" s="38">
        <f t="shared" ref="S93" si="167">SUM(S84:S92)</f>
        <v>-0.13859999999999917</v>
      </c>
      <c r="U93" s="29"/>
    </row>
    <row r="94" spans="1:21" hidden="1">
      <c r="A94" s="26" t="s">
        <v>13</v>
      </c>
      <c r="B94" s="26" t="s">
        <v>53</v>
      </c>
      <c r="C94" s="26">
        <v>23.6</v>
      </c>
      <c r="D94" s="27">
        <v>6.65</v>
      </c>
      <c r="E94" s="28">
        <v>16</v>
      </c>
      <c r="F94" s="16">
        <f t="shared" ref="F94:F101" si="168">(C94*D94*E94/1000)</f>
        <v>2.5110400000000004</v>
      </c>
      <c r="G94" s="17" t="s">
        <v>88</v>
      </c>
      <c r="H94" s="18">
        <v>5</v>
      </c>
      <c r="I94" s="19">
        <f t="shared" ref="I94:I101" si="169">(C94*D94*H94/1000)</f>
        <v>0.78470000000000018</v>
      </c>
      <c r="J94" s="16" t="s">
        <v>111</v>
      </c>
      <c r="K94" s="18">
        <v>11</v>
      </c>
      <c r="L94" s="19">
        <f t="shared" ref="L94:L101" si="170">(C94*D94*K94/1000)</f>
        <v>1.7263400000000004</v>
      </c>
      <c r="M94" s="16"/>
      <c r="N94" s="18"/>
      <c r="O94" s="19">
        <f t="shared" ref="O94:O101" si="171">(C94*D94*N94/1000)</f>
        <v>0</v>
      </c>
      <c r="P94" s="20">
        <f t="shared" ref="P94:P101" si="172">+H94+K94+N94</f>
        <v>16</v>
      </c>
      <c r="Q94" s="19">
        <f t="shared" ref="Q94:Q101" si="173">+I94+L94+O94</f>
        <v>2.5110400000000004</v>
      </c>
      <c r="R94" s="21">
        <f t="shared" ref="R94:R101" si="174">E94-P94</f>
        <v>0</v>
      </c>
      <c r="S94" s="19">
        <f t="shared" ref="S94:S101" si="175">F94-Q94</f>
        <v>0</v>
      </c>
      <c r="U94" s="29"/>
    </row>
    <row r="95" spans="1:21" hidden="1">
      <c r="A95" s="26" t="s">
        <v>13</v>
      </c>
      <c r="B95" s="26" t="s">
        <v>53</v>
      </c>
      <c r="C95" s="26">
        <v>23.6</v>
      </c>
      <c r="D95" s="27">
        <v>6.8</v>
      </c>
      <c r="E95" s="28">
        <v>8</v>
      </c>
      <c r="F95" s="16">
        <f t="shared" si="168"/>
        <v>1.2838400000000001</v>
      </c>
      <c r="G95" s="17" t="s">
        <v>98</v>
      </c>
      <c r="H95" s="18">
        <v>8</v>
      </c>
      <c r="I95" s="19">
        <f t="shared" si="169"/>
        <v>1.2838400000000001</v>
      </c>
      <c r="J95" s="16" t="s">
        <v>109</v>
      </c>
      <c r="K95" s="18"/>
      <c r="L95" s="19">
        <f t="shared" si="170"/>
        <v>0</v>
      </c>
      <c r="M95" s="16"/>
      <c r="N95" s="18"/>
      <c r="O95" s="19">
        <f t="shared" si="171"/>
        <v>0</v>
      </c>
      <c r="P95" s="20">
        <f t="shared" si="172"/>
        <v>8</v>
      </c>
      <c r="Q95" s="19">
        <f t="shared" si="173"/>
        <v>1.2838400000000001</v>
      </c>
      <c r="R95" s="21">
        <f t="shared" si="174"/>
        <v>0</v>
      </c>
      <c r="S95" s="19">
        <f t="shared" si="175"/>
        <v>0</v>
      </c>
      <c r="U95" s="29"/>
    </row>
    <row r="96" spans="1:21" hidden="1">
      <c r="A96" s="26" t="s">
        <v>13</v>
      </c>
      <c r="B96" s="26" t="s">
        <v>53</v>
      </c>
      <c r="C96" s="26">
        <v>23.6</v>
      </c>
      <c r="D96" s="27">
        <v>7.9</v>
      </c>
      <c r="E96" s="28">
        <v>20</v>
      </c>
      <c r="F96" s="16">
        <f t="shared" si="168"/>
        <v>3.7288000000000006</v>
      </c>
      <c r="G96" s="16" t="s">
        <v>88</v>
      </c>
      <c r="H96" s="18">
        <v>20</v>
      </c>
      <c r="I96" s="19">
        <f t="shared" si="169"/>
        <v>3.7288000000000006</v>
      </c>
      <c r="J96" s="16"/>
      <c r="K96" s="18"/>
      <c r="L96" s="19">
        <f t="shared" si="170"/>
        <v>0</v>
      </c>
      <c r="M96" s="16"/>
      <c r="N96" s="18"/>
      <c r="O96" s="19">
        <f t="shared" si="171"/>
        <v>0</v>
      </c>
      <c r="P96" s="20">
        <f t="shared" si="172"/>
        <v>20</v>
      </c>
      <c r="Q96" s="19">
        <f t="shared" si="173"/>
        <v>3.7288000000000006</v>
      </c>
      <c r="R96" s="21">
        <f t="shared" si="174"/>
        <v>0</v>
      </c>
      <c r="S96" s="19">
        <f t="shared" si="175"/>
        <v>0</v>
      </c>
      <c r="U96" s="29"/>
    </row>
    <row r="97" spans="1:21" hidden="1">
      <c r="A97" s="26" t="s">
        <v>13</v>
      </c>
      <c r="B97" s="26" t="s">
        <v>53</v>
      </c>
      <c r="C97" s="26">
        <v>23.6</v>
      </c>
      <c r="D97" s="27">
        <v>8.4499999999999993</v>
      </c>
      <c r="E97" s="28">
        <v>2</v>
      </c>
      <c r="F97" s="16">
        <f t="shared" si="168"/>
        <v>0.39883999999999997</v>
      </c>
      <c r="G97" s="16" t="s">
        <v>104</v>
      </c>
      <c r="H97" s="18">
        <v>2</v>
      </c>
      <c r="I97" s="19">
        <f t="shared" si="169"/>
        <v>0.39883999999999997</v>
      </c>
      <c r="J97" s="16"/>
      <c r="K97" s="18"/>
      <c r="L97" s="19">
        <f t="shared" si="170"/>
        <v>0</v>
      </c>
      <c r="M97" s="16"/>
      <c r="N97" s="18"/>
      <c r="O97" s="19">
        <f t="shared" si="171"/>
        <v>0</v>
      </c>
      <c r="P97" s="20">
        <f t="shared" si="172"/>
        <v>2</v>
      </c>
      <c r="Q97" s="19">
        <f t="shared" si="173"/>
        <v>0.39883999999999997</v>
      </c>
      <c r="R97" s="21">
        <f t="shared" si="174"/>
        <v>0</v>
      </c>
      <c r="S97" s="19">
        <f t="shared" si="175"/>
        <v>0</v>
      </c>
      <c r="U97" s="29"/>
    </row>
    <row r="98" spans="1:21" hidden="1">
      <c r="A98" s="26" t="s">
        <v>13</v>
      </c>
      <c r="B98" s="26" t="s">
        <v>53</v>
      </c>
      <c r="C98" s="26">
        <v>23.6</v>
      </c>
      <c r="D98" s="27">
        <v>8.6999999999999993</v>
      </c>
      <c r="E98" s="28">
        <v>12</v>
      </c>
      <c r="F98" s="16">
        <f t="shared" si="168"/>
        <v>2.4638400000000003</v>
      </c>
      <c r="G98" s="16" t="s">
        <v>93</v>
      </c>
      <c r="H98" s="18">
        <v>5</v>
      </c>
      <c r="I98" s="19">
        <f t="shared" si="169"/>
        <v>1.0266</v>
      </c>
      <c r="J98" s="16"/>
      <c r="K98" s="18">
        <v>7</v>
      </c>
      <c r="L98" s="19">
        <f t="shared" si="170"/>
        <v>1.4372400000000001</v>
      </c>
      <c r="M98" s="16"/>
      <c r="N98" s="18"/>
      <c r="O98" s="19">
        <f t="shared" si="171"/>
        <v>0</v>
      </c>
      <c r="P98" s="20">
        <f t="shared" si="172"/>
        <v>12</v>
      </c>
      <c r="Q98" s="19">
        <f t="shared" si="173"/>
        <v>2.4638400000000003</v>
      </c>
      <c r="R98" s="21">
        <f t="shared" si="174"/>
        <v>0</v>
      </c>
      <c r="S98" s="19">
        <f t="shared" si="175"/>
        <v>0</v>
      </c>
      <c r="U98" s="29"/>
    </row>
    <row r="99" spans="1:21" hidden="1">
      <c r="A99" s="26" t="s">
        <v>13</v>
      </c>
      <c r="B99" s="26" t="s">
        <v>53</v>
      </c>
      <c r="C99" s="26">
        <v>23.6</v>
      </c>
      <c r="D99" s="27">
        <v>11.7</v>
      </c>
      <c r="E99" s="28">
        <v>8</v>
      </c>
      <c r="F99" s="16">
        <f t="shared" si="168"/>
        <v>2.2089600000000003</v>
      </c>
      <c r="G99" s="16" t="s">
        <v>105</v>
      </c>
      <c r="H99" s="18">
        <v>8</v>
      </c>
      <c r="I99" s="19">
        <f t="shared" si="169"/>
        <v>2.2089600000000003</v>
      </c>
      <c r="J99" s="16"/>
      <c r="K99" s="18"/>
      <c r="L99" s="19">
        <f t="shared" si="170"/>
        <v>0</v>
      </c>
      <c r="M99" s="16"/>
      <c r="N99" s="18"/>
      <c r="O99" s="19">
        <f t="shared" si="171"/>
        <v>0</v>
      </c>
      <c r="P99" s="20">
        <f t="shared" si="172"/>
        <v>8</v>
      </c>
      <c r="Q99" s="19">
        <f t="shared" si="173"/>
        <v>2.2089600000000003</v>
      </c>
      <c r="R99" s="21">
        <f t="shared" si="174"/>
        <v>0</v>
      </c>
      <c r="S99" s="19">
        <f t="shared" si="175"/>
        <v>0</v>
      </c>
      <c r="U99" s="29"/>
    </row>
    <row r="100" spans="1:21" hidden="1">
      <c r="A100" s="26" t="s">
        <v>13</v>
      </c>
      <c r="B100" s="26" t="s">
        <v>53</v>
      </c>
      <c r="C100" s="26">
        <v>23.6</v>
      </c>
      <c r="D100" s="27">
        <v>11.8</v>
      </c>
      <c r="E100" s="28">
        <v>4</v>
      </c>
      <c r="F100" s="16">
        <f t="shared" si="168"/>
        <v>1.11392</v>
      </c>
      <c r="G100" s="17"/>
      <c r="H100" s="18">
        <v>4</v>
      </c>
      <c r="I100" s="19">
        <f t="shared" si="169"/>
        <v>1.11392</v>
      </c>
      <c r="J100" s="16"/>
      <c r="K100" s="18"/>
      <c r="L100" s="19">
        <f t="shared" si="170"/>
        <v>0</v>
      </c>
      <c r="M100" s="16"/>
      <c r="N100" s="18"/>
      <c r="O100" s="19">
        <f t="shared" si="171"/>
        <v>0</v>
      </c>
      <c r="P100" s="20">
        <f t="shared" si="172"/>
        <v>4</v>
      </c>
      <c r="Q100" s="19">
        <f t="shared" si="173"/>
        <v>1.11392</v>
      </c>
      <c r="R100" s="21">
        <f t="shared" si="174"/>
        <v>0</v>
      </c>
      <c r="S100" s="19">
        <f t="shared" si="175"/>
        <v>0</v>
      </c>
      <c r="U100" s="29"/>
    </row>
    <row r="101" spans="1:21" hidden="1">
      <c r="A101" s="26" t="s">
        <v>13</v>
      </c>
      <c r="B101" s="26" t="s">
        <v>53</v>
      </c>
      <c r="C101" s="26">
        <v>23.6</v>
      </c>
      <c r="D101" s="27">
        <v>11.9</v>
      </c>
      <c r="E101" s="28">
        <v>6</v>
      </c>
      <c r="F101" s="16">
        <f t="shared" si="168"/>
        <v>1.6850400000000001</v>
      </c>
      <c r="G101" s="17"/>
      <c r="H101" s="18">
        <v>6</v>
      </c>
      <c r="I101" s="19">
        <f t="shared" si="169"/>
        <v>1.6850400000000001</v>
      </c>
      <c r="J101" s="16"/>
      <c r="K101" s="18"/>
      <c r="L101" s="19">
        <f t="shared" si="170"/>
        <v>0</v>
      </c>
      <c r="M101" s="16"/>
      <c r="N101" s="18"/>
      <c r="O101" s="19">
        <f t="shared" si="171"/>
        <v>0</v>
      </c>
      <c r="P101" s="20">
        <f t="shared" si="172"/>
        <v>6</v>
      </c>
      <c r="Q101" s="19">
        <f t="shared" si="173"/>
        <v>1.6850400000000001</v>
      </c>
      <c r="R101" s="21">
        <f t="shared" si="174"/>
        <v>0</v>
      </c>
      <c r="S101" s="19">
        <f t="shared" si="175"/>
        <v>0</v>
      </c>
      <c r="U101" s="29"/>
    </row>
    <row r="102" spans="1:21" hidden="1">
      <c r="A102" s="36"/>
      <c r="B102" s="36"/>
      <c r="C102" s="36"/>
      <c r="D102" s="38"/>
      <c r="E102" s="31">
        <f t="shared" ref="E102:F102" si="176">SUM(E94:E101)</f>
        <v>76</v>
      </c>
      <c r="F102" s="38">
        <f t="shared" si="176"/>
        <v>15.394280000000002</v>
      </c>
      <c r="G102" s="17"/>
      <c r="H102" s="31">
        <f t="shared" ref="H102" si="177">SUM(H94:H101)</f>
        <v>58</v>
      </c>
      <c r="I102" s="38">
        <f t="shared" ref="I102" si="178">SUM(I94:I101)</f>
        <v>12.230700000000002</v>
      </c>
      <c r="J102" s="16"/>
      <c r="K102" s="31">
        <f t="shared" ref="K102" si="179">SUM(K94:K101)</f>
        <v>18</v>
      </c>
      <c r="L102" s="38">
        <f t="shared" ref="L102" si="180">SUM(L94:L101)</f>
        <v>3.1635800000000005</v>
      </c>
      <c r="M102" s="16"/>
      <c r="N102" s="31">
        <f>SUM(N94:N101)</f>
        <v>0</v>
      </c>
      <c r="O102" s="38">
        <f>SUM(O94:O101)</f>
        <v>0</v>
      </c>
      <c r="P102" s="31">
        <f t="shared" ref="P102" si="181">SUM(P94:P101)</f>
        <v>76</v>
      </c>
      <c r="Q102" s="38">
        <f t="shared" ref="Q102" si="182">SUM(Q94:Q101)</f>
        <v>15.394280000000002</v>
      </c>
      <c r="R102" s="31">
        <f t="shared" ref="R102" si="183">SUM(R94:R101)</f>
        <v>0</v>
      </c>
      <c r="S102" s="38">
        <f t="shared" ref="S102" si="184">SUM(S94:S101)</f>
        <v>0</v>
      </c>
      <c r="U102" s="29"/>
    </row>
    <row r="103" spans="1:21" hidden="1">
      <c r="A103" s="26" t="s">
        <v>13</v>
      </c>
      <c r="B103" s="26" t="s">
        <v>55</v>
      </c>
      <c r="C103" s="26">
        <v>16</v>
      </c>
      <c r="D103" s="27">
        <v>10</v>
      </c>
      <c r="E103" s="28">
        <v>1</v>
      </c>
      <c r="F103" s="16">
        <f>(C103*D103*E103/1000)</f>
        <v>0.16</v>
      </c>
      <c r="G103" s="17" t="s">
        <v>88</v>
      </c>
      <c r="H103" s="18">
        <v>1</v>
      </c>
      <c r="I103" s="19">
        <f>(C103*D103*H103/1000)</f>
        <v>0.16</v>
      </c>
      <c r="J103" s="16"/>
      <c r="K103" s="18"/>
      <c r="L103" s="19">
        <f>(C103*D103*K103/1000)</f>
        <v>0</v>
      </c>
      <c r="M103" s="16"/>
      <c r="N103" s="18"/>
      <c r="O103" s="19">
        <f>(C103*D103*N103/1000)</f>
        <v>0</v>
      </c>
      <c r="P103" s="20">
        <f>+H103+K103+N103</f>
        <v>1</v>
      </c>
      <c r="Q103" s="19">
        <f>+I103+L103+O103</f>
        <v>0.16</v>
      </c>
      <c r="R103" s="21">
        <f>E103-P103</f>
        <v>0</v>
      </c>
      <c r="S103" s="19">
        <f>F103-Q103</f>
        <v>0</v>
      </c>
      <c r="U103" s="29"/>
    </row>
    <row r="104" spans="1:21" hidden="1">
      <c r="A104" s="36"/>
      <c r="B104" s="36"/>
      <c r="C104" s="36"/>
      <c r="D104" s="38"/>
      <c r="E104" s="31">
        <f t="shared" ref="E104:F104" si="185">SUM(E103)</f>
        <v>1</v>
      </c>
      <c r="F104" s="38">
        <f t="shared" si="185"/>
        <v>0.16</v>
      </c>
      <c r="G104" s="17" t="s">
        <v>129</v>
      </c>
      <c r="H104" s="31">
        <f t="shared" ref="H104" si="186">SUM(H103)</f>
        <v>1</v>
      </c>
      <c r="I104" s="38">
        <f t="shared" ref="I104" si="187">SUM(I103)</f>
        <v>0.16</v>
      </c>
      <c r="J104" s="16"/>
      <c r="K104" s="31">
        <f t="shared" ref="K104" si="188">SUM(K103)</f>
        <v>0</v>
      </c>
      <c r="L104" s="38">
        <f t="shared" ref="L104" si="189">SUM(L103)</f>
        <v>0</v>
      </c>
      <c r="M104" s="16"/>
      <c r="N104" s="31">
        <f t="shared" ref="N104" si="190">SUM(N103)</f>
        <v>0</v>
      </c>
      <c r="O104" s="38">
        <f t="shared" ref="O104" si="191">SUM(O103)</f>
        <v>0</v>
      </c>
      <c r="P104" s="31">
        <f t="shared" ref="P104" si="192">SUM(P103)</f>
        <v>1</v>
      </c>
      <c r="Q104" s="38">
        <f t="shared" ref="Q104" si="193">SUM(Q103)</f>
        <v>0.16</v>
      </c>
      <c r="R104" s="31">
        <f t="shared" ref="R104" si="194">SUM(R103)</f>
        <v>0</v>
      </c>
      <c r="S104" s="38">
        <f t="shared" ref="S104" si="195">SUM(S103)</f>
        <v>0</v>
      </c>
      <c r="U104" s="29"/>
    </row>
    <row r="105" spans="1:21">
      <c r="A105" s="26" t="s">
        <v>13</v>
      </c>
      <c r="B105" s="26" t="s">
        <v>56</v>
      </c>
      <c r="C105" s="26">
        <v>17.899999999999999</v>
      </c>
      <c r="D105" s="27">
        <v>6.3</v>
      </c>
      <c r="E105" s="28">
        <v>4</v>
      </c>
      <c r="F105" s="16">
        <f t="shared" ref="F105:F109" si="196">(C105*D105*E105/1000)</f>
        <v>0.45107999999999993</v>
      </c>
      <c r="G105" s="16" t="s">
        <v>89</v>
      </c>
      <c r="H105" s="18"/>
      <c r="I105" s="19">
        <f t="shared" ref="I105:I109" si="197">(C105*D105*H105/1000)</f>
        <v>0</v>
      </c>
      <c r="J105" s="16" t="s">
        <v>114</v>
      </c>
      <c r="K105" s="18"/>
      <c r="L105" s="19">
        <f t="shared" ref="L105:L109" si="198">(C105*D105*K105/1000)</f>
        <v>0</v>
      </c>
      <c r="M105" s="16" t="s">
        <v>114</v>
      </c>
      <c r="N105" s="18">
        <v>2</v>
      </c>
      <c r="O105" s="19">
        <f t="shared" ref="O105:O109" si="199">(C105*D105*N105/1000)</f>
        <v>0.22553999999999996</v>
      </c>
      <c r="P105" s="20">
        <f t="shared" ref="P105:P109" si="200">+H105+K105+N105</f>
        <v>2</v>
      </c>
      <c r="Q105" s="19">
        <f t="shared" ref="Q105:Q109" si="201">+I105+L105+O105</f>
        <v>0.22553999999999996</v>
      </c>
      <c r="R105" s="21">
        <f t="shared" ref="R105:R109" si="202">E105-P105</f>
        <v>2</v>
      </c>
      <c r="S105" s="19">
        <f t="shared" ref="S105:S109" si="203">F105-Q105</f>
        <v>0.22553999999999996</v>
      </c>
      <c r="U105" s="29"/>
    </row>
    <row r="106" spans="1:21">
      <c r="A106" s="26" t="s">
        <v>13</v>
      </c>
      <c r="B106" s="26" t="s">
        <v>56</v>
      </c>
      <c r="C106" s="26">
        <v>17.899999999999999</v>
      </c>
      <c r="D106" s="27">
        <v>7</v>
      </c>
      <c r="E106" s="28">
        <v>12</v>
      </c>
      <c r="F106" s="16">
        <f t="shared" si="196"/>
        <v>1.5035999999999998</v>
      </c>
      <c r="G106" s="16" t="s">
        <v>112</v>
      </c>
      <c r="H106" s="18">
        <v>7</v>
      </c>
      <c r="I106" s="19">
        <f t="shared" si="197"/>
        <v>0.87709999999999988</v>
      </c>
      <c r="J106" s="16" t="s">
        <v>113</v>
      </c>
      <c r="K106" s="18"/>
      <c r="L106" s="19">
        <f t="shared" si="198"/>
        <v>0</v>
      </c>
      <c r="M106" s="16" t="s">
        <v>131</v>
      </c>
      <c r="N106" s="18">
        <v>2</v>
      </c>
      <c r="O106" s="19">
        <f t="shared" si="199"/>
        <v>0.25059999999999999</v>
      </c>
      <c r="P106" s="20">
        <f t="shared" si="200"/>
        <v>9</v>
      </c>
      <c r="Q106" s="19">
        <f t="shared" si="201"/>
        <v>1.1276999999999999</v>
      </c>
      <c r="R106" s="21">
        <f t="shared" si="202"/>
        <v>3</v>
      </c>
      <c r="S106" s="19">
        <f t="shared" si="203"/>
        <v>0.3758999999999999</v>
      </c>
      <c r="U106" s="29"/>
    </row>
    <row r="107" spans="1:21">
      <c r="A107" s="26" t="s">
        <v>13</v>
      </c>
      <c r="B107" s="26" t="s">
        <v>56</v>
      </c>
      <c r="C107" s="26">
        <v>17.899999999999999</v>
      </c>
      <c r="D107" s="27">
        <v>8.4499999999999993</v>
      </c>
      <c r="E107" s="28">
        <v>16</v>
      </c>
      <c r="F107" s="16">
        <f t="shared" si="196"/>
        <v>2.4200799999999996</v>
      </c>
      <c r="G107" s="17"/>
      <c r="H107" s="18">
        <v>1</v>
      </c>
      <c r="I107" s="19">
        <f t="shared" si="197"/>
        <v>0.15125499999999997</v>
      </c>
      <c r="J107" s="16"/>
      <c r="K107" s="18">
        <v>20</v>
      </c>
      <c r="L107" s="19">
        <f t="shared" si="198"/>
        <v>3.0250999999999992</v>
      </c>
      <c r="M107" s="16"/>
      <c r="N107" s="18"/>
      <c r="O107" s="19">
        <f t="shared" si="199"/>
        <v>0</v>
      </c>
      <c r="P107" s="20">
        <f t="shared" si="200"/>
        <v>21</v>
      </c>
      <c r="Q107" s="19">
        <f t="shared" si="201"/>
        <v>3.1763549999999992</v>
      </c>
      <c r="R107" s="21">
        <f t="shared" si="202"/>
        <v>-5</v>
      </c>
      <c r="S107" s="19">
        <f t="shared" si="203"/>
        <v>-0.75627499999999959</v>
      </c>
      <c r="U107" s="29"/>
    </row>
    <row r="108" spans="1:21">
      <c r="A108" s="26" t="s">
        <v>13</v>
      </c>
      <c r="B108" s="26" t="s">
        <v>56</v>
      </c>
      <c r="C108" s="26">
        <v>17.899999999999999</v>
      </c>
      <c r="D108" s="27">
        <v>11.8</v>
      </c>
      <c r="E108" s="28">
        <v>13</v>
      </c>
      <c r="F108" s="16">
        <f t="shared" ref="F108" si="204">(C108*D108*E108/1000)</f>
        <v>2.74586</v>
      </c>
      <c r="G108" s="17"/>
      <c r="H108" s="18">
        <v>5</v>
      </c>
      <c r="I108" s="19">
        <f t="shared" ref="I108" si="205">(C108*D108*H108/1000)</f>
        <v>1.0560999999999998</v>
      </c>
      <c r="J108" s="16"/>
      <c r="K108" s="18">
        <f>1+3</f>
        <v>4</v>
      </c>
      <c r="L108" s="19">
        <f t="shared" ref="L108" si="206">(C108*D108*K108/1000)</f>
        <v>0.84487999999999996</v>
      </c>
      <c r="M108" s="16"/>
      <c r="N108" s="18">
        <v>3</v>
      </c>
      <c r="O108" s="19">
        <f t="shared" ref="O108" si="207">(C108*D108*N108/1000)</f>
        <v>0.63366</v>
      </c>
      <c r="P108" s="20">
        <f t="shared" ref="P108" si="208">+H108+K108+N108</f>
        <v>12</v>
      </c>
      <c r="Q108" s="19">
        <f t="shared" ref="Q108" si="209">+I108+L108+O108</f>
        <v>2.5346399999999996</v>
      </c>
      <c r="R108" s="21">
        <f t="shared" ref="R108" si="210">E108-P108</f>
        <v>1</v>
      </c>
      <c r="S108" s="19">
        <f>F108-Q108</f>
        <v>0.21122000000000041</v>
      </c>
      <c r="U108" s="29"/>
    </row>
    <row r="109" spans="1:21">
      <c r="A109" s="26" t="s">
        <v>13</v>
      </c>
      <c r="B109" s="26" t="s">
        <v>56</v>
      </c>
      <c r="C109" s="26">
        <v>17.899999999999999</v>
      </c>
      <c r="D109" s="27">
        <v>11.6</v>
      </c>
      <c r="E109" s="28"/>
      <c r="F109" s="16">
        <f t="shared" si="196"/>
        <v>0</v>
      </c>
      <c r="G109" s="17"/>
      <c r="H109" s="18"/>
      <c r="I109" s="19">
        <f t="shared" si="197"/>
        <v>0</v>
      </c>
      <c r="J109" s="16"/>
      <c r="K109" s="18"/>
      <c r="L109" s="19">
        <f t="shared" si="198"/>
        <v>0</v>
      </c>
      <c r="M109" s="16"/>
      <c r="N109" s="18">
        <v>1</v>
      </c>
      <c r="O109" s="19">
        <f t="shared" si="199"/>
        <v>0.20763999999999999</v>
      </c>
      <c r="P109" s="20">
        <f t="shared" si="200"/>
        <v>1</v>
      </c>
      <c r="Q109" s="19">
        <f t="shared" si="201"/>
        <v>0.20763999999999999</v>
      </c>
      <c r="R109" s="21">
        <f t="shared" si="202"/>
        <v>-1</v>
      </c>
      <c r="S109" s="19">
        <f t="shared" si="203"/>
        <v>-0.20763999999999999</v>
      </c>
      <c r="U109" s="29"/>
    </row>
    <row r="110" spans="1:21">
      <c r="A110" s="36"/>
      <c r="B110" s="36"/>
      <c r="C110" s="36"/>
      <c r="D110" s="38"/>
      <c r="E110" s="31">
        <f t="shared" ref="E110:F110" si="211">SUM(E105:E109)</f>
        <v>45</v>
      </c>
      <c r="F110" s="38">
        <f t="shared" si="211"/>
        <v>7.1206199999999988</v>
      </c>
      <c r="G110" s="17"/>
      <c r="H110" s="31">
        <f t="shared" ref="H110" si="212">SUM(H105:H109)</f>
        <v>13</v>
      </c>
      <c r="I110" s="38">
        <f t="shared" ref="I110" si="213">SUM(I105:I109)</f>
        <v>2.0844549999999997</v>
      </c>
      <c r="J110" s="16"/>
      <c r="K110" s="31">
        <f t="shared" ref="K110" si="214">SUM(K105:K109)</f>
        <v>24</v>
      </c>
      <c r="L110" s="38">
        <f t="shared" ref="L110" si="215">SUM(L105:L109)</f>
        <v>3.8699799999999991</v>
      </c>
      <c r="M110" s="16"/>
      <c r="N110" s="31">
        <f t="shared" ref="N110" si="216">SUM(N105:N109)</f>
        <v>8</v>
      </c>
      <c r="O110" s="38">
        <f t="shared" ref="O110" si="217">SUM(O105:O109)</f>
        <v>1.3174399999999999</v>
      </c>
      <c r="P110" s="31">
        <f t="shared" ref="P110" si="218">SUM(P105:P109)</f>
        <v>45</v>
      </c>
      <c r="Q110" s="38">
        <f t="shared" ref="Q110" si="219">SUM(Q105:Q109)</f>
        <v>7.2718749999999979</v>
      </c>
      <c r="R110" s="31">
        <f t="shared" ref="R110" si="220">SUM(R105:R109)</f>
        <v>0</v>
      </c>
      <c r="S110" s="38">
        <f t="shared" ref="S110" si="221">SUM(S105:S109)</f>
        <v>-0.15125499999999931</v>
      </c>
      <c r="U110" s="29"/>
    </row>
    <row r="111" spans="1:21">
      <c r="A111" s="26" t="s">
        <v>13</v>
      </c>
      <c r="B111" s="26" t="s">
        <v>58</v>
      </c>
      <c r="C111" s="26">
        <v>7.34</v>
      </c>
      <c r="D111" s="27">
        <v>10.5</v>
      </c>
      <c r="E111" s="28">
        <v>50</v>
      </c>
      <c r="F111" s="16">
        <f t="shared" ref="F111:F129" si="222">(C111*D111*E111/1000)</f>
        <v>3.8534999999999995</v>
      </c>
      <c r="G111" s="16" t="s">
        <v>107</v>
      </c>
      <c r="H111" s="18">
        <v>24</v>
      </c>
      <c r="I111" s="19">
        <f t="shared" ref="I111:I129" si="223">(C111*D111*H111/1000)</f>
        <v>1.8496799999999998</v>
      </c>
      <c r="J111" s="16" t="s">
        <v>88</v>
      </c>
      <c r="K111" s="18">
        <v>6</v>
      </c>
      <c r="L111" s="19">
        <f t="shared" ref="L111:L129" si="224">(C111*D111*K111/1000)</f>
        <v>0.46241999999999994</v>
      </c>
      <c r="M111" s="16"/>
      <c r="N111" s="18"/>
      <c r="O111" s="19">
        <f t="shared" ref="O111:O129" si="225">(C111*D111*N111/1000)</f>
        <v>0</v>
      </c>
      <c r="P111" s="20">
        <f t="shared" ref="P111:P129" si="226">+H111+K111+N111</f>
        <v>30</v>
      </c>
      <c r="Q111" s="19">
        <f t="shared" ref="Q111:Q129" si="227">+I111+L111+O111</f>
        <v>2.3120999999999996</v>
      </c>
      <c r="R111" s="21">
        <f t="shared" ref="R111:R129" si="228">E111-P111</f>
        <v>20</v>
      </c>
      <c r="S111" s="19">
        <f>F111-Q111</f>
        <v>1.5413999999999999</v>
      </c>
      <c r="U111" s="29"/>
    </row>
    <row r="112" spans="1:21">
      <c r="A112" s="26" t="s">
        <v>13</v>
      </c>
      <c r="B112" s="26" t="s">
        <v>58</v>
      </c>
      <c r="C112" s="26">
        <v>7.34</v>
      </c>
      <c r="D112" s="27">
        <v>11.5</v>
      </c>
      <c r="E112" s="28">
        <v>22</v>
      </c>
      <c r="F112" s="16">
        <f t="shared" si="222"/>
        <v>1.8570199999999999</v>
      </c>
      <c r="G112" s="16" t="s">
        <v>131</v>
      </c>
      <c r="H112" s="18">
        <v>22</v>
      </c>
      <c r="I112" s="19">
        <f t="shared" si="223"/>
        <v>1.8570199999999999</v>
      </c>
      <c r="J112" s="16" t="s">
        <v>134</v>
      </c>
      <c r="K112" s="18"/>
      <c r="L112" s="19">
        <f t="shared" si="224"/>
        <v>0</v>
      </c>
      <c r="M112" s="16"/>
      <c r="N112" s="18"/>
      <c r="O112" s="19">
        <f t="shared" si="225"/>
        <v>0</v>
      </c>
      <c r="P112" s="20">
        <f t="shared" si="226"/>
        <v>22</v>
      </c>
      <c r="Q112" s="19">
        <f t="shared" si="227"/>
        <v>1.8570199999999999</v>
      </c>
      <c r="R112" s="21">
        <f t="shared" si="228"/>
        <v>0</v>
      </c>
      <c r="S112" s="19">
        <f t="shared" ref="S112:S129" si="229">F112-Q112</f>
        <v>0</v>
      </c>
      <c r="U112" s="29"/>
    </row>
    <row r="113" spans="1:21">
      <c r="A113" s="26" t="s">
        <v>13</v>
      </c>
      <c r="B113" s="26" t="s">
        <v>58</v>
      </c>
      <c r="C113" s="26">
        <v>7.34</v>
      </c>
      <c r="D113" s="27">
        <v>12</v>
      </c>
      <c r="E113" s="28">
        <v>34</v>
      </c>
      <c r="F113" s="16">
        <f t="shared" ref="F113:F128" si="230">(C113*D113*E113/1000)</f>
        <v>2.9947199999999996</v>
      </c>
      <c r="G113" s="17"/>
      <c r="H113" s="18">
        <v>34</v>
      </c>
      <c r="I113" s="19">
        <f t="shared" ref="I113:I128" si="231">(C113*D113*H113/1000)</f>
        <v>2.9947199999999996</v>
      </c>
      <c r="J113" s="16"/>
      <c r="K113" s="18"/>
      <c r="L113" s="19">
        <f t="shared" ref="L113:L128" si="232">(C113*D113*K113/1000)</f>
        <v>0</v>
      </c>
      <c r="M113" s="16"/>
      <c r="N113" s="18"/>
      <c r="O113" s="19">
        <f t="shared" ref="O113:O128" si="233">(C113*D113*N113/1000)</f>
        <v>0</v>
      </c>
      <c r="P113" s="20">
        <f t="shared" ref="P113:P128" si="234">+H113+K113+N113</f>
        <v>34</v>
      </c>
      <c r="Q113" s="19">
        <f t="shared" ref="Q113:Q128" si="235">+I113+L113+O113</f>
        <v>2.9947199999999996</v>
      </c>
      <c r="R113" s="21">
        <f t="shared" ref="R113:R128" si="236">E113-P113</f>
        <v>0</v>
      </c>
      <c r="S113" s="19">
        <f t="shared" ref="S113:S128" si="237">F113-Q113</f>
        <v>0</v>
      </c>
      <c r="U113" s="29"/>
    </row>
    <row r="114" spans="1:21">
      <c r="A114" s="26" t="s">
        <v>13</v>
      </c>
      <c r="B114" s="26" t="s">
        <v>58</v>
      </c>
      <c r="C114" s="26">
        <v>7.34</v>
      </c>
      <c r="D114" s="27">
        <v>11</v>
      </c>
      <c r="E114" s="28"/>
      <c r="F114" s="16">
        <f t="shared" si="230"/>
        <v>0</v>
      </c>
      <c r="G114" s="17"/>
      <c r="H114" s="18"/>
      <c r="I114" s="19">
        <f t="shared" si="231"/>
        <v>0</v>
      </c>
      <c r="J114" s="16"/>
      <c r="K114" s="18">
        <v>1</v>
      </c>
      <c r="L114" s="19">
        <f t="shared" si="232"/>
        <v>8.0739999999999992E-2</v>
      </c>
      <c r="M114" s="16"/>
      <c r="N114" s="18"/>
      <c r="O114" s="19">
        <f t="shared" si="233"/>
        <v>0</v>
      </c>
      <c r="P114" s="20">
        <f t="shared" si="234"/>
        <v>1</v>
      </c>
      <c r="Q114" s="19">
        <f t="shared" si="235"/>
        <v>8.0739999999999992E-2</v>
      </c>
      <c r="R114" s="21">
        <f t="shared" si="236"/>
        <v>-1</v>
      </c>
      <c r="S114" s="19">
        <f t="shared" si="237"/>
        <v>-8.0739999999999992E-2</v>
      </c>
      <c r="U114" s="29"/>
    </row>
    <row r="115" spans="1:21">
      <c r="A115" s="26" t="s">
        <v>13</v>
      </c>
      <c r="B115" s="26" t="s">
        <v>58</v>
      </c>
      <c r="C115" s="26">
        <v>7.34</v>
      </c>
      <c r="D115" s="27">
        <v>10.5</v>
      </c>
      <c r="E115" s="28"/>
      <c r="F115" s="16">
        <f t="shared" si="230"/>
        <v>0</v>
      </c>
      <c r="G115" s="17"/>
      <c r="H115" s="18"/>
      <c r="I115" s="19">
        <f t="shared" si="231"/>
        <v>0</v>
      </c>
      <c r="J115" s="16"/>
      <c r="K115" s="18"/>
      <c r="L115" s="19">
        <f t="shared" si="232"/>
        <v>0</v>
      </c>
      <c r="M115" s="16"/>
      <c r="N115" s="18"/>
      <c r="O115" s="19">
        <f t="shared" si="233"/>
        <v>0</v>
      </c>
      <c r="P115" s="20">
        <f t="shared" si="234"/>
        <v>0</v>
      </c>
      <c r="Q115" s="19">
        <f t="shared" si="235"/>
        <v>0</v>
      </c>
      <c r="R115" s="21">
        <f t="shared" si="236"/>
        <v>0</v>
      </c>
      <c r="S115" s="19">
        <f t="shared" si="237"/>
        <v>0</v>
      </c>
      <c r="U115" s="29"/>
    </row>
    <row r="116" spans="1:21">
      <c r="A116" s="26" t="s">
        <v>13</v>
      </c>
      <c r="B116" s="26" t="s">
        <v>58</v>
      </c>
      <c r="C116" s="26">
        <v>7.34</v>
      </c>
      <c r="D116" s="27">
        <v>10.199999999999999</v>
      </c>
      <c r="E116" s="28"/>
      <c r="F116" s="16">
        <f t="shared" si="230"/>
        <v>0</v>
      </c>
      <c r="G116" s="17"/>
      <c r="H116" s="18"/>
      <c r="I116" s="19">
        <f t="shared" si="231"/>
        <v>0</v>
      </c>
      <c r="J116" s="16"/>
      <c r="K116" s="18">
        <v>4</v>
      </c>
      <c r="L116" s="19">
        <f t="shared" si="232"/>
        <v>0.29947199999999996</v>
      </c>
      <c r="M116" s="16"/>
      <c r="N116" s="18"/>
      <c r="O116" s="19">
        <f t="shared" si="233"/>
        <v>0</v>
      </c>
      <c r="P116" s="20">
        <f t="shared" si="234"/>
        <v>4</v>
      </c>
      <c r="Q116" s="19">
        <f t="shared" si="235"/>
        <v>0.29947199999999996</v>
      </c>
      <c r="R116" s="21">
        <f t="shared" si="236"/>
        <v>-4</v>
      </c>
      <c r="S116" s="19">
        <f t="shared" si="237"/>
        <v>-0.29947199999999996</v>
      </c>
      <c r="U116" s="29"/>
    </row>
    <row r="117" spans="1:21">
      <c r="A117" s="26" t="s">
        <v>13</v>
      </c>
      <c r="B117" s="26" t="s">
        <v>58</v>
      </c>
      <c r="C117" s="26">
        <v>7.34</v>
      </c>
      <c r="D117" s="27">
        <v>9</v>
      </c>
      <c r="E117" s="28"/>
      <c r="F117" s="16">
        <f t="shared" si="230"/>
        <v>0</v>
      </c>
      <c r="G117" s="17"/>
      <c r="H117" s="18"/>
      <c r="I117" s="19">
        <f t="shared" si="231"/>
        <v>0</v>
      </c>
      <c r="J117" s="16"/>
      <c r="K117" s="18">
        <v>6</v>
      </c>
      <c r="L117" s="19">
        <f t="shared" si="232"/>
        <v>0.39635999999999999</v>
      </c>
      <c r="M117" s="16"/>
      <c r="N117" s="18"/>
      <c r="O117" s="19">
        <f t="shared" si="233"/>
        <v>0</v>
      </c>
      <c r="P117" s="20">
        <f t="shared" si="234"/>
        <v>6</v>
      </c>
      <c r="Q117" s="19">
        <f t="shared" si="235"/>
        <v>0.39635999999999999</v>
      </c>
      <c r="R117" s="21">
        <f t="shared" si="236"/>
        <v>-6</v>
      </c>
      <c r="S117" s="19">
        <f t="shared" si="237"/>
        <v>-0.39635999999999999</v>
      </c>
      <c r="U117" s="29"/>
    </row>
    <row r="118" spans="1:21">
      <c r="A118" s="26" t="s">
        <v>13</v>
      </c>
      <c r="B118" s="26" t="s">
        <v>58</v>
      </c>
      <c r="C118" s="26">
        <v>7.34</v>
      </c>
      <c r="D118" s="27">
        <v>8.5</v>
      </c>
      <c r="E118" s="28"/>
      <c r="F118" s="16">
        <f t="shared" si="230"/>
        <v>0</v>
      </c>
      <c r="G118" s="17"/>
      <c r="H118" s="18"/>
      <c r="I118" s="19">
        <f t="shared" si="231"/>
        <v>0</v>
      </c>
      <c r="J118" s="16"/>
      <c r="K118" s="18">
        <v>1</v>
      </c>
      <c r="L118" s="19">
        <f t="shared" si="232"/>
        <v>6.2390000000000001E-2</v>
      </c>
      <c r="M118" s="16"/>
      <c r="N118" s="18"/>
      <c r="O118" s="19">
        <f t="shared" si="233"/>
        <v>0</v>
      </c>
      <c r="P118" s="20">
        <f t="shared" si="234"/>
        <v>1</v>
      </c>
      <c r="Q118" s="19">
        <f t="shared" si="235"/>
        <v>6.2390000000000001E-2</v>
      </c>
      <c r="R118" s="21">
        <f t="shared" si="236"/>
        <v>-1</v>
      </c>
      <c r="S118" s="19">
        <f t="shared" si="237"/>
        <v>-6.2390000000000001E-2</v>
      </c>
      <c r="U118" s="29"/>
    </row>
    <row r="119" spans="1:21">
      <c r="A119" s="26" t="s">
        <v>13</v>
      </c>
      <c r="B119" s="26" t="s">
        <v>58</v>
      </c>
      <c r="C119" s="26">
        <v>7.34</v>
      </c>
      <c r="D119" s="27">
        <v>9.3000000000000007</v>
      </c>
      <c r="E119" s="28"/>
      <c r="F119" s="16">
        <f t="shared" si="230"/>
        <v>0</v>
      </c>
      <c r="G119" s="17"/>
      <c r="H119" s="18"/>
      <c r="I119" s="19">
        <f t="shared" si="231"/>
        <v>0</v>
      </c>
      <c r="J119" s="16"/>
      <c r="K119" s="18">
        <v>1</v>
      </c>
      <c r="L119" s="19">
        <f t="shared" si="232"/>
        <v>6.8262000000000003E-2</v>
      </c>
      <c r="M119" s="16"/>
      <c r="N119" s="18"/>
      <c r="O119" s="19">
        <f t="shared" si="233"/>
        <v>0</v>
      </c>
      <c r="P119" s="20">
        <f t="shared" si="234"/>
        <v>1</v>
      </c>
      <c r="Q119" s="19">
        <f t="shared" si="235"/>
        <v>6.8262000000000003E-2</v>
      </c>
      <c r="R119" s="21">
        <f t="shared" si="236"/>
        <v>-1</v>
      </c>
      <c r="S119" s="19">
        <f t="shared" si="237"/>
        <v>-6.8262000000000003E-2</v>
      </c>
      <c r="U119" s="29"/>
    </row>
    <row r="120" spans="1:21">
      <c r="A120" s="26" t="s">
        <v>13</v>
      </c>
      <c r="B120" s="26" t="s">
        <v>58</v>
      </c>
      <c r="C120" s="26">
        <v>7.34</v>
      </c>
      <c r="D120" s="27">
        <v>9.5</v>
      </c>
      <c r="E120" s="28"/>
      <c r="F120" s="16">
        <f t="shared" si="230"/>
        <v>0</v>
      </c>
      <c r="G120" s="17"/>
      <c r="H120" s="18"/>
      <c r="I120" s="19">
        <f t="shared" si="231"/>
        <v>0</v>
      </c>
      <c r="J120" s="16"/>
      <c r="K120" s="18">
        <v>2</v>
      </c>
      <c r="L120" s="19">
        <f t="shared" si="232"/>
        <v>0.13946</v>
      </c>
      <c r="M120" s="16"/>
      <c r="N120" s="18"/>
      <c r="O120" s="19">
        <f t="shared" si="233"/>
        <v>0</v>
      </c>
      <c r="P120" s="20">
        <f t="shared" si="234"/>
        <v>2</v>
      </c>
      <c r="Q120" s="19">
        <f t="shared" si="235"/>
        <v>0.13946</v>
      </c>
      <c r="R120" s="21">
        <f t="shared" si="236"/>
        <v>-2</v>
      </c>
      <c r="S120" s="19">
        <f t="shared" si="237"/>
        <v>-0.13946</v>
      </c>
      <c r="U120" s="29"/>
    </row>
    <row r="121" spans="1:21">
      <c r="A121" s="26" t="s">
        <v>13</v>
      </c>
      <c r="B121" s="26" t="s">
        <v>58</v>
      </c>
      <c r="C121" s="26">
        <v>7.34</v>
      </c>
      <c r="D121" s="27">
        <v>8.6</v>
      </c>
      <c r="E121" s="28"/>
      <c r="F121" s="16">
        <f t="shared" si="230"/>
        <v>0</v>
      </c>
      <c r="G121" s="17"/>
      <c r="H121" s="18"/>
      <c r="I121" s="19">
        <f t="shared" si="231"/>
        <v>0</v>
      </c>
      <c r="J121" s="16"/>
      <c r="K121" s="18">
        <v>2</v>
      </c>
      <c r="L121" s="19">
        <f t="shared" si="232"/>
        <v>0.126248</v>
      </c>
      <c r="M121" s="16"/>
      <c r="N121" s="18"/>
      <c r="O121" s="19">
        <f t="shared" si="233"/>
        <v>0</v>
      </c>
      <c r="P121" s="20">
        <f t="shared" si="234"/>
        <v>2</v>
      </c>
      <c r="Q121" s="19">
        <f t="shared" si="235"/>
        <v>0.126248</v>
      </c>
      <c r="R121" s="21">
        <f t="shared" si="236"/>
        <v>-2</v>
      </c>
      <c r="S121" s="19">
        <f t="shared" si="237"/>
        <v>-0.126248</v>
      </c>
      <c r="U121" s="29"/>
    </row>
    <row r="122" spans="1:21">
      <c r="A122" s="26" t="s">
        <v>13</v>
      </c>
      <c r="B122" s="26" t="s">
        <v>58</v>
      </c>
      <c r="C122" s="26">
        <v>7.34</v>
      </c>
      <c r="D122" s="27">
        <v>8.3000000000000007</v>
      </c>
      <c r="E122" s="28"/>
      <c r="F122" s="16">
        <f t="shared" si="230"/>
        <v>0</v>
      </c>
      <c r="G122" s="17"/>
      <c r="H122" s="18"/>
      <c r="I122" s="19">
        <f t="shared" si="231"/>
        <v>0</v>
      </c>
      <c r="J122" s="16"/>
      <c r="K122" s="18">
        <v>1</v>
      </c>
      <c r="L122" s="19">
        <f t="shared" si="232"/>
        <v>6.0922000000000004E-2</v>
      </c>
      <c r="M122" s="16"/>
      <c r="N122" s="18"/>
      <c r="O122" s="19">
        <f t="shared" si="233"/>
        <v>0</v>
      </c>
      <c r="P122" s="20">
        <f t="shared" si="234"/>
        <v>1</v>
      </c>
      <c r="Q122" s="19">
        <f t="shared" si="235"/>
        <v>6.0922000000000004E-2</v>
      </c>
      <c r="R122" s="21">
        <f t="shared" si="236"/>
        <v>-1</v>
      </c>
      <c r="S122" s="19">
        <f t="shared" si="237"/>
        <v>-6.0922000000000004E-2</v>
      </c>
      <c r="U122" s="29"/>
    </row>
    <row r="123" spans="1:21">
      <c r="A123" s="26" t="s">
        <v>13</v>
      </c>
      <c r="B123" s="26" t="s">
        <v>58</v>
      </c>
      <c r="C123" s="26">
        <v>7.34</v>
      </c>
      <c r="D123" s="27">
        <v>7.7</v>
      </c>
      <c r="E123" s="28"/>
      <c r="F123" s="16">
        <f t="shared" si="230"/>
        <v>0</v>
      </c>
      <c r="G123" s="17"/>
      <c r="H123" s="18"/>
      <c r="I123" s="19">
        <f t="shared" si="231"/>
        <v>0</v>
      </c>
      <c r="J123" s="16"/>
      <c r="K123" s="18">
        <v>1</v>
      </c>
      <c r="L123" s="19">
        <f t="shared" si="232"/>
        <v>5.6517999999999999E-2</v>
      </c>
      <c r="M123" s="16"/>
      <c r="N123" s="18"/>
      <c r="O123" s="19">
        <f t="shared" si="233"/>
        <v>0</v>
      </c>
      <c r="P123" s="20">
        <f t="shared" si="234"/>
        <v>1</v>
      </c>
      <c r="Q123" s="19">
        <f t="shared" si="235"/>
        <v>5.6517999999999999E-2</v>
      </c>
      <c r="R123" s="21">
        <f t="shared" si="236"/>
        <v>-1</v>
      </c>
      <c r="S123" s="19">
        <f t="shared" si="237"/>
        <v>-5.6517999999999999E-2</v>
      </c>
      <c r="U123" s="29"/>
    </row>
    <row r="124" spans="1:21">
      <c r="A124" s="26" t="s">
        <v>13</v>
      </c>
      <c r="B124" s="26" t="s">
        <v>58</v>
      </c>
      <c r="C124" s="26">
        <v>7.34</v>
      </c>
      <c r="D124" s="27">
        <v>7.5</v>
      </c>
      <c r="E124" s="28"/>
      <c r="F124" s="16">
        <f t="shared" si="230"/>
        <v>0</v>
      </c>
      <c r="G124" s="17"/>
      <c r="H124" s="18"/>
      <c r="I124" s="19">
        <f t="shared" si="231"/>
        <v>0</v>
      </c>
      <c r="J124" s="16"/>
      <c r="K124" s="18">
        <v>1</v>
      </c>
      <c r="L124" s="19">
        <f t="shared" si="232"/>
        <v>5.5049999999999995E-2</v>
      </c>
      <c r="M124" s="16"/>
      <c r="N124" s="18"/>
      <c r="O124" s="19">
        <f t="shared" si="233"/>
        <v>0</v>
      </c>
      <c r="P124" s="20">
        <f t="shared" si="234"/>
        <v>1</v>
      </c>
      <c r="Q124" s="19">
        <f t="shared" si="235"/>
        <v>5.5049999999999995E-2</v>
      </c>
      <c r="R124" s="21">
        <f t="shared" si="236"/>
        <v>-1</v>
      </c>
      <c r="S124" s="19">
        <f t="shared" si="237"/>
        <v>-5.5049999999999995E-2</v>
      </c>
      <c r="U124" s="29"/>
    </row>
    <row r="125" spans="1:21">
      <c r="A125" s="26" t="s">
        <v>13</v>
      </c>
      <c r="B125" s="26" t="s">
        <v>58</v>
      </c>
      <c r="C125" s="26">
        <v>7.34</v>
      </c>
      <c r="D125" s="27">
        <v>6</v>
      </c>
      <c r="E125" s="28"/>
      <c r="F125" s="16">
        <f t="shared" si="230"/>
        <v>0</v>
      </c>
      <c r="G125" s="17"/>
      <c r="H125" s="18"/>
      <c r="I125" s="19">
        <f t="shared" si="231"/>
        <v>0</v>
      </c>
      <c r="J125" s="16"/>
      <c r="K125" s="18">
        <v>6</v>
      </c>
      <c r="L125" s="19">
        <f t="shared" si="232"/>
        <v>0.26424000000000003</v>
      </c>
      <c r="M125" s="16"/>
      <c r="N125" s="18"/>
      <c r="O125" s="19">
        <f t="shared" si="233"/>
        <v>0</v>
      </c>
      <c r="P125" s="20">
        <f t="shared" si="234"/>
        <v>6</v>
      </c>
      <c r="Q125" s="19">
        <f t="shared" si="235"/>
        <v>0.26424000000000003</v>
      </c>
      <c r="R125" s="21">
        <f t="shared" si="236"/>
        <v>-6</v>
      </c>
      <c r="S125" s="19">
        <f t="shared" si="237"/>
        <v>-0.26424000000000003</v>
      </c>
      <c r="U125" s="29"/>
    </row>
    <row r="126" spans="1:21">
      <c r="A126" s="26" t="s">
        <v>13</v>
      </c>
      <c r="B126" s="26" t="s">
        <v>58</v>
      </c>
      <c r="C126" s="26">
        <v>7.34</v>
      </c>
      <c r="D126" s="27"/>
      <c r="E126" s="28"/>
      <c r="F126" s="16">
        <f t="shared" si="230"/>
        <v>0</v>
      </c>
      <c r="G126" s="17"/>
      <c r="H126" s="18"/>
      <c r="I126" s="19">
        <f t="shared" si="231"/>
        <v>0</v>
      </c>
      <c r="J126" s="16"/>
      <c r="K126" s="18"/>
      <c r="L126" s="19">
        <f t="shared" si="232"/>
        <v>0</v>
      </c>
      <c r="M126" s="16"/>
      <c r="N126" s="18"/>
      <c r="O126" s="19">
        <f t="shared" si="233"/>
        <v>0</v>
      </c>
      <c r="P126" s="20">
        <f t="shared" si="234"/>
        <v>0</v>
      </c>
      <c r="Q126" s="19">
        <f t="shared" si="235"/>
        <v>0</v>
      </c>
      <c r="R126" s="21">
        <f t="shared" si="236"/>
        <v>0</v>
      </c>
      <c r="S126" s="19">
        <f t="shared" si="237"/>
        <v>0</v>
      </c>
      <c r="U126" s="29"/>
    </row>
    <row r="127" spans="1:21">
      <c r="A127" s="26" t="s">
        <v>13</v>
      </c>
      <c r="B127" s="26" t="s">
        <v>58</v>
      </c>
      <c r="C127" s="26">
        <v>7.34</v>
      </c>
      <c r="D127" s="27"/>
      <c r="E127" s="28"/>
      <c r="F127" s="16">
        <f t="shared" si="230"/>
        <v>0</v>
      </c>
      <c r="G127" s="17"/>
      <c r="H127" s="18"/>
      <c r="I127" s="19">
        <f t="shared" si="231"/>
        <v>0</v>
      </c>
      <c r="J127" s="16"/>
      <c r="K127" s="18"/>
      <c r="L127" s="19">
        <f t="shared" si="232"/>
        <v>0</v>
      </c>
      <c r="M127" s="16"/>
      <c r="N127" s="18"/>
      <c r="O127" s="19">
        <f t="shared" si="233"/>
        <v>0</v>
      </c>
      <c r="P127" s="20">
        <f t="shared" si="234"/>
        <v>0</v>
      </c>
      <c r="Q127" s="19">
        <f t="shared" si="235"/>
        <v>0</v>
      </c>
      <c r="R127" s="21">
        <f t="shared" si="236"/>
        <v>0</v>
      </c>
      <c r="S127" s="19">
        <f t="shared" si="237"/>
        <v>0</v>
      </c>
      <c r="U127" s="29"/>
    </row>
    <row r="128" spans="1:21">
      <c r="A128" s="26" t="s">
        <v>13</v>
      </c>
      <c r="B128" s="26" t="s">
        <v>58</v>
      </c>
      <c r="C128" s="26">
        <v>7.34</v>
      </c>
      <c r="D128" s="27"/>
      <c r="E128" s="28"/>
      <c r="F128" s="16">
        <f t="shared" si="230"/>
        <v>0</v>
      </c>
      <c r="G128" s="17"/>
      <c r="H128" s="18"/>
      <c r="I128" s="19">
        <f t="shared" si="231"/>
        <v>0</v>
      </c>
      <c r="J128" s="16"/>
      <c r="K128" s="18"/>
      <c r="L128" s="19">
        <f t="shared" si="232"/>
        <v>0</v>
      </c>
      <c r="M128" s="16"/>
      <c r="N128" s="18"/>
      <c r="O128" s="19">
        <f t="shared" si="233"/>
        <v>0</v>
      </c>
      <c r="P128" s="20">
        <f t="shared" si="234"/>
        <v>0</v>
      </c>
      <c r="Q128" s="19">
        <f t="shared" si="235"/>
        <v>0</v>
      </c>
      <c r="R128" s="21">
        <f t="shared" si="236"/>
        <v>0</v>
      </c>
      <c r="S128" s="19">
        <f t="shared" si="237"/>
        <v>0</v>
      </c>
      <c r="U128" s="29"/>
    </row>
    <row r="129" spans="1:21">
      <c r="A129" s="26" t="s">
        <v>13</v>
      </c>
      <c r="B129" s="26" t="s">
        <v>58</v>
      </c>
      <c r="C129" s="26">
        <v>7.34</v>
      </c>
      <c r="D129" s="27"/>
      <c r="E129" s="28"/>
      <c r="F129" s="16">
        <f t="shared" si="222"/>
        <v>0</v>
      </c>
      <c r="G129" s="17"/>
      <c r="H129" s="18"/>
      <c r="I129" s="19">
        <f t="shared" si="223"/>
        <v>0</v>
      </c>
      <c r="J129" s="16"/>
      <c r="K129" s="18"/>
      <c r="L129" s="19">
        <f t="shared" si="224"/>
        <v>0</v>
      </c>
      <c r="M129" s="16"/>
      <c r="N129" s="18"/>
      <c r="O129" s="19">
        <f t="shared" si="225"/>
        <v>0</v>
      </c>
      <c r="P129" s="20">
        <f t="shared" si="226"/>
        <v>0</v>
      </c>
      <c r="Q129" s="19">
        <f t="shared" si="227"/>
        <v>0</v>
      </c>
      <c r="R129" s="21">
        <f t="shared" si="228"/>
        <v>0</v>
      </c>
      <c r="S129" s="19">
        <f t="shared" si="229"/>
        <v>0</v>
      </c>
      <c r="U129" s="29"/>
    </row>
    <row r="130" spans="1:21">
      <c r="A130" s="36"/>
      <c r="B130" s="36"/>
      <c r="C130" s="36"/>
      <c r="D130" s="38"/>
      <c r="E130" s="31">
        <f t="shared" ref="E130:F130" si="238">SUM(E111:E129)</f>
        <v>106</v>
      </c>
      <c r="F130" s="38">
        <f t="shared" si="238"/>
        <v>8.7052399999999981</v>
      </c>
      <c r="G130" s="17"/>
      <c r="H130" s="31">
        <f t="shared" ref="H130" si="239">SUM(H111:H129)</f>
        <v>80</v>
      </c>
      <c r="I130" s="38">
        <f t="shared" ref="I130" si="240">SUM(I111:I129)</f>
        <v>6.7014199999999988</v>
      </c>
      <c r="J130" s="16"/>
      <c r="K130" s="31">
        <f t="shared" ref="K130" si="241">SUM(K111:K129)</f>
        <v>32</v>
      </c>
      <c r="L130" s="38">
        <f t="shared" ref="L130" si="242">SUM(L111:L129)</f>
        <v>2.072082</v>
      </c>
      <c r="M130" s="16"/>
      <c r="N130" s="31">
        <f t="shared" ref="N130" si="243">SUM(N111:N129)</f>
        <v>0</v>
      </c>
      <c r="O130" s="38">
        <f t="shared" ref="O130" si="244">SUM(O111:O129)</f>
        <v>0</v>
      </c>
      <c r="P130" s="31">
        <f t="shared" ref="P130" si="245">SUM(P111:P129)</f>
        <v>112</v>
      </c>
      <c r="Q130" s="38">
        <f t="shared" ref="Q130" si="246">SUM(Q111:Q129)</f>
        <v>8.773501999999997</v>
      </c>
      <c r="R130" s="31">
        <f t="shared" ref="R130" si="247">SUM(R111:R129)</f>
        <v>-6</v>
      </c>
      <c r="S130" s="38">
        <f t="shared" ref="S130" si="248">SUM(S111:S129)</f>
        <v>-6.8262000000000267E-2</v>
      </c>
      <c r="U130" s="29"/>
    </row>
    <row r="131" spans="1:21">
      <c r="A131" s="33"/>
      <c r="B131" s="33"/>
      <c r="C131" s="34"/>
      <c r="D131" s="34"/>
      <c r="E131" s="34">
        <f>SUM(E130,E110,E104,E102,E93,E83,E78,E73,E65,E52,E28,E14)</f>
        <v>903</v>
      </c>
      <c r="F131" s="35">
        <f>SUM(F130,F110,F104,F102,F93,F83,F78,F73,F65,F52,F28,F14)</f>
        <v>134.24750800000001</v>
      </c>
      <c r="G131" s="26"/>
      <c r="H131" s="34">
        <f>SUM(H130,H110,H104,H102,H93,H83,H78,H73,H65,H52,H28,H14)</f>
        <v>529</v>
      </c>
      <c r="I131" s="35">
        <f>SUM(I130,I110,I104,I102,I93,I83,I78,I73,I65,I52,I28,I14)</f>
        <v>76.269139999999993</v>
      </c>
      <c r="J131" s="26"/>
      <c r="K131" s="34">
        <f>SUM(K130,K110,K104,K102,K93,K83,K78,K73,K65,K52,K28,K14)</f>
        <v>240</v>
      </c>
      <c r="L131" s="35">
        <f>SUM(L130,L110,L104,L102,L93,L83,L78,L73,L65,L52,L28,L14)</f>
        <v>34.514617000000001</v>
      </c>
      <c r="M131" s="26"/>
      <c r="N131" s="34">
        <f t="shared" ref="N131:S131" si="249">SUM(N130,N110,N104,N102,N93,N83,N78,N73,N65,N52,N28,N14)</f>
        <v>154</v>
      </c>
      <c r="O131" s="35">
        <f t="shared" si="249"/>
        <v>25.252799999999997</v>
      </c>
      <c r="P131" s="34">
        <f t="shared" si="249"/>
        <v>923</v>
      </c>
      <c r="Q131" s="35">
        <f t="shared" si="249"/>
        <v>136.03655700000002</v>
      </c>
      <c r="R131" s="34">
        <f t="shared" si="249"/>
        <v>-20</v>
      </c>
      <c r="S131" s="35">
        <f t="shared" si="249"/>
        <v>-1.789048999999997</v>
      </c>
    </row>
    <row r="154" spans="15:15">
      <c r="O154" s="29"/>
    </row>
  </sheetData>
  <sortState ref="D40:K58">
    <sortCondition ref="D40:D58"/>
  </sortState>
  <mergeCells count="10">
    <mergeCell ref="J4:L4"/>
    <mergeCell ref="M4:O4"/>
    <mergeCell ref="P4:Q4"/>
    <mergeCell ref="R4:S4"/>
    <mergeCell ref="G1:H1"/>
    <mergeCell ref="I1:J1"/>
    <mergeCell ref="M1:N1"/>
    <mergeCell ref="Q1:S1"/>
    <mergeCell ref="F2:G2"/>
    <mergeCell ref="R2:S2"/>
  </mergeCells>
  <pageMargins left="0.28000000000000003" right="0.22" top="0.27" bottom="0.31" header="0.3" footer="0.3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/>
  <dimension ref="A1:U19"/>
  <sheetViews>
    <sheetView zoomScale="75" zoomScaleNormal="75" workbookViewId="0">
      <pane ySplit="5" topLeftCell="A12" activePane="bottomLeft" state="frozen"/>
      <selection pane="bottomLeft" activeCell="N34" sqref="N34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bestFit="1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3" t="s">
        <v>68</v>
      </c>
      <c r="H1" s="144"/>
      <c r="I1" s="145" t="s">
        <v>70</v>
      </c>
      <c r="J1" s="144"/>
      <c r="K1" s="3"/>
      <c r="L1" s="4"/>
      <c r="M1" s="146" t="str">
        <f>+F2</f>
        <v>LOI-41  10.04.23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28</v>
      </c>
      <c r="B2" s="8"/>
      <c r="C2" s="9"/>
      <c r="D2" s="9"/>
      <c r="E2" s="10"/>
      <c r="F2" s="146" t="s">
        <v>67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13</v>
      </c>
      <c r="B6" s="26" t="s">
        <v>45</v>
      </c>
      <c r="C6" s="26">
        <v>9.26</v>
      </c>
      <c r="D6" s="27">
        <v>7.3</v>
      </c>
      <c r="E6" s="28">
        <v>12</v>
      </c>
      <c r="F6" s="16">
        <f t="shared" ref="F6" si="0">(C6*D6*E6/1000)</f>
        <v>0.8111759999999999</v>
      </c>
      <c r="G6" s="17" t="s">
        <v>88</v>
      </c>
      <c r="H6" s="18">
        <v>6</v>
      </c>
      <c r="I6" s="19">
        <f t="shared" ref="I6" si="1">(C6*D6*H6/1000)</f>
        <v>0.40558799999999995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20">
        <f t="shared" ref="P6:Q6" si="4">+H6+K6+N6</f>
        <v>6</v>
      </c>
      <c r="Q6" s="19">
        <f t="shared" si="4"/>
        <v>0.40558799999999995</v>
      </c>
      <c r="R6" s="21">
        <f t="shared" ref="R6:S6" si="5">E6-P6</f>
        <v>6</v>
      </c>
      <c r="S6" s="19">
        <f t="shared" si="5"/>
        <v>0.40558799999999995</v>
      </c>
      <c r="U6" s="29"/>
    </row>
    <row r="7" spans="1:21">
      <c r="A7" s="26" t="s">
        <v>13</v>
      </c>
      <c r="B7" s="26" t="s">
        <v>45</v>
      </c>
      <c r="C7" s="26">
        <v>9.26</v>
      </c>
      <c r="D7" s="27">
        <v>8.4</v>
      </c>
      <c r="E7" s="28"/>
      <c r="F7" s="16">
        <f t="shared" ref="F7" si="6">(C7*D7*E7/1000)</f>
        <v>0</v>
      </c>
      <c r="G7" s="17" t="s">
        <v>134</v>
      </c>
      <c r="H7" s="18">
        <v>6</v>
      </c>
      <c r="I7" s="19">
        <f t="shared" ref="I7" si="7">(C7*D7*H7/1000)</f>
        <v>0.46670400000000006</v>
      </c>
      <c r="J7" s="16"/>
      <c r="K7" s="18"/>
      <c r="L7" s="19">
        <f t="shared" ref="L7" si="8">(C7*D7*K7/1000)</f>
        <v>0</v>
      </c>
      <c r="M7" s="16"/>
      <c r="N7" s="18"/>
      <c r="O7" s="19">
        <f t="shared" ref="O7" si="9">(C7*D7*N7/1000)</f>
        <v>0</v>
      </c>
      <c r="P7" s="20">
        <f t="shared" ref="P7" si="10">+H7+K7+N7</f>
        <v>6</v>
      </c>
      <c r="Q7" s="19">
        <f t="shared" ref="Q7" si="11">+I7+L7+O7</f>
        <v>0.46670400000000006</v>
      </c>
      <c r="R7" s="21">
        <f t="shared" ref="R7" si="12">E7-P7</f>
        <v>-6</v>
      </c>
      <c r="S7" s="19">
        <f t="shared" ref="S7" si="13">F7-Q7</f>
        <v>-0.46670400000000006</v>
      </c>
      <c r="U7" s="29"/>
    </row>
    <row r="8" spans="1:21">
      <c r="A8" s="36"/>
      <c r="B8" s="36"/>
      <c r="C8" s="36"/>
      <c r="D8" s="38"/>
      <c r="E8" s="31">
        <f t="shared" ref="E8:F8" si="14">SUM(E6:E7)</f>
        <v>12</v>
      </c>
      <c r="F8" s="38">
        <f t="shared" si="14"/>
        <v>0.8111759999999999</v>
      </c>
      <c r="G8" s="17"/>
      <c r="H8" s="31">
        <f t="shared" ref="H8" si="15">SUM(H6:H7)</f>
        <v>12</v>
      </c>
      <c r="I8" s="38">
        <f t="shared" ref="I8" si="16">SUM(I6:I7)</f>
        <v>0.87229200000000007</v>
      </c>
      <c r="J8" s="16"/>
      <c r="K8" s="31">
        <f t="shared" ref="K8" si="17">SUM(K6:K7)</f>
        <v>0</v>
      </c>
      <c r="L8" s="38">
        <f t="shared" ref="L8" si="18">SUM(L6:L7)</f>
        <v>0</v>
      </c>
      <c r="M8" s="16"/>
      <c r="N8" s="31">
        <f t="shared" ref="N8" si="19">SUM(N6:N7)</f>
        <v>0</v>
      </c>
      <c r="O8" s="38">
        <f t="shared" ref="O8" si="20">SUM(O6:O7)</f>
        <v>0</v>
      </c>
      <c r="P8" s="31">
        <f t="shared" ref="P8" si="21">SUM(P6:P7)</f>
        <v>12</v>
      </c>
      <c r="Q8" s="38">
        <f t="shared" ref="Q8" si="22">SUM(Q6:Q7)</f>
        <v>0.87229200000000007</v>
      </c>
      <c r="R8" s="31">
        <f t="shared" ref="R8" si="23">SUM(R6:R7)</f>
        <v>0</v>
      </c>
      <c r="S8" s="38">
        <f t="shared" ref="S8" si="24">SUM(S6:S7)</f>
        <v>-6.1116000000000115E-2</v>
      </c>
      <c r="U8" s="29"/>
    </row>
    <row r="9" spans="1:21">
      <c r="A9" s="26" t="s">
        <v>13</v>
      </c>
      <c r="B9" s="26" t="s">
        <v>46</v>
      </c>
      <c r="C9" s="26">
        <v>10.7</v>
      </c>
      <c r="D9" s="27">
        <v>8</v>
      </c>
      <c r="E9" s="28">
        <v>32</v>
      </c>
      <c r="F9" s="16">
        <f t="shared" ref="F9" si="25">(C9*D9*E9/1000)</f>
        <v>2.7391999999999999</v>
      </c>
      <c r="G9" s="17" t="s">
        <v>102</v>
      </c>
      <c r="H9" s="18">
        <v>32</v>
      </c>
      <c r="I9" s="19">
        <f t="shared" ref="I9" si="26">(C9*D9*H9/1000)</f>
        <v>2.7391999999999999</v>
      </c>
      <c r="J9" s="16"/>
      <c r="K9" s="18"/>
      <c r="L9" s="19">
        <f t="shared" ref="L9" si="27">(C9*D9*K9/1000)</f>
        <v>0</v>
      </c>
      <c r="M9" s="16"/>
      <c r="N9" s="18"/>
      <c r="O9" s="19">
        <f t="shared" ref="O9" si="28">(C9*D9*N9/1000)</f>
        <v>0</v>
      </c>
      <c r="P9" s="20">
        <f t="shared" ref="P9:Q9" si="29">+H9+K9+N9</f>
        <v>32</v>
      </c>
      <c r="Q9" s="19">
        <f t="shared" si="29"/>
        <v>2.7391999999999999</v>
      </c>
      <c r="R9" s="21">
        <f t="shared" ref="R9:S9" si="30">E9-P9</f>
        <v>0</v>
      </c>
      <c r="S9" s="19">
        <f t="shared" si="30"/>
        <v>0</v>
      </c>
      <c r="U9" s="29"/>
    </row>
    <row r="10" spans="1:21">
      <c r="A10" s="36"/>
      <c r="B10" s="36"/>
      <c r="C10" s="36"/>
      <c r="D10" s="38"/>
      <c r="E10" s="31">
        <f>SUM(E9:E9)</f>
        <v>32</v>
      </c>
      <c r="F10" s="38">
        <f>SUM(F9:F9)</f>
        <v>2.7391999999999999</v>
      </c>
      <c r="G10" s="17" t="s">
        <v>99</v>
      </c>
      <c r="H10" s="31">
        <f>SUM(H9:H9)</f>
        <v>32</v>
      </c>
      <c r="I10" s="38">
        <f>SUM(I9:I9)</f>
        <v>2.7391999999999999</v>
      </c>
      <c r="J10" s="16"/>
      <c r="K10" s="31">
        <f>SUM(K9:K9)</f>
        <v>0</v>
      </c>
      <c r="L10" s="38">
        <f>SUM(L9:L9)</f>
        <v>0</v>
      </c>
      <c r="M10" s="16"/>
      <c r="N10" s="31">
        <f t="shared" ref="N10:S10" si="31">SUM(N9:N9)</f>
        <v>0</v>
      </c>
      <c r="O10" s="38">
        <f t="shared" si="31"/>
        <v>0</v>
      </c>
      <c r="P10" s="31">
        <f t="shared" si="31"/>
        <v>32</v>
      </c>
      <c r="Q10" s="38">
        <f t="shared" si="31"/>
        <v>2.7391999999999999</v>
      </c>
      <c r="R10" s="31">
        <f t="shared" si="31"/>
        <v>0</v>
      </c>
      <c r="S10" s="38">
        <f t="shared" si="31"/>
        <v>0</v>
      </c>
      <c r="U10" s="29"/>
    </row>
    <row r="11" spans="1:21">
      <c r="A11" s="26" t="s">
        <v>13</v>
      </c>
      <c r="B11" s="26" t="s">
        <v>34</v>
      </c>
      <c r="C11" s="26">
        <v>5.76</v>
      </c>
      <c r="D11" s="27">
        <v>11</v>
      </c>
      <c r="E11" s="28">
        <v>2</v>
      </c>
      <c r="F11" s="16">
        <f t="shared" ref="F11" si="32">(C11*D11*E11/1000)</f>
        <v>0.12672</v>
      </c>
      <c r="G11" s="16" t="s">
        <v>93</v>
      </c>
      <c r="H11" s="18"/>
      <c r="I11" s="19">
        <f t="shared" ref="I11" si="33">(C11*D11*H11/1000)</f>
        <v>0</v>
      </c>
      <c r="J11" s="16"/>
      <c r="K11" s="18"/>
      <c r="L11" s="19">
        <f t="shared" ref="L11" si="34">(C11*D11*K11/1000)</f>
        <v>0</v>
      </c>
      <c r="M11" s="16"/>
      <c r="N11" s="18"/>
      <c r="O11" s="19">
        <f t="shared" ref="O11" si="35">(C11*D11*N11/1000)</f>
        <v>0</v>
      </c>
      <c r="P11" s="20">
        <f t="shared" ref="P11:Q11" si="36">+H11+K11+N11</f>
        <v>0</v>
      </c>
      <c r="Q11" s="19">
        <f t="shared" si="36"/>
        <v>0</v>
      </c>
      <c r="R11" s="21">
        <f t="shared" ref="R11:S11" si="37">E11-P11</f>
        <v>2</v>
      </c>
      <c r="S11" s="19">
        <f t="shared" si="37"/>
        <v>0.12672</v>
      </c>
      <c r="U11" s="29"/>
    </row>
    <row r="12" spans="1:21">
      <c r="A12" s="26" t="s">
        <v>13</v>
      </c>
      <c r="B12" s="26" t="s">
        <v>34</v>
      </c>
      <c r="C12" s="26">
        <v>5.76</v>
      </c>
      <c r="D12" s="27">
        <v>12</v>
      </c>
      <c r="E12" s="28"/>
      <c r="F12" s="16">
        <f t="shared" ref="F12" si="38">(C12*D12*E12/1000)</f>
        <v>0</v>
      </c>
      <c r="G12" s="16" t="s">
        <v>115</v>
      </c>
      <c r="H12" s="18">
        <v>2</v>
      </c>
      <c r="I12" s="19">
        <f t="shared" ref="I12" si="39">(C12*D12*H12/1000)</f>
        <v>0.13824</v>
      </c>
      <c r="J12" s="16"/>
      <c r="K12" s="18"/>
      <c r="L12" s="19">
        <f t="shared" ref="L12" si="40">(C12*D12*K12/1000)</f>
        <v>0</v>
      </c>
      <c r="M12" s="16"/>
      <c r="N12" s="18"/>
      <c r="O12" s="19">
        <f t="shared" ref="O12" si="41">(C12*D12*N12/1000)</f>
        <v>0</v>
      </c>
      <c r="P12" s="20">
        <f t="shared" ref="P12" si="42">+H12+K12+N12</f>
        <v>2</v>
      </c>
      <c r="Q12" s="19">
        <f t="shared" ref="Q12" si="43">+I12+L12+O12</f>
        <v>0.13824</v>
      </c>
      <c r="R12" s="21">
        <f t="shared" ref="R12" si="44">E12-P12</f>
        <v>-2</v>
      </c>
      <c r="S12" s="19">
        <f t="shared" ref="S12" si="45">F12-Q12</f>
        <v>-0.13824</v>
      </c>
      <c r="U12" s="29"/>
    </row>
    <row r="13" spans="1:21">
      <c r="A13" s="36"/>
      <c r="B13" s="36"/>
      <c r="C13" s="36"/>
      <c r="D13" s="38"/>
      <c r="E13" s="31">
        <f t="shared" ref="E13:F13" si="46">SUM(E11:E12)</f>
        <v>2</v>
      </c>
      <c r="F13" s="38">
        <f t="shared" si="46"/>
        <v>0.12672</v>
      </c>
      <c r="G13" s="16"/>
      <c r="H13" s="31">
        <f t="shared" ref="H13" si="47">SUM(H11:H12)</f>
        <v>2</v>
      </c>
      <c r="I13" s="38">
        <f t="shared" ref="I13" si="48">SUM(I11:I12)</f>
        <v>0.13824</v>
      </c>
      <c r="J13" s="16"/>
      <c r="K13" s="31">
        <f t="shared" ref="K13" si="49">SUM(K11:K12)</f>
        <v>0</v>
      </c>
      <c r="L13" s="38">
        <f t="shared" ref="L13" si="50">SUM(L11:L12)</f>
        <v>0</v>
      </c>
      <c r="M13" s="16"/>
      <c r="N13" s="31">
        <f t="shared" ref="N13" si="51">SUM(N11:N12)</f>
        <v>0</v>
      </c>
      <c r="O13" s="38">
        <f t="shared" ref="O13" si="52">SUM(O11:O12)</f>
        <v>0</v>
      </c>
      <c r="P13" s="31">
        <f t="shared" ref="P13" si="53">SUM(P11:P12)</f>
        <v>2</v>
      </c>
      <c r="Q13" s="38">
        <f t="shared" ref="Q13" si="54">SUM(Q11:Q12)</f>
        <v>0.13824</v>
      </c>
      <c r="R13" s="31">
        <f t="shared" ref="R13" si="55">SUM(R11:R12)</f>
        <v>0</v>
      </c>
      <c r="S13" s="38">
        <f t="shared" ref="S13" si="56">SUM(S11:S12)</f>
        <v>-1.1520000000000002E-2</v>
      </c>
      <c r="U13" s="29"/>
    </row>
    <row r="14" spans="1:21">
      <c r="A14" s="26" t="s">
        <v>13</v>
      </c>
      <c r="B14" s="26" t="s">
        <v>57</v>
      </c>
      <c r="C14" s="26">
        <v>6.17</v>
      </c>
      <c r="D14" s="27">
        <v>10.5</v>
      </c>
      <c r="E14" s="28">
        <v>5</v>
      </c>
      <c r="F14" s="16">
        <f t="shared" ref="F14" si="57">(C14*D14*E14/1000)</f>
        <v>0.32392499999999996</v>
      </c>
      <c r="G14" s="17" t="s">
        <v>88</v>
      </c>
      <c r="H14" s="18">
        <v>5</v>
      </c>
      <c r="I14" s="19">
        <f t="shared" ref="I14" si="58">(C14*D14*H14/1000)</f>
        <v>0.32392499999999996</v>
      </c>
      <c r="J14" s="16"/>
      <c r="K14" s="18"/>
      <c r="L14" s="19">
        <f t="shared" ref="L14" si="59">(C14*D14*K14/1000)</f>
        <v>0</v>
      </c>
      <c r="M14" s="16"/>
      <c r="N14" s="18"/>
      <c r="O14" s="19">
        <f t="shared" ref="O14" si="60">(C14*D14*N14/1000)</f>
        <v>0</v>
      </c>
      <c r="P14" s="20">
        <f t="shared" ref="P14:Q14" si="61">+H14+K14+N14</f>
        <v>5</v>
      </c>
      <c r="Q14" s="19">
        <f t="shared" si="61"/>
        <v>0.32392499999999996</v>
      </c>
      <c r="R14" s="21">
        <f t="shared" ref="R14:S14" si="62">E14-P14</f>
        <v>0</v>
      </c>
      <c r="S14" s="19">
        <f t="shared" si="62"/>
        <v>0</v>
      </c>
      <c r="U14" s="29"/>
    </row>
    <row r="15" spans="1:21">
      <c r="A15" s="36"/>
      <c r="B15" s="36"/>
      <c r="C15" s="36"/>
      <c r="D15" s="38"/>
      <c r="E15" s="31">
        <f>SUM(E14:E14)</f>
        <v>5</v>
      </c>
      <c r="F15" s="38">
        <f>SUM(F14:F14)</f>
        <v>0.32392499999999996</v>
      </c>
      <c r="G15" s="17" t="s">
        <v>129</v>
      </c>
      <c r="H15" s="31">
        <f>SUM(H14:H14)</f>
        <v>5</v>
      </c>
      <c r="I15" s="38">
        <f>SUM(I14:I14)</f>
        <v>0.32392499999999996</v>
      </c>
      <c r="J15" s="16"/>
      <c r="K15" s="31">
        <f>SUM(K14:K14)</f>
        <v>0</v>
      </c>
      <c r="L15" s="38">
        <f>SUM(L14:L14)</f>
        <v>0</v>
      </c>
      <c r="M15" s="16"/>
      <c r="N15" s="31">
        <f t="shared" ref="N15:S15" si="63">SUM(N14:N14)</f>
        <v>0</v>
      </c>
      <c r="O15" s="38">
        <f t="shared" si="63"/>
        <v>0</v>
      </c>
      <c r="P15" s="31">
        <f t="shared" si="63"/>
        <v>5</v>
      </c>
      <c r="Q15" s="38">
        <f t="shared" si="63"/>
        <v>0.32392499999999996</v>
      </c>
      <c r="R15" s="31">
        <f t="shared" si="63"/>
        <v>0</v>
      </c>
      <c r="S15" s="38">
        <f t="shared" si="63"/>
        <v>0</v>
      </c>
      <c r="U15" s="29"/>
    </row>
    <row r="16" spans="1:21">
      <c r="A16" s="26" t="s">
        <v>24</v>
      </c>
      <c r="B16" s="26" t="s">
        <v>45</v>
      </c>
      <c r="C16" s="26">
        <v>9.26</v>
      </c>
      <c r="D16" s="27">
        <v>9.6999999999999993</v>
      </c>
      <c r="E16" s="28">
        <v>4</v>
      </c>
      <c r="F16" s="16">
        <f t="shared" ref="F16" si="64">(C16*D16*E16/1000)</f>
        <v>0.35928799999999994</v>
      </c>
      <c r="G16" s="17" t="s">
        <v>89</v>
      </c>
      <c r="H16" s="18"/>
      <c r="I16" s="19">
        <f t="shared" ref="I16" si="65">(C16*D16*H16/1000)</f>
        <v>0</v>
      </c>
      <c r="J16" s="16"/>
      <c r="K16" s="18"/>
      <c r="L16" s="19">
        <f t="shared" ref="L16" si="66">(C16*D16*K16/1000)</f>
        <v>0</v>
      </c>
      <c r="M16" s="16"/>
      <c r="N16" s="18"/>
      <c r="O16" s="19">
        <f t="shared" ref="O16" si="67">(C16*D16*N16/1000)</f>
        <v>0</v>
      </c>
      <c r="P16" s="20">
        <f t="shared" ref="P16:Q16" si="68">+H16+K16+N16</f>
        <v>0</v>
      </c>
      <c r="Q16" s="19">
        <f t="shared" si="68"/>
        <v>0</v>
      </c>
      <c r="R16" s="21">
        <f t="shared" ref="R16:S16" si="69">E16-P16</f>
        <v>4</v>
      </c>
      <c r="S16" s="19">
        <f t="shared" si="69"/>
        <v>0.35928799999999994</v>
      </c>
      <c r="U16" s="29"/>
    </row>
    <row r="17" spans="1:21">
      <c r="A17" s="26" t="s">
        <v>24</v>
      </c>
      <c r="B17" s="26" t="s">
        <v>45</v>
      </c>
      <c r="C17" s="26">
        <v>9.26</v>
      </c>
      <c r="D17" s="27">
        <v>10</v>
      </c>
      <c r="E17" s="28"/>
      <c r="F17" s="16">
        <f t="shared" ref="F17" si="70">(C17*D17*E17/1000)</f>
        <v>0</v>
      </c>
      <c r="G17" s="17" t="s">
        <v>101</v>
      </c>
      <c r="H17" s="18">
        <v>4</v>
      </c>
      <c r="I17" s="19">
        <f t="shared" ref="I17" si="71">(C17*D17*H17/1000)</f>
        <v>0.37039999999999995</v>
      </c>
      <c r="J17" s="16"/>
      <c r="K17" s="18"/>
      <c r="L17" s="19">
        <f t="shared" ref="L17" si="72">(C17*D17*K17/1000)</f>
        <v>0</v>
      </c>
      <c r="M17" s="16"/>
      <c r="N17" s="18"/>
      <c r="O17" s="19">
        <f t="shared" ref="O17" si="73">(C17*D17*N17/1000)</f>
        <v>0</v>
      </c>
      <c r="P17" s="20">
        <f t="shared" ref="P17" si="74">+H17+K17+N17</f>
        <v>4</v>
      </c>
      <c r="Q17" s="19">
        <f t="shared" ref="Q17" si="75">+I17+L17+O17</f>
        <v>0.37039999999999995</v>
      </c>
      <c r="R17" s="21">
        <f t="shared" ref="R17" si="76">E17-P17</f>
        <v>-4</v>
      </c>
      <c r="S17" s="19">
        <f t="shared" ref="S17" si="77">F17-Q17</f>
        <v>-0.37039999999999995</v>
      </c>
      <c r="U17" s="29"/>
    </row>
    <row r="18" spans="1:21">
      <c r="A18" s="36"/>
      <c r="B18" s="41" t="s">
        <v>100</v>
      </c>
      <c r="C18" s="36"/>
      <c r="D18" s="38"/>
      <c r="E18" s="31">
        <f t="shared" ref="E18:F18" si="78">SUM(E16:E17)</f>
        <v>4</v>
      </c>
      <c r="F18" s="38">
        <f t="shared" si="78"/>
        <v>0.35928799999999994</v>
      </c>
      <c r="G18" s="17"/>
      <c r="H18" s="31">
        <f>SUM(H16:H17)</f>
        <v>4</v>
      </c>
      <c r="I18" s="38">
        <f t="shared" ref="I18" si="79">SUM(I16:I17)</f>
        <v>0.37039999999999995</v>
      </c>
      <c r="J18" s="16"/>
      <c r="K18" s="31">
        <f t="shared" ref="K18" si="80">SUM(K16:K17)</f>
        <v>0</v>
      </c>
      <c r="L18" s="38">
        <f t="shared" ref="L18" si="81">SUM(L16:L17)</f>
        <v>0</v>
      </c>
      <c r="M18" s="16"/>
      <c r="N18" s="31">
        <f t="shared" ref="N18" si="82">SUM(N16:N17)</f>
        <v>0</v>
      </c>
      <c r="O18" s="38">
        <f t="shared" ref="O18" si="83">SUM(O16:O17)</f>
        <v>0</v>
      </c>
      <c r="P18" s="31">
        <f t="shared" ref="P18" si="84">SUM(P16:P17)</f>
        <v>4</v>
      </c>
      <c r="Q18" s="38">
        <f t="shared" ref="Q18" si="85">SUM(Q16:Q17)</f>
        <v>0.37039999999999995</v>
      </c>
      <c r="R18" s="31">
        <f t="shared" ref="R18" si="86">SUM(R16:R17)</f>
        <v>0</v>
      </c>
      <c r="S18" s="38">
        <f t="shared" ref="S18" si="87">SUM(S16:S17)</f>
        <v>-1.1112000000000011E-2</v>
      </c>
      <c r="U18" s="29"/>
    </row>
    <row r="19" spans="1:21">
      <c r="A19" s="33"/>
      <c r="B19" s="33"/>
      <c r="C19" s="34"/>
      <c r="D19" s="34"/>
      <c r="E19" s="34">
        <f>SUM(E6:E18)/2</f>
        <v>55</v>
      </c>
      <c r="F19" s="35">
        <f>SUM(F6:F18)/2</f>
        <v>4.3603089999999991</v>
      </c>
      <c r="G19" s="26"/>
      <c r="H19" s="34">
        <f>SUM(H6:H18)/2</f>
        <v>55</v>
      </c>
      <c r="I19" s="35">
        <f>SUM(I6:I18)/2</f>
        <v>4.4440569999999999</v>
      </c>
      <c r="J19" s="26"/>
      <c r="K19" s="34">
        <f>SUM(K6:K18)/2</f>
        <v>0</v>
      </c>
      <c r="L19" s="35">
        <f>SUM(L6:L18)/2</f>
        <v>0</v>
      </c>
      <c r="M19" s="26"/>
      <c r="N19" s="34">
        <f t="shared" ref="N19:S19" si="88">SUM(N6:N18)/2</f>
        <v>0</v>
      </c>
      <c r="O19" s="35">
        <f t="shared" si="88"/>
        <v>0</v>
      </c>
      <c r="P19" s="34">
        <f t="shared" si="88"/>
        <v>55</v>
      </c>
      <c r="Q19" s="35">
        <f t="shared" si="88"/>
        <v>4.4440569999999999</v>
      </c>
      <c r="R19" s="34">
        <f t="shared" si="88"/>
        <v>0</v>
      </c>
      <c r="S19" s="35">
        <f t="shared" si="88"/>
        <v>-8.3748000000000128E-2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/>
  <dimension ref="A1:U13"/>
  <sheetViews>
    <sheetView zoomScale="75" zoomScaleNormal="75" workbookViewId="0">
      <pane ySplit="5" topLeftCell="A6" activePane="bottomLeft" state="frozen"/>
      <selection pane="bottomLeft" activeCell="A2" sqref="A2:A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bestFit="1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4" customWidth="1"/>
    <col min="14" max="16" width="9.109375" customWidth="1"/>
    <col min="17" max="17" width="10.664062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3" t="s">
        <v>63</v>
      </c>
      <c r="H1" s="144"/>
      <c r="I1" s="145" t="s">
        <v>70</v>
      </c>
      <c r="J1" s="144"/>
      <c r="K1" s="3"/>
      <c r="L1" s="4"/>
      <c r="M1" s="146" t="str">
        <f>+F2</f>
        <v>LOI-42  10.04.23</v>
      </c>
      <c r="N1" s="146"/>
      <c r="O1" s="5"/>
      <c r="P1" s="5"/>
      <c r="Q1" s="147" t="s">
        <v>1</v>
      </c>
      <c r="R1" s="147"/>
      <c r="S1" s="147"/>
    </row>
    <row r="2" spans="1:21">
      <c r="A2" s="7" t="s">
        <v>28</v>
      </c>
      <c r="B2" s="8"/>
      <c r="C2" s="9"/>
      <c r="D2" s="9"/>
      <c r="E2" s="10"/>
      <c r="F2" s="146" t="s">
        <v>71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9" t="s">
        <v>4</v>
      </c>
      <c r="Q4" s="149"/>
      <c r="R4" s="150" t="s">
        <v>5</v>
      </c>
      <c r="S4" s="150"/>
    </row>
    <row r="5" spans="1:21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13</v>
      </c>
      <c r="B6" s="26" t="s">
        <v>51</v>
      </c>
      <c r="C6" s="26">
        <v>19.8</v>
      </c>
      <c r="D6" s="27">
        <v>11.1</v>
      </c>
      <c r="E6" s="28">
        <v>8</v>
      </c>
      <c r="F6" s="16">
        <f t="shared" ref="F6" si="0">(C6*D6*E6/1000)</f>
        <v>1.75824</v>
      </c>
      <c r="G6" s="16" t="s">
        <v>91</v>
      </c>
      <c r="H6" s="18">
        <v>8</v>
      </c>
      <c r="I6" s="19">
        <f t="shared" ref="I6" si="1">(C6*D6*H6/1000)</f>
        <v>1.75824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20">
        <f t="shared" ref="P6:Q6" si="4">+H6+K6+N6</f>
        <v>8</v>
      </c>
      <c r="Q6" s="19">
        <f t="shared" si="4"/>
        <v>1.75824</v>
      </c>
      <c r="R6" s="21">
        <f t="shared" ref="R6:S6" si="5">E6-P6</f>
        <v>0</v>
      </c>
      <c r="S6" s="19">
        <f t="shared" si="5"/>
        <v>0</v>
      </c>
      <c r="U6" s="29"/>
    </row>
    <row r="7" spans="1:21">
      <c r="A7" s="36"/>
      <c r="B7" s="36"/>
      <c r="C7" s="36"/>
      <c r="D7" s="38"/>
      <c r="E7" s="31">
        <f>SUM(E6:E6)</f>
        <v>8</v>
      </c>
      <c r="F7" s="38">
        <f>SUM(F6:F6)</f>
        <v>1.75824</v>
      </c>
      <c r="G7" s="16" t="s">
        <v>113</v>
      </c>
      <c r="H7" s="31">
        <f>SUM(H6:H6)</f>
        <v>8</v>
      </c>
      <c r="I7" s="38">
        <f>SUM(I6:I6)</f>
        <v>1.75824</v>
      </c>
      <c r="J7" s="16"/>
      <c r="K7" s="31">
        <f>SUM(K6:K6)</f>
        <v>0</v>
      </c>
      <c r="L7" s="38">
        <f>SUM(L6:L6)</f>
        <v>0</v>
      </c>
      <c r="M7" s="16"/>
      <c r="N7" s="31">
        <f t="shared" ref="N7:S7" si="6">SUM(N6:N6)</f>
        <v>0</v>
      </c>
      <c r="O7" s="38">
        <f t="shared" si="6"/>
        <v>0</v>
      </c>
      <c r="P7" s="31">
        <f t="shared" si="6"/>
        <v>8</v>
      </c>
      <c r="Q7" s="38">
        <f t="shared" si="6"/>
        <v>1.75824</v>
      </c>
      <c r="R7" s="31">
        <f t="shared" si="6"/>
        <v>0</v>
      </c>
      <c r="S7" s="38">
        <f t="shared" si="6"/>
        <v>0</v>
      </c>
      <c r="U7" s="29"/>
    </row>
    <row r="8" spans="1:21">
      <c r="A8" s="26" t="s">
        <v>13</v>
      </c>
      <c r="B8" s="26" t="s">
        <v>60</v>
      </c>
      <c r="C8" s="26">
        <v>15</v>
      </c>
      <c r="D8" s="27">
        <v>11</v>
      </c>
      <c r="E8" s="28">
        <v>1</v>
      </c>
      <c r="F8" s="16">
        <f t="shared" ref="F8" si="7">(C8*D8*E8/1000)</f>
        <v>0.16500000000000001</v>
      </c>
      <c r="G8" s="16" t="s">
        <v>91</v>
      </c>
      <c r="H8" s="18"/>
      <c r="I8" s="19">
        <f t="shared" ref="I8" si="8">(C8*D8*H8/1000)</f>
        <v>0</v>
      </c>
      <c r="J8" s="16"/>
      <c r="K8" s="18"/>
      <c r="L8" s="19">
        <f t="shared" ref="L8" si="9">(C8*D8*K8/1000)</f>
        <v>0</v>
      </c>
      <c r="M8" s="16"/>
      <c r="N8" s="18"/>
      <c r="O8" s="19">
        <f t="shared" ref="O8" si="10">(C8*D8*N8/1000)</f>
        <v>0</v>
      </c>
      <c r="P8" s="20">
        <f t="shared" ref="P8:Q8" si="11">+H8+K8+N8</f>
        <v>0</v>
      </c>
      <c r="Q8" s="19">
        <f t="shared" si="11"/>
        <v>0</v>
      </c>
      <c r="R8" s="21">
        <f t="shared" ref="R8:S8" si="12">E8-P8</f>
        <v>1</v>
      </c>
      <c r="S8" s="19">
        <f t="shared" si="12"/>
        <v>0.16500000000000001</v>
      </c>
      <c r="U8" s="29"/>
    </row>
    <row r="9" spans="1:21">
      <c r="A9" s="26" t="s">
        <v>13</v>
      </c>
      <c r="B9" s="26" t="s">
        <v>60</v>
      </c>
      <c r="C9" s="26">
        <v>15</v>
      </c>
      <c r="D9" s="27">
        <v>11.5</v>
      </c>
      <c r="E9" s="28"/>
      <c r="F9" s="16">
        <f t="shared" ref="F9" si="13">(C9*D9*E9/1000)</f>
        <v>0</v>
      </c>
      <c r="G9" s="16" t="s">
        <v>113</v>
      </c>
      <c r="H9" s="18">
        <v>1</v>
      </c>
      <c r="I9" s="19">
        <f t="shared" ref="I9" si="14">(C9*D9*H9/1000)</f>
        <v>0.17249999999999999</v>
      </c>
      <c r="J9" s="16"/>
      <c r="K9" s="18"/>
      <c r="L9" s="19">
        <f t="shared" ref="L9" si="15">(C9*D9*K9/1000)</f>
        <v>0</v>
      </c>
      <c r="M9" s="16"/>
      <c r="N9" s="18"/>
      <c r="O9" s="19">
        <f t="shared" ref="O9" si="16">(C9*D9*N9/1000)</f>
        <v>0</v>
      </c>
      <c r="P9" s="20">
        <f t="shared" ref="P9" si="17">+H9+K9+N9</f>
        <v>1</v>
      </c>
      <c r="Q9" s="19">
        <f t="shared" ref="Q9" si="18">+I9+L9+O9</f>
        <v>0.17249999999999999</v>
      </c>
      <c r="R9" s="21">
        <f t="shared" ref="R9" si="19">E9-P9</f>
        <v>-1</v>
      </c>
      <c r="S9" s="19">
        <f t="shared" ref="S9" si="20">F9-Q9</f>
        <v>-0.17249999999999999</v>
      </c>
      <c r="U9" s="29"/>
    </row>
    <row r="10" spans="1:21">
      <c r="A10" s="36"/>
      <c r="B10" s="36"/>
      <c r="C10" s="36"/>
      <c r="D10" s="38"/>
      <c r="E10" s="31">
        <f t="shared" ref="E10:F10" si="21">SUM(E8:E9)</f>
        <v>1</v>
      </c>
      <c r="F10" s="38">
        <f t="shared" si="21"/>
        <v>0.16500000000000001</v>
      </c>
      <c r="G10" s="16"/>
      <c r="H10" s="31">
        <f t="shared" ref="H10" si="22">SUM(H8:H9)</f>
        <v>1</v>
      </c>
      <c r="I10" s="38">
        <f t="shared" ref="I10" si="23">SUM(I8:I9)</f>
        <v>0.17249999999999999</v>
      </c>
      <c r="J10" s="16"/>
      <c r="K10" s="31">
        <f t="shared" ref="K10" si="24">SUM(K8:K9)</f>
        <v>0</v>
      </c>
      <c r="L10" s="38">
        <f t="shared" ref="L10" si="25">SUM(L8:L9)</f>
        <v>0</v>
      </c>
      <c r="M10" s="16"/>
      <c r="N10" s="31">
        <f t="shared" ref="N10" si="26">SUM(N8:N9)</f>
        <v>0</v>
      </c>
      <c r="O10" s="38">
        <f t="shared" ref="O10" si="27">SUM(O8:O9)</f>
        <v>0</v>
      </c>
      <c r="P10" s="31">
        <f t="shared" ref="P10" si="28">SUM(P8:P9)</f>
        <v>1</v>
      </c>
      <c r="Q10" s="38">
        <f t="shared" ref="Q10" si="29">SUM(Q8:Q9)</f>
        <v>0.17249999999999999</v>
      </c>
      <c r="R10" s="31">
        <f t="shared" ref="R10" si="30">SUM(R8:R9)</f>
        <v>0</v>
      </c>
      <c r="S10" s="38">
        <f t="shared" ref="S10" si="31">SUM(S8:S9)</f>
        <v>-7.4999999999999789E-3</v>
      </c>
      <c r="U10" s="29"/>
    </row>
    <row r="11" spans="1:21">
      <c r="A11" s="26" t="s">
        <v>13</v>
      </c>
      <c r="B11" s="26" t="s">
        <v>55</v>
      </c>
      <c r="C11" s="26">
        <v>16</v>
      </c>
      <c r="D11" s="27">
        <v>7.15</v>
      </c>
      <c r="E11" s="28">
        <v>1</v>
      </c>
      <c r="F11" s="16">
        <f t="shared" ref="F11" si="32">(C11*D11*E11/1000)</f>
        <v>0.1144</v>
      </c>
      <c r="G11" s="17" t="s">
        <v>88</v>
      </c>
      <c r="H11" s="18">
        <v>1</v>
      </c>
      <c r="I11" s="19">
        <f t="shared" ref="I11" si="33">(C11*D11*H11/1000)</f>
        <v>0.1144</v>
      </c>
      <c r="J11" s="16"/>
      <c r="K11" s="18"/>
      <c r="L11" s="19">
        <f t="shared" ref="L11" si="34">(C11*D11*K11/1000)</f>
        <v>0</v>
      </c>
      <c r="M11" s="16"/>
      <c r="N11" s="18"/>
      <c r="O11" s="19">
        <f t="shared" ref="O11" si="35">(C11*D11*N11/1000)</f>
        <v>0</v>
      </c>
      <c r="P11" s="20">
        <f t="shared" ref="P11:Q11" si="36">+H11+K11+N11</f>
        <v>1</v>
      </c>
      <c r="Q11" s="19">
        <f t="shared" si="36"/>
        <v>0.1144</v>
      </c>
      <c r="R11" s="21">
        <f t="shared" ref="R11:S11" si="37">E11-P11</f>
        <v>0</v>
      </c>
      <c r="S11" s="19">
        <f t="shared" si="37"/>
        <v>0</v>
      </c>
      <c r="U11" s="29"/>
    </row>
    <row r="12" spans="1:21">
      <c r="A12" s="36"/>
      <c r="B12" s="36"/>
      <c r="C12" s="36"/>
      <c r="D12" s="38"/>
      <c r="E12" s="31">
        <f>SUM(E11:E11)</f>
        <v>1</v>
      </c>
      <c r="F12" s="38">
        <f>SUM(F11:F11)</f>
        <v>0.1144</v>
      </c>
      <c r="G12" s="17" t="s">
        <v>129</v>
      </c>
      <c r="H12" s="31">
        <f>SUM(H11:H11)</f>
        <v>1</v>
      </c>
      <c r="I12" s="38">
        <f>SUM(I11:I11)</f>
        <v>0.1144</v>
      </c>
      <c r="J12" s="16"/>
      <c r="K12" s="31">
        <f>SUM(K11:K11)</f>
        <v>0</v>
      </c>
      <c r="L12" s="38">
        <f>SUM(L11:L11)</f>
        <v>0</v>
      </c>
      <c r="M12" s="16"/>
      <c r="N12" s="31">
        <f t="shared" ref="N12:S12" si="38">SUM(N11:N11)</f>
        <v>0</v>
      </c>
      <c r="O12" s="38">
        <f t="shared" si="38"/>
        <v>0</v>
      </c>
      <c r="P12" s="31">
        <f t="shared" si="38"/>
        <v>1</v>
      </c>
      <c r="Q12" s="38">
        <f t="shared" si="38"/>
        <v>0.1144</v>
      </c>
      <c r="R12" s="31">
        <f t="shared" si="38"/>
        <v>0</v>
      </c>
      <c r="S12" s="38">
        <f t="shared" si="38"/>
        <v>0</v>
      </c>
      <c r="U12" s="29"/>
    </row>
    <row r="13" spans="1:21">
      <c r="A13" s="33"/>
      <c r="B13" s="33"/>
      <c r="C13" s="34"/>
      <c r="D13" s="34"/>
      <c r="E13" s="34">
        <f>SUM(E6:E12)/2</f>
        <v>10</v>
      </c>
      <c r="F13" s="35">
        <f>SUM(F6:F12)/2</f>
        <v>2.0376400000000001</v>
      </c>
      <c r="G13" s="26"/>
      <c r="H13" s="34">
        <f>SUM(H6:H12)/2</f>
        <v>10</v>
      </c>
      <c r="I13" s="35">
        <f>SUM(I6:I12)/2</f>
        <v>2.04514</v>
      </c>
      <c r="J13" s="26"/>
      <c r="K13" s="34">
        <f>SUM(K6:K12)/2</f>
        <v>0</v>
      </c>
      <c r="L13" s="35">
        <f>SUM(L6:L12)/2</f>
        <v>0</v>
      </c>
      <c r="M13" s="26"/>
      <c r="N13" s="34">
        <f t="shared" ref="N13:S13" si="39">SUM(N6:N12)/2</f>
        <v>0</v>
      </c>
      <c r="O13" s="35">
        <f t="shared" si="39"/>
        <v>0</v>
      </c>
      <c r="P13" s="34">
        <f t="shared" si="39"/>
        <v>10</v>
      </c>
      <c r="Q13" s="35">
        <f t="shared" si="39"/>
        <v>2.04514</v>
      </c>
      <c r="R13" s="34">
        <f t="shared" si="39"/>
        <v>0</v>
      </c>
      <c r="S13" s="35">
        <f t="shared" si="39"/>
        <v>-7.4999999999999789E-3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/>
  <dimension ref="A1:X213"/>
  <sheetViews>
    <sheetView zoomScale="75" zoomScaleNormal="75" workbookViewId="0">
      <pane ySplit="5" topLeftCell="A149" activePane="bottomLeft" state="frozen"/>
      <selection pane="bottomLeft" activeCell="L167" sqref="L16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117</v>
      </c>
      <c r="H1" s="144"/>
      <c r="I1" s="145" t="s">
        <v>118</v>
      </c>
      <c r="J1" s="144"/>
      <c r="K1" s="3"/>
      <c r="L1" s="4"/>
      <c r="M1" s="4"/>
      <c r="N1" s="3"/>
      <c r="O1" s="4"/>
      <c r="P1" s="146" t="str">
        <f>+F2</f>
        <v>LOI-122  27.04.23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120</v>
      </c>
      <c r="B2" s="8"/>
      <c r="C2" s="9"/>
      <c r="D2" s="9"/>
      <c r="E2" s="10"/>
      <c r="F2" s="146" t="s">
        <v>119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LOI-122  27.04.23</v>
      </c>
      <c r="V2" s="146"/>
    </row>
    <row r="3" spans="1:24">
      <c r="A3" s="12" t="s">
        <v>121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6.8</v>
      </c>
      <c r="E6" s="28">
        <v>31</v>
      </c>
      <c r="F6" s="16">
        <f t="shared" ref="F6:F15" si="0">(C6*D6*E6/1000)</f>
        <v>3.1619999999999999</v>
      </c>
      <c r="G6" s="16" t="s">
        <v>88</v>
      </c>
      <c r="H6" s="18">
        <v>33</v>
      </c>
      <c r="I6" s="19">
        <f t="shared" ref="I6:I15" si="1">(C6*D6*H6/1000)</f>
        <v>3.3660000000000001</v>
      </c>
      <c r="J6" s="16"/>
      <c r="K6" s="18"/>
      <c r="L6" s="19">
        <f t="shared" ref="L6:L15" si="2">(C6*D6*K6/1000)</f>
        <v>0</v>
      </c>
      <c r="M6" s="16"/>
      <c r="N6" s="18"/>
      <c r="O6" s="19">
        <f t="shared" ref="O6:O15" si="3">(C6*D6*N6/1000)</f>
        <v>0</v>
      </c>
      <c r="P6" s="16"/>
      <c r="Q6" s="18"/>
      <c r="R6" s="19">
        <f t="shared" ref="R6:R15" si="4">(C6*D6*Q6/1000)</f>
        <v>0</v>
      </c>
      <c r="S6" s="20">
        <f t="shared" ref="S6:S15" si="5">+H6+K6+Q6+N6</f>
        <v>33</v>
      </c>
      <c r="T6" s="19">
        <f t="shared" ref="T6:T15" si="6">+I6+L6+R6+O6</f>
        <v>3.3660000000000001</v>
      </c>
      <c r="U6" s="21">
        <f t="shared" ref="U6:U15" si="7">E6-S6</f>
        <v>-2</v>
      </c>
      <c r="V6" s="19">
        <f t="shared" ref="V6:V15" si="8">F6-T6</f>
        <v>-0.20400000000000018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9.1</v>
      </c>
      <c r="E7" s="28">
        <v>16</v>
      </c>
      <c r="F7" s="16">
        <f t="shared" si="0"/>
        <v>2.1840000000000002</v>
      </c>
      <c r="G7" s="16" t="s">
        <v>175</v>
      </c>
      <c r="H7" s="18">
        <v>14</v>
      </c>
      <c r="I7" s="19">
        <f t="shared" si="1"/>
        <v>1.911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14</v>
      </c>
      <c r="T7" s="19">
        <f t="shared" si="6"/>
        <v>1.911</v>
      </c>
      <c r="U7" s="21">
        <f t="shared" si="7"/>
        <v>2</v>
      </c>
      <c r="V7" s="19">
        <f t="shared" si="8"/>
        <v>0.27300000000000013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11.6</v>
      </c>
      <c r="E8" s="28">
        <v>10</v>
      </c>
      <c r="F8" s="16">
        <f t="shared" ref="F8:F14" si="9">(C8*D8*E8/1000)</f>
        <v>1.74</v>
      </c>
      <c r="G8" s="16"/>
      <c r="H8" s="18">
        <v>8</v>
      </c>
      <c r="I8" s="19">
        <f t="shared" ref="I8:I14" si="10">(C8*D8*H8/1000)</f>
        <v>1.3919999999999999</v>
      </c>
      <c r="J8" s="16"/>
      <c r="K8" s="18"/>
      <c r="L8" s="19">
        <f t="shared" ref="L8:L14" si="11">(C8*D8*K8/1000)</f>
        <v>0</v>
      </c>
      <c r="M8" s="16"/>
      <c r="N8" s="18"/>
      <c r="O8" s="19">
        <f t="shared" ref="O8:O14" si="12">(C8*D8*N8/1000)</f>
        <v>0</v>
      </c>
      <c r="P8" s="16"/>
      <c r="Q8" s="18"/>
      <c r="R8" s="19">
        <f t="shared" ref="R8:R14" si="13">(C8*D8*Q8/1000)</f>
        <v>0</v>
      </c>
      <c r="S8" s="20">
        <f t="shared" ref="S8:S14" si="14">+H8+K8+Q8+N8</f>
        <v>8</v>
      </c>
      <c r="T8" s="19">
        <f t="shared" ref="T8:T14" si="15">+I8+L8+R8+O8</f>
        <v>1.3919999999999999</v>
      </c>
      <c r="U8" s="21">
        <f t="shared" ref="U8:U14" si="16">E8-S8</f>
        <v>2</v>
      </c>
      <c r="V8" s="19">
        <f t="shared" ref="V8:V14" si="17">F8-T8</f>
        <v>0.34800000000000009</v>
      </c>
      <c r="X8" s="29"/>
    </row>
    <row r="9" spans="1:24">
      <c r="A9" s="26" t="s">
        <v>13</v>
      </c>
      <c r="B9" s="26" t="s">
        <v>60</v>
      </c>
      <c r="C9" s="30">
        <v>15</v>
      </c>
      <c r="D9" s="27">
        <v>9</v>
      </c>
      <c r="E9" s="28"/>
      <c r="F9" s="16">
        <f t="shared" si="9"/>
        <v>0</v>
      </c>
      <c r="G9" s="16"/>
      <c r="H9" s="18">
        <v>1</v>
      </c>
      <c r="I9" s="19">
        <f t="shared" si="10"/>
        <v>0.13500000000000001</v>
      </c>
      <c r="J9" s="16"/>
      <c r="K9" s="18"/>
      <c r="L9" s="19">
        <f t="shared" si="11"/>
        <v>0</v>
      </c>
      <c r="M9" s="16"/>
      <c r="N9" s="18"/>
      <c r="O9" s="19">
        <f t="shared" si="12"/>
        <v>0</v>
      </c>
      <c r="P9" s="16"/>
      <c r="Q9" s="18"/>
      <c r="R9" s="19">
        <f t="shared" si="13"/>
        <v>0</v>
      </c>
      <c r="S9" s="20">
        <f t="shared" si="14"/>
        <v>1</v>
      </c>
      <c r="T9" s="19">
        <f t="shared" si="15"/>
        <v>0.13500000000000001</v>
      </c>
      <c r="U9" s="21">
        <f t="shared" si="16"/>
        <v>-1</v>
      </c>
      <c r="V9" s="19">
        <f t="shared" si="17"/>
        <v>-0.13500000000000001</v>
      </c>
      <c r="X9" s="29"/>
    </row>
    <row r="10" spans="1:24">
      <c r="A10" s="26" t="s">
        <v>13</v>
      </c>
      <c r="B10" s="26" t="s">
        <v>60</v>
      </c>
      <c r="C10" s="30">
        <v>15</v>
      </c>
      <c r="D10" s="27">
        <v>8.5</v>
      </c>
      <c r="E10" s="28"/>
      <c r="F10" s="16">
        <f t="shared" si="9"/>
        <v>0</v>
      </c>
      <c r="G10" s="16"/>
      <c r="H10" s="18">
        <v>3</v>
      </c>
      <c r="I10" s="19">
        <f t="shared" si="10"/>
        <v>0.38250000000000001</v>
      </c>
      <c r="J10" s="16"/>
      <c r="K10" s="18"/>
      <c r="L10" s="19">
        <f t="shared" si="11"/>
        <v>0</v>
      </c>
      <c r="M10" s="16"/>
      <c r="N10" s="18"/>
      <c r="O10" s="19">
        <f t="shared" si="12"/>
        <v>0</v>
      </c>
      <c r="P10" s="16"/>
      <c r="Q10" s="18"/>
      <c r="R10" s="19">
        <f t="shared" si="13"/>
        <v>0</v>
      </c>
      <c r="S10" s="20">
        <f t="shared" si="14"/>
        <v>3</v>
      </c>
      <c r="T10" s="19">
        <f t="shared" si="15"/>
        <v>0.38250000000000001</v>
      </c>
      <c r="U10" s="21">
        <f t="shared" si="16"/>
        <v>-3</v>
      </c>
      <c r="V10" s="19">
        <f t="shared" si="17"/>
        <v>-0.38250000000000001</v>
      </c>
      <c r="X10" s="29"/>
    </row>
    <row r="11" spans="1:24">
      <c r="A11" s="26" t="s">
        <v>13</v>
      </c>
      <c r="B11" s="26" t="s">
        <v>60</v>
      </c>
      <c r="C11" s="30">
        <v>15</v>
      </c>
      <c r="D11" s="27">
        <v>11.2</v>
      </c>
      <c r="E11" s="28"/>
      <c r="F11" s="16">
        <f t="shared" si="9"/>
        <v>0</v>
      </c>
      <c r="G11" s="16"/>
      <c r="H11" s="18">
        <v>1</v>
      </c>
      <c r="I11" s="19">
        <f t="shared" si="10"/>
        <v>0.16800000000000001</v>
      </c>
      <c r="J11" s="16"/>
      <c r="K11" s="18"/>
      <c r="L11" s="19">
        <f t="shared" si="11"/>
        <v>0</v>
      </c>
      <c r="M11" s="16"/>
      <c r="N11" s="18"/>
      <c r="O11" s="19">
        <f t="shared" si="12"/>
        <v>0</v>
      </c>
      <c r="P11" s="16"/>
      <c r="Q11" s="18"/>
      <c r="R11" s="19">
        <f t="shared" si="13"/>
        <v>0</v>
      </c>
      <c r="S11" s="20">
        <f t="shared" si="14"/>
        <v>1</v>
      </c>
      <c r="T11" s="19">
        <f t="shared" si="15"/>
        <v>0.16800000000000001</v>
      </c>
      <c r="U11" s="21">
        <f t="shared" si="16"/>
        <v>-1</v>
      </c>
      <c r="V11" s="19">
        <f t="shared" si="17"/>
        <v>-0.16800000000000001</v>
      </c>
      <c r="X11" s="29"/>
    </row>
    <row r="12" spans="1:24">
      <c r="A12" s="26" t="s">
        <v>13</v>
      </c>
      <c r="B12" s="26" t="s">
        <v>60</v>
      </c>
      <c r="C12" s="30">
        <v>15</v>
      </c>
      <c r="D12" s="27">
        <v>8.3000000000000007</v>
      </c>
      <c r="E12" s="28"/>
      <c r="F12" s="16">
        <f t="shared" si="9"/>
        <v>0</v>
      </c>
      <c r="G12" s="16"/>
      <c r="H12" s="18">
        <v>1</v>
      </c>
      <c r="I12" s="19">
        <f t="shared" si="10"/>
        <v>0.12450000000000001</v>
      </c>
      <c r="J12" s="16"/>
      <c r="K12" s="18"/>
      <c r="L12" s="19">
        <f t="shared" si="11"/>
        <v>0</v>
      </c>
      <c r="M12" s="16"/>
      <c r="N12" s="18"/>
      <c r="O12" s="19">
        <f t="shared" si="12"/>
        <v>0</v>
      </c>
      <c r="P12" s="16"/>
      <c r="Q12" s="18"/>
      <c r="R12" s="19">
        <f t="shared" si="13"/>
        <v>0</v>
      </c>
      <c r="S12" s="20">
        <f t="shared" si="14"/>
        <v>1</v>
      </c>
      <c r="T12" s="19">
        <f t="shared" si="15"/>
        <v>0.12450000000000001</v>
      </c>
      <c r="U12" s="21">
        <f t="shared" si="16"/>
        <v>-1</v>
      </c>
      <c r="V12" s="19">
        <f t="shared" si="17"/>
        <v>-0.12450000000000001</v>
      </c>
      <c r="X12" s="29"/>
    </row>
    <row r="13" spans="1:24">
      <c r="A13" s="26" t="s">
        <v>13</v>
      </c>
      <c r="B13" s="26" t="s">
        <v>60</v>
      </c>
      <c r="C13" s="30">
        <v>15</v>
      </c>
      <c r="D13" s="27"/>
      <c r="E13" s="28"/>
      <c r="F13" s="16">
        <f t="shared" si="9"/>
        <v>0</v>
      </c>
      <c r="G13" s="16"/>
      <c r="H13" s="18"/>
      <c r="I13" s="19">
        <f t="shared" si="10"/>
        <v>0</v>
      </c>
      <c r="J13" s="16"/>
      <c r="K13" s="18"/>
      <c r="L13" s="19">
        <f t="shared" si="11"/>
        <v>0</v>
      </c>
      <c r="M13" s="16"/>
      <c r="N13" s="18"/>
      <c r="O13" s="19">
        <f t="shared" si="12"/>
        <v>0</v>
      </c>
      <c r="P13" s="16"/>
      <c r="Q13" s="18"/>
      <c r="R13" s="19">
        <f t="shared" si="13"/>
        <v>0</v>
      </c>
      <c r="S13" s="20">
        <f t="shared" si="14"/>
        <v>0</v>
      </c>
      <c r="T13" s="19">
        <f t="shared" si="15"/>
        <v>0</v>
      </c>
      <c r="U13" s="21">
        <f t="shared" si="16"/>
        <v>0</v>
      </c>
      <c r="V13" s="19">
        <f t="shared" si="17"/>
        <v>0</v>
      </c>
      <c r="X13" s="29"/>
    </row>
    <row r="14" spans="1:24">
      <c r="A14" s="26" t="s">
        <v>13</v>
      </c>
      <c r="B14" s="26" t="s">
        <v>60</v>
      </c>
      <c r="C14" s="30">
        <v>15</v>
      </c>
      <c r="D14" s="27"/>
      <c r="E14" s="28"/>
      <c r="F14" s="16">
        <f t="shared" si="9"/>
        <v>0</v>
      </c>
      <c r="G14" s="16"/>
      <c r="H14" s="18"/>
      <c r="I14" s="19">
        <f t="shared" si="10"/>
        <v>0</v>
      </c>
      <c r="J14" s="16"/>
      <c r="K14" s="18"/>
      <c r="L14" s="19">
        <f t="shared" si="11"/>
        <v>0</v>
      </c>
      <c r="M14" s="16"/>
      <c r="N14" s="18"/>
      <c r="O14" s="19">
        <f t="shared" si="12"/>
        <v>0</v>
      </c>
      <c r="P14" s="16"/>
      <c r="Q14" s="18"/>
      <c r="R14" s="19">
        <f t="shared" si="13"/>
        <v>0</v>
      </c>
      <c r="S14" s="20">
        <f t="shared" si="14"/>
        <v>0</v>
      </c>
      <c r="T14" s="19">
        <f t="shared" si="15"/>
        <v>0</v>
      </c>
      <c r="U14" s="21">
        <f t="shared" si="16"/>
        <v>0</v>
      </c>
      <c r="V14" s="19">
        <f t="shared" si="17"/>
        <v>0</v>
      </c>
      <c r="X14" s="29"/>
    </row>
    <row r="15" spans="1:24">
      <c r="A15" s="26" t="s">
        <v>13</v>
      </c>
      <c r="B15" s="26" t="s">
        <v>60</v>
      </c>
      <c r="C15" s="30">
        <v>15</v>
      </c>
      <c r="D15" s="27"/>
      <c r="E15" s="28"/>
      <c r="F15" s="16">
        <f t="shared" si="0"/>
        <v>0</v>
      </c>
      <c r="G15" s="16"/>
      <c r="H15" s="18"/>
      <c r="I15" s="19">
        <f t="shared" si="1"/>
        <v>0</v>
      </c>
      <c r="J15" s="16"/>
      <c r="K15" s="18"/>
      <c r="L15" s="19">
        <f t="shared" si="2"/>
        <v>0</v>
      </c>
      <c r="M15" s="16"/>
      <c r="N15" s="18"/>
      <c r="O15" s="19">
        <f t="shared" si="3"/>
        <v>0</v>
      </c>
      <c r="P15" s="16"/>
      <c r="Q15" s="18"/>
      <c r="R15" s="19">
        <f t="shared" si="4"/>
        <v>0</v>
      </c>
      <c r="S15" s="20">
        <f t="shared" si="5"/>
        <v>0</v>
      </c>
      <c r="T15" s="19">
        <f t="shared" si="6"/>
        <v>0</v>
      </c>
      <c r="U15" s="21">
        <f t="shared" si="7"/>
        <v>0</v>
      </c>
      <c r="V15" s="19">
        <f t="shared" si="8"/>
        <v>0</v>
      </c>
      <c r="X15" s="29"/>
    </row>
    <row r="16" spans="1:24">
      <c r="A16" s="36"/>
      <c r="B16" s="36"/>
      <c r="C16" s="37"/>
      <c r="D16" s="38"/>
      <c r="E16" s="31">
        <f t="shared" ref="E16:F16" si="18">SUM(E6:E15)</f>
        <v>57</v>
      </c>
      <c r="F16" s="38">
        <f t="shared" si="18"/>
        <v>7.0860000000000003</v>
      </c>
      <c r="G16" s="16"/>
      <c r="H16" s="31">
        <f t="shared" ref="H16" si="19">SUM(H6:H15)</f>
        <v>61</v>
      </c>
      <c r="I16" s="38">
        <f t="shared" ref="I16" si="20">SUM(I6:I15)</f>
        <v>7.479000000000001</v>
      </c>
      <c r="J16" s="16"/>
      <c r="K16" s="31">
        <f t="shared" ref="K16" si="21">SUM(K6:K15)</f>
        <v>0</v>
      </c>
      <c r="L16" s="38">
        <f t="shared" ref="L16" si="22">SUM(L6:L15)</f>
        <v>0</v>
      </c>
      <c r="M16" s="16"/>
      <c r="N16" s="31">
        <f t="shared" ref="N16" si="23">SUM(N6:N15)</f>
        <v>0</v>
      </c>
      <c r="O16" s="38">
        <f t="shared" ref="O16" si="24">SUM(O6:O15)</f>
        <v>0</v>
      </c>
      <c r="P16" s="16"/>
      <c r="Q16" s="31">
        <f t="shared" ref="Q16" si="25">SUM(Q6:Q15)</f>
        <v>0</v>
      </c>
      <c r="R16" s="38">
        <f t="shared" ref="R16" si="26">SUM(R6:R15)</f>
        <v>0</v>
      </c>
      <c r="S16" s="31">
        <f t="shared" ref="S16" si="27">SUM(S6:S15)</f>
        <v>61</v>
      </c>
      <c r="T16" s="38">
        <f t="shared" ref="T16" si="28">SUM(T6:T15)</f>
        <v>7.479000000000001</v>
      </c>
      <c r="U16" s="31">
        <f t="shared" ref="U16" si="29">SUM(U6:U15)</f>
        <v>-4</v>
      </c>
      <c r="V16" s="38">
        <f t="shared" ref="V16" si="30">SUM(V6:V15)</f>
        <v>-0.39299999999999996</v>
      </c>
      <c r="X16" s="29"/>
    </row>
    <row r="17" spans="1:24">
      <c r="A17" s="26" t="s">
        <v>13</v>
      </c>
      <c r="B17" s="26" t="s">
        <v>122</v>
      </c>
      <c r="C17" s="30">
        <v>17.8</v>
      </c>
      <c r="D17" s="27">
        <v>10.55</v>
      </c>
      <c r="E17" s="28">
        <v>23</v>
      </c>
      <c r="F17" s="16">
        <f>(C17*D17*E17/1000)</f>
        <v>4.3191699999999997</v>
      </c>
      <c r="G17" s="17" t="s">
        <v>88</v>
      </c>
      <c r="H17" s="18">
        <v>21</v>
      </c>
      <c r="I17" s="19">
        <f>(C17*D17*H17/1000)</f>
        <v>3.9435900000000008</v>
      </c>
      <c r="J17" s="17" t="s">
        <v>88</v>
      </c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21</v>
      </c>
      <c r="T17" s="19">
        <f>+I17+L17+R17+O17</f>
        <v>3.9435900000000008</v>
      </c>
      <c r="U17" s="21">
        <f>E17-S17</f>
        <v>2</v>
      </c>
      <c r="V17" s="19">
        <f>F17-T17</f>
        <v>0.37557999999999891</v>
      </c>
      <c r="X17" s="29"/>
    </row>
    <row r="18" spans="1:24">
      <c r="A18" s="26" t="s">
        <v>13</v>
      </c>
      <c r="B18" s="26" t="s">
        <v>122</v>
      </c>
      <c r="C18" s="30">
        <v>17.8</v>
      </c>
      <c r="D18" s="27">
        <v>7</v>
      </c>
      <c r="E18" s="28"/>
      <c r="F18" s="16">
        <f t="shared" ref="F18:F21" si="31">(C18*D18*E18/1000)</f>
        <v>0</v>
      </c>
      <c r="G18" s="17" t="s">
        <v>172</v>
      </c>
      <c r="H18" s="18"/>
      <c r="I18" s="19">
        <f t="shared" ref="I18:I21" si="32">(C18*D18*H18/1000)</f>
        <v>0</v>
      </c>
      <c r="J18" s="17" t="s">
        <v>175</v>
      </c>
      <c r="K18" s="18">
        <v>1</v>
      </c>
      <c r="L18" s="19">
        <f t="shared" ref="L18:L21" si="33">(C18*D18*K18/1000)</f>
        <v>0.1246</v>
      </c>
      <c r="M18" s="16"/>
      <c r="N18" s="18"/>
      <c r="O18" s="19">
        <f t="shared" ref="O18:O21" si="34">(C18*D18*N18/1000)</f>
        <v>0</v>
      </c>
      <c r="P18" s="16"/>
      <c r="Q18" s="18"/>
      <c r="R18" s="19">
        <f t="shared" ref="R18:R21" si="35">(C18*D18*Q18/1000)</f>
        <v>0</v>
      </c>
      <c r="S18" s="20">
        <f t="shared" ref="S18:S21" si="36">+H18+K18+Q18+N18</f>
        <v>1</v>
      </c>
      <c r="T18" s="19">
        <f t="shared" ref="T18:T21" si="37">+I18+L18+R18+O18</f>
        <v>0.1246</v>
      </c>
      <c r="U18" s="21">
        <f t="shared" ref="U18:U21" si="38">E18-S18</f>
        <v>-1</v>
      </c>
      <c r="V18" s="19">
        <f t="shared" ref="V18:V21" si="39">F18-T18</f>
        <v>-0.1246</v>
      </c>
      <c r="X18" s="29"/>
    </row>
    <row r="19" spans="1:24">
      <c r="A19" s="26" t="s">
        <v>13</v>
      </c>
      <c r="B19" s="26" t="s">
        <v>122</v>
      </c>
      <c r="C19" s="30">
        <v>17.8</v>
      </c>
      <c r="D19" s="27">
        <v>8</v>
      </c>
      <c r="E19" s="28"/>
      <c r="F19" s="16">
        <f t="shared" si="31"/>
        <v>0</v>
      </c>
      <c r="G19" s="17"/>
      <c r="H19" s="18"/>
      <c r="I19" s="19">
        <f t="shared" si="32"/>
        <v>0</v>
      </c>
      <c r="J19" s="16"/>
      <c r="K19" s="18">
        <v>1</v>
      </c>
      <c r="L19" s="19">
        <f t="shared" si="33"/>
        <v>0.1424</v>
      </c>
      <c r="M19" s="16"/>
      <c r="N19" s="18"/>
      <c r="O19" s="19">
        <f t="shared" si="34"/>
        <v>0</v>
      </c>
      <c r="P19" s="16"/>
      <c r="Q19" s="18"/>
      <c r="R19" s="19">
        <f t="shared" si="35"/>
        <v>0</v>
      </c>
      <c r="S19" s="20">
        <f t="shared" si="36"/>
        <v>1</v>
      </c>
      <c r="T19" s="19">
        <f t="shared" si="37"/>
        <v>0.1424</v>
      </c>
      <c r="U19" s="21">
        <f t="shared" si="38"/>
        <v>-1</v>
      </c>
      <c r="V19" s="19">
        <f t="shared" si="39"/>
        <v>-0.1424</v>
      </c>
      <c r="X19" s="29"/>
    </row>
    <row r="20" spans="1:24">
      <c r="A20" s="26" t="s">
        <v>13</v>
      </c>
      <c r="B20" s="26" t="s">
        <v>122</v>
      </c>
      <c r="C20" s="30">
        <v>17.8</v>
      </c>
      <c r="D20" s="27">
        <v>9.1</v>
      </c>
      <c r="E20" s="28"/>
      <c r="F20" s="16">
        <f t="shared" si="31"/>
        <v>0</v>
      </c>
      <c r="G20" s="17"/>
      <c r="H20" s="18"/>
      <c r="I20" s="19">
        <f t="shared" si="32"/>
        <v>0</v>
      </c>
      <c r="J20" s="16"/>
      <c r="K20" s="18">
        <v>1</v>
      </c>
      <c r="L20" s="19">
        <f t="shared" si="33"/>
        <v>0.16197999999999999</v>
      </c>
      <c r="M20" s="16"/>
      <c r="N20" s="18"/>
      <c r="O20" s="19">
        <f t="shared" si="34"/>
        <v>0</v>
      </c>
      <c r="P20" s="16"/>
      <c r="Q20" s="18"/>
      <c r="R20" s="19">
        <f t="shared" si="35"/>
        <v>0</v>
      </c>
      <c r="S20" s="20">
        <f t="shared" si="36"/>
        <v>1</v>
      </c>
      <c r="T20" s="19">
        <f t="shared" si="37"/>
        <v>0.16197999999999999</v>
      </c>
      <c r="U20" s="21">
        <f t="shared" si="38"/>
        <v>-1</v>
      </c>
      <c r="V20" s="19">
        <f t="shared" si="39"/>
        <v>-0.16197999999999999</v>
      </c>
      <c r="X20" s="29"/>
    </row>
    <row r="21" spans="1:24">
      <c r="A21" s="26" t="s">
        <v>13</v>
      </c>
      <c r="B21" s="26" t="s">
        <v>122</v>
      </c>
      <c r="C21" s="30">
        <v>17.8</v>
      </c>
      <c r="D21" s="27"/>
      <c r="E21" s="28"/>
      <c r="F21" s="16">
        <f t="shared" si="31"/>
        <v>0</v>
      </c>
      <c r="G21" s="17"/>
      <c r="H21" s="18"/>
      <c r="I21" s="19">
        <f t="shared" si="32"/>
        <v>0</v>
      </c>
      <c r="J21" s="16"/>
      <c r="K21" s="18"/>
      <c r="L21" s="19">
        <f t="shared" si="33"/>
        <v>0</v>
      </c>
      <c r="M21" s="16"/>
      <c r="N21" s="18"/>
      <c r="O21" s="19">
        <f t="shared" si="34"/>
        <v>0</v>
      </c>
      <c r="P21" s="16"/>
      <c r="Q21" s="18"/>
      <c r="R21" s="19">
        <f t="shared" si="35"/>
        <v>0</v>
      </c>
      <c r="S21" s="20">
        <f t="shared" si="36"/>
        <v>0</v>
      </c>
      <c r="T21" s="19">
        <f t="shared" si="37"/>
        <v>0</v>
      </c>
      <c r="U21" s="21">
        <f t="shared" si="38"/>
        <v>0</v>
      </c>
      <c r="V21" s="19">
        <f t="shared" si="39"/>
        <v>0</v>
      </c>
      <c r="X21" s="29"/>
    </row>
    <row r="22" spans="1:24">
      <c r="A22" s="36"/>
      <c r="B22" s="36"/>
      <c r="C22" s="37"/>
      <c r="D22" s="38"/>
      <c r="E22" s="31">
        <f>SUM(E17:E21)</f>
        <v>23</v>
      </c>
      <c r="F22" s="38">
        <f>SUM(F17:F21)</f>
        <v>4.3191699999999997</v>
      </c>
      <c r="G22" s="17"/>
      <c r="H22" s="31">
        <f>SUM(H17:H21)</f>
        <v>21</v>
      </c>
      <c r="I22" s="38">
        <f>SUM(I17:I21)</f>
        <v>3.9435900000000008</v>
      </c>
      <c r="J22" s="16"/>
      <c r="K22" s="31">
        <f>SUM(K17:K21)</f>
        <v>3</v>
      </c>
      <c r="L22" s="38">
        <f>SUM(L17:L21)</f>
        <v>0.42898000000000003</v>
      </c>
      <c r="M22" s="16"/>
      <c r="N22" s="31">
        <f>SUM(N17:N21)</f>
        <v>0</v>
      </c>
      <c r="O22" s="38">
        <f>SUM(O17:O21)</f>
        <v>0</v>
      </c>
      <c r="P22" s="16"/>
      <c r="Q22" s="31">
        <f t="shared" ref="Q22:V22" si="40">SUM(Q17:Q21)</f>
        <v>0</v>
      </c>
      <c r="R22" s="38">
        <f t="shared" si="40"/>
        <v>0</v>
      </c>
      <c r="S22" s="31">
        <f t="shared" si="40"/>
        <v>24</v>
      </c>
      <c r="T22" s="38">
        <f t="shared" si="40"/>
        <v>4.3725700000000005</v>
      </c>
      <c r="U22" s="31">
        <f t="shared" si="40"/>
        <v>-1</v>
      </c>
      <c r="V22" s="38">
        <f t="shared" si="40"/>
        <v>-5.3400000000001058E-2</v>
      </c>
      <c r="X22" s="29"/>
    </row>
    <row r="23" spans="1:24">
      <c r="A23" s="26" t="s">
        <v>13</v>
      </c>
      <c r="B23" s="26" t="s">
        <v>45</v>
      </c>
      <c r="C23" s="30">
        <v>9.26</v>
      </c>
      <c r="D23" s="27">
        <v>8.9</v>
      </c>
      <c r="E23" s="28">
        <v>46</v>
      </c>
      <c r="F23" s="16">
        <f t="shared" ref="F23:F32" si="41">(C23*D23*E23/1000)</f>
        <v>3.7910439999999999</v>
      </c>
      <c r="G23" s="17" t="s">
        <v>93</v>
      </c>
      <c r="H23" s="18">
        <v>46</v>
      </c>
      <c r="I23" s="19">
        <f t="shared" ref="I23:I32" si="42">(C23*D23*H23/1000)</f>
        <v>3.7910439999999999</v>
      </c>
      <c r="J23" s="17" t="s">
        <v>88</v>
      </c>
      <c r="K23" s="18"/>
      <c r="L23" s="19">
        <f t="shared" ref="L23:L32" si="43">(C23*D23*K23/1000)</f>
        <v>0</v>
      </c>
      <c r="M23" s="16"/>
      <c r="N23" s="18"/>
      <c r="O23" s="19">
        <f t="shared" ref="O23:O32" si="44">(C23*D23*N23/1000)</f>
        <v>0</v>
      </c>
      <c r="P23" s="16"/>
      <c r="Q23" s="18"/>
      <c r="R23" s="19">
        <f t="shared" ref="R23:R32" si="45">(C23*D23*Q23/1000)</f>
        <v>0</v>
      </c>
      <c r="S23" s="20">
        <f t="shared" ref="S23:S32" si="46">+H23+K23+Q23+N23</f>
        <v>46</v>
      </c>
      <c r="T23" s="19">
        <f t="shared" ref="T23:T32" si="47">+I23+L23+R23+O23</f>
        <v>3.7910439999999999</v>
      </c>
      <c r="U23" s="21">
        <f t="shared" ref="U23:U32" si="48">E23-S23</f>
        <v>0</v>
      </c>
      <c r="V23" s="19">
        <f t="shared" ref="V23:V32" si="49">F23-T23</f>
        <v>0</v>
      </c>
      <c r="X23" s="29"/>
    </row>
    <row r="24" spans="1:24">
      <c r="A24" s="26" t="s">
        <v>13</v>
      </c>
      <c r="B24" s="26" t="s">
        <v>45</v>
      </c>
      <c r="C24" s="30">
        <v>9.26</v>
      </c>
      <c r="D24" s="27">
        <v>10.3</v>
      </c>
      <c r="E24" s="28">
        <v>30</v>
      </c>
      <c r="F24" s="16">
        <f t="shared" si="41"/>
        <v>2.8613400000000002</v>
      </c>
      <c r="G24" s="17" t="s">
        <v>167</v>
      </c>
      <c r="H24" s="18">
        <v>30</v>
      </c>
      <c r="I24" s="19">
        <f t="shared" si="42"/>
        <v>2.8613400000000002</v>
      </c>
      <c r="J24" s="17" t="s">
        <v>175</v>
      </c>
      <c r="K24" s="18"/>
      <c r="L24" s="19">
        <f t="shared" si="43"/>
        <v>0</v>
      </c>
      <c r="M24" s="16"/>
      <c r="N24" s="18"/>
      <c r="O24" s="19">
        <f t="shared" si="44"/>
        <v>0</v>
      </c>
      <c r="P24" s="16"/>
      <c r="Q24" s="18"/>
      <c r="R24" s="19">
        <f t="shared" si="45"/>
        <v>0</v>
      </c>
      <c r="S24" s="20">
        <f t="shared" si="46"/>
        <v>30</v>
      </c>
      <c r="T24" s="19">
        <f t="shared" si="47"/>
        <v>2.8613400000000002</v>
      </c>
      <c r="U24" s="21">
        <f t="shared" si="48"/>
        <v>0</v>
      </c>
      <c r="V24" s="19">
        <f t="shared" si="49"/>
        <v>0</v>
      </c>
      <c r="X24" s="29"/>
    </row>
    <row r="25" spans="1:24">
      <c r="A25" s="26" t="s">
        <v>13</v>
      </c>
      <c r="B25" s="26" t="s">
        <v>45</v>
      </c>
      <c r="C25" s="30">
        <v>9.26</v>
      </c>
      <c r="D25" s="27">
        <v>11.4</v>
      </c>
      <c r="E25" s="28">
        <v>30</v>
      </c>
      <c r="F25" s="16">
        <f t="shared" si="41"/>
        <v>3.1669200000000002</v>
      </c>
      <c r="G25" s="17"/>
      <c r="H25" s="18">
        <v>30</v>
      </c>
      <c r="I25" s="19">
        <f>(C25*D25*H25/1000)</f>
        <v>3.1669200000000002</v>
      </c>
      <c r="J25" s="16"/>
      <c r="K25" s="18">
        <v>10</v>
      </c>
      <c r="L25" s="19">
        <f t="shared" si="43"/>
        <v>1.0556400000000001</v>
      </c>
      <c r="M25" s="16"/>
      <c r="N25" s="18"/>
      <c r="O25" s="19">
        <f t="shared" si="44"/>
        <v>0</v>
      </c>
      <c r="P25" s="16"/>
      <c r="Q25" s="18"/>
      <c r="R25" s="19">
        <f t="shared" si="45"/>
        <v>0</v>
      </c>
      <c r="S25" s="20">
        <f t="shared" si="46"/>
        <v>40</v>
      </c>
      <c r="T25" s="19">
        <f t="shared" si="47"/>
        <v>4.2225600000000005</v>
      </c>
      <c r="U25" s="21">
        <f t="shared" si="48"/>
        <v>-10</v>
      </c>
      <c r="V25" s="19">
        <f t="shared" si="49"/>
        <v>-1.0556400000000004</v>
      </c>
      <c r="X25" s="29"/>
    </row>
    <row r="26" spans="1:24">
      <c r="A26" s="26" t="s">
        <v>13</v>
      </c>
      <c r="B26" s="26" t="s">
        <v>45</v>
      </c>
      <c r="C26" s="30">
        <v>9.26</v>
      </c>
      <c r="D26" s="27">
        <v>11.7</v>
      </c>
      <c r="E26" s="28">
        <v>26</v>
      </c>
      <c r="F26" s="16">
        <f t="shared" si="41"/>
        <v>2.8168919999999997</v>
      </c>
      <c r="G26" s="17"/>
      <c r="H26" s="18">
        <v>14</v>
      </c>
      <c r="I26" s="19">
        <f t="shared" si="42"/>
        <v>1.5167879999999998</v>
      </c>
      <c r="J26" s="16"/>
      <c r="K26" s="18"/>
      <c r="L26" s="19">
        <f t="shared" si="43"/>
        <v>0</v>
      </c>
      <c r="M26" s="16"/>
      <c r="N26" s="18"/>
      <c r="O26" s="19">
        <f t="shared" si="44"/>
        <v>0</v>
      </c>
      <c r="P26" s="16"/>
      <c r="Q26" s="18"/>
      <c r="R26" s="19">
        <f t="shared" si="45"/>
        <v>0</v>
      </c>
      <c r="S26" s="20">
        <f t="shared" si="46"/>
        <v>14</v>
      </c>
      <c r="T26" s="19">
        <f t="shared" si="47"/>
        <v>1.5167879999999998</v>
      </c>
      <c r="U26" s="21">
        <f t="shared" si="48"/>
        <v>12</v>
      </c>
      <c r="V26" s="19">
        <f t="shared" si="49"/>
        <v>1.3001039999999999</v>
      </c>
      <c r="X26" s="29"/>
    </row>
    <row r="27" spans="1:24">
      <c r="A27" s="26" t="s">
        <v>13</v>
      </c>
      <c r="B27" s="26" t="s">
        <v>45</v>
      </c>
      <c r="C27" s="30">
        <v>9.26</v>
      </c>
      <c r="D27" s="27">
        <v>12</v>
      </c>
      <c r="E27" s="28">
        <v>18</v>
      </c>
      <c r="F27" s="16">
        <f t="shared" ref="F27:F31" si="50">(C27*D27*E27/1000)</f>
        <v>2.0001600000000002</v>
      </c>
      <c r="G27" s="17"/>
      <c r="H27" s="18">
        <v>18</v>
      </c>
      <c r="I27" s="19">
        <f t="shared" ref="I27:I31" si="51">(C27*D27*H27/1000)</f>
        <v>2.0001600000000002</v>
      </c>
      <c r="J27" s="16"/>
      <c r="K27" s="18"/>
      <c r="L27" s="19">
        <f t="shared" ref="L27:L31" si="52">(C27*D27*K27/1000)</f>
        <v>0</v>
      </c>
      <c r="M27" s="16"/>
      <c r="N27" s="18"/>
      <c r="O27" s="19">
        <f t="shared" ref="O27:O31" si="53">(C27*D27*N27/1000)</f>
        <v>0</v>
      </c>
      <c r="P27" s="16"/>
      <c r="Q27" s="18"/>
      <c r="R27" s="19">
        <f t="shared" ref="R27:R31" si="54">(C27*D27*Q27/1000)</f>
        <v>0</v>
      </c>
      <c r="S27" s="20">
        <f t="shared" ref="S27:S31" si="55">+H27+K27+Q27+N27</f>
        <v>18</v>
      </c>
      <c r="T27" s="19">
        <f t="shared" ref="T27:T31" si="56">+I27+L27+R27+O27</f>
        <v>2.0001600000000002</v>
      </c>
      <c r="U27" s="21">
        <f t="shared" ref="U27:U31" si="57">E27-S27</f>
        <v>0</v>
      </c>
      <c r="V27" s="19">
        <f t="shared" ref="V27:V31" si="58">F27-T27</f>
        <v>0</v>
      </c>
      <c r="X27" s="29"/>
    </row>
    <row r="28" spans="1:24">
      <c r="A28" s="26" t="s">
        <v>13</v>
      </c>
      <c r="B28" s="26" t="s">
        <v>45</v>
      </c>
      <c r="C28" s="30">
        <v>9.26</v>
      </c>
      <c r="D28" s="27">
        <v>6.8</v>
      </c>
      <c r="E28" s="28"/>
      <c r="F28" s="16">
        <f t="shared" si="50"/>
        <v>0</v>
      </c>
      <c r="G28" s="17"/>
      <c r="H28" s="18"/>
      <c r="I28" s="19">
        <f t="shared" si="51"/>
        <v>0</v>
      </c>
      <c r="J28" s="16"/>
      <c r="K28" s="18">
        <v>1</v>
      </c>
      <c r="L28" s="19">
        <f t="shared" si="52"/>
        <v>6.2967999999999996E-2</v>
      </c>
      <c r="M28" s="16"/>
      <c r="N28" s="18"/>
      <c r="O28" s="19">
        <f t="shared" si="53"/>
        <v>0</v>
      </c>
      <c r="P28" s="16"/>
      <c r="Q28" s="18"/>
      <c r="R28" s="19">
        <f t="shared" si="54"/>
        <v>0</v>
      </c>
      <c r="S28" s="20">
        <f t="shared" si="55"/>
        <v>1</v>
      </c>
      <c r="T28" s="19">
        <f t="shared" si="56"/>
        <v>6.2967999999999996E-2</v>
      </c>
      <c r="U28" s="21">
        <f t="shared" si="57"/>
        <v>-1</v>
      </c>
      <c r="V28" s="19">
        <f t="shared" si="58"/>
        <v>-6.2967999999999996E-2</v>
      </c>
      <c r="X28" s="29"/>
    </row>
    <row r="29" spans="1:24">
      <c r="A29" s="26" t="s">
        <v>13</v>
      </c>
      <c r="B29" s="26" t="s">
        <v>45</v>
      </c>
      <c r="C29" s="30">
        <v>9.26</v>
      </c>
      <c r="D29" s="27">
        <v>7</v>
      </c>
      <c r="E29" s="28"/>
      <c r="F29" s="16">
        <f t="shared" si="50"/>
        <v>0</v>
      </c>
      <c r="G29" s="17"/>
      <c r="H29" s="18"/>
      <c r="I29" s="19">
        <f t="shared" si="51"/>
        <v>0</v>
      </c>
      <c r="J29" s="16"/>
      <c r="K29" s="18">
        <v>1</v>
      </c>
      <c r="L29" s="19">
        <f t="shared" si="52"/>
        <v>6.4819999999999989E-2</v>
      </c>
      <c r="M29" s="16"/>
      <c r="N29" s="18"/>
      <c r="O29" s="19">
        <f t="shared" si="53"/>
        <v>0</v>
      </c>
      <c r="P29" s="16"/>
      <c r="Q29" s="18"/>
      <c r="R29" s="19">
        <f t="shared" si="54"/>
        <v>0</v>
      </c>
      <c r="S29" s="20">
        <f t="shared" si="55"/>
        <v>1</v>
      </c>
      <c r="T29" s="19">
        <f t="shared" si="56"/>
        <v>6.4819999999999989E-2</v>
      </c>
      <c r="U29" s="21">
        <f t="shared" si="57"/>
        <v>-1</v>
      </c>
      <c r="V29" s="19">
        <f t="shared" si="58"/>
        <v>-6.4819999999999989E-2</v>
      </c>
      <c r="X29" s="29"/>
    </row>
    <row r="30" spans="1:24">
      <c r="A30" s="26" t="s">
        <v>13</v>
      </c>
      <c r="B30" s="26" t="s">
        <v>45</v>
      </c>
      <c r="C30" s="30">
        <v>9.26</v>
      </c>
      <c r="D30" s="27">
        <v>8.1999999999999993</v>
      </c>
      <c r="E30" s="28"/>
      <c r="F30" s="16">
        <f t="shared" si="50"/>
        <v>0</v>
      </c>
      <c r="G30" s="17"/>
      <c r="H30" s="18"/>
      <c r="I30" s="19">
        <f t="shared" si="51"/>
        <v>0</v>
      </c>
      <c r="J30" s="16"/>
      <c r="K30" s="18">
        <v>3</v>
      </c>
      <c r="L30" s="19">
        <f t="shared" si="52"/>
        <v>0.22779599999999997</v>
      </c>
      <c r="M30" s="16"/>
      <c r="N30" s="18"/>
      <c r="O30" s="19">
        <f t="shared" si="53"/>
        <v>0</v>
      </c>
      <c r="P30" s="16"/>
      <c r="Q30" s="18"/>
      <c r="R30" s="19">
        <f t="shared" si="54"/>
        <v>0</v>
      </c>
      <c r="S30" s="20">
        <f t="shared" si="55"/>
        <v>3</v>
      </c>
      <c r="T30" s="19">
        <f t="shared" si="56"/>
        <v>0.22779599999999997</v>
      </c>
      <c r="U30" s="21">
        <f t="shared" si="57"/>
        <v>-3</v>
      </c>
      <c r="V30" s="19">
        <f t="shared" si="58"/>
        <v>-0.22779599999999997</v>
      </c>
      <c r="X30" s="29"/>
    </row>
    <row r="31" spans="1:24">
      <c r="A31" s="26" t="s">
        <v>13</v>
      </c>
      <c r="B31" s="26" t="s">
        <v>45</v>
      </c>
      <c r="C31" s="30">
        <v>9.26</v>
      </c>
      <c r="D31" s="27">
        <v>6.7</v>
      </c>
      <c r="E31" s="28"/>
      <c r="F31" s="16">
        <f t="shared" si="50"/>
        <v>0</v>
      </c>
      <c r="G31" s="17"/>
      <c r="H31" s="18"/>
      <c r="I31" s="19">
        <f t="shared" si="51"/>
        <v>0</v>
      </c>
      <c r="J31" s="16"/>
      <c r="K31" s="18">
        <v>1</v>
      </c>
      <c r="L31" s="19">
        <f t="shared" si="52"/>
        <v>6.2042E-2</v>
      </c>
      <c r="M31" s="16"/>
      <c r="N31" s="18"/>
      <c r="O31" s="19">
        <f t="shared" si="53"/>
        <v>0</v>
      </c>
      <c r="P31" s="16"/>
      <c r="Q31" s="18"/>
      <c r="R31" s="19">
        <f t="shared" si="54"/>
        <v>0</v>
      </c>
      <c r="S31" s="20">
        <f t="shared" si="55"/>
        <v>1</v>
      </c>
      <c r="T31" s="19">
        <f t="shared" si="56"/>
        <v>6.2042E-2</v>
      </c>
      <c r="U31" s="21">
        <f t="shared" si="57"/>
        <v>-1</v>
      </c>
      <c r="V31" s="19">
        <f t="shared" si="58"/>
        <v>-6.2042E-2</v>
      </c>
      <c r="X31" s="29"/>
    </row>
    <row r="32" spans="1:24">
      <c r="A32" s="26" t="s">
        <v>13</v>
      </c>
      <c r="B32" s="26" t="s">
        <v>45</v>
      </c>
      <c r="C32" s="30">
        <v>9.26</v>
      </c>
      <c r="D32" s="27"/>
      <c r="E32" s="28"/>
      <c r="F32" s="16">
        <f t="shared" si="41"/>
        <v>0</v>
      </c>
      <c r="G32" s="17"/>
      <c r="H32" s="18"/>
      <c r="I32" s="19">
        <f t="shared" si="42"/>
        <v>0</v>
      </c>
      <c r="J32" s="16"/>
      <c r="K32" s="18"/>
      <c r="L32" s="19">
        <f t="shared" si="43"/>
        <v>0</v>
      </c>
      <c r="M32" s="16"/>
      <c r="N32" s="18"/>
      <c r="O32" s="19">
        <f t="shared" si="44"/>
        <v>0</v>
      </c>
      <c r="P32" s="16"/>
      <c r="Q32" s="18"/>
      <c r="R32" s="19">
        <f t="shared" si="45"/>
        <v>0</v>
      </c>
      <c r="S32" s="20">
        <f t="shared" si="46"/>
        <v>0</v>
      </c>
      <c r="T32" s="19">
        <f t="shared" si="47"/>
        <v>0</v>
      </c>
      <c r="U32" s="21">
        <f t="shared" si="48"/>
        <v>0</v>
      </c>
      <c r="V32" s="19">
        <f t="shared" si="49"/>
        <v>0</v>
      </c>
      <c r="X32" s="29"/>
    </row>
    <row r="33" spans="1:24">
      <c r="A33" s="36"/>
      <c r="B33" s="36"/>
      <c r="C33" s="37"/>
      <c r="D33" s="38"/>
      <c r="E33" s="31">
        <f t="shared" ref="E33:F33" si="59">SUM(E23:E32)</f>
        <v>150</v>
      </c>
      <c r="F33" s="38">
        <f t="shared" si="59"/>
        <v>14.636355999999999</v>
      </c>
      <c r="G33" s="17"/>
      <c r="H33" s="31">
        <f t="shared" ref="H33" si="60">SUM(H23:H32)</f>
        <v>138</v>
      </c>
      <c r="I33" s="38">
        <f t="shared" ref="I33" si="61">SUM(I23:I32)</f>
        <v>13.336251999999998</v>
      </c>
      <c r="J33" s="16"/>
      <c r="K33" s="31">
        <f t="shared" ref="K33" si="62">SUM(K23:K32)</f>
        <v>16</v>
      </c>
      <c r="L33" s="38">
        <f t="shared" ref="L33" si="63">SUM(L23:L32)</f>
        <v>1.473266</v>
      </c>
      <c r="M33" s="16"/>
      <c r="N33" s="31">
        <f t="shared" ref="N33" si="64">SUM(N23:N32)</f>
        <v>0</v>
      </c>
      <c r="O33" s="38">
        <f t="shared" ref="O33" si="65">SUM(O23:O32)</f>
        <v>0</v>
      </c>
      <c r="P33" s="16"/>
      <c r="Q33" s="31">
        <f t="shared" ref="Q33" si="66">SUM(Q23:Q32)</f>
        <v>0</v>
      </c>
      <c r="R33" s="38">
        <f t="shared" ref="R33" si="67">SUM(R23:R32)</f>
        <v>0</v>
      </c>
      <c r="S33" s="31">
        <f t="shared" ref="S33" si="68">SUM(S23:S32)</f>
        <v>154</v>
      </c>
      <c r="T33" s="38">
        <f t="shared" ref="T33" si="69">SUM(T23:T32)</f>
        <v>14.809517999999997</v>
      </c>
      <c r="U33" s="31">
        <f t="shared" ref="U33" si="70">SUM(U23:U32)</f>
        <v>-4</v>
      </c>
      <c r="V33" s="38">
        <f t="shared" ref="V33" si="71">SUM(V23:V32)</f>
        <v>-0.17316200000000037</v>
      </c>
      <c r="X33" s="29"/>
    </row>
    <row r="34" spans="1:24">
      <c r="A34" s="26" t="s">
        <v>13</v>
      </c>
      <c r="B34" s="26" t="s">
        <v>46</v>
      </c>
      <c r="C34" s="30">
        <v>10.7</v>
      </c>
      <c r="D34" s="27">
        <v>7.2</v>
      </c>
      <c r="E34" s="28">
        <v>33</v>
      </c>
      <c r="F34" s="16">
        <f t="shared" ref="F34:F54" si="72">(C34*D34*E34/1000)</f>
        <v>2.5423199999999997</v>
      </c>
      <c r="G34" s="16" t="s">
        <v>89</v>
      </c>
      <c r="H34" s="18">
        <v>20</v>
      </c>
      <c r="I34" s="19">
        <f t="shared" ref="I34:I54" si="73">(C34*D34*H34/1000)</f>
        <v>1.5407999999999997</v>
      </c>
      <c r="J34" s="17" t="s">
        <v>93</v>
      </c>
      <c r="K34" s="18"/>
      <c r="L34" s="19">
        <f t="shared" ref="L34:L54" si="74">(C34*D34*K34/1000)</f>
        <v>0</v>
      </c>
      <c r="M34" s="16" t="s">
        <v>93</v>
      </c>
      <c r="N34" s="18">
        <v>13</v>
      </c>
      <c r="O34" s="19">
        <f t="shared" ref="O34:O54" si="75">(C34*D34*N34/1000)</f>
        <v>1.00152</v>
      </c>
      <c r="P34" s="16" t="s">
        <v>88</v>
      </c>
      <c r="Q34" s="18"/>
      <c r="R34" s="19">
        <f t="shared" ref="R34:R54" si="76">(C34*D34*Q34/1000)</f>
        <v>0</v>
      </c>
      <c r="S34" s="20">
        <f t="shared" ref="S34:S54" si="77">+H34+K34+Q34+N34</f>
        <v>33</v>
      </c>
      <c r="T34" s="19">
        <f t="shared" ref="T34:T54" si="78">+I34+L34+R34+O34</f>
        <v>2.5423199999999997</v>
      </c>
      <c r="U34" s="21">
        <f t="shared" ref="U34:U54" si="79">E34-S34</f>
        <v>0</v>
      </c>
      <c r="V34" s="19">
        <f t="shared" ref="V34:V54" si="80">F34-T34</f>
        <v>0</v>
      </c>
      <c r="X34" s="29"/>
    </row>
    <row r="35" spans="1:24">
      <c r="A35" s="26" t="s">
        <v>13</v>
      </c>
      <c r="B35" s="26" t="s">
        <v>46</v>
      </c>
      <c r="C35" s="30">
        <v>10.7</v>
      </c>
      <c r="D35" s="27">
        <v>7.3</v>
      </c>
      <c r="E35" s="28">
        <v>33</v>
      </c>
      <c r="F35" s="16">
        <f t="shared" si="72"/>
        <v>2.5776300000000001</v>
      </c>
      <c r="G35" s="16" t="s">
        <v>158</v>
      </c>
      <c r="H35" s="18"/>
      <c r="I35" s="19">
        <f t="shared" si="73"/>
        <v>0</v>
      </c>
      <c r="J35" s="17" t="s">
        <v>167</v>
      </c>
      <c r="K35" s="18">
        <f>8+1</f>
        <v>9</v>
      </c>
      <c r="L35" s="19">
        <f t="shared" si="74"/>
        <v>0.70299</v>
      </c>
      <c r="M35" s="16" t="s">
        <v>168</v>
      </c>
      <c r="N35" s="18">
        <v>12</v>
      </c>
      <c r="O35" s="19">
        <f t="shared" si="75"/>
        <v>0.93731999999999993</v>
      </c>
      <c r="P35" s="16" t="s">
        <v>175</v>
      </c>
      <c r="Q35" s="18">
        <v>6</v>
      </c>
      <c r="R35" s="19">
        <f t="shared" si="76"/>
        <v>0.46865999999999997</v>
      </c>
      <c r="S35" s="20">
        <f t="shared" si="77"/>
        <v>27</v>
      </c>
      <c r="T35" s="19">
        <f t="shared" si="78"/>
        <v>2.1089700000000002</v>
      </c>
      <c r="U35" s="21">
        <f t="shared" si="79"/>
        <v>6</v>
      </c>
      <c r="V35" s="19">
        <f t="shared" si="80"/>
        <v>0.46865999999999985</v>
      </c>
      <c r="X35" s="29"/>
    </row>
    <row r="36" spans="1:24">
      <c r="A36" s="26" t="s">
        <v>13</v>
      </c>
      <c r="B36" s="26" t="s">
        <v>46</v>
      </c>
      <c r="C36" s="30">
        <v>10.7</v>
      </c>
      <c r="D36" s="27">
        <v>8.6999999999999993</v>
      </c>
      <c r="E36" s="28">
        <v>35</v>
      </c>
      <c r="F36" s="16">
        <f t="shared" si="72"/>
        <v>3.2581499999999997</v>
      </c>
      <c r="G36" s="17"/>
      <c r="H36" s="18">
        <v>12</v>
      </c>
      <c r="I36" s="19">
        <f t="shared" si="73"/>
        <v>1.1170799999999999</v>
      </c>
      <c r="J36" s="17" t="s">
        <v>89</v>
      </c>
      <c r="K36" s="18">
        <f>7+15</f>
        <v>22</v>
      </c>
      <c r="L36" s="19">
        <f t="shared" si="74"/>
        <v>2.0479799999999999</v>
      </c>
      <c r="M36" s="16" t="s">
        <v>93</v>
      </c>
      <c r="N36" s="18"/>
      <c r="O36" s="19">
        <f t="shared" si="75"/>
        <v>0</v>
      </c>
      <c r="P36" s="17"/>
      <c r="Q36" s="18">
        <v>1</v>
      </c>
      <c r="R36" s="19">
        <f t="shared" si="76"/>
        <v>9.3089999999999992E-2</v>
      </c>
      <c r="S36" s="20">
        <f t="shared" si="77"/>
        <v>35</v>
      </c>
      <c r="T36" s="19">
        <f t="shared" si="78"/>
        <v>3.2581499999999997</v>
      </c>
      <c r="U36" s="21">
        <f t="shared" si="79"/>
        <v>0</v>
      </c>
      <c r="V36" s="19">
        <f t="shared" si="80"/>
        <v>0</v>
      </c>
      <c r="X36" s="29"/>
    </row>
    <row r="37" spans="1:24">
      <c r="A37" s="26" t="s">
        <v>13</v>
      </c>
      <c r="B37" s="26" t="s">
        <v>46</v>
      </c>
      <c r="C37" s="30">
        <v>10.7</v>
      </c>
      <c r="D37" s="27">
        <v>9</v>
      </c>
      <c r="E37" s="28">
        <v>35</v>
      </c>
      <c r="F37" s="16">
        <f t="shared" si="72"/>
        <v>3.3704999999999998</v>
      </c>
      <c r="G37" s="17"/>
      <c r="H37" s="18"/>
      <c r="I37" s="19">
        <f t="shared" si="73"/>
        <v>0</v>
      </c>
      <c r="J37" s="17" t="s">
        <v>167</v>
      </c>
      <c r="K37" s="18"/>
      <c r="L37" s="19">
        <f t="shared" si="74"/>
        <v>0</v>
      </c>
      <c r="M37" s="16" t="s">
        <v>170</v>
      </c>
      <c r="N37" s="18">
        <v>25</v>
      </c>
      <c r="O37" s="19">
        <f t="shared" si="75"/>
        <v>2.4075000000000002</v>
      </c>
      <c r="P37" s="17"/>
      <c r="Q37" s="18">
        <v>1</v>
      </c>
      <c r="R37" s="19">
        <f t="shared" si="76"/>
        <v>9.6299999999999997E-2</v>
      </c>
      <c r="S37" s="20">
        <f t="shared" si="77"/>
        <v>26</v>
      </c>
      <c r="T37" s="19">
        <f t="shared" si="78"/>
        <v>2.5038</v>
      </c>
      <c r="U37" s="21">
        <f t="shared" si="79"/>
        <v>9</v>
      </c>
      <c r="V37" s="19">
        <f t="shared" si="80"/>
        <v>0.8666999999999998</v>
      </c>
      <c r="X37" s="29"/>
    </row>
    <row r="38" spans="1:24">
      <c r="A38" s="26" t="s">
        <v>13</v>
      </c>
      <c r="B38" s="26" t="s">
        <v>46</v>
      </c>
      <c r="C38" s="30">
        <v>10.7</v>
      </c>
      <c r="D38" s="27">
        <v>9.3000000000000007</v>
      </c>
      <c r="E38" s="28">
        <v>55</v>
      </c>
      <c r="F38" s="16">
        <f t="shared" si="72"/>
        <v>5.4730499999999997</v>
      </c>
      <c r="G38" s="17"/>
      <c r="H38" s="18">
        <v>24</v>
      </c>
      <c r="I38" s="19">
        <f t="shared" si="73"/>
        <v>2.3882400000000001</v>
      </c>
      <c r="J38" s="16"/>
      <c r="K38" s="18"/>
      <c r="L38" s="19">
        <f t="shared" si="74"/>
        <v>0</v>
      </c>
      <c r="M38" s="16" t="s">
        <v>88</v>
      </c>
      <c r="N38" s="18">
        <v>33</v>
      </c>
      <c r="O38" s="19">
        <f t="shared" si="75"/>
        <v>3.2838300000000005</v>
      </c>
      <c r="P38" s="16"/>
      <c r="Q38" s="18">
        <v>2</v>
      </c>
      <c r="R38" s="19">
        <f t="shared" si="76"/>
        <v>0.19902</v>
      </c>
      <c r="S38" s="20">
        <f t="shared" si="77"/>
        <v>59</v>
      </c>
      <c r="T38" s="19">
        <f t="shared" si="78"/>
        <v>5.8710900000000006</v>
      </c>
      <c r="U38" s="21">
        <f t="shared" si="79"/>
        <v>-4</v>
      </c>
      <c r="V38" s="19">
        <f t="shared" si="80"/>
        <v>-0.39804000000000084</v>
      </c>
      <c r="X38" s="29"/>
    </row>
    <row r="39" spans="1:24">
      <c r="A39" s="26" t="s">
        <v>13</v>
      </c>
      <c r="B39" s="26" t="s">
        <v>46</v>
      </c>
      <c r="C39" s="30">
        <v>10.7</v>
      </c>
      <c r="D39" s="27">
        <v>9.5</v>
      </c>
      <c r="E39" s="28">
        <v>29</v>
      </c>
      <c r="F39" s="16">
        <f t="shared" si="72"/>
        <v>2.9478499999999999</v>
      </c>
      <c r="G39" s="17"/>
      <c r="H39" s="18"/>
      <c r="I39" s="19">
        <f t="shared" si="73"/>
        <v>0</v>
      </c>
      <c r="J39" s="16"/>
      <c r="K39" s="18">
        <v>8</v>
      </c>
      <c r="L39" s="19">
        <f t="shared" si="74"/>
        <v>0.81319999999999992</v>
      </c>
      <c r="M39" s="16" t="s">
        <v>170</v>
      </c>
      <c r="N39" s="18">
        <v>17</v>
      </c>
      <c r="O39" s="19">
        <f t="shared" si="75"/>
        <v>1.7280499999999999</v>
      </c>
      <c r="P39" s="16"/>
      <c r="Q39" s="18">
        <v>3</v>
      </c>
      <c r="R39" s="19">
        <f t="shared" si="76"/>
        <v>0.30495</v>
      </c>
      <c r="S39" s="20">
        <f t="shared" si="77"/>
        <v>28</v>
      </c>
      <c r="T39" s="19">
        <f t="shared" si="78"/>
        <v>2.8461999999999996</v>
      </c>
      <c r="U39" s="21">
        <f t="shared" si="79"/>
        <v>1</v>
      </c>
      <c r="V39" s="19">
        <f t="shared" si="80"/>
        <v>0.10165000000000024</v>
      </c>
      <c r="X39" s="29"/>
    </row>
    <row r="40" spans="1:24">
      <c r="A40" s="26" t="s">
        <v>13</v>
      </c>
      <c r="B40" s="26" t="s">
        <v>46</v>
      </c>
      <c r="C40" s="30">
        <v>10.7</v>
      </c>
      <c r="D40" s="27">
        <v>9.6999999999999993</v>
      </c>
      <c r="E40" s="28">
        <v>43</v>
      </c>
      <c r="F40" s="16">
        <f t="shared" si="72"/>
        <v>4.4629699999999994</v>
      </c>
      <c r="G40" s="17"/>
      <c r="H40" s="18"/>
      <c r="I40" s="19">
        <f t="shared" si="73"/>
        <v>0</v>
      </c>
      <c r="J40" s="16"/>
      <c r="K40" s="18">
        <v>18</v>
      </c>
      <c r="L40" s="19">
        <f t="shared" si="74"/>
        <v>1.8682199999999998</v>
      </c>
      <c r="M40" s="17" t="s">
        <v>89</v>
      </c>
      <c r="N40" s="18">
        <f>4+17</f>
        <v>21</v>
      </c>
      <c r="O40" s="19">
        <f t="shared" si="75"/>
        <v>2.1795899999999997</v>
      </c>
      <c r="P40" s="16"/>
      <c r="Q40" s="18"/>
      <c r="R40" s="19">
        <f t="shared" si="76"/>
        <v>0</v>
      </c>
      <c r="S40" s="20">
        <f t="shared" si="77"/>
        <v>39</v>
      </c>
      <c r="T40" s="19">
        <f t="shared" si="78"/>
        <v>4.0478099999999992</v>
      </c>
      <c r="U40" s="21">
        <f t="shared" si="79"/>
        <v>4</v>
      </c>
      <c r="V40" s="19">
        <f t="shared" si="80"/>
        <v>0.4151600000000002</v>
      </c>
      <c r="X40" s="29"/>
    </row>
    <row r="41" spans="1:24">
      <c r="A41" s="26" t="s">
        <v>13</v>
      </c>
      <c r="B41" s="26" t="s">
        <v>46</v>
      </c>
      <c r="C41" s="30">
        <v>10.7</v>
      </c>
      <c r="D41" s="27">
        <v>10.4</v>
      </c>
      <c r="E41" s="28">
        <v>42</v>
      </c>
      <c r="F41" s="16">
        <f t="shared" si="72"/>
        <v>4.6737600000000006</v>
      </c>
      <c r="G41" s="17"/>
      <c r="H41" s="18">
        <v>18</v>
      </c>
      <c r="I41" s="19">
        <f t="shared" si="73"/>
        <v>2.0030399999999999</v>
      </c>
      <c r="J41" s="16"/>
      <c r="K41" s="18"/>
      <c r="L41" s="19">
        <f t="shared" si="74"/>
        <v>0</v>
      </c>
      <c r="M41" s="17" t="s">
        <v>170</v>
      </c>
      <c r="N41" s="18">
        <v>12</v>
      </c>
      <c r="O41" s="19">
        <f t="shared" si="75"/>
        <v>1.3353600000000001</v>
      </c>
      <c r="P41" s="16"/>
      <c r="Q41" s="18">
        <v>2</v>
      </c>
      <c r="R41" s="19">
        <f t="shared" si="76"/>
        <v>0.22256000000000001</v>
      </c>
      <c r="S41" s="20">
        <f t="shared" si="77"/>
        <v>32</v>
      </c>
      <c r="T41" s="19">
        <f t="shared" si="78"/>
        <v>3.5609600000000001</v>
      </c>
      <c r="U41" s="21">
        <f t="shared" si="79"/>
        <v>10</v>
      </c>
      <c r="V41" s="19">
        <f t="shared" si="80"/>
        <v>1.1128000000000005</v>
      </c>
      <c r="X41" s="29"/>
    </row>
    <row r="42" spans="1:24">
      <c r="A42" s="26" t="s">
        <v>13</v>
      </c>
      <c r="B42" s="26" t="s">
        <v>46</v>
      </c>
      <c r="C42" s="30">
        <v>10.7</v>
      </c>
      <c r="D42" s="27">
        <v>10.7</v>
      </c>
      <c r="E42" s="28">
        <v>44</v>
      </c>
      <c r="F42" s="16">
        <f t="shared" si="72"/>
        <v>5.0375599999999991</v>
      </c>
      <c r="G42" s="17"/>
      <c r="H42" s="18">
        <v>12</v>
      </c>
      <c r="I42" s="19">
        <f t="shared" si="73"/>
        <v>1.3738799999999995</v>
      </c>
      <c r="J42" s="16"/>
      <c r="K42" s="18">
        <v>14</v>
      </c>
      <c r="L42" s="19">
        <f t="shared" si="74"/>
        <v>1.6028599999999997</v>
      </c>
      <c r="M42" s="16"/>
      <c r="N42" s="18">
        <v>19</v>
      </c>
      <c r="O42" s="19">
        <f t="shared" si="75"/>
        <v>2.1753099999999996</v>
      </c>
      <c r="P42" s="16"/>
      <c r="Q42" s="18"/>
      <c r="R42" s="19">
        <f t="shared" si="76"/>
        <v>0</v>
      </c>
      <c r="S42" s="20">
        <f t="shared" si="77"/>
        <v>45</v>
      </c>
      <c r="T42" s="19">
        <f t="shared" si="78"/>
        <v>5.1520499999999991</v>
      </c>
      <c r="U42" s="21">
        <f t="shared" si="79"/>
        <v>-1</v>
      </c>
      <c r="V42" s="19">
        <f t="shared" si="80"/>
        <v>-0.11448999999999998</v>
      </c>
      <c r="X42" s="29"/>
    </row>
    <row r="43" spans="1:24">
      <c r="A43" s="26" t="s">
        <v>13</v>
      </c>
      <c r="B43" s="26" t="s">
        <v>46</v>
      </c>
      <c r="C43" s="30">
        <v>10.7</v>
      </c>
      <c r="D43" s="27">
        <v>11.2</v>
      </c>
      <c r="E43" s="28">
        <v>35</v>
      </c>
      <c r="F43" s="16">
        <f t="shared" si="72"/>
        <v>4.1943999999999999</v>
      </c>
      <c r="G43" s="17"/>
      <c r="H43" s="18"/>
      <c r="I43" s="19">
        <f t="shared" si="73"/>
        <v>0</v>
      </c>
      <c r="J43" s="16"/>
      <c r="K43" s="18">
        <v>20</v>
      </c>
      <c r="L43" s="19">
        <f t="shared" si="74"/>
        <v>2.3967999999999998</v>
      </c>
      <c r="M43" s="16"/>
      <c r="N43" s="18">
        <f>12+15</f>
        <v>27</v>
      </c>
      <c r="O43" s="19">
        <f t="shared" si="75"/>
        <v>3.2356799999999999</v>
      </c>
      <c r="P43" s="16"/>
      <c r="Q43" s="18">
        <v>4</v>
      </c>
      <c r="R43" s="19">
        <f t="shared" si="76"/>
        <v>0.47935999999999995</v>
      </c>
      <c r="S43" s="20">
        <f t="shared" si="77"/>
        <v>51</v>
      </c>
      <c r="T43" s="19">
        <f t="shared" si="78"/>
        <v>6.1118399999999991</v>
      </c>
      <c r="U43" s="21">
        <f t="shared" si="79"/>
        <v>-16</v>
      </c>
      <c r="V43" s="19">
        <f t="shared" si="80"/>
        <v>-1.9174399999999991</v>
      </c>
      <c r="X43" s="29"/>
    </row>
    <row r="44" spans="1:24">
      <c r="A44" s="26" t="s">
        <v>13</v>
      </c>
      <c r="B44" s="26" t="s">
        <v>46</v>
      </c>
      <c r="C44" s="30">
        <v>10.7</v>
      </c>
      <c r="D44" s="27">
        <v>11.5</v>
      </c>
      <c r="E44" s="28">
        <v>40</v>
      </c>
      <c r="F44" s="16">
        <f t="shared" si="72"/>
        <v>4.9219999999999997</v>
      </c>
      <c r="G44" s="17"/>
      <c r="H44" s="18">
        <v>5</v>
      </c>
      <c r="I44" s="19">
        <f t="shared" si="73"/>
        <v>0.61524999999999996</v>
      </c>
      <c r="J44" s="16"/>
      <c r="K44" s="18"/>
      <c r="L44" s="19">
        <f t="shared" si="74"/>
        <v>0</v>
      </c>
      <c r="M44" s="16"/>
      <c r="N44" s="18">
        <f>10+17</f>
        <v>27</v>
      </c>
      <c r="O44" s="19">
        <f t="shared" si="75"/>
        <v>3.3223499999999997</v>
      </c>
      <c r="P44" s="16"/>
      <c r="Q44" s="18">
        <v>1</v>
      </c>
      <c r="R44" s="19">
        <f t="shared" si="76"/>
        <v>0.12304999999999999</v>
      </c>
      <c r="S44" s="20">
        <f t="shared" si="77"/>
        <v>33</v>
      </c>
      <c r="T44" s="19">
        <f t="shared" si="78"/>
        <v>4.0606499999999999</v>
      </c>
      <c r="U44" s="21">
        <f t="shared" si="79"/>
        <v>7</v>
      </c>
      <c r="V44" s="19">
        <f t="shared" si="80"/>
        <v>0.86134999999999984</v>
      </c>
      <c r="X44" s="29"/>
    </row>
    <row r="45" spans="1:24">
      <c r="A45" s="26" t="s">
        <v>13</v>
      </c>
      <c r="B45" s="26" t="s">
        <v>46</v>
      </c>
      <c r="C45" s="30">
        <v>10.7</v>
      </c>
      <c r="D45" s="27">
        <v>11.7</v>
      </c>
      <c r="E45" s="28">
        <v>42</v>
      </c>
      <c r="F45" s="16">
        <f t="shared" si="72"/>
        <v>5.2579799999999999</v>
      </c>
      <c r="G45" s="17"/>
      <c r="H45" s="18"/>
      <c r="I45" s="19">
        <f t="shared" si="73"/>
        <v>0</v>
      </c>
      <c r="J45" s="16"/>
      <c r="K45" s="18">
        <f>6+12+23</f>
        <v>41</v>
      </c>
      <c r="L45" s="19">
        <f t="shared" si="74"/>
        <v>5.1327899999999991</v>
      </c>
      <c r="M45" s="16"/>
      <c r="N45" s="18">
        <v>3</v>
      </c>
      <c r="O45" s="19">
        <f t="shared" si="75"/>
        <v>0.37556999999999996</v>
      </c>
      <c r="P45" s="16"/>
      <c r="Q45" s="18">
        <v>2</v>
      </c>
      <c r="R45" s="19">
        <f t="shared" si="76"/>
        <v>0.25037999999999999</v>
      </c>
      <c r="S45" s="20">
        <f t="shared" si="77"/>
        <v>46</v>
      </c>
      <c r="T45" s="19">
        <f t="shared" si="78"/>
        <v>5.7587399999999986</v>
      </c>
      <c r="U45" s="21">
        <f t="shared" si="79"/>
        <v>-4</v>
      </c>
      <c r="V45" s="19">
        <f t="shared" si="80"/>
        <v>-0.50075999999999876</v>
      </c>
      <c r="X45" s="29"/>
    </row>
    <row r="46" spans="1:24">
      <c r="A46" s="26" t="s">
        <v>13</v>
      </c>
      <c r="B46" s="26" t="s">
        <v>46</v>
      </c>
      <c r="C46" s="30">
        <v>10.7</v>
      </c>
      <c r="D46" s="27">
        <v>12</v>
      </c>
      <c r="E46" s="28">
        <v>56</v>
      </c>
      <c r="F46" s="16">
        <f t="shared" ref="F46:F53" si="81">(C46*D46*E46/1000)</f>
        <v>7.1903999999999986</v>
      </c>
      <c r="G46" s="17"/>
      <c r="H46" s="18"/>
      <c r="I46" s="19">
        <f t="shared" ref="I46:I53" si="82">(C46*D46*H46/1000)</f>
        <v>0</v>
      </c>
      <c r="J46" s="16"/>
      <c r="K46" s="18">
        <f>21+15</f>
        <v>36</v>
      </c>
      <c r="L46" s="19">
        <f t="shared" ref="L46:L53" si="83">(C46*D46*K46/1000)</f>
        <v>4.6223999999999998</v>
      </c>
      <c r="M46" s="16"/>
      <c r="N46" s="18">
        <v>20</v>
      </c>
      <c r="O46" s="19">
        <f t="shared" ref="O46:O53" si="84">(C46*D46*N46/1000)</f>
        <v>2.5679999999999996</v>
      </c>
      <c r="P46" s="16"/>
      <c r="Q46" s="18"/>
      <c r="R46" s="19">
        <f t="shared" ref="R46:R53" si="85">(C46*D46*Q46/1000)</f>
        <v>0</v>
      </c>
      <c r="S46" s="20">
        <f t="shared" ref="S46:S53" si="86">+H46+K46+Q46+N46</f>
        <v>56</v>
      </c>
      <c r="T46" s="19">
        <f t="shared" ref="T46:T53" si="87">+I46+L46+R46+O46</f>
        <v>7.1903999999999995</v>
      </c>
      <c r="U46" s="21">
        <f t="shared" ref="U46:U53" si="88">E46-S46</f>
        <v>0</v>
      </c>
      <c r="V46" s="19">
        <f t="shared" ref="V46:V53" si="89">F46-T46</f>
        <v>0</v>
      </c>
      <c r="X46" s="29"/>
    </row>
    <row r="47" spans="1:24">
      <c r="A47" s="26" t="s">
        <v>13</v>
      </c>
      <c r="B47" s="26" t="s">
        <v>46</v>
      </c>
      <c r="C47" s="30">
        <v>10.7</v>
      </c>
      <c r="D47" s="27">
        <v>11</v>
      </c>
      <c r="E47" s="28"/>
      <c r="F47" s="16">
        <f t="shared" si="81"/>
        <v>0</v>
      </c>
      <c r="G47" s="17"/>
      <c r="H47" s="18"/>
      <c r="I47" s="19">
        <f t="shared" si="82"/>
        <v>0</v>
      </c>
      <c r="J47" s="16"/>
      <c r="K47" s="18"/>
      <c r="L47" s="19">
        <f t="shared" si="83"/>
        <v>0</v>
      </c>
      <c r="M47" s="16"/>
      <c r="N47" s="18">
        <v>1</v>
      </c>
      <c r="O47" s="19">
        <f t="shared" si="84"/>
        <v>0.11769999999999999</v>
      </c>
      <c r="P47" s="16"/>
      <c r="Q47" s="18"/>
      <c r="R47" s="19">
        <f t="shared" si="85"/>
        <v>0</v>
      </c>
      <c r="S47" s="20">
        <f t="shared" si="86"/>
        <v>1</v>
      </c>
      <c r="T47" s="19">
        <f t="shared" si="87"/>
        <v>0.11769999999999999</v>
      </c>
      <c r="U47" s="21">
        <f t="shared" si="88"/>
        <v>-1</v>
      </c>
      <c r="V47" s="19">
        <f t="shared" si="89"/>
        <v>-0.11769999999999999</v>
      </c>
      <c r="X47" s="29"/>
    </row>
    <row r="48" spans="1:24">
      <c r="A48" s="26" t="s">
        <v>13</v>
      </c>
      <c r="B48" s="26" t="s">
        <v>46</v>
      </c>
      <c r="C48" s="30">
        <v>10.7</v>
      </c>
      <c r="D48" s="27">
        <v>11.2</v>
      </c>
      <c r="E48" s="28"/>
      <c r="F48" s="16">
        <f t="shared" si="81"/>
        <v>0</v>
      </c>
      <c r="G48" s="17"/>
      <c r="H48" s="18"/>
      <c r="I48" s="19">
        <f t="shared" si="82"/>
        <v>0</v>
      </c>
      <c r="J48" s="16"/>
      <c r="K48" s="18"/>
      <c r="L48" s="19">
        <f t="shared" si="83"/>
        <v>0</v>
      </c>
      <c r="M48" s="16"/>
      <c r="N48" s="18"/>
      <c r="O48" s="19">
        <f t="shared" si="84"/>
        <v>0</v>
      </c>
      <c r="P48" s="16"/>
      <c r="Q48" s="18"/>
      <c r="R48" s="19">
        <f t="shared" si="85"/>
        <v>0</v>
      </c>
      <c r="S48" s="20">
        <f t="shared" si="86"/>
        <v>0</v>
      </c>
      <c r="T48" s="19">
        <f t="shared" si="87"/>
        <v>0</v>
      </c>
      <c r="U48" s="21">
        <f t="shared" si="88"/>
        <v>0</v>
      </c>
      <c r="V48" s="19">
        <f t="shared" si="89"/>
        <v>0</v>
      </c>
      <c r="X48" s="29"/>
    </row>
    <row r="49" spans="1:24">
      <c r="A49" s="26" t="s">
        <v>13</v>
      </c>
      <c r="B49" s="26" t="s">
        <v>46</v>
      </c>
      <c r="C49" s="30">
        <v>10.7</v>
      </c>
      <c r="D49" s="27">
        <v>10</v>
      </c>
      <c r="E49" s="28"/>
      <c r="F49" s="16">
        <f t="shared" si="81"/>
        <v>0</v>
      </c>
      <c r="G49" s="17"/>
      <c r="H49" s="18"/>
      <c r="I49" s="19">
        <f t="shared" si="82"/>
        <v>0</v>
      </c>
      <c r="J49" s="16"/>
      <c r="K49" s="18"/>
      <c r="L49" s="19">
        <f t="shared" si="83"/>
        <v>0</v>
      </c>
      <c r="M49" s="16"/>
      <c r="N49" s="18"/>
      <c r="O49" s="19">
        <f t="shared" si="84"/>
        <v>0</v>
      </c>
      <c r="P49" s="16"/>
      <c r="Q49" s="18">
        <v>1</v>
      </c>
      <c r="R49" s="19">
        <f t="shared" si="85"/>
        <v>0.107</v>
      </c>
      <c r="S49" s="20">
        <f t="shared" si="86"/>
        <v>1</v>
      </c>
      <c r="T49" s="19">
        <f t="shared" si="87"/>
        <v>0.107</v>
      </c>
      <c r="U49" s="21">
        <f t="shared" si="88"/>
        <v>-1</v>
      </c>
      <c r="V49" s="19">
        <f t="shared" si="89"/>
        <v>-0.107</v>
      </c>
      <c r="X49" s="29"/>
    </row>
    <row r="50" spans="1:24">
      <c r="A50" s="26" t="s">
        <v>13</v>
      </c>
      <c r="B50" s="26" t="s">
        <v>46</v>
      </c>
      <c r="C50" s="30">
        <v>10.7</v>
      </c>
      <c r="D50" s="27">
        <v>7.7</v>
      </c>
      <c r="E50" s="28"/>
      <c r="F50" s="16">
        <f t="shared" si="81"/>
        <v>0</v>
      </c>
      <c r="G50" s="17"/>
      <c r="H50" s="18"/>
      <c r="I50" s="19">
        <f t="shared" si="82"/>
        <v>0</v>
      </c>
      <c r="J50" s="16"/>
      <c r="K50" s="18"/>
      <c r="L50" s="19">
        <f t="shared" si="83"/>
        <v>0</v>
      </c>
      <c r="M50" s="16"/>
      <c r="N50" s="18"/>
      <c r="O50" s="19">
        <f t="shared" si="84"/>
        <v>0</v>
      </c>
      <c r="P50" s="16"/>
      <c r="Q50" s="18">
        <v>1</v>
      </c>
      <c r="R50" s="19">
        <f t="shared" si="85"/>
        <v>8.2390000000000005E-2</v>
      </c>
      <c r="S50" s="20">
        <f t="shared" si="86"/>
        <v>1</v>
      </c>
      <c r="T50" s="19">
        <f t="shared" si="87"/>
        <v>8.2390000000000005E-2</v>
      </c>
      <c r="U50" s="21">
        <f t="shared" si="88"/>
        <v>-1</v>
      </c>
      <c r="V50" s="19">
        <f t="shared" si="89"/>
        <v>-8.2390000000000005E-2</v>
      </c>
      <c r="X50" s="29"/>
    </row>
    <row r="51" spans="1:24">
      <c r="A51" s="26" t="s">
        <v>13</v>
      </c>
      <c r="B51" s="26" t="s">
        <v>46</v>
      </c>
      <c r="C51" s="30">
        <v>10.7</v>
      </c>
      <c r="D51" s="27">
        <v>7</v>
      </c>
      <c r="E51" s="28"/>
      <c r="F51" s="16">
        <f t="shared" si="81"/>
        <v>0</v>
      </c>
      <c r="G51" s="17"/>
      <c r="H51" s="18"/>
      <c r="I51" s="19">
        <f t="shared" si="82"/>
        <v>0</v>
      </c>
      <c r="J51" s="16"/>
      <c r="K51" s="18"/>
      <c r="L51" s="19">
        <f t="shared" si="83"/>
        <v>0</v>
      </c>
      <c r="M51" s="16"/>
      <c r="N51" s="18"/>
      <c r="O51" s="19">
        <f t="shared" si="84"/>
        <v>0</v>
      </c>
      <c r="P51" s="16"/>
      <c r="Q51" s="18">
        <v>2</v>
      </c>
      <c r="R51" s="19">
        <f t="shared" si="85"/>
        <v>0.14979999999999999</v>
      </c>
      <c r="S51" s="20">
        <f t="shared" si="86"/>
        <v>2</v>
      </c>
      <c r="T51" s="19">
        <f t="shared" si="87"/>
        <v>0.14979999999999999</v>
      </c>
      <c r="U51" s="21">
        <f t="shared" si="88"/>
        <v>-2</v>
      </c>
      <c r="V51" s="19">
        <f t="shared" si="89"/>
        <v>-0.14979999999999999</v>
      </c>
      <c r="X51" s="29"/>
    </row>
    <row r="52" spans="1:24">
      <c r="A52" s="26" t="s">
        <v>13</v>
      </c>
      <c r="B52" s="26" t="s">
        <v>46</v>
      </c>
      <c r="C52" s="30">
        <v>10.7</v>
      </c>
      <c r="D52" s="27">
        <v>9.1</v>
      </c>
      <c r="E52" s="28"/>
      <c r="F52" s="16">
        <f t="shared" si="81"/>
        <v>0</v>
      </c>
      <c r="G52" s="17"/>
      <c r="H52" s="18"/>
      <c r="I52" s="19">
        <f t="shared" si="82"/>
        <v>0</v>
      </c>
      <c r="J52" s="16"/>
      <c r="K52" s="18"/>
      <c r="L52" s="19">
        <f t="shared" si="83"/>
        <v>0</v>
      </c>
      <c r="M52" s="16"/>
      <c r="N52" s="18"/>
      <c r="O52" s="19">
        <f t="shared" si="84"/>
        <v>0</v>
      </c>
      <c r="P52" s="16"/>
      <c r="Q52" s="18">
        <v>2</v>
      </c>
      <c r="R52" s="19">
        <f t="shared" si="85"/>
        <v>0.19473999999999997</v>
      </c>
      <c r="S52" s="20">
        <f t="shared" si="86"/>
        <v>2</v>
      </c>
      <c r="T52" s="19">
        <f t="shared" si="87"/>
        <v>0.19473999999999997</v>
      </c>
      <c r="U52" s="21">
        <f t="shared" si="88"/>
        <v>-2</v>
      </c>
      <c r="V52" s="19">
        <f t="shared" si="89"/>
        <v>-0.19473999999999997</v>
      </c>
      <c r="X52" s="29"/>
    </row>
    <row r="53" spans="1:24">
      <c r="A53" s="26" t="s">
        <v>13</v>
      </c>
      <c r="B53" s="26" t="s">
        <v>46</v>
      </c>
      <c r="C53" s="30">
        <v>10.7</v>
      </c>
      <c r="D53" s="27">
        <v>10.5</v>
      </c>
      <c r="E53" s="28"/>
      <c r="F53" s="16">
        <f t="shared" si="81"/>
        <v>0</v>
      </c>
      <c r="G53" s="17"/>
      <c r="H53" s="18"/>
      <c r="I53" s="19">
        <f t="shared" si="82"/>
        <v>0</v>
      </c>
      <c r="J53" s="16"/>
      <c r="K53" s="18"/>
      <c r="L53" s="19">
        <f t="shared" si="83"/>
        <v>0</v>
      </c>
      <c r="M53" s="16"/>
      <c r="N53" s="18"/>
      <c r="O53" s="19">
        <f t="shared" si="84"/>
        <v>0</v>
      </c>
      <c r="P53" s="16"/>
      <c r="Q53" s="18">
        <v>3</v>
      </c>
      <c r="R53" s="19">
        <f t="shared" si="85"/>
        <v>0.33704999999999996</v>
      </c>
      <c r="S53" s="20">
        <f t="shared" si="86"/>
        <v>3</v>
      </c>
      <c r="T53" s="19">
        <f t="shared" si="87"/>
        <v>0.33704999999999996</v>
      </c>
      <c r="U53" s="21">
        <f t="shared" si="88"/>
        <v>-3</v>
      </c>
      <c r="V53" s="19">
        <f t="shared" si="89"/>
        <v>-0.33704999999999996</v>
      </c>
      <c r="X53" s="29"/>
    </row>
    <row r="54" spans="1:24">
      <c r="A54" s="26" t="s">
        <v>13</v>
      </c>
      <c r="B54" s="26" t="s">
        <v>46</v>
      </c>
      <c r="C54" s="30">
        <v>10.7</v>
      </c>
      <c r="D54" s="27"/>
      <c r="E54" s="28"/>
      <c r="F54" s="16">
        <f t="shared" si="72"/>
        <v>0</v>
      </c>
      <c r="G54" s="17"/>
      <c r="H54" s="18"/>
      <c r="I54" s="19">
        <f t="shared" si="73"/>
        <v>0</v>
      </c>
      <c r="J54" s="16"/>
      <c r="K54" s="18"/>
      <c r="L54" s="19">
        <f t="shared" si="74"/>
        <v>0</v>
      </c>
      <c r="M54" s="16"/>
      <c r="N54" s="18"/>
      <c r="O54" s="19">
        <f t="shared" si="75"/>
        <v>0</v>
      </c>
      <c r="P54" s="16"/>
      <c r="Q54" s="18"/>
      <c r="R54" s="19">
        <f t="shared" si="76"/>
        <v>0</v>
      </c>
      <c r="S54" s="20">
        <f t="shared" si="77"/>
        <v>0</v>
      </c>
      <c r="T54" s="19">
        <f t="shared" si="78"/>
        <v>0</v>
      </c>
      <c r="U54" s="21">
        <f t="shared" si="79"/>
        <v>0</v>
      </c>
      <c r="V54" s="19">
        <f t="shared" si="80"/>
        <v>0</v>
      </c>
      <c r="X54" s="29"/>
    </row>
    <row r="55" spans="1:24">
      <c r="A55" s="36"/>
      <c r="B55" s="36"/>
      <c r="C55" s="37"/>
      <c r="D55" s="38"/>
      <c r="E55" s="31">
        <f t="shared" ref="E55:F55" si="90">SUM(E34:E54)</f>
        <v>522</v>
      </c>
      <c r="F55" s="38">
        <f t="shared" si="90"/>
        <v>55.908569999999997</v>
      </c>
      <c r="G55" s="16"/>
      <c r="H55" s="31">
        <f t="shared" ref="H55" si="91">SUM(H34:H54)</f>
        <v>91</v>
      </c>
      <c r="I55" s="38">
        <f t="shared" ref="I55" si="92">SUM(I34:I54)</f>
        <v>9.0382899999999999</v>
      </c>
      <c r="J55" s="16"/>
      <c r="K55" s="31">
        <f t="shared" ref="K55" si="93">SUM(K34:K54)</f>
        <v>168</v>
      </c>
      <c r="L55" s="38">
        <f t="shared" ref="L55" si="94">SUM(L34:L54)</f>
        <v>19.187239999999999</v>
      </c>
      <c r="M55" s="16"/>
      <c r="N55" s="31">
        <f t="shared" ref="N55" si="95">SUM(N34:N54)</f>
        <v>230</v>
      </c>
      <c r="O55" s="38">
        <f t="shared" ref="O55" si="96">SUM(O34:O54)</f>
        <v>24.667779999999993</v>
      </c>
      <c r="P55" s="16"/>
      <c r="Q55" s="31">
        <f t="shared" ref="Q55" si="97">SUM(Q34:Q54)</f>
        <v>31</v>
      </c>
      <c r="R55" s="38">
        <f t="shared" ref="R55" si="98">SUM(R34:R54)</f>
        <v>3.1083500000000002</v>
      </c>
      <c r="S55" s="31">
        <f t="shared" ref="S55" si="99">SUM(S34:S54)</f>
        <v>520</v>
      </c>
      <c r="T55" s="38">
        <f t="shared" ref="T55" si="100">SUM(T34:T54)</f>
        <v>56.001659999999987</v>
      </c>
      <c r="U55" s="31">
        <f t="shared" ref="U55" si="101">SUM(U34:U54)</f>
        <v>2</v>
      </c>
      <c r="V55" s="38">
        <f t="shared" ref="V55" si="102">SUM(V34:V54)</f>
        <v>-9.308999999999823E-2</v>
      </c>
      <c r="X55" s="29"/>
    </row>
    <row r="56" spans="1:24">
      <c r="A56" s="26" t="s">
        <v>13</v>
      </c>
      <c r="B56" s="26" t="s">
        <v>61</v>
      </c>
      <c r="C56" s="30">
        <v>12.2</v>
      </c>
      <c r="D56" s="27">
        <v>8</v>
      </c>
      <c r="E56" s="28">
        <v>28</v>
      </c>
      <c r="F56" s="16">
        <f t="shared" ref="F56:F67" si="103">(C56*D56*E56/1000)</f>
        <v>2.7327999999999997</v>
      </c>
      <c r="G56" s="17" t="s">
        <v>93</v>
      </c>
      <c r="H56" s="18">
        <v>12</v>
      </c>
      <c r="I56" s="19">
        <f t="shared" ref="I56:I67" si="104">(C56*D56*H56/1000)</f>
        <v>1.1711999999999998</v>
      </c>
      <c r="J56" s="16" t="s">
        <v>89</v>
      </c>
      <c r="K56" s="18">
        <v>7</v>
      </c>
      <c r="L56" s="19">
        <f t="shared" ref="L56:L67" si="105">(C56*D56*K56/1000)</f>
        <v>0.68319999999999992</v>
      </c>
      <c r="M56" s="17" t="s">
        <v>89</v>
      </c>
      <c r="N56" s="18"/>
      <c r="O56" s="19">
        <f t="shared" ref="O56:O67" si="106">(C56*D56*N56/1000)</f>
        <v>0</v>
      </c>
      <c r="P56" s="16" t="s">
        <v>88</v>
      </c>
      <c r="Q56" s="18">
        <v>3</v>
      </c>
      <c r="R56" s="19">
        <f t="shared" ref="R56:R67" si="107">(C56*D56*Q56/1000)</f>
        <v>0.29279999999999995</v>
      </c>
      <c r="S56" s="20">
        <f t="shared" ref="S56:S67" si="108">+H56+K56+Q56+N56</f>
        <v>22</v>
      </c>
      <c r="T56" s="19">
        <f t="shared" ref="T56:T67" si="109">+I56+L56+R56+O56</f>
        <v>2.1471999999999998</v>
      </c>
      <c r="U56" s="21">
        <f t="shared" ref="U56:U67" si="110">E56-S56</f>
        <v>6</v>
      </c>
      <c r="V56" s="19">
        <f t="shared" ref="V56:V67" si="111">F56-T56</f>
        <v>0.5855999999999999</v>
      </c>
      <c r="X56" s="29"/>
    </row>
    <row r="57" spans="1:24">
      <c r="A57" s="26" t="s">
        <v>13</v>
      </c>
      <c r="B57" s="26" t="s">
        <v>61</v>
      </c>
      <c r="C57" s="30">
        <v>12.2</v>
      </c>
      <c r="D57" s="27">
        <v>9.5</v>
      </c>
      <c r="E57" s="28">
        <v>24</v>
      </c>
      <c r="F57" s="16">
        <f t="shared" si="103"/>
        <v>2.7816000000000001</v>
      </c>
      <c r="G57" s="17" t="s">
        <v>158</v>
      </c>
      <c r="H57" s="18">
        <v>19</v>
      </c>
      <c r="I57" s="19">
        <f t="shared" si="104"/>
        <v>2.2020999999999997</v>
      </c>
      <c r="J57" s="16" t="s">
        <v>158</v>
      </c>
      <c r="K57" s="18"/>
      <c r="L57" s="19">
        <f t="shared" si="105"/>
        <v>0</v>
      </c>
      <c r="M57" s="17" t="s">
        <v>167</v>
      </c>
      <c r="N57" s="18"/>
      <c r="O57" s="19">
        <f t="shared" si="106"/>
        <v>0</v>
      </c>
      <c r="P57" s="16" t="s">
        <v>175</v>
      </c>
      <c r="Q57" s="18">
        <v>8</v>
      </c>
      <c r="R57" s="19">
        <f t="shared" si="107"/>
        <v>0.92719999999999991</v>
      </c>
      <c r="S57" s="20">
        <f t="shared" si="108"/>
        <v>27</v>
      </c>
      <c r="T57" s="19">
        <f t="shared" si="109"/>
        <v>3.1292999999999997</v>
      </c>
      <c r="U57" s="21">
        <f t="shared" si="110"/>
        <v>-3</v>
      </c>
      <c r="V57" s="19">
        <f t="shared" si="111"/>
        <v>-0.34769999999999968</v>
      </c>
      <c r="X57" s="29"/>
    </row>
    <row r="58" spans="1:24">
      <c r="A58" s="26" t="s">
        <v>13</v>
      </c>
      <c r="B58" s="26" t="s">
        <v>61</v>
      </c>
      <c r="C58" s="30">
        <v>12.2</v>
      </c>
      <c r="D58" s="27">
        <v>10.199999999999999</v>
      </c>
      <c r="E58" s="28">
        <v>18</v>
      </c>
      <c r="F58" s="16">
        <f t="shared" si="103"/>
        <v>2.2399199999999997</v>
      </c>
      <c r="G58" s="17"/>
      <c r="H58" s="18">
        <v>5</v>
      </c>
      <c r="I58" s="19">
        <f t="shared" si="104"/>
        <v>0.62219999999999998</v>
      </c>
      <c r="J58" s="16"/>
      <c r="K58" s="18"/>
      <c r="L58" s="19">
        <f t="shared" si="105"/>
        <v>0</v>
      </c>
      <c r="M58" s="16"/>
      <c r="N58" s="18"/>
      <c r="O58" s="19">
        <f t="shared" si="106"/>
        <v>0</v>
      </c>
      <c r="P58" s="16"/>
      <c r="Q58" s="18"/>
      <c r="R58" s="19">
        <f t="shared" si="107"/>
        <v>0</v>
      </c>
      <c r="S58" s="20">
        <f t="shared" si="108"/>
        <v>5</v>
      </c>
      <c r="T58" s="19">
        <f t="shared" si="109"/>
        <v>0.62219999999999998</v>
      </c>
      <c r="U58" s="21">
        <f t="shared" si="110"/>
        <v>13</v>
      </c>
      <c r="V58" s="19">
        <f t="shared" si="111"/>
        <v>1.6177199999999998</v>
      </c>
      <c r="X58" s="29"/>
    </row>
    <row r="59" spans="1:24">
      <c r="A59" s="26" t="s">
        <v>13</v>
      </c>
      <c r="B59" s="26" t="s">
        <v>61</v>
      </c>
      <c r="C59" s="30">
        <v>12.2</v>
      </c>
      <c r="D59" s="27">
        <v>10.5</v>
      </c>
      <c r="E59" s="28">
        <v>43</v>
      </c>
      <c r="F59" s="16">
        <f t="shared" si="103"/>
        <v>5.5083000000000002</v>
      </c>
      <c r="G59" s="17"/>
      <c r="H59" s="18">
        <v>18</v>
      </c>
      <c r="I59" s="19">
        <f t="shared" si="104"/>
        <v>2.3057999999999996</v>
      </c>
      <c r="J59" s="16"/>
      <c r="K59" s="18">
        <v>7</v>
      </c>
      <c r="L59" s="19">
        <f t="shared" si="105"/>
        <v>0.89669999999999994</v>
      </c>
      <c r="M59" s="16"/>
      <c r="N59" s="18">
        <v>20</v>
      </c>
      <c r="O59" s="19">
        <f t="shared" si="106"/>
        <v>2.5619999999999998</v>
      </c>
      <c r="P59" s="16"/>
      <c r="Q59" s="18"/>
      <c r="R59" s="19">
        <f t="shared" si="107"/>
        <v>0</v>
      </c>
      <c r="S59" s="20">
        <f t="shared" si="108"/>
        <v>45</v>
      </c>
      <c r="T59" s="19">
        <f t="shared" si="109"/>
        <v>5.7645</v>
      </c>
      <c r="U59" s="21">
        <f t="shared" si="110"/>
        <v>-2</v>
      </c>
      <c r="V59" s="19">
        <f t="shared" si="111"/>
        <v>-0.25619999999999976</v>
      </c>
      <c r="X59" s="29"/>
    </row>
    <row r="60" spans="1:24">
      <c r="A60" s="26" t="s">
        <v>13</v>
      </c>
      <c r="B60" s="26" t="s">
        <v>61</v>
      </c>
      <c r="C60" s="30">
        <v>12.2</v>
      </c>
      <c r="D60" s="27">
        <v>11.5</v>
      </c>
      <c r="E60" s="28">
        <v>35</v>
      </c>
      <c r="F60" s="16">
        <f t="shared" si="103"/>
        <v>4.910499999999999</v>
      </c>
      <c r="G60" s="17"/>
      <c r="H60" s="18">
        <v>8</v>
      </c>
      <c r="I60" s="19">
        <f t="shared" si="104"/>
        <v>1.1223999999999998</v>
      </c>
      <c r="J60" s="16"/>
      <c r="K60" s="18">
        <v>23</v>
      </c>
      <c r="L60" s="19">
        <f t="shared" si="105"/>
        <v>3.2268999999999997</v>
      </c>
      <c r="M60" s="16"/>
      <c r="N60" s="18"/>
      <c r="O60" s="19">
        <f t="shared" si="106"/>
        <v>0</v>
      </c>
      <c r="P60" s="16"/>
      <c r="Q60" s="18">
        <v>4</v>
      </c>
      <c r="R60" s="19">
        <f t="shared" si="107"/>
        <v>0.56119999999999992</v>
      </c>
      <c r="S60" s="20">
        <f t="shared" si="108"/>
        <v>35</v>
      </c>
      <c r="T60" s="19">
        <f t="shared" si="109"/>
        <v>4.910499999999999</v>
      </c>
      <c r="U60" s="21">
        <f t="shared" si="110"/>
        <v>0</v>
      </c>
      <c r="V60" s="19">
        <f t="shared" si="111"/>
        <v>0</v>
      </c>
      <c r="X60" s="29"/>
    </row>
    <row r="61" spans="1:24">
      <c r="A61" s="26" t="s">
        <v>13</v>
      </c>
      <c r="B61" s="26" t="s">
        <v>61</v>
      </c>
      <c r="C61" s="30">
        <v>12.2</v>
      </c>
      <c r="D61" s="27">
        <v>12</v>
      </c>
      <c r="E61" s="28">
        <v>61</v>
      </c>
      <c r="F61" s="16">
        <f t="shared" ref="F61:F66" si="112">(C61*D61*E61/1000)</f>
        <v>8.930399999999997</v>
      </c>
      <c r="G61" s="17"/>
      <c r="H61" s="18">
        <v>40</v>
      </c>
      <c r="I61" s="19">
        <f t="shared" ref="I61:I66" si="113">(C61*D61*H61/1000)</f>
        <v>5.855999999999999</v>
      </c>
      <c r="J61" s="16"/>
      <c r="K61" s="18">
        <v>20</v>
      </c>
      <c r="L61" s="19">
        <f t="shared" ref="L61:L66" si="114">(C61*D61*K61/1000)</f>
        <v>2.9279999999999995</v>
      </c>
      <c r="M61" s="16"/>
      <c r="N61" s="18"/>
      <c r="O61" s="19">
        <f t="shared" ref="O61:O66" si="115">(C61*D61*N61/1000)</f>
        <v>0</v>
      </c>
      <c r="P61" s="16"/>
      <c r="Q61" s="18"/>
      <c r="R61" s="19">
        <f t="shared" ref="R61:R66" si="116">(C61*D61*Q61/1000)</f>
        <v>0</v>
      </c>
      <c r="S61" s="20">
        <f t="shared" ref="S61:S66" si="117">+H61+K61+Q61+N61</f>
        <v>60</v>
      </c>
      <c r="T61" s="19">
        <f t="shared" ref="T61:T66" si="118">+I61+L61+R61+O61</f>
        <v>8.7839999999999989</v>
      </c>
      <c r="U61" s="21">
        <f t="shared" ref="U61:U66" si="119">E61-S61</f>
        <v>1</v>
      </c>
      <c r="V61" s="19">
        <f t="shared" ref="V61:V66" si="120">F61-T61</f>
        <v>0.14639999999999809</v>
      </c>
      <c r="X61" s="29"/>
    </row>
    <row r="62" spans="1:24">
      <c r="A62" s="26" t="s">
        <v>13</v>
      </c>
      <c r="B62" s="26" t="s">
        <v>61</v>
      </c>
      <c r="C62" s="30">
        <v>12.2</v>
      </c>
      <c r="D62" s="27">
        <v>8.4</v>
      </c>
      <c r="E62" s="28"/>
      <c r="F62" s="16">
        <f t="shared" si="112"/>
        <v>0</v>
      </c>
      <c r="G62" s="17"/>
      <c r="H62" s="18"/>
      <c r="I62" s="19">
        <f t="shared" si="113"/>
        <v>0</v>
      </c>
      <c r="J62" s="16"/>
      <c r="K62" s="18"/>
      <c r="L62" s="19">
        <f t="shared" si="114"/>
        <v>0</v>
      </c>
      <c r="M62" s="16"/>
      <c r="N62" s="18">
        <v>18</v>
      </c>
      <c r="O62" s="19">
        <f t="shared" si="115"/>
        <v>1.8446400000000001</v>
      </c>
      <c r="P62" s="16"/>
      <c r="Q62" s="18"/>
      <c r="R62" s="19">
        <f t="shared" si="116"/>
        <v>0</v>
      </c>
      <c r="S62" s="20">
        <f t="shared" si="117"/>
        <v>18</v>
      </c>
      <c r="T62" s="19">
        <f t="shared" si="118"/>
        <v>1.8446400000000001</v>
      </c>
      <c r="U62" s="21">
        <f t="shared" si="119"/>
        <v>-18</v>
      </c>
      <c r="V62" s="19">
        <f t="shared" si="120"/>
        <v>-1.8446400000000001</v>
      </c>
      <c r="X62" s="29"/>
    </row>
    <row r="63" spans="1:24">
      <c r="A63" s="26" t="s">
        <v>13</v>
      </c>
      <c r="B63" s="26" t="s">
        <v>61</v>
      </c>
      <c r="C63" s="30">
        <v>12.2</v>
      </c>
      <c r="D63" s="27">
        <v>7.9</v>
      </c>
      <c r="E63" s="28"/>
      <c r="F63" s="16">
        <f t="shared" si="112"/>
        <v>0</v>
      </c>
      <c r="G63" s="17"/>
      <c r="H63" s="18"/>
      <c r="I63" s="19">
        <f t="shared" si="113"/>
        <v>0</v>
      </c>
      <c r="J63" s="16"/>
      <c r="K63" s="18"/>
      <c r="L63" s="19">
        <f t="shared" si="114"/>
        <v>0</v>
      </c>
      <c r="M63" s="16"/>
      <c r="N63" s="18"/>
      <c r="O63" s="19">
        <f t="shared" si="115"/>
        <v>0</v>
      </c>
      <c r="P63" s="16"/>
      <c r="Q63" s="18">
        <v>1</v>
      </c>
      <c r="R63" s="19">
        <f t="shared" si="116"/>
        <v>9.6379999999999993E-2</v>
      </c>
      <c r="S63" s="20">
        <f t="shared" si="117"/>
        <v>1</v>
      </c>
      <c r="T63" s="19">
        <f t="shared" si="118"/>
        <v>9.6379999999999993E-2</v>
      </c>
      <c r="U63" s="21">
        <f t="shared" si="119"/>
        <v>-1</v>
      </c>
      <c r="V63" s="19">
        <f t="shared" si="120"/>
        <v>-9.6379999999999993E-2</v>
      </c>
      <c r="X63" s="29"/>
    </row>
    <row r="64" spans="1:24">
      <c r="A64" s="26" t="s">
        <v>13</v>
      </c>
      <c r="B64" s="26" t="s">
        <v>61</v>
      </c>
      <c r="C64" s="30">
        <v>12.2</v>
      </c>
      <c r="D64" s="27"/>
      <c r="E64" s="28"/>
      <c r="F64" s="16">
        <f t="shared" si="112"/>
        <v>0</v>
      </c>
      <c r="G64" s="17"/>
      <c r="H64" s="18"/>
      <c r="I64" s="19">
        <f t="shared" si="113"/>
        <v>0</v>
      </c>
      <c r="J64" s="16"/>
      <c r="K64" s="18"/>
      <c r="L64" s="19">
        <f t="shared" si="114"/>
        <v>0</v>
      </c>
      <c r="M64" s="16"/>
      <c r="N64" s="18"/>
      <c r="O64" s="19">
        <f t="shared" si="115"/>
        <v>0</v>
      </c>
      <c r="P64" s="16"/>
      <c r="Q64" s="18"/>
      <c r="R64" s="19">
        <f t="shared" si="116"/>
        <v>0</v>
      </c>
      <c r="S64" s="20">
        <f t="shared" si="117"/>
        <v>0</v>
      </c>
      <c r="T64" s="19">
        <f t="shared" si="118"/>
        <v>0</v>
      </c>
      <c r="U64" s="21">
        <f t="shared" si="119"/>
        <v>0</v>
      </c>
      <c r="V64" s="19">
        <f t="shared" si="120"/>
        <v>0</v>
      </c>
      <c r="X64" s="29"/>
    </row>
    <row r="65" spans="1:24">
      <c r="A65" s="26" t="s">
        <v>13</v>
      </c>
      <c r="B65" s="26" t="s">
        <v>61</v>
      </c>
      <c r="C65" s="30">
        <v>12.2</v>
      </c>
      <c r="D65" s="27"/>
      <c r="E65" s="28"/>
      <c r="F65" s="16">
        <f t="shared" si="112"/>
        <v>0</v>
      </c>
      <c r="G65" s="17"/>
      <c r="H65" s="18"/>
      <c r="I65" s="19">
        <f t="shared" si="113"/>
        <v>0</v>
      </c>
      <c r="J65" s="16"/>
      <c r="K65" s="18"/>
      <c r="L65" s="19">
        <f t="shared" si="114"/>
        <v>0</v>
      </c>
      <c r="M65" s="16"/>
      <c r="N65" s="18"/>
      <c r="O65" s="19">
        <f t="shared" si="115"/>
        <v>0</v>
      </c>
      <c r="P65" s="16"/>
      <c r="Q65" s="18"/>
      <c r="R65" s="19">
        <f t="shared" si="116"/>
        <v>0</v>
      </c>
      <c r="S65" s="20">
        <f t="shared" si="117"/>
        <v>0</v>
      </c>
      <c r="T65" s="19">
        <f t="shared" si="118"/>
        <v>0</v>
      </c>
      <c r="U65" s="21">
        <f t="shared" si="119"/>
        <v>0</v>
      </c>
      <c r="V65" s="19">
        <f t="shared" si="120"/>
        <v>0</v>
      </c>
      <c r="X65" s="29"/>
    </row>
    <row r="66" spans="1:24">
      <c r="A66" s="26" t="s">
        <v>13</v>
      </c>
      <c r="B66" s="26" t="s">
        <v>61</v>
      </c>
      <c r="C66" s="30">
        <v>12.2</v>
      </c>
      <c r="D66" s="27"/>
      <c r="E66" s="28"/>
      <c r="F66" s="16">
        <f t="shared" si="112"/>
        <v>0</v>
      </c>
      <c r="G66" s="17"/>
      <c r="H66" s="18"/>
      <c r="I66" s="19">
        <f t="shared" si="113"/>
        <v>0</v>
      </c>
      <c r="J66" s="16"/>
      <c r="K66" s="18"/>
      <c r="L66" s="19">
        <f t="shared" si="114"/>
        <v>0</v>
      </c>
      <c r="M66" s="16"/>
      <c r="N66" s="18"/>
      <c r="O66" s="19">
        <f t="shared" si="115"/>
        <v>0</v>
      </c>
      <c r="P66" s="16"/>
      <c r="Q66" s="18"/>
      <c r="R66" s="19">
        <f t="shared" si="116"/>
        <v>0</v>
      </c>
      <c r="S66" s="20">
        <f t="shared" si="117"/>
        <v>0</v>
      </c>
      <c r="T66" s="19">
        <f t="shared" si="118"/>
        <v>0</v>
      </c>
      <c r="U66" s="21">
        <f t="shared" si="119"/>
        <v>0</v>
      </c>
      <c r="V66" s="19">
        <f t="shared" si="120"/>
        <v>0</v>
      </c>
      <c r="X66" s="29"/>
    </row>
    <row r="67" spans="1:24">
      <c r="A67" s="26" t="s">
        <v>13</v>
      </c>
      <c r="B67" s="26" t="s">
        <v>61</v>
      </c>
      <c r="C67" s="30">
        <v>12.2</v>
      </c>
      <c r="D67" s="27"/>
      <c r="E67" s="28"/>
      <c r="F67" s="16">
        <f t="shared" si="103"/>
        <v>0</v>
      </c>
      <c r="G67" s="17"/>
      <c r="H67" s="18"/>
      <c r="I67" s="19">
        <f t="shared" si="104"/>
        <v>0</v>
      </c>
      <c r="J67" s="16"/>
      <c r="K67" s="18"/>
      <c r="L67" s="19">
        <f t="shared" si="105"/>
        <v>0</v>
      </c>
      <c r="M67" s="16"/>
      <c r="N67" s="18"/>
      <c r="O67" s="19">
        <f t="shared" si="106"/>
        <v>0</v>
      </c>
      <c r="P67" s="16"/>
      <c r="Q67" s="18"/>
      <c r="R67" s="19">
        <f t="shared" si="107"/>
        <v>0</v>
      </c>
      <c r="S67" s="20">
        <f t="shared" si="108"/>
        <v>0</v>
      </c>
      <c r="T67" s="19">
        <f t="shared" si="109"/>
        <v>0</v>
      </c>
      <c r="U67" s="21">
        <f t="shared" si="110"/>
        <v>0</v>
      </c>
      <c r="V67" s="19">
        <f t="shared" si="111"/>
        <v>0</v>
      </c>
      <c r="X67" s="29"/>
    </row>
    <row r="68" spans="1:24">
      <c r="A68" s="36"/>
      <c r="B68" s="36"/>
      <c r="C68" s="37"/>
      <c r="D68" s="38"/>
      <c r="E68" s="31">
        <f t="shared" ref="E68:F68" si="121">SUM(E56:E67)</f>
        <v>209</v>
      </c>
      <c r="F68" s="38">
        <f t="shared" si="121"/>
        <v>27.103519999999996</v>
      </c>
      <c r="G68" s="17"/>
      <c r="H68" s="31">
        <f t="shared" ref="H68" si="122">SUM(H56:H67)</f>
        <v>102</v>
      </c>
      <c r="I68" s="38">
        <f t="shared" ref="I68" si="123">SUM(I56:I67)</f>
        <v>13.279699999999998</v>
      </c>
      <c r="J68" s="16"/>
      <c r="K68" s="31">
        <f t="shared" ref="K68" si="124">SUM(K56:K67)</f>
        <v>57</v>
      </c>
      <c r="L68" s="38">
        <f t="shared" ref="L68" si="125">SUM(L56:L67)</f>
        <v>7.7347999999999981</v>
      </c>
      <c r="M68" s="16"/>
      <c r="N68" s="31">
        <f>SUM(N56:N67)</f>
        <v>38</v>
      </c>
      <c r="O68" s="38">
        <f>SUM(O56:O67)</f>
        <v>4.4066399999999994</v>
      </c>
      <c r="P68" s="16"/>
      <c r="Q68" s="31">
        <f t="shared" ref="Q68" si="126">SUM(Q56:Q67)</f>
        <v>16</v>
      </c>
      <c r="R68" s="38">
        <f t="shared" ref="R68" si="127">SUM(R56:R67)</f>
        <v>1.8775799999999996</v>
      </c>
      <c r="S68" s="31">
        <f t="shared" ref="S68" si="128">SUM(S56:S67)</f>
        <v>213</v>
      </c>
      <c r="T68" s="38">
        <f t="shared" ref="T68" si="129">SUM(T56:T67)</f>
        <v>27.298719999999999</v>
      </c>
      <c r="U68" s="31">
        <f t="shared" ref="U68" si="130">SUM(U56:U67)</f>
        <v>-4</v>
      </c>
      <c r="V68" s="38">
        <f t="shared" ref="V68" si="131">SUM(V56:V67)</f>
        <v>-0.19520000000000168</v>
      </c>
      <c r="X68" s="29"/>
    </row>
    <row r="69" spans="1:24">
      <c r="A69" s="26" t="s">
        <v>13</v>
      </c>
      <c r="B69" s="26" t="s">
        <v>18</v>
      </c>
      <c r="C69" s="30">
        <v>16.600000000000001</v>
      </c>
      <c r="D69" s="27">
        <v>11.4</v>
      </c>
      <c r="E69" s="28">
        <v>16</v>
      </c>
      <c r="F69" s="16">
        <f t="shared" ref="F69:F70" si="132">(C69*D69*E69/1000)</f>
        <v>3.0278400000000003</v>
      </c>
      <c r="G69" s="16" t="s">
        <v>93</v>
      </c>
      <c r="H69" s="18">
        <v>11</v>
      </c>
      <c r="I69" s="19">
        <f t="shared" ref="I69:I70" si="133">(C69*D69*H69/1000)</f>
        <v>2.0816400000000002</v>
      </c>
      <c r="J69" s="17" t="s">
        <v>88</v>
      </c>
      <c r="K69" s="18"/>
      <c r="L69" s="19">
        <f t="shared" ref="L69:L70" si="134">(C69*D69*K69/1000)</f>
        <v>0</v>
      </c>
      <c r="M69" s="16" t="s">
        <v>88</v>
      </c>
      <c r="N69" s="18">
        <v>5</v>
      </c>
      <c r="O69" s="19">
        <f t="shared" ref="O69:O70" si="135">(C69*D69*N69/1000)</f>
        <v>0.94620000000000004</v>
      </c>
      <c r="P69" s="16"/>
      <c r="Q69" s="18"/>
      <c r="R69" s="19">
        <f t="shared" ref="R69:R70" si="136">(C69*D69*Q69/1000)</f>
        <v>0</v>
      </c>
      <c r="S69" s="20">
        <f t="shared" ref="S69:S70" si="137">+H69+K69+Q69+N69</f>
        <v>16</v>
      </c>
      <c r="T69" s="19">
        <f t="shared" ref="T69:T70" si="138">+I69+L69+R69+O69</f>
        <v>3.0278400000000003</v>
      </c>
      <c r="U69" s="21">
        <f t="shared" ref="U69:U70" si="139">E69-S69</f>
        <v>0</v>
      </c>
      <c r="V69" s="19">
        <f t="shared" ref="V69:V70" si="140">F69-T69</f>
        <v>0</v>
      </c>
      <c r="X69" s="29"/>
    </row>
    <row r="70" spans="1:24">
      <c r="A70" s="26" t="s">
        <v>13</v>
      </c>
      <c r="B70" s="26" t="s">
        <v>18</v>
      </c>
      <c r="C70" s="30">
        <v>16.600000000000001</v>
      </c>
      <c r="D70" s="27">
        <v>12</v>
      </c>
      <c r="E70" s="28">
        <v>12</v>
      </c>
      <c r="F70" s="16">
        <f t="shared" si="132"/>
        <v>2.3904000000000001</v>
      </c>
      <c r="G70" s="16" t="s">
        <v>170</v>
      </c>
      <c r="H70" s="18"/>
      <c r="I70" s="19">
        <f t="shared" si="133"/>
        <v>0</v>
      </c>
      <c r="J70" s="17" t="s">
        <v>170</v>
      </c>
      <c r="K70" s="18">
        <v>11</v>
      </c>
      <c r="L70" s="19">
        <f t="shared" si="134"/>
        <v>2.1912000000000003</v>
      </c>
      <c r="M70" s="16" t="s">
        <v>175</v>
      </c>
      <c r="N70" s="18">
        <v>1</v>
      </c>
      <c r="O70" s="19">
        <f t="shared" si="135"/>
        <v>0.19920000000000002</v>
      </c>
      <c r="P70" s="16"/>
      <c r="Q70" s="18"/>
      <c r="R70" s="19">
        <f t="shared" si="136"/>
        <v>0</v>
      </c>
      <c r="S70" s="20">
        <f t="shared" si="137"/>
        <v>12</v>
      </c>
      <c r="T70" s="19">
        <f t="shared" si="138"/>
        <v>2.3904000000000001</v>
      </c>
      <c r="U70" s="21">
        <f t="shared" si="139"/>
        <v>0</v>
      </c>
      <c r="V70" s="19">
        <f t="shared" si="140"/>
        <v>0</v>
      </c>
      <c r="X70" s="29"/>
    </row>
    <row r="71" spans="1:24">
      <c r="A71" s="36"/>
      <c r="B71" s="36"/>
      <c r="C71" s="37"/>
      <c r="D71" s="38"/>
      <c r="E71" s="31">
        <f t="shared" ref="E71:F71" si="141">SUM(E69:E70)</f>
        <v>28</v>
      </c>
      <c r="F71" s="38">
        <f t="shared" si="141"/>
        <v>5.4182400000000008</v>
      </c>
      <c r="G71" s="17"/>
      <c r="H71" s="31">
        <f t="shared" ref="H71" si="142">SUM(H69:H70)</f>
        <v>11</v>
      </c>
      <c r="I71" s="38">
        <f t="shared" ref="I71" si="143">SUM(I69:I70)</f>
        <v>2.0816400000000002</v>
      </c>
      <c r="J71" s="16"/>
      <c r="K71" s="31">
        <f t="shared" ref="K71" si="144">SUM(K69:K70)</f>
        <v>11</v>
      </c>
      <c r="L71" s="38">
        <f t="shared" ref="L71" si="145">SUM(L69:L70)</f>
        <v>2.1912000000000003</v>
      </c>
      <c r="M71" s="16"/>
      <c r="N71" s="31">
        <f t="shared" ref="N71" si="146">SUM(N69:N70)</f>
        <v>6</v>
      </c>
      <c r="O71" s="38">
        <f t="shared" ref="O71" si="147">SUM(O69:O70)</f>
        <v>1.1454</v>
      </c>
      <c r="P71" s="16"/>
      <c r="Q71" s="31">
        <f t="shared" ref="Q71" si="148">SUM(Q69:Q70)</f>
        <v>0</v>
      </c>
      <c r="R71" s="38">
        <f t="shared" ref="R71" si="149">SUM(R69:R70)</f>
        <v>0</v>
      </c>
      <c r="S71" s="31">
        <f t="shared" ref="S71" si="150">SUM(S69:S70)</f>
        <v>28</v>
      </c>
      <c r="T71" s="38">
        <f t="shared" ref="T71" si="151">SUM(T69:T70)</f>
        <v>5.4182400000000008</v>
      </c>
      <c r="U71" s="31">
        <f t="shared" ref="U71" si="152">SUM(U69:U70)</f>
        <v>0</v>
      </c>
      <c r="V71" s="38">
        <f t="shared" ref="V71" si="153">SUM(V69:V70)</f>
        <v>0</v>
      </c>
      <c r="X71" s="29"/>
    </row>
    <row r="72" spans="1:24">
      <c r="A72" s="26" t="s">
        <v>13</v>
      </c>
      <c r="B72" s="26" t="s">
        <v>25</v>
      </c>
      <c r="C72" s="30">
        <v>13.4</v>
      </c>
      <c r="D72" s="27">
        <v>6.7</v>
      </c>
      <c r="E72" s="28">
        <v>30</v>
      </c>
      <c r="F72" s="16">
        <f t="shared" ref="F72:F82" si="154">(C72*D72*E72/1000)</f>
        <v>2.6934</v>
      </c>
      <c r="G72" s="17" t="s">
        <v>89</v>
      </c>
      <c r="H72" s="18">
        <v>10</v>
      </c>
      <c r="I72" s="19">
        <f t="shared" ref="I72:I82" si="155">(C72*D72*H72/1000)</f>
        <v>0.89779999999999993</v>
      </c>
      <c r="J72" s="16" t="s">
        <v>88</v>
      </c>
      <c r="K72" s="18">
        <v>15</v>
      </c>
      <c r="L72" s="19">
        <f t="shared" ref="L72:L82" si="156">(C72*D72*K72/1000)</f>
        <v>1.3467</v>
      </c>
      <c r="M72" s="17" t="s">
        <v>88</v>
      </c>
      <c r="N72" s="18"/>
      <c r="O72" s="19">
        <f t="shared" ref="O72:O82" si="157">(C72*D72*N72/1000)</f>
        <v>0</v>
      </c>
      <c r="P72" s="16" t="s">
        <v>88</v>
      </c>
      <c r="Q72" s="18"/>
      <c r="R72" s="19">
        <f t="shared" ref="R72:R82" si="158">(C72*D72*Q72/1000)</f>
        <v>0</v>
      </c>
      <c r="S72" s="20">
        <f t="shared" ref="S72:S82" si="159">+H72+K72+Q72+N72</f>
        <v>25</v>
      </c>
      <c r="T72" s="19">
        <f t="shared" ref="T72:T82" si="160">+I72+L72+R72+O72</f>
        <v>2.2444999999999999</v>
      </c>
      <c r="U72" s="21">
        <f t="shared" ref="U72:U82" si="161">E72-S72</f>
        <v>5</v>
      </c>
      <c r="V72" s="19">
        <f t="shared" ref="V72:V82" si="162">F72-T72</f>
        <v>0.44890000000000008</v>
      </c>
      <c r="X72" s="29"/>
    </row>
    <row r="73" spans="1:24">
      <c r="A73" s="26" t="s">
        <v>13</v>
      </c>
      <c r="B73" s="26" t="s">
        <v>25</v>
      </c>
      <c r="C73" s="30">
        <v>13.4</v>
      </c>
      <c r="D73" s="27">
        <v>7.8</v>
      </c>
      <c r="E73" s="28">
        <v>28</v>
      </c>
      <c r="F73" s="16">
        <f t="shared" si="154"/>
        <v>2.9265599999999998</v>
      </c>
      <c r="G73" s="17" t="s">
        <v>169</v>
      </c>
      <c r="H73" s="18">
        <v>7</v>
      </c>
      <c r="I73" s="19">
        <f t="shared" si="155"/>
        <v>0.73163999999999996</v>
      </c>
      <c r="J73" s="16" t="s">
        <v>169</v>
      </c>
      <c r="K73" s="18">
        <v>7</v>
      </c>
      <c r="L73" s="19">
        <f t="shared" si="156"/>
        <v>0.73163999999999996</v>
      </c>
      <c r="M73" s="17" t="s">
        <v>170</v>
      </c>
      <c r="N73" s="18"/>
      <c r="O73" s="19">
        <f t="shared" si="157"/>
        <v>0</v>
      </c>
      <c r="P73" s="16" t="s">
        <v>175</v>
      </c>
      <c r="Q73" s="18"/>
      <c r="R73" s="19">
        <f t="shared" si="158"/>
        <v>0</v>
      </c>
      <c r="S73" s="20">
        <f t="shared" si="159"/>
        <v>14</v>
      </c>
      <c r="T73" s="19">
        <f t="shared" si="160"/>
        <v>1.4632799999999999</v>
      </c>
      <c r="U73" s="21">
        <f t="shared" si="161"/>
        <v>14</v>
      </c>
      <c r="V73" s="19">
        <f t="shared" si="162"/>
        <v>1.4632799999999999</v>
      </c>
      <c r="X73" s="29"/>
    </row>
    <row r="74" spans="1:24">
      <c r="A74" s="26" t="s">
        <v>13</v>
      </c>
      <c r="B74" s="26" t="s">
        <v>25</v>
      </c>
      <c r="C74" s="30">
        <v>13.4</v>
      </c>
      <c r="D74" s="27">
        <v>10.3</v>
      </c>
      <c r="E74" s="28">
        <v>18</v>
      </c>
      <c r="F74" s="16">
        <f t="shared" si="154"/>
        <v>2.4843600000000001</v>
      </c>
      <c r="G74" s="17"/>
      <c r="H74" s="18"/>
      <c r="I74" s="19">
        <f t="shared" si="155"/>
        <v>0</v>
      </c>
      <c r="J74" s="16"/>
      <c r="K74" s="18">
        <v>6</v>
      </c>
      <c r="L74" s="19">
        <f t="shared" si="156"/>
        <v>0.82812000000000008</v>
      </c>
      <c r="M74" s="16"/>
      <c r="N74" s="18">
        <v>4</v>
      </c>
      <c r="O74" s="19">
        <f t="shared" si="157"/>
        <v>0.55208000000000002</v>
      </c>
      <c r="P74" s="16"/>
      <c r="Q74" s="18"/>
      <c r="R74" s="19">
        <f t="shared" si="158"/>
        <v>0</v>
      </c>
      <c r="S74" s="20">
        <f t="shared" si="159"/>
        <v>10</v>
      </c>
      <c r="T74" s="19">
        <f t="shared" si="160"/>
        <v>1.3802000000000001</v>
      </c>
      <c r="U74" s="21">
        <f t="shared" si="161"/>
        <v>8</v>
      </c>
      <c r="V74" s="19">
        <f t="shared" si="162"/>
        <v>1.10416</v>
      </c>
      <c r="X74" s="29"/>
    </row>
    <row r="75" spans="1:24">
      <c r="A75" s="26" t="s">
        <v>13</v>
      </c>
      <c r="B75" s="26" t="s">
        <v>25</v>
      </c>
      <c r="C75" s="30">
        <v>13.4</v>
      </c>
      <c r="D75" s="27">
        <v>11.3</v>
      </c>
      <c r="E75" s="28">
        <v>36</v>
      </c>
      <c r="F75" s="16">
        <f t="shared" ref="F75:F81" si="163">(C75*D75*E75/1000)</f>
        <v>5.4511200000000004</v>
      </c>
      <c r="G75" s="17"/>
      <c r="H75" s="18"/>
      <c r="I75" s="19">
        <f t="shared" ref="I75:I81" si="164">(C75*D75*H75/1000)</f>
        <v>0</v>
      </c>
      <c r="J75" s="16"/>
      <c r="K75" s="18">
        <v>25</v>
      </c>
      <c r="L75" s="19">
        <f t="shared" ref="L75:L81" si="165">(C75*D75*K75/1000)</f>
        <v>3.7855000000000003</v>
      </c>
      <c r="M75" s="16"/>
      <c r="N75" s="18">
        <v>17</v>
      </c>
      <c r="O75" s="19">
        <f t="shared" ref="O75:O81" si="166">(C75*D75*N75/1000)</f>
        <v>2.5741400000000003</v>
      </c>
      <c r="P75" s="16"/>
      <c r="Q75" s="18"/>
      <c r="R75" s="19">
        <f t="shared" ref="R75:R81" si="167">(C75*D75*Q75/1000)</f>
        <v>0</v>
      </c>
      <c r="S75" s="20">
        <f t="shared" ref="S75:S81" si="168">+H75+K75+Q75+N75</f>
        <v>42</v>
      </c>
      <c r="T75" s="19">
        <f t="shared" ref="T75:T81" si="169">+I75+L75+R75+O75</f>
        <v>6.3596400000000006</v>
      </c>
      <c r="U75" s="21">
        <f t="shared" ref="U75:U81" si="170">E75-S75</f>
        <v>-6</v>
      </c>
      <c r="V75" s="19">
        <f t="shared" ref="V75:V81" si="171">F75-T75</f>
        <v>-0.90852000000000022</v>
      </c>
      <c r="X75" s="29"/>
    </row>
    <row r="76" spans="1:24">
      <c r="A76" s="26" t="s">
        <v>13</v>
      </c>
      <c r="B76" s="26" t="s">
        <v>25</v>
      </c>
      <c r="C76" s="30">
        <v>13.4</v>
      </c>
      <c r="D76" s="27">
        <v>9.5</v>
      </c>
      <c r="E76" s="28"/>
      <c r="F76" s="16">
        <f t="shared" si="163"/>
        <v>0</v>
      </c>
      <c r="G76" s="17"/>
      <c r="H76" s="18"/>
      <c r="I76" s="19">
        <f t="shared" si="164"/>
        <v>0</v>
      </c>
      <c r="J76" s="16"/>
      <c r="K76" s="18"/>
      <c r="L76" s="19">
        <f t="shared" si="165"/>
        <v>0</v>
      </c>
      <c r="M76" s="16"/>
      <c r="N76" s="18"/>
      <c r="O76" s="19">
        <f t="shared" si="166"/>
        <v>0</v>
      </c>
      <c r="P76" s="16"/>
      <c r="Q76" s="18">
        <v>1</v>
      </c>
      <c r="R76" s="19">
        <f t="shared" si="167"/>
        <v>0.1273</v>
      </c>
      <c r="S76" s="20">
        <f t="shared" si="168"/>
        <v>1</v>
      </c>
      <c r="T76" s="19">
        <f t="shared" si="169"/>
        <v>0.1273</v>
      </c>
      <c r="U76" s="21">
        <f t="shared" si="170"/>
        <v>-1</v>
      </c>
      <c r="V76" s="19">
        <f t="shared" si="171"/>
        <v>-0.1273</v>
      </c>
      <c r="X76" s="29"/>
    </row>
    <row r="77" spans="1:24">
      <c r="A77" s="26" t="s">
        <v>13</v>
      </c>
      <c r="B77" s="26" t="s">
        <v>25</v>
      </c>
      <c r="C77" s="30">
        <v>13.4</v>
      </c>
      <c r="D77" s="27">
        <v>9.6999999999999993</v>
      </c>
      <c r="E77" s="28"/>
      <c r="F77" s="16">
        <f t="shared" si="163"/>
        <v>0</v>
      </c>
      <c r="G77" s="17"/>
      <c r="H77" s="18"/>
      <c r="I77" s="19">
        <f t="shared" si="164"/>
        <v>0</v>
      </c>
      <c r="J77" s="16"/>
      <c r="K77" s="18"/>
      <c r="L77" s="19">
        <f t="shared" si="165"/>
        <v>0</v>
      </c>
      <c r="M77" s="16"/>
      <c r="N77" s="18"/>
      <c r="O77" s="19">
        <f t="shared" si="166"/>
        <v>0</v>
      </c>
      <c r="P77" s="16"/>
      <c r="Q77" s="18">
        <v>1</v>
      </c>
      <c r="R77" s="19">
        <f t="shared" si="167"/>
        <v>0.12997999999999998</v>
      </c>
      <c r="S77" s="20">
        <f t="shared" si="168"/>
        <v>1</v>
      </c>
      <c r="T77" s="19">
        <f t="shared" si="169"/>
        <v>0.12997999999999998</v>
      </c>
      <c r="U77" s="21">
        <f t="shared" si="170"/>
        <v>-1</v>
      </c>
      <c r="V77" s="19">
        <f t="shared" si="171"/>
        <v>-0.12997999999999998</v>
      </c>
      <c r="X77" s="29"/>
    </row>
    <row r="78" spans="1:24">
      <c r="A78" s="26" t="s">
        <v>13</v>
      </c>
      <c r="B78" s="26" t="s">
        <v>25</v>
      </c>
      <c r="C78" s="30">
        <v>13.4</v>
      </c>
      <c r="D78" s="27">
        <v>10.1</v>
      </c>
      <c r="E78" s="28"/>
      <c r="F78" s="16">
        <f t="shared" si="163"/>
        <v>0</v>
      </c>
      <c r="G78" s="17"/>
      <c r="H78" s="18"/>
      <c r="I78" s="19">
        <f t="shared" si="164"/>
        <v>0</v>
      </c>
      <c r="J78" s="16"/>
      <c r="K78" s="18"/>
      <c r="L78" s="19">
        <f t="shared" si="165"/>
        <v>0</v>
      </c>
      <c r="M78" s="16"/>
      <c r="N78" s="18"/>
      <c r="O78" s="19">
        <f t="shared" si="166"/>
        <v>0</v>
      </c>
      <c r="P78" s="16"/>
      <c r="Q78" s="18">
        <v>2</v>
      </c>
      <c r="R78" s="19">
        <f t="shared" si="167"/>
        <v>0.27068000000000003</v>
      </c>
      <c r="S78" s="20">
        <f t="shared" si="168"/>
        <v>2</v>
      </c>
      <c r="T78" s="19">
        <f t="shared" si="169"/>
        <v>0.27068000000000003</v>
      </c>
      <c r="U78" s="21">
        <f t="shared" si="170"/>
        <v>-2</v>
      </c>
      <c r="V78" s="19">
        <f t="shared" si="171"/>
        <v>-0.27068000000000003</v>
      </c>
      <c r="X78" s="29"/>
    </row>
    <row r="79" spans="1:24">
      <c r="A79" s="26" t="s">
        <v>13</v>
      </c>
      <c r="B79" s="26" t="s">
        <v>25</v>
      </c>
      <c r="C79" s="30">
        <v>13.4</v>
      </c>
      <c r="D79" s="27">
        <v>10.35</v>
      </c>
      <c r="E79" s="28"/>
      <c r="F79" s="16">
        <f t="shared" si="163"/>
        <v>0</v>
      </c>
      <c r="G79" s="17"/>
      <c r="H79" s="18"/>
      <c r="I79" s="19">
        <f t="shared" si="164"/>
        <v>0</v>
      </c>
      <c r="J79" s="16"/>
      <c r="K79" s="18"/>
      <c r="L79" s="19">
        <f t="shared" si="165"/>
        <v>0</v>
      </c>
      <c r="M79" s="16"/>
      <c r="N79" s="18"/>
      <c r="O79" s="19">
        <f t="shared" si="166"/>
        <v>0</v>
      </c>
      <c r="P79" s="16"/>
      <c r="Q79" s="18">
        <v>2</v>
      </c>
      <c r="R79" s="19">
        <f t="shared" si="167"/>
        <v>0.27738000000000002</v>
      </c>
      <c r="S79" s="20">
        <f t="shared" si="168"/>
        <v>2</v>
      </c>
      <c r="T79" s="19">
        <f t="shared" si="169"/>
        <v>0.27738000000000002</v>
      </c>
      <c r="U79" s="21">
        <f t="shared" si="170"/>
        <v>-2</v>
      </c>
      <c r="V79" s="19">
        <f t="shared" si="171"/>
        <v>-0.27738000000000002</v>
      </c>
      <c r="X79" s="29"/>
    </row>
    <row r="80" spans="1:24">
      <c r="A80" s="26" t="s">
        <v>13</v>
      </c>
      <c r="B80" s="26" t="s">
        <v>25</v>
      </c>
      <c r="C80" s="30">
        <v>13.4</v>
      </c>
      <c r="D80" s="27">
        <v>10.3</v>
      </c>
      <c r="E80" s="28"/>
      <c r="F80" s="16">
        <f t="shared" si="163"/>
        <v>0</v>
      </c>
      <c r="G80" s="17"/>
      <c r="H80" s="18"/>
      <c r="I80" s="19">
        <f t="shared" si="164"/>
        <v>0</v>
      </c>
      <c r="J80" s="16"/>
      <c r="K80" s="18"/>
      <c r="L80" s="19">
        <f t="shared" si="165"/>
        <v>0</v>
      </c>
      <c r="M80" s="16"/>
      <c r="N80" s="18"/>
      <c r="O80" s="19">
        <f t="shared" si="166"/>
        <v>0</v>
      </c>
      <c r="P80" s="16"/>
      <c r="Q80" s="18">
        <v>3</v>
      </c>
      <c r="R80" s="19">
        <f t="shared" si="167"/>
        <v>0.41406000000000004</v>
      </c>
      <c r="S80" s="20">
        <f t="shared" si="168"/>
        <v>3</v>
      </c>
      <c r="T80" s="19">
        <f t="shared" si="169"/>
        <v>0.41406000000000004</v>
      </c>
      <c r="U80" s="21">
        <f t="shared" si="170"/>
        <v>-3</v>
      </c>
      <c r="V80" s="19">
        <f t="shared" si="171"/>
        <v>-0.41406000000000004</v>
      </c>
      <c r="X80" s="29"/>
    </row>
    <row r="81" spans="1:24">
      <c r="A81" s="26" t="s">
        <v>13</v>
      </c>
      <c r="B81" s="26" t="s">
        <v>25</v>
      </c>
      <c r="C81" s="30">
        <v>13.4</v>
      </c>
      <c r="D81" s="27">
        <v>11.3</v>
      </c>
      <c r="E81" s="28"/>
      <c r="F81" s="16">
        <f t="shared" si="163"/>
        <v>0</v>
      </c>
      <c r="G81" s="17"/>
      <c r="H81" s="18"/>
      <c r="I81" s="19">
        <f t="shared" si="164"/>
        <v>0</v>
      </c>
      <c r="J81" s="16"/>
      <c r="K81" s="18"/>
      <c r="L81" s="19">
        <f t="shared" si="165"/>
        <v>0</v>
      </c>
      <c r="M81" s="16"/>
      <c r="N81" s="18"/>
      <c r="O81" s="19">
        <f t="shared" si="166"/>
        <v>0</v>
      </c>
      <c r="P81" s="16"/>
      <c r="Q81" s="18">
        <v>3</v>
      </c>
      <c r="R81" s="19">
        <f t="shared" si="167"/>
        <v>0.45426000000000005</v>
      </c>
      <c r="S81" s="20">
        <f t="shared" si="168"/>
        <v>3</v>
      </c>
      <c r="T81" s="19">
        <f t="shared" si="169"/>
        <v>0.45426000000000005</v>
      </c>
      <c r="U81" s="21">
        <f t="shared" si="170"/>
        <v>-3</v>
      </c>
      <c r="V81" s="19">
        <f t="shared" si="171"/>
        <v>-0.45426000000000005</v>
      </c>
      <c r="X81" s="29"/>
    </row>
    <row r="82" spans="1:24">
      <c r="A82" s="26" t="s">
        <v>13</v>
      </c>
      <c r="B82" s="26" t="s">
        <v>25</v>
      </c>
      <c r="C82" s="30">
        <v>13.4</v>
      </c>
      <c r="D82" s="27">
        <v>7.6</v>
      </c>
      <c r="E82" s="28"/>
      <c r="F82" s="16">
        <f t="shared" si="154"/>
        <v>0</v>
      </c>
      <c r="G82" s="17"/>
      <c r="H82" s="18"/>
      <c r="I82" s="19">
        <f t="shared" si="155"/>
        <v>0</v>
      </c>
      <c r="J82" s="16"/>
      <c r="K82" s="18"/>
      <c r="L82" s="19">
        <f t="shared" si="156"/>
        <v>0</v>
      </c>
      <c r="M82" s="16"/>
      <c r="N82" s="18"/>
      <c r="O82" s="19">
        <f t="shared" si="157"/>
        <v>0</v>
      </c>
      <c r="P82" s="16"/>
      <c r="Q82" s="18">
        <v>6</v>
      </c>
      <c r="R82" s="19">
        <f t="shared" si="158"/>
        <v>0.61103999999999992</v>
      </c>
      <c r="S82" s="20">
        <f t="shared" si="159"/>
        <v>6</v>
      </c>
      <c r="T82" s="19">
        <f t="shared" si="160"/>
        <v>0.61103999999999992</v>
      </c>
      <c r="U82" s="21">
        <f t="shared" si="161"/>
        <v>-6</v>
      </c>
      <c r="V82" s="19">
        <f t="shared" si="162"/>
        <v>-0.61103999999999992</v>
      </c>
      <c r="X82" s="29"/>
    </row>
    <row r="83" spans="1:24">
      <c r="A83" s="36"/>
      <c r="B83" s="36"/>
      <c r="C83" s="37"/>
      <c r="D83" s="38"/>
      <c r="E83" s="31">
        <f t="shared" ref="E83:F83" si="172">SUM(E72:E82)</f>
        <v>112</v>
      </c>
      <c r="F83" s="38">
        <f t="shared" si="172"/>
        <v>13.555440000000001</v>
      </c>
      <c r="G83" s="17"/>
      <c r="H83" s="31">
        <f t="shared" ref="H83" si="173">SUM(H72:H82)</f>
        <v>17</v>
      </c>
      <c r="I83" s="38">
        <f t="shared" ref="I83" si="174">SUM(I72:I82)</f>
        <v>1.6294399999999998</v>
      </c>
      <c r="J83" s="16"/>
      <c r="K83" s="31">
        <f t="shared" ref="K83" si="175">SUM(K72:K82)</f>
        <v>53</v>
      </c>
      <c r="L83" s="38">
        <f t="shared" ref="L83" si="176">SUM(L72:L82)</f>
        <v>6.6919599999999999</v>
      </c>
      <c r="M83" s="16"/>
      <c r="N83" s="31">
        <f t="shared" ref="N83" si="177">SUM(N72:N82)</f>
        <v>21</v>
      </c>
      <c r="O83" s="38">
        <f t="shared" ref="O83" si="178">SUM(O72:O82)</f>
        <v>3.1262200000000004</v>
      </c>
      <c r="P83" s="16"/>
      <c r="Q83" s="31">
        <f t="shared" ref="Q83" si="179">SUM(Q72:Q82)</f>
        <v>18</v>
      </c>
      <c r="R83" s="38">
        <f t="shared" ref="R83" si="180">SUM(R72:R82)</f>
        <v>2.2847</v>
      </c>
      <c r="S83" s="31">
        <f t="shared" ref="S83" si="181">SUM(S72:S82)</f>
        <v>109</v>
      </c>
      <c r="T83" s="38">
        <f t="shared" ref="T83" si="182">SUM(T72:T82)</f>
        <v>13.73232</v>
      </c>
      <c r="U83" s="31">
        <f t="shared" ref="U83" si="183">SUM(U72:U82)</f>
        <v>3</v>
      </c>
      <c r="V83" s="38">
        <f t="shared" ref="V83" si="184">SUM(V72:V82)</f>
        <v>-0.1768800000000002</v>
      </c>
      <c r="X83" s="29"/>
    </row>
    <row r="84" spans="1:24">
      <c r="A84" s="26" t="s">
        <v>13</v>
      </c>
      <c r="B84" s="26" t="s">
        <v>47</v>
      </c>
      <c r="C84" s="30">
        <v>18.2</v>
      </c>
      <c r="D84" s="27"/>
      <c r="E84" s="28"/>
      <c r="F84" s="16">
        <f t="shared" ref="F84:F91" si="185">(C84*D84*E84/1000)</f>
        <v>0</v>
      </c>
      <c r="G84" s="16" t="s">
        <v>93</v>
      </c>
      <c r="H84" s="18"/>
      <c r="I84" s="19">
        <f t="shared" ref="I84:I91" si="186">(C84*D84*H84/1000)</f>
        <v>0</v>
      </c>
      <c r="J84" s="16" t="s">
        <v>114</v>
      </c>
      <c r="K84" s="18"/>
      <c r="L84" s="19">
        <f t="shared" ref="L84:L91" si="187">(C84*D84*K84/1000)</f>
        <v>0</v>
      </c>
      <c r="M84" s="16"/>
      <c r="N84" s="18"/>
      <c r="O84" s="19">
        <f t="shared" ref="O84:O91" si="188">(C84*D84*N84/1000)</f>
        <v>0</v>
      </c>
      <c r="P84" s="16"/>
      <c r="Q84" s="18"/>
      <c r="R84" s="19">
        <f t="shared" ref="R84:R91" si="189">(C84*D84*Q84/1000)</f>
        <v>0</v>
      </c>
      <c r="S84" s="20">
        <f t="shared" ref="S84:S91" si="190">+H84+K84+Q84+N84</f>
        <v>0</v>
      </c>
      <c r="T84" s="19">
        <f t="shared" ref="T84:T91" si="191">+I84+L84+R84+O84</f>
        <v>0</v>
      </c>
      <c r="U84" s="21">
        <f t="shared" ref="U84:U91" si="192">E84-S84</f>
        <v>0</v>
      </c>
      <c r="V84" s="19">
        <f t="shared" ref="V84:V91" si="193">F84-T84</f>
        <v>0</v>
      </c>
      <c r="X84" s="29"/>
    </row>
    <row r="85" spans="1:24">
      <c r="A85" s="26" t="s">
        <v>13</v>
      </c>
      <c r="B85" s="26" t="s">
        <v>47</v>
      </c>
      <c r="C85" s="30">
        <v>18.2</v>
      </c>
      <c r="D85" s="27">
        <v>8.6999999999999993</v>
      </c>
      <c r="E85" s="28">
        <f>20+12</f>
        <v>32</v>
      </c>
      <c r="F85" s="16">
        <f t="shared" si="185"/>
        <v>5.0668799999999994</v>
      </c>
      <c r="G85" s="16" t="s">
        <v>177</v>
      </c>
      <c r="H85" s="18">
        <v>26</v>
      </c>
      <c r="I85" s="19">
        <f t="shared" si="186"/>
        <v>4.1168399999999989</v>
      </c>
      <c r="J85" s="16" t="s">
        <v>177</v>
      </c>
      <c r="K85" s="18">
        <v>6</v>
      </c>
      <c r="L85" s="19">
        <f t="shared" si="187"/>
        <v>0.95003999999999988</v>
      </c>
      <c r="M85" s="16"/>
      <c r="N85" s="18"/>
      <c r="O85" s="19">
        <f t="shared" si="188"/>
        <v>0</v>
      </c>
      <c r="P85" s="16"/>
      <c r="Q85" s="18"/>
      <c r="R85" s="19">
        <f t="shared" si="189"/>
        <v>0</v>
      </c>
      <c r="S85" s="20">
        <f t="shared" si="190"/>
        <v>32</v>
      </c>
      <c r="T85" s="19">
        <f t="shared" si="191"/>
        <v>5.0668799999999985</v>
      </c>
      <c r="U85" s="21">
        <f t="shared" si="192"/>
        <v>0</v>
      </c>
      <c r="V85" s="19">
        <f t="shared" si="193"/>
        <v>0</v>
      </c>
      <c r="X85" s="29"/>
    </row>
    <row r="86" spans="1:24">
      <c r="A86" s="26" t="s">
        <v>13</v>
      </c>
      <c r="B86" s="26" t="s">
        <v>47</v>
      </c>
      <c r="C86" s="30">
        <v>18.2</v>
      </c>
      <c r="D86" s="27">
        <v>10</v>
      </c>
      <c r="E86" s="28">
        <v>12</v>
      </c>
      <c r="F86" s="16">
        <f t="shared" si="185"/>
        <v>2.1840000000000002</v>
      </c>
      <c r="G86" s="17"/>
      <c r="H86" s="18"/>
      <c r="I86" s="19">
        <f t="shared" si="186"/>
        <v>0</v>
      </c>
      <c r="J86" s="16"/>
      <c r="K86" s="18">
        <v>12</v>
      </c>
      <c r="L86" s="19">
        <f t="shared" si="187"/>
        <v>2.1840000000000002</v>
      </c>
      <c r="M86" s="16"/>
      <c r="N86" s="18"/>
      <c r="O86" s="19">
        <f t="shared" si="188"/>
        <v>0</v>
      </c>
      <c r="P86" s="16"/>
      <c r="Q86" s="18"/>
      <c r="R86" s="19">
        <f t="shared" si="189"/>
        <v>0</v>
      </c>
      <c r="S86" s="20">
        <f t="shared" si="190"/>
        <v>12</v>
      </c>
      <c r="T86" s="19">
        <f t="shared" si="191"/>
        <v>2.1840000000000002</v>
      </c>
      <c r="U86" s="21">
        <f t="shared" si="192"/>
        <v>0</v>
      </c>
      <c r="V86" s="19">
        <f t="shared" si="193"/>
        <v>0</v>
      </c>
      <c r="X86" s="29"/>
    </row>
    <row r="87" spans="1:24">
      <c r="A87" s="26" t="s">
        <v>13</v>
      </c>
      <c r="B87" s="26" t="s">
        <v>47</v>
      </c>
      <c r="C87" s="30">
        <v>18.2</v>
      </c>
      <c r="D87" s="27">
        <v>10.4</v>
      </c>
      <c r="E87" s="28">
        <v>20</v>
      </c>
      <c r="F87" s="16">
        <f t="shared" si="185"/>
        <v>3.7856000000000001</v>
      </c>
      <c r="G87" s="17"/>
      <c r="H87" s="18">
        <v>19</v>
      </c>
      <c r="I87" s="19">
        <f t="shared" si="186"/>
        <v>3.59632</v>
      </c>
      <c r="J87" s="16"/>
      <c r="K87" s="18"/>
      <c r="L87" s="19">
        <f t="shared" si="187"/>
        <v>0</v>
      </c>
      <c r="M87" s="16"/>
      <c r="N87" s="18"/>
      <c r="O87" s="19">
        <f t="shared" si="188"/>
        <v>0</v>
      </c>
      <c r="P87" s="16"/>
      <c r="Q87" s="18"/>
      <c r="R87" s="19">
        <f t="shared" si="189"/>
        <v>0</v>
      </c>
      <c r="S87" s="20">
        <f t="shared" si="190"/>
        <v>19</v>
      </c>
      <c r="T87" s="19">
        <f t="shared" si="191"/>
        <v>3.59632</v>
      </c>
      <c r="U87" s="21">
        <f t="shared" si="192"/>
        <v>1</v>
      </c>
      <c r="V87" s="19">
        <f t="shared" si="193"/>
        <v>0.18928000000000011</v>
      </c>
      <c r="X87" s="29"/>
    </row>
    <row r="88" spans="1:24">
      <c r="A88" s="26" t="s">
        <v>13</v>
      </c>
      <c r="B88" s="26" t="s">
        <v>47</v>
      </c>
      <c r="C88" s="30">
        <v>18.2</v>
      </c>
      <c r="D88" s="27">
        <v>10.5</v>
      </c>
      <c r="E88" s="28">
        <v>44</v>
      </c>
      <c r="F88" s="16">
        <f t="shared" si="185"/>
        <v>8.4084000000000003</v>
      </c>
      <c r="G88" s="17"/>
      <c r="H88" s="18">
        <f>16+17</f>
        <v>33</v>
      </c>
      <c r="I88" s="19">
        <f t="shared" si="186"/>
        <v>6.3063000000000002</v>
      </c>
      <c r="J88" s="16"/>
      <c r="K88" s="18">
        <v>11</v>
      </c>
      <c r="L88" s="19">
        <f t="shared" si="187"/>
        <v>2.1021000000000001</v>
      </c>
      <c r="M88" s="16"/>
      <c r="N88" s="18"/>
      <c r="O88" s="19">
        <f t="shared" si="188"/>
        <v>0</v>
      </c>
      <c r="P88" s="16"/>
      <c r="Q88" s="18"/>
      <c r="R88" s="19">
        <f t="shared" si="189"/>
        <v>0</v>
      </c>
      <c r="S88" s="20">
        <f t="shared" si="190"/>
        <v>44</v>
      </c>
      <c r="T88" s="19">
        <f t="shared" si="191"/>
        <v>8.4084000000000003</v>
      </c>
      <c r="U88" s="21">
        <f t="shared" si="192"/>
        <v>0</v>
      </c>
      <c r="V88" s="19">
        <f t="shared" si="193"/>
        <v>0</v>
      </c>
      <c r="X88" s="29"/>
    </row>
    <row r="89" spans="1:24">
      <c r="A89" s="26" t="s">
        <v>13</v>
      </c>
      <c r="B89" s="26" t="s">
        <v>47</v>
      </c>
      <c r="C89" s="30">
        <v>18.2</v>
      </c>
      <c r="D89" s="27">
        <v>11</v>
      </c>
      <c r="E89" s="28">
        <v>33</v>
      </c>
      <c r="F89" s="16">
        <f t="shared" si="185"/>
        <v>6.6065999999999994</v>
      </c>
      <c r="G89" s="17"/>
      <c r="H89" s="18">
        <v>17</v>
      </c>
      <c r="I89" s="19">
        <f t="shared" si="186"/>
        <v>3.4033999999999995</v>
      </c>
      <c r="J89" s="16"/>
      <c r="K89" s="18">
        <v>17</v>
      </c>
      <c r="L89" s="19">
        <f t="shared" si="187"/>
        <v>3.4033999999999995</v>
      </c>
      <c r="M89" s="16"/>
      <c r="N89" s="18"/>
      <c r="O89" s="19">
        <f t="shared" si="188"/>
        <v>0</v>
      </c>
      <c r="P89" s="16"/>
      <c r="Q89" s="18"/>
      <c r="R89" s="19">
        <f t="shared" si="189"/>
        <v>0</v>
      </c>
      <c r="S89" s="20">
        <f t="shared" si="190"/>
        <v>34</v>
      </c>
      <c r="T89" s="19">
        <f t="shared" si="191"/>
        <v>6.8067999999999991</v>
      </c>
      <c r="U89" s="21">
        <f t="shared" si="192"/>
        <v>-1</v>
      </c>
      <c r="V89" s="19">
        <f t="shared" si="193"/>
        <v>-0.20019999999999971</v>
      </c>
      <c r="X89" s="29"/>
    </row>
    <row r="90" spans="1:24">
      <c r="A90" s="26" t="s">
        <v>13</v>
      </c>
      <c r="B90" s="26" t="s">
        <v>47</v>
      </c>
      <c r="C90" s="30">
        <v>18.2</v>
      </c>
      <c r="D90" s="27">
        <v>11.5</v>
      </c>
      <c r="E90" s="28">
        <v>29</v>
      </c>
      <c r="F90" s="16">
        <f t="shared" si="185"/>
        <v>6.0697000000000001</v>
      </c>
      <c r="G90" s="17"/>
      <c r="H90" s="18">
        <v>23</v>
      </c>
      <c r="I90" s="19">
        <f t="shared" si="186"/>
        <v>4.8138999999999994</v>
      </c>
      <c r="J90" s="16"/>
      <c r="K90" s="18"/>
      <c r="L90" s="19">
        <f t="shared" si="187"/>
        <v>0</v>
      </c>
      <c r="M90" s="16"/>
      <c r="N90" s="18"/>
      <c r="O90" s="19">
        <f t="shared" si="188"/>
        <v>0</v>
      </c>
      <c r="P90" s="16"/>
      <c r="Q90" s="18"/>
      <c r="R90" s="19">
        <f t="shared" si="189"/>
        <v>0</v>
      </c>
      <c r="S90" s="20">
        <f t="shared" si="190"/>
        <v>23</v>
      </c>
      <c r="T90" s="19">
        <f t="shared" si="191"/>
        <v>4.8138999999999994</v>
      </c>
      <c r="U90" s="21">
        <f t="shared" si="192"/>
        <v>6</v>
      </c>
      <c r="V90" s="19">
        <f t="shared" si="193"/>
        <v>1.2558000000000007</v>
      </c>
      <c r="X90" s="29"/>
    </row>
    <row r="91" spans="1:24">
      <c r="A91" s="26" t="s">
        <v>13</v>
      </c>
      <c r="B91" s="26" t="s">
        <v>47</v>
      </c>
      <c r="C91" s="30">
        <v>18.2</v>
      </c>
      <c r="D91" s="27">
        <v>11.8</v>
      </c>
      <c r="E91" s="28">
        <v>35</v>
      </c>
      <c r="F91" s="16">
        <f t="shared" si="185"/>
        <v>7.5165999999999995</v>
      </c>
      <c r="G91" s="17"/>
      <c r="H91" s="18">
        <v>22</v>
      </c>
      <c r="I91" s="19">
        <f t="shared" si="186"/>
        <v>4.7247199999999996</v>
      </c>
      <c r="J91" s="16"/>
      <c r="K91" s="18">
        <v>20</v>
      </c>
      <c r="L91" s="19">
        <f t="shared" si="187"/>
        <v>4.2951999999999995</v>
      </c>
      <c r="M91" s="16"/>
      <c r="N91" s="18"/>
      <c r="O91" s="19">
        <f t="shared" si="188"/>
        <v>0</v>
      </c>
      <c r="P91" s="16"/>
      <c r="Q91" s="18"/>
      <c r="R91" s="19">
        <f t="shared" si="189"/>
        <v>0</v>
      </c>
      <c r="S91" s="20">
        <f t="shared" si="190"/>
        <v>42</v>
      </c>
      <c r="T91" s="19">
        <f t="shared" si="191"/>
        <v>9.019919999999999</v>
      </c>
      <c r="U91" s="21">
        <f t="shared" si="192"/>
        <v>-7</v>
      </c>
      <c r="V91" s="19">
        <f t="shared" si="193"/>
        <v>-1.5033199999999995</v>
      </c>
      <c r="X91" s="29"/>
    </row>
    <row r="92" spans="1:24">
      <c r="A92" s="36"/>
      <c r="B92" s="36"/>
      <c r="C92" s="37"/>
      <c r="D92" s="38"/>
      <c r="E92" s="31">
        <f t="shared" ref="E92:F92" si="194">SUM(E84:E91)</f>
        <v>205</v>
      </c>
      <c r="F92" s="38">
        <f t="shared" si="194"/>
        <v>39.637779999999992</v>
      </c>
      <c r="G92" s="17"/>
      <c r="H92" s="31">
        <f t="shared" ref="H92" si="195">SUM(H84:H91)</f>
        <v>140</v>
      </c>
      <c r="I92" s="38">
        <f t="shared" ref="I92" si="196">SUM(I84:I91)</f>
        <v>26.961480000000002</v>
      </c>
      <c r="J92" s="16"/>
      <c r="K92" s="31">
        <f t="shared" ref="K92" si="197">SUM(K84:K91)</f>
        <v>66</v>
      </c>
      <c r="L92" s="38">
        <f t="shared" ref="L92" si="198">SUM(L84:L91)</f>
        <v>12.93474</v>
      </c>
      <c r="M92" s="16"/>
      <c r="N92" s="31">
        <f t="shared" ref="N92" si="199">SUM(N84:N91)</f>
        <v>0</v>
      </c>
      <c r="O92" s="38">
        <f t="shared" ref="O92" si="200">SUM(O84:O91)</f>
        <v>0</v>
      </c>
      <c r="P92" s="16"/>
      <c r="Q92" s="31">
        <f t="shared" ref="Q92" si="201">SUM(Q84:Q91)</f>
        <v>0</v>
      </c>
      <c r="R92" s="38">
        <f t="shared" ref="R92" si="202">SUM(R84:R91)</f>
        <v>0</v>
      </c>
      <c r="S92" s="31">
        <f t="shared" ref="S92" si="203">SUM(S84:S91)</f>
        <v>206</v>
      </c>
      <c r="T92" s="38">
        <f t="shared" ref="T92" si="204">SUM(T84:T91)</f>
        <v>39.89622</v>
      </c>
      <c r="U92" s="31">
        <f t="shared" ref="U92" si="205">SUM(U84:U91)</f>
        <v>-1</v>
      </c>
      <c r="V92" s="38">
        <f t="shared" ref="V92" si="206">SUM(V84:V91)</f>
        <v>-0.25843999999999845</v>
      </c>
      <c r="X92" s="29"/>
    </row>
    <row r="93" spans="1:24">
      <c r="A93" s="26" t="s">
        <v>13</v>
      </c>
      <c r="B93" s="26" t="s">
        <v>123</v>
      </c>
      <c r="C93" s="30">
        <v>21.6</v>
      </c>
      <c r="D93" s="27">
        <v>9</v>
      </c>
      <c r="E93" s="28">
        <v>14</v>
      </c>
      <c r="F93" s="16">
        <f>(C93*D93*E93/1000)</f>
        <v>2.7216</v>
      </c>
      <c r="G93" s="17" t="s">
        <v>88</v>
      </c>
      <c r="H93" s="18">
        <v>14</v>
      </c>
      <c r="I93" s="19">
        <f>(C93*D93*H93/1000)</f>
        <v>2.7216</v>
      </c>
      <c r="J93" s="16"/>
      <c r="K93" s="18"/>
      <c r="L93" s="19">
        <f>(C93*D93*K93/1000)</f>
        <v>0</v>
      </c>
      <c r="M93" s="16"/>
      <c r="N93" s="18"/>
      <c r="O93" s="19">
        <f>(C93*D93*N93/1000)</f>
        <v>0</v>
      </c>
      <c r="P93" s="16"/>
      <c r="Q93" s="18"/>
      <c r="R93" s="19">
        <f>(C93*D93*Q93/1000)</f>
        <v>0</v>
      </c>
      <c r="S93" s="20">
        <f>+H93+K93+Q93+N93</f>
        <v>14</v>
      </c>
      <c r="T93" s="19">
        <f>+I93+L93+R93+O93</f>
        <v>2.7216</v>
      </c>
      <c r="U93" s="21">
        <f>E93-S93</f>
        <v>0</v>
      </c>
      <c r="V93" s="19">
        <f>F93-T93</f>
        <v>0</v>
      </c>
      <c r="X93" s="29"/>
    </row>
    <row r="94" spans="1:24">
      <c r="A94" s="36"/>
      <c r="B94" s="36"/>
      <c r="C94" s="37"/>
      <c r="D94" s="38"/>
      <c r="E94" s="31">
        <f t="shared" ref="E94:F94" si="207">SUM(E93)</f>
        <v>14</v>
      </c>
      <c r="F94" s="38">
        <f t="shared" si="207"/>
        <v>2.7216</v>
      </c>
      <c r="G94" s="17" t="s">
        <v>175</v>
      </c>
      <c r="H94" s="31">
        <f t="shared" ref="H94" si="208">SUM(H93)</f>
        <v>14</v>
      </c>
      <c r="I94" s="38">
        <f t="shared" ref="I94" si="209">SUM(I93)</f>
        <v>2.7216</v>
      </c>
      <c r="J94" s="16"/>
      <c r="K94" s="31">
        <f t="shared" ref="K94" si="210">SUM(K93)</f>
        <v>0</v>
      </c>
      <c r="L94" s="38">
        <f t="shared" ref="L94" si="211">SUM(L93)</f>
        <v>0</v>
      </c>
      <c r="M94" s="16"/>
      <c r="N94" s="31">
        <f t="shared" ref="N94" si="212">SUM(N93)</f>
        <v>0</v>
      </c>
      <c r="O94" s="38">
        <f t="shared" ref="O94" si="213">SUM(O93)</f>
        <v>0</v>
      </c>
      <c r="P94" s="16"/>
      <c r="Q94" s="31">
        <f t="shared" ref="Q94" si="214">SUM(Q93)</f>
        <v>0</v>
      </c>
      <c r="R94" s="38">
        <f t="shared" ref="R94" si="215">SUM(R93)</f>
        <v>0</v>
      </c>
      <c r="S94" s="31">
        <f t="shared" ref="S94" si="216">SUM(S93)</f>
        <v>14</v>
      </c>
      <c r="T94" s="38">
        <f t="shared" ref="T94" si="217">SUM(T93)</f>
        <v>2.7216</v>
      </c>
      <c r="U94" s="31">
        <f t="shared" ref="U94" si="218">SUM(U93)</f>
        <v>0</v>
      </c>
      <c r="V94" s="38">
        <f t="shared" ref="V94" si="219">SUM(V93)</f>
        <v>0</v>
      </c>
      <c r="X94" s="29"/>
    </row>
    <row r="95" spans="1:24">
      <c r="A95" s="26" t="s">
        <v>13</v>
      </c>
      <c r="B95" s="26" t="s">
        <v>49</v>
      </c>
      <c r="C95" s="30">
        <v>14.7</v>
      </c>
      <c r="D95" s="27">
        <v>7.8</v>
      </c>
      <c r="E95" s="28">
        <v>45</v>
      </c>
      <c r="F95" s="16">
        <f t="shared" ref="F95:F112" si="220">(C95*D95*E95/1000)</f>
        <v>5.1597</v>
      </c>
      <c r="G95" s="16" t="s">
        <v>93</v>
      </c>
      <c r="H95" s="18">
        <v>36</v>
      </c>
      <c r="I95" s="19">
        <f t="shared" ref="I95:I112" si="221">(C95*D95*H95/1000)</f>
        <v>4.1277600000000003</v>
      </c>
      <c r="J95" s="16"/>
      <c r="K95" s="18"/>
      <c r="L95" s="19">
        <f t="shared" ref="L95:L112" si="222">(C95*D95*K95/1000)</f>
        <v>0</v>
      </c>
      <c r="M95" s="16"/>
      <c r="N95" s="18"/>
      <c r="O95" s="19">
        <f t="shared" ref="O95:O112" si="223">(C95*D95*N95/1000)</f>
        <v>0</v>
      </c>
      <c r="P95" s="16"/>
      <c r="Q95" s="18"/>
      <c r="R95" s="19">
        <f t="shared" ref="R95:R112" si="224">(C95*D95*Q95/1000)</f>
        <v>0</v>
      </c>
      <c r="S95" s="20">
        <f t="shared" ref="S95:S112" si="225">+H95+K95+Q95+N95</f>
        <v>36</v>
      </c>
      <c r="T95" s="19">
        <f t="shared" ref="T95:T112" si="226">+I95+L95+R95+O95</f>
        <v>4.1277600000000003</v>
      </c>
      <c r="U95" s="21">
        <f t="shared" ref="U95:U112" si="227">E95-S95</f>
        <v>9</v>
      </c>
      <c r="V95" s="19">
        <f t="shared" ref="V95:V112" si="228">F95-T95</f>
        <v>1.0319399999999996</v>
      </c>
      <c r="X95" s="29"/>
    </row>
    <row r="96" spans="1:24">
      <c r="A96" s="26" t="s">
        <v>13</v>
      </c>
      <c r="B96" s="26" t="s">
        <v>49</v>
      </c>
      <c r="C96" s="30">
        <v>14.7</v>
      </c>
      <c r="D96" s="27">
        <v>9.5</v>
      </c>
      <c r="E96" s="28">
        <v>28</v>
      </c>
      <c r="F96" s="16">
        <f t="shared" si="220"/>
        <v>3.9102000000000001</v>
      </c>
      <c r="G96" s="16" t="s">
        <v>176</v>
      </c>
      <c r="H96" s="18">
        <v>22</v>
      </c>
      <c r="I96" s="19">
        <f t="shared" si="221"/>
        <v>3.0723000000000003</v>
      </c>
      <c r="J96" s="16"/>
      <c r="K96" s="18"/>
      <c r="L96" s="19">
        <f t="shared" si="222"/>
        <v>0</v>
      </c>
      <c r="M96" s="16"/>
      <c r="N96" s="18"/>
      <c r="O96" s="19">
        <f t="shared" si="223"/>
        <v>0</v>
      </c>
      <c r="P96" s="16"/>
      <c r="Q96" s="18"/>
      <c r="R96" s="19">
        <f t="shared" si="224"/>
        <v>0</v>
      </c>
      <c r="S96" s="20">
        <f t="shared" si="225"/>
        <v>22</v>
      </c>
      <c r="T96" s="19">
        <f t="shared" si="226"/>
        <v>3.0723000000000003</v>
      </c>
      <c r="U96" s="21">
        <f t="shared" si="227"/>
        <v>6</v>
      </c>
      <c r="V96" s="19">
        <f t="shared" si="228"/>
        <v>0.83789999999999987</v>
      </c>
      <c r="X96" s="29"/>
    </row>
    <row r="97" spans="1:24">
      <c r="A97" s="26" t="s">
        <v>13</v>
      </c>
      <c r="B97" s="26" t="s">
        <v>49</v>
      </c>
      <c r="C97" s="30">
        <v>14.7</v>
      </c>
      <c r="D97" s="27">
        <v>11</v>
      </c>
      <c r="E97" s="28">
        <v>27</v>
      </c>
      <c r="F97" s="16">
        <f t="shared" si="220"/>
        <v>4.3658999999999999</v>
      </c>
      <c r="G97" s="17"/>
      <c r="H97" s="18">
        <v>19</v>
      </c>
      <c r="I97" s="19">
        <f t="shared" si="221"/>
        <v>3.0722999999999998</v>
      </c>
      <c r="J97" s="16"/>
      <c r="K97" s="18"/>
      <c r="L97" s="19">
        <f t="shared" si="222"/>
        <v>0</v>
      </c>
      <c r="M97" s="16"/>
      <c r="N97" s="18"/>
      <c r="O97" s="19">
        <f t="shared" si="223"/>
        <v>0</v>
      </c>
      <c r="P97" s="16"/>
      <c r="Q97" s="18"/>
      <c r="R97" s="19">
        <f t="shared" si="224"/>
        <v>0</v>
      </c>
      <c r="S97" s="20">
        <f t="shared" si="225"/>
        <v>19</v>
      </c>
      <c r="T97" s="19">
        <f t="shared" si="226"/>
        <v>3.0722999999999998</v>
      </c>
      <c r="U97" s="21">
        <f t="shared" si="227"/>
        <v>8</v>
      </c>
      <c r="V97" s="19">
        <f t="shared" si="228"/>
        <v>1.2936000000000001</v>
      </c>
      <c r="X97" s="29"/>
    </row>
    <row r="98" spans="1:24">
      <c r="A98" s="26" t="s">
        <v>13</v>
      </c>
      <c r="B98" s="26" t="s">
        <v>49</v>
      </c>
      <c r="C98" s="30">
        <v>14.7</v>
      </c>
      <c r="D98" s="27">
        <v>11.5</v>
      </c>
      <c r="E98" s="28">
        <v>18</v>
      </c>
      <c r="F98" s="16">
        <f t="shared" si="220"/>
        <v>3.0428999999999995</v>
      </c>
      <c r="G98" s="17"/>
      <c r="H98" s="18">
        <v>17</v>
      </c>
      <c r="I98" s="19">
        <f t="shared" si="221"/>
        <v>2.87385</v>
      </c>
      <c r="J98" s="16"/>
      <c r="K98" s="18"/>
      <c r="L98" s="19">
        <f t="shared" si="222"/>
        <v>0</v>
      </c>
      <c r="M98" s="16"/>
      <c r="N98" s="18"/>
      <c r="O98" s="19">
        <f t="shared" si="223"/>
        <v>0</v>
      </c>
      <c r="P98" s="16"/>
      <c r="Q98" s="18"/>
      <c r="R98" s="19">
        <f t="shared" si="224"/>
        <v>0</v>
      </c>
      <c r="S98" s="20">
        <f t="shared" si="225"/>
        <v>17</v>
      </c>
      <c r="T98" s="19">
        <f t="shared" si="226"/>
        <v>2.87385</v>
      </c>
      <c r="U98" s="21">
        <f t="shared" si="227"/>
        <v>1</v>
      </c>
      <c r="V98" s="19">
        <f t="shared" si="228"/>
        <v>0.16904999999999948</v>
      </c>
      <c r="X98" s="29"/>
    </row>
    <row r="99" spans="1:24">
      <c r="A99" s="26" t="s">
        <v>13</v>
      </c>
      <c r="B99" s="26" t="s">
        <v>49</v>
      </c>
      <c r="C99" s="30">
        <v>14.7</v>
      </c>
      <c r="D99" s="27">
        <v>11.7</v>
      </c>
      <c r="E99" s="28">
        <v>33</v>
      </c>
      <c r="F99" s="16">
        <f t="shared" ref="F99:F111" si="229">(C99*D99*E99/1000)</f>
        <v>5.6756699999999993</v>
      </c>
      <c r="G99" s="17"/>
      <c r="H99" s="18">
        <v>33</v>
      </c>
      <c r="I99" s="19">
        <f t="shared" ref="I99:I111" si="230">(C99*D99*H99/1000)</f>
        <v>5.6756699999999993</v>
      </c>
      <c r="J99" s="16"/>
      <c r="K99" s="18"/>
      <c r="L99" s="19">
        <f t="shared" ref="L99:L111" si="231">(C99*D99*K99/1000)</f>
        <v>0</v>
      </c>
      <c r="M99" s="16"/>
      <c r="N99" s="18"/>
      <c r="O99" s="19">
        <f t="shared" ref="O99:O111" si="232">(C99*D99*N99/1000)</f>
        <v>0</v>
      </c>
      <c r="P99" s="16"/>
      <c r="Q99" s="18"/>
      <c r="R99" s="19">
        <f t="shared" ref="R99:R111" si="233">(C99*D99*Q99/1000)</f>
        <v>0</v>
      </c>
      <c r="S99" s="20">
        <f t="shared" ref="S99:S111" si="234">+H99+K99+Q99+N99</f>
        <v>33</v>
      </c>
      <c r="T99" s="19">
        <f t="shared" ref="T99:T111" si="235">+I99+L99+R99+O99</f>
        <v>5.6756699999999993</v>
      </c>
      <c r="U99" s="21">
        <f t="shared" ref="U99:U111" si="236">E99-S99</f>
        <v>0</v>
      </c>
      <c r="V99" s="19">
        <f t="shared" ref="V99:V111" si="237">F99-T99</f>
        <v>0</v>
      </c>
      <c r="X99" s="29"/>
    </row>
    <row r="100" spans="1:24">
      <c r="A100" s="26" t="s">
        <v>13</v>
      </c>
      <c r="B100" s="26" t="s">
        <v>49</v>
      </c>
      <c r="C100" s="30">
        <v>14.7</v>
      </c>
      <c r="D100" s="27">
        <v>8.9</v>
      </c>
      <c r="E100" s="28"/>
      <c r="F100" s="16">
        <f t="shared" si="229"/>
        <v>0</v>
      </c>
      <c r="G100" s="17"/>
      <c r="H100" s="18">
        <v>1</v>
      </c>
      <c r="I100" s="19">
        <f t="shared" si="230"/>
        <v>0.13083</v>
      </c>
      <c r="J100" s="16"/>
      <c r="K100" s="18"/>
      <c r="L100" s="19">
        <f t="shared" si="231"/>
        <v>0</v>
      </c>
      <c r="M100" s="16"/>
      <c r="N100" s="18"/>
      <c r="O100" s="19">
        <f t="shared" si="232"/>
        <v>0</v>
      </c>
      <c r="P100" s="16"/>
      <c r="Q100" s="18"/>
      <c r="R100" s="19">
        <f t="shared" si="233"/>
        <v>0</v>
      </c>
      <c r="S100" s="20">
        <f t="shared" si="234"/>
        <v>1</v>
      </c>
      <c r="T100" s="19">
        <f t="shared" si="235"/>
        <v>0.13083</v>
      </c>
      <c r="U100" s="21">
        <f t="shared" si="236"/>
        <v>-1</v>
      </c>
      <c r="V100" s="19">
        <f t="shared" si="237"/>
        <v>-0.13083</v>
      </c>
      <c r="X100" s="29"/>
    </row>
    <row r="101" spans="1:24">
      <c r="A101" s="26" t="s">
        <v>13</v>
      </c>
      <c r="B101" s="26" t="s">
        <v>49</v>
      </c>
      <c r="C101" s="30">
        <v>14.7</v>
      </c>
      <c r="D101" s="27">
        <v>9.1999999999999993</v>
      </c>
      <c r="E101" s="28"/>
      <c r="F101" s="16">
        <f t="shared" si="229"/>
        <v>0</v>
      </c>
      <c r="G101" s="17"/>
      <c r="H101" s="18">
        <v>3</v>
      </c>
      <c r="I101" s="19">
        <f t="shared" si="230"/>
        <v>0.40571999999999991</v>
      </c>
      <c r="J101" s="16"/>
      <c r="K101" s="18"/>
      <c r="L101" s="19">
        <f t="shared" si="231"/>
        <v>0</v>
      </c>
      <c r="M101" s="16"/>
      <c r="N101" s="18"/>
      <c r="O101" s="19">
        <f t="shared" si="232"/>
        <v>0</v>
      </c>
      <c r="P101" s="16"/>
      <c r="Q101" s="18"/>
      <c r="R101" s="19">
        <f t="shared" si="233"/>
        <v>0</v>
      </c>
      <c r="S101" s="20">
        <f t="shared" si="234"/>
        <v>3</v>
      </c>
      <c r="T101" s="19">
        <f t="shared" si="235"/>
        <v>0.40571999999999991</v>
      </c>
      <c r="U101" s="21">
        <f t="shared" si="236"/>
        <v>-3</v>
      </c>
      <c r="V101" s="19">
        <f t="shared" si="237"/>
        <v>-0.40571999999999991</v>
      </c>
      <c r="X101" s="29"/>
    </row>
    <row r="102" spans="1:24">
      <c r="A102" s="26" t="s">
        <v>13</v>
      </c>
      <c r="B102" s="26" t="s">
        <v>49</v>
      </c>
      <c r="C102" s="30">
        <v>14.7</v>
      </c>
      <c r="D102" s="27">
        <v>9.3000000000000007</v>
      </c>
      <c r="E102" s="28"/>
      <c r="F102" s="16">
        <f t="shared" si="229"/>
        <v>0</v>
      </c>
      <c r="G102" s="17"/>
      <c r="H102" s="18">
        <v>1</v>
      </c>
      <c r="I102" s="19">
        <f t="shared" si="230"/>
        <v>0.13671</v>
      </c>
      <c r="J102" s="16"/>
      <c r="K102" s="18"/>
      <c r="L102" s="19">
        <f t="shared" si="231"/>
        <v>0</v>
      </c>
      <c r="M102" s="16"/>
      <c r="N102" s="18"/>
      <c r="O102" s="19">
        <f t="shared" si="232"/>
        <v>0</v>
      </c>
      <c r="P102" s="16"/>
      <c r="Q102" s="18"/>
      <c r="R102" s="19">
        <f t="shared" si="233"/>
        <v>0</v>
      </c>
      <c r="S102" s="20">
        <f t="shared" si="234"/>
        <v>1</v>
      </c>
      <c r="T102" s="19">
        <f t="shared" si="235"/>
        <v>0.13671</v>
      </c>
      <c r="U102" s="21">
        <f t="shared" si="236"/>
        <v>-1</v>
      </c>
      <c r="V102" s="19">
        <f t="shared" si="237"/>
        <v>-0.13671</v>
      </c>
      <c r="X102" s="29"/>
    </row>
    <row r="103" spans="1:24">
      <c r="A103" s="26" t="s">
        <v>13</v>
      </c>
      <c r="B103" s="26" t="s">
        <v>49</v>
      </c>
      <c r="C103" s="30">
        <v>14.7</v>
      </c>
      <c r="D103" s="27">
        <v>10.5</v>
      </c>
      <c r="E103" s="28"/>
      <c r="F103" s="16">
        <f t="shared" si="229"/>
        <v>0</v>
      </c>
      <c r="G103" s="17"/>
      <c r="H103" s="18">
        <v>8</v>
      </c>
      <c r="I103" s="19">
        <f t="shared" si="230"/>
        <v>1.2347999999999999</v>
      </c>
      <c r="J103" s="16"/>
      <c r="K103" s="18"/>
      <c r="L103" s="19">
        <f t="shared" si="231"/>
        <v>0</v>
      </c>
      <c r="M103" s="16"/>
      <c r="N103" s="18"/>
      <c r="O103" s="19">
        <f t="shared" si="232"/>
        <v>0</v>
      </c>
      <c r="P103" s="16"/>
      <c r="Q103" s="18"/>
      <c r="R103" s="19">
        <f t="shared" si="233"/>
        <v>0</v>
      </c>
      <c r="S103" s="20">
        <f t="shared" si="234"/>
        <v>8</v>
      </c>
      <c r="T103" s="19">
        <f t="shared" si="235"/>
        <v>1.2347999999999999</v>
      </c>
      <c r="U103" s="21">
        <f t="shared" si="236"/>
        <v>-8</v>
      </c>
      <c r="V103" s="19">
        <f t="shared" si="237"/>
        <v>-1.2347999999999999</v>
      </c>
      <c r="X103" s="29"/>
    </row>
    <row r="104" spans="1:24">
      <c r="A104" s="26" t="s">
        <v>13</v>
      </c>
      <c r="B104" s="26" t="s">
        <v>49</v>
      </c>
      <c r="C104" s="30">
        <v>14.7</v>
      </c>
      <c r="D104" s="27">
        <v>11.5</v>
      </c>
      <c r="E104" s="28"/>
      <c r="F104" s="16">
        <f t="shared" si="229"/>
        <v>0</v>
      </c>
      <c r="G104" s="17"/>
      <c r="H104" s="18">
        <v>2</v>
      </c>
      <c r="I104" s="19">
        <f t="shared" si="230"/>
        <v>0.33809999999999996</v>
      </c>
      <c r="J104" s="16"/>
      <c r="K104" s="18"/>
      <c r="L104" s="19">
        <f t="shared" si="231"/>
        <v>0</v>
      </c>
      <c r="M104" s="16"/>
      <c r="N104" s="18"/>
      <c r="O104" s="19">
        <f t="shared" si="232"/>
        <v>0</v>
      </c>
      <c r="P104" s="16"/>
      <c r="Q104" s="18"/>
      <c r="R104" s="19">
        <f t="shared" si="233"/>
        <v>0</v>
      </c>
      <c r="S104" s="20">
        <f t="shared" si="234"/>
        <v>2</v>
      </c>
      <c r="T104" s="19">
        <f t="shared" si="235"/>
        <v>0.33809999999999996</v>
      </c>
      <c r="U104" s="21">
        <f t="shared" si="236"/>
        <v>-2</v>
      </c>
      <c r="V104" s="19">
        <f t="shared" si="237"/>
        <v>-0.33809999999999996</v>
      </c>
      <c r="X104" s="29"/>
    </row>
    <row r="105" spans="1:24">
      <c r="A105" s="26" t="s">
        <v>13</v>
      </c>
      <c r="B105" s="26" t="s">
        <v>49</v>
      </c>
      <c r="C105" s="30">
        <v>14.7</v>
      </c>
      <c r="D105" s="27">
        <v>9.5</v>
      </c>
      <c r="E105" s="28"/>
      <c r="F105" s="16">
        <f t="shared" si="229"/>
        <v>0</v>
      </c>
      <c r="G105" s="17"/>
      <c r="H105" s="18">
        <v>1</v>
      </c>
      <c r="I105" s="19">
        <f t="shared" si="230"/>
        <v>0.13965</v>
      </c>
      <c r="J105" s="16"/>
      <c r="K105" s="18"/>
      <c r="L105" s="19">
        <f t="shared" si="231"/>
        <v>0</v>
      </c>
      <c r="M105" s="16"/>
      <c r="N105" s="18"/>
      <c r="O105" s="19">
        <f t="shared" si="232"/>
        <v>0</v>
      </c>
      <c r="P105" s="16"/>
      <c r="Q105" s="18"/>
      <c r="R105" s="19">
        <f t="shared" si="233"/>
        <v>0</v>
      </c>
      <c r="S105" s="20">
        <f t="shared" si="234"/>
        <v>1</v>
      </c>
      <c r="T105" s="19">
        <f t="shared" si="235"/>
        <v>0.13965</v>
      </c>
      <c r="U105" s="21">
        <f t="shared" si="236"/>
        <v>-1</v>
      </c>
      <c r="V105" s="19">
        <f t="shared" si="237"/>
        <v>-0.13965</v>
      </c>
      <c r="X105" s="29"/>
    </row>
    <row r="106" spans="1:24">
      <c r="A106" s="26" t="s">
        <v>13</v>
      </c>
      <c r="B106" s="26" t="s">
        <v>49</v>
      </c>
      <c r="C106" s="30">
        <v>14.7</v>
      </c>
      <c r="D106" s="27">
        <v>12</v>
      </c>
      <c r="E106" s="28"/>
      <c r="F106" s="16">
        <f t="shared" si="229"/>
        <v>0</v>
      </c>
      <c r="G106" s="17"/>
      <c r="H106" s="18">
        <v>5</v>
      </c>
      <c r="I106" s="19">
        <f t="shared" si="230"/>
        <v>0.8819999999999999</v>
      </c>
      <c r="J106" s="16"/>
      <c r="K106" s="18"/>
      <c r="L106" s="19">
        <f t="shared" si="231"/>
        <v>0</v>
      </c>
      <c r="M106" s="16"/>
      <c r="N106" s="18"/>
      <c r="O106" s="19">
        <f t="shared" si="232"/>
        <v>0</v>
      </c>
      <c r="P106" s="16"/>
      <c r="Q106" s="18"/>
      <c r="R106" s="19">
        <f t="shared" si="233"/>
        <v>0</v>
      </c>
      <c r="S106" s="20">
        <f t="shared" si="234"/>
        <v>5</v>
      </c>
      <c r="T106" s="19">
        <f t="shared" si="235"/>
        <v>0.8819999999999999</v>
      </c>
      <c r="U106" s="21">
        <f t="shared" si="236"/>
        <v>-5</v>
      </c>
      <c r="V106" s="19">
        <f t="shared" si="237"/>
        <v>-0.8819999999999999</v>
      </c>
      <c r="X106" s="29"/>
    </row>
    <row r="107" spans="1:24">
      <c r="A107" s="26" t="s">
        <v>13</v>
      </c>
      <c r="B107" s="26" t="s">
        <v>49</v>
      </c>
      <c r="C107" s="30">
        <v>14.7</v>
      </c>
      <c r="D107" s="27"/>
      <c r="E107" s="28"/>
      <c r="F107" s="16">
        <f t="shared" si="229"/>
        <v>0</v>
      </c>
      <c r="G107" s="17"/>
      <c r="H107" s="18"/>
      <c r="I107" s="19">
        <f t="shared" si="230"/>
        <v>0</v>
      </c>
      <c r="J107" s="16"/>
      <c r="K107" s="18"/>
      <c r="L107" s="19">
        <f t="shared" si="231"/>
        <v>0</v>
      </c>
      <c r="M107" s="16"/>
      <c r="N107" s="18"/>
      <c r="O107" s="19">
        <f t="shared" si="232"/>
        <v>0</v>
      </c>
      <c r="P107" s="16"/>
      <c r="Q107" s="18"/>
      <c r="R107" s="19">
        <f t="shared" si="233"/>
        <v>0</v>
      </c>
      <c r="S107" s="20">
        <f t="shared" si="234"/>
        <v>0</v>
      </c>
      <c r="T107" s="19">
        <f t="shared" si="235"/>
        <v>0</v>
      </c>
      <c r="U107" s="21">
        <f t="shared" si="236"/>
        <v>0</v>
      </c>
      <c r="V107" s="19">
        <f t="shared" si="237"/>
        <v>0</v>
      </c>
      <c r="X107" s="29"/>
    </row>
    <row r="108" spans="1:24">
      <c r="A108" s="26" t="s">
        <v>13</v>
      </c>
      <c r="B108" s="26" t="s">
        <v>49</v>
      </c>
      <c r="C108" s="30">
        <v>14.7</v>
      </c>
      <c r="D108" s="27"/>
      <c r="E108" s="28"/>
      <c r="F108" s="16">
        <f t="shared" si="229"/>
        <v>0</v>
      </c>
      <c r="G108" s="17"/>
      <c r="H108" s="18"/>
      <c r="I108" s="19">
        <f t="shared" si="230"/>
        <v>0</v>
      </c>
      <c r="J108" s="16"/>
      <c r="K108" s="18"/>
      <c r="L108" s="19">
        <f t="shared" si="231"/>
        <v>0</v>
      </c>
      <c r="M108" s="16"/>
      <c r="N108" s="18"/>
      <c r="O108" s="19">
        <f t="shared" si="232"/>
        <v>0</v>
      </c>
      <c r="P108" s="16"/>
      <c r="Q108" s="18"/>
      <c r="R108" s="19">
        <f t="shared" si="233"/>
        <v>0</v>
      </c>
      <c r="S108" s="20">
        <f t="shared" si="234"/>
        <v>0</v>
      </c>
      <c r="T108" s="19">
        <f t="shared" si="235"/>
        <v>0</v>
      </c>
      <c r="U108" s="21">
        <f t="shared" si="236"/>
        <v>0</v>
      </c>
      <c r="V108" s="19">
        <f t="shared" si="237"/>
        <v>0</v>
      </c>
      <c r="X108" s="29"/>
    </row>
    <row r="109" spans="1:24">
      <c r="A109" s="26" t="s">
        <v>13</v>
      </c>
      <c r="B109" s="26" t="s">
        <v>49</v>
      </c>
      <c r="C109" s="30">
        <v>14.7</v>
      </c>
      <c r="D109" s="27"/>
      <c r="E109" s="28"/>
      <c r="F109" s="16">
        <f t="shared" si="229"/>
        <v>0</v>
      </c>
      <c r="G109" s="17"/>
      <c r="H109" s="18"/>
      <c r="I109" s="19">
        <f t="shared" si="230"/>
        <v>0</v>
      </c>
      <c r="J109" s="16"/>
      <c r="K109" s="18"/>
      <c r="L109" s="19">
        <f t="shared" si="231"/>
        <v>0</v>
      </c>
      <c r="M109" s="16"/>
      <c r="N109" s="18"/>
      <c r="O109" s="19">
        <f t="shared" si="232"/>
        <v>0</v>
      </c>
      <c r="P109" s="16"/>
      <c r="Q109" s="18"/>
      <c r="R109" s="19">
        <f t="shared" si="233"/>
        <v>0</v>
      </c>
      <c r="S109" s="20">
        <f t="shared" si="234"/>
        <v>0</v>
      </c>
      <c r="T109" s="19">
        <f t="shared" si="235"/>
        <v>0</v>
      </c>
      <c r="U109" s="21">
        <f t="shared" si="236"/>
        <v>0</v>
      </c>
      <c r="V109" s="19">
        <f t="shared" si="237"/>
        <v>0</v>
      </c>
      <c r="X109" s="29"/>
    </row>
    <row r="110" spans="1:24">
      <c r="A110" s="26" t="s">
        <v>13</v>
      </c>
      <c r="B110" s="26" t="s">
        <v>49</v>
      </c>
      <c r="C110" s="30">
        <v>14.7</v>
      </c>
      <c r="D110" s="27"/>
      <c r="E110" s="28"/>
      <c r="F110" s="16">
        <f t="shared" si="229"/>
        <v>0</v>
      </c>
      <c r="G110" s="17"/>
      <c r="H110" s="18"/>
      <c r="I110" s="19">
        <f t="shared" si="230"/>
        <v>0</v>
      </c>
      <c r="J110" s="16"/>
      <c r="K110" s="18"/>
      <c r="L110" s="19">
        <f t="shared" si="231"/>
        <v>0</v>
      </c>
      <c r="M110" s="16"/>
      <c r="N110" s="18"/>
      <c r="O110" s="19">
        <f t="shared" si="232"/>
        <v>0</v>
      </c>
      <c r="P110" s="16"/>
      <c r="Q110" s="18"/>
      <c r="R110" s="19">
        <f t="shared" si="233"/>
        <v>0</v>
      </c>
      <c r="S110" s="20">
        <f t="shared" si="234"/>
        <v>0</v>
      </c>
      <c r="T110" s="19">
        <f t="shared" si="235"/>
        <v>0</v>
      </c>
      <c r="U110" s="21">
        <f t="shared" si="236"/>
        <v>0</v>
      </c>
      <c r="V110" s="19">
        <f t="shared" si="237"/>
        <v>0</v>
      </c>
      <c r="X110" s="29"/>
    </row>
    <row r="111" spans="1:24">
      <c r="A111" s="26" t="s">
        <v>13</v>
      </c>
      <c r="B111" s="26" t="s">
        <v>49</v>
      </c>
      <c r="C111" s="30">
        <v>14.7</v>
      </c>
      <c r="D111" s="27"/>
      <c r="E111" s="28"/>
      <c r="F111" s="16">
        <f t="shared" si="229"/>
        <v>0</v>
      </c>
      <c r="G111" s="17"/>
      <c r="H111" s="18"/>
      <c r="I111" s="19">
        <f t="shared" si="230"/>
        <v>0</v>
      </c>
      <c r="J111" s="16"/>
      <c r="K111" s="18"/>
      <c r="L111" s="19">
        <f t="shared" si="231"/>
        <v>0</v>
      </c>
      <c r="M111" s="16"/>
      <c r="N111" s="18"/>
      <c r="O111" s="19">
        <f t="shared" si="232"/>
        <v>0</v>
      </c>
      <c r="P111" s="16"/>
      <c r="Q111" s="18"/>
      <c r="R111" s="19">
        <f t="shared" si="233"/>
        <v>0</v>
      </c>
      <c r="S111" s="20">
        <f t="shared" si="234"/>
        <v>0</v>
      </c>
      <c r="T111" s="19">
        <f t="shared" si="235"/>
        <v>0</v>
      </c>
      <c r="U111" s="21">
        <f t="shared" si="236"/>
        <v>0</v>
      </c>
      <c r="V111" s="19">
        <f t="shared" si="237"/>
        <v>0</v>
      </c>
      <c r="X111" s="29"/>
    </row>
    <row r="112" spans="1:24">
      <c r="A112" s="26" t="s">
        <v>13</v>
      </c>
      <c r="B112" s="26" t="s">
        <v>49</v>
      </c>
      <c r="C112" s="30">
        <v>14.7</v>
      </c>
      <c r="D112" s="27"/>
      <c r="E112" s="28"/>
      <c r="F112" s="16">
        <f t="shared" si="220"/>
        <v>0</v>
      </c>
      <c r="G112" s="17"/>
      <c r="H112" s="18"/>
      <c r="I112" s="19">
        <f t="shared" si="221"/>
        <v>0</v>
      </c>
      <c r="J112" s="16"/>
      <c r="K112" s="18"/>
      <c r="L112" s="19">
        <f t="shared" si="222"/>
        <v>0</v>
      </c>
      <c r="M112" s="16"/>
      <c r="N112" s="18"/>
      <c r="O112" s="19">
        <f t="shared" si="223"/>
        <v>0</v>
      </c>
      <c r="P112" s="16"/>
      <c r="Q112" s="18"/>
      <c r="R112" s="19">
        <f t="shared" si="224"/>
        <v>0</v>
      </c>
      <c r="S112" s="20">
        <f t="shared" si="225"/>
        <v>0</v>
      </c>
      <c r="T112" s="19">
        <f t="shared" si="226"/>
        <v>0</v>
      </c>
      <c r="U112" s="21">
        <f t="shared" si="227"/>
        <v>0</v>
      </c>
      <c r="V112" s="19">
        <f t="shared" si="228"/>
        <v>0</v>
      </c>
      <c r="X112" s="29"/>
    </row>
    <row r="113" spans="1:24">
      <c r="A113" s="36"/>
      <c r="B113" s="36"/>
      <c r="C113" s="37"/>
      <c r="D113" s="38"/>
      <c r="E113" s="31">
        <f t="shared" ref="E113:F113" si="238">SUM(E95:E112)</f>
        <v>151</v>
      </c>
      <c r="F113" s="38">
        <f t="shared" si="238"/>
        <v>22.15437</v>
      </c>
      <c r="G113" s="17"/>
      <c r="H113" s="31">
        <f t="shared" ref="H113" si="239">SUM(H95:H112)</f>
        <v>148</v>
      </c>
      <c r="I113" s="38">
        <f t="shared" ref="I113" si="240">SUM(I95:I112)</f>
        <v>22.089690000000001</v>
      </c>
      <c r="J113" s="16"/>
      <c r="K113" s="31">
        <f t="shared" ref="K113" si="241">SUM(K95:K112)</f>
        <v>0</v>
      </c>
      <c r="L113" s="38">
        <f t="shared" ref="L113" si="242">SUM(L95:L112)</f>
        <v>0</v>
      </c>
      <c r="M113" s="16"/>
      <c r="N113" s="31">
        <f t="shared" ref="N113" si="243">SUM(N95:N112)</f>
        <v>0</v>
      </c>
      <c r="O113" s="38">
        <f t="shared" ref="O113" si="244">SUM(O95:O112)</f>
        <v>0</v>
      </c>
      <c r="P113" s="16"/>
      <c r="Q113" s="31">
        <f t="shared" ref="Q113" si="245">SUM(Q95:Q112)</f>
        <v>0</v>
      </c>
      <c r="R113" s="38">
        <f t="shared" ref="R113" si="246">SUM(R95:R112)</f>
        <v>0</v>
      </c>
      <c r="S113" s="31">
        <f t="shared" ref="S113" si="247">SUM(S95:S112)</f>
        <v>148</v>
      </c>
      <c r="T113" s="38">
        <f t="shared" ref="T113" si="248">SUM(T95:T112)</f>
        <v>22.089690000000001</v>
      </c>
      <c r="U113" s="31">
        <f t="shared" ref="U113" si="249">SUM(U95:U112)</f>
        <v>3</v>
      </c>
      <c r="V113" s="38">
        <f t="shared" ref="V113" si="250">SUM(V95:V112)</f>
        <v>6.4679999999999405E-2</v>
      </c>
      <c r="X113" s="29"/>
    </row>
    <row r="114" spans="1:24">
      <c r="A114" s="26" t="s">
        <v>13</v>
      </c>
      <c r="B114" s="26" t="s">
        <v>51</v>
      </c>
      <c r="C114" s="30">
        <v>19.8</v>
      </c>
      <c r="D114" s="27">
        <v>7.7</v>
      </c>
      <c r="E114" s="28">
        <v>12</v>
      </c>
      <c r="F114" s="16">
        <f t="shared" ref="F114:F125" si="251">(C114*D114*E114/1000)</f>
        <v>1.82952</v>
      </c>
      <c r="G114" s="17" t="s">
        <v>89</v>
      </c>
      <c r="H114" s="18"/>
      <c r="I114" s="19">
        <f t="shared" ref="I114:I125" si="252">(C114*D114*H114/1000)</f>
        <v>0</v>
      </c>
      <c r="J114" s="16"/>
      <c r="K114" s="18"/>
      <c r="L114" s="19">
        <f t="shared" ref="L114:L125" si="253">(C114*D114*K114/1000)</f>
        <v>0</v>
      </c>
      <c r="M114" s="16"/>
      <c r="N114" s="18"/>
      <c r="O114" s="19">
        <f t="shared" ref="O114:O125" si="254">(C114*D114*N114/1000)</f>
        <v>0</v>
      </c>
      <c r="P114" s="16"/>
      <c r="Q114" s="18"/>
      <c r="R114" s="19">
        <f t="shared" ref="R114:R125" si="255">(C114*D114*Q114/1000)</f>
        <v>0</v>
      </c>
      <c r="S114" s="20">
        <f t="shared" ref="S114:S125" si="256">+H114+K114+Q114+N114</f>
        <v>0</v>
      </c>
      <c r="T114" s="19">
        <f t="shared" ref="T114:T125" si="257">+I114+L114+R114+O114</f>
        <v>0</v>
      </c>
      <c r="U114" s="21">
        <f t="shared" ref="U114:U125" si="258">E114-S114</f>
        <v>12</v>
      </c>
      <c r="V114" s="19">
        <f t="shared" ref="V114:V125" si="259">F114-T114</f>
        <v>1.82952</v>
      </c>
      <c r="X114" s="29"/>
    </row>
    <row r="115" spans="1:24">
      <c r="A115" s="26" t="s">
        <v>13</v>
      </c>
      <c r="B115" s="26" t="s">
        <v>51</v>
      </c>
      <c r="C115" s="30">
        <v>19.8</v>
      </c>
      <c r="D115" s="27">
        <v>8.4</v>
      </c>
      <c r="E115" s="28">
        <v>12</v>
      </c>
      <c r="F115" s="16">
        <f t="shared" si="251"/>
        <v>1.9958400000000001</v>
      </c>
      <c r="G115" s="17" t="s">
        <v>167</v>
      </c>
      <c r="H115" s="18"/>
      <c r="I115" s="19">
        <f t="shared" si="252"/>
        <v>0</v>
      </c>
      <c r="J115" s="16"/>
      <c r="K115" s="18"/>
      <c r="L115" s="19">
        <f t="shared" si="253"/>
        <v>0</v>
      </c>
      <c r="M115" s="16"/>
      <c r="N115" s="18"/>
      <c r="O115" s="19">
        <f t="shared" si="254"/>
        <v>0</v>
      </c>
      <c r="P115" s="16"/>
      <c r="Q115" s="18"/>
      <c r="R115" s="19">
        <f t="shared" si="255"/>
        <v>0</v>
      </c>
      <c r="S115" s="20">
        <f t="shared" si="256"/>
        <v>0</v>
      </c>
      <c r="T115" s="19">
        <f t="shared" si="257"/>
        <v>0</v>
      </c>
      <c r="U115" s="21">
        <f t="shared" si="258"/>
        <v>12</v>
      </c>
      <c r="V115" s="19">
        <f t="shared" si="259"/>
        <v>1.9958400000000001</v>
      </c>
      <c r="X115" s="29"/>
    </row>
    <row r="116" spans="1:24">
      <c r="A116" s="26" t="s">
        <v>13</v>
      </c>
      <c r="B116" s="26" t="s">
        <v>51</v>
      </c>
      <c r="C116" s="30">
        <v>19.8</v>
      </c>
      <c r="D116" s="27">
        <v>11.4</v>
      </c>
      <c r="E116" s="28">
        <v>4</v>
      </c>
      <c r="F116" s="16">
        <f t="shared" ref="F116:F124" si="260">(C116*D116*E116/1000)</f>
        <v>0.90288000000000013</v>
      </c>
      <c r="G116" s="17"/>
      <c r="H116" s="18">
        <v>1</v>
      </c>
      <c r="I116" s="19">
        <f t="shared" ref="I116:I124" si="261">(C116*D116*H116/1000)</f>
        <v>0.22572000000000003</v>
      </c>
      <c r="J116" s="16"/>
      <c r="K116" s="18"/>
      <c r="L116" s="19">
        <f t="shared" ref="L116:L124" si="262">(C116*D116*K116/1000)</f>
        <v>0</v>
      </c>
      <c r="M116" s="16"/>
      <c r="N116" s="18"/>
      <c r="O116" s="19">
        <f t="shared" ref="O116:O124" si="263">(C116*D116*N116/1000)</f>
        <v>0</v>
      </c>
      <c r="P116" s="16"/>
      <c r="Q116" s="18"/>
      <c r="R116" s="19">
        <f t="shared" ref="R116:R124" si="264">(C116*D116*Q116/1000)</f>
        <v>0</v>
      </c>
      <c r="S116" s="20">
        <f t="shared" ref="S116:S124" si="265">+H116+K116+Q116+N116</f>
        <v>1</v>
      </c>
      <c r="T116" s="19">
        <f t="shared" ref="T116:T124" si="266">+I116+L116+R116+O116</f>
        <v>0.22572000000000003</v>
      </c>
      <c r="U116" s="21">
        <f t="shared" ref="U116:U124" si="267">E116-S116</f>
        <v>3</v>
      </c>
      <c r="V116" s="19">
        <f t="shared" ref="V116:V124" si="268">F116-T116</f>
        <v>0.6771600000000001</v>
      </c>
      <c r="X116" s="29"/>
    </row>
    <row r="117" spans="1:24">
      <c r="A117" s="26" t="s">
        <v>13</v>
      </c>
      <c r="B117" s="26" t="s">
        <v>51</v>
      </c>
      <c r="C117" s="30">
        <v>19.8</v>
      </c>
      <c r="D117" s="27">
        <v>11.7</v>
      </c>
      <c r="E117" s="28"/>
      <c r="F117" s="16">
        <f t="shared" si="260"/>
        <v>0</v>
      </c>
      <c r="G117" s="17"/>
      <c r="H117" s="18">
        <v>1</v>
      </c>
      <c r="I117" s="19">
        <f t="shared" si="261"/>
        <v>0.23166</v>
      </c>
      <c r="J117" s="16"/>
      <c r="K117" s="18"/>
      <c r="L117" s="19">
        <f t="shared" si="262"/>
        <v>0</v>
      </c>
      <c r="M117" s="16"/>
      <c r="N117" s="18"/>
      <c r="O117" s="19">
        <f t="shared" si="263"/>
        <v>0</v>
      </c>
      <c r="P117" s="16"/>
      <c r="Q117" s="18"/>
      <c r="R117" s="19">
        <f t="shared" si="264"/>
        <v>0</v>
      </c>
      <c r="S117" s="20">
        <f t="shared" si="265"/>
        <v>1</v>
      </c>
      <c r="T117" s="19">
        <f t="shared" si="266"/>
        <v>0.23166</v>
      </c>
      <c r="U117" s="21">
        <f t="shared" si="267"/>
        <v>-1</v>
      </c>
      <c r="V117" s="19">
        <f t="shared" si="268"/>
        <v>-0.23166</v>
      </c>
      <c r="X117" s="29"/>
    </row>
    <row r="118" spans="1:24">
      <c r="A118" s="26" t="s">
        <v>13</v>
      </c>
      <c r="B118" s="26" t="s">
        <v>51</v>
      </c>
      <c r="C118" s="30">
        <v>19.8</v>
      </c>
      <c r="D118" s="27">
        <v>6</v>
      </c>
      <c r="E118" s="28"/>
      <c r="F118" s="16">
        <f t="shared" si="260"/>
        <v>0</v>
      </c>
      <c r="G118" s="17"/>
      <c r="H118" s="18">
        <v>2</v>
      </c>
      <c r="I118" s="19">
        <f t="shared" si="261"/>
        <v>0.23760000000000003</v>
      </c>
      <c r="J118" s="16"/>
      <c r="K118" s="18"/>
      <c r="L118" s="19">
        <f t="shared" si="262"/>
        <v>0</v>
      </c>
      <c r="M118" s="16"/>
      <c r="N118" s="18"/>
      <c r="O118" s="19">
        <f t="shared" si="263"/>
        <v>0</v>
      </c>
      <c r="P118" s="16"/>
      <c r="Q118" s="18"/>
      <c r="R118" s="19">
        <f t="shared" si="264"/>
        <v>0</v>
      </c>
      <c r="S118" s="20">
        <f t="shared" si="265"/>
        <v>2</v>
      </c>
      <c r="T118" s="19">
        <f t="shared" si="266"/>
        <v>0.23760000000000003</v>
      </c>
      <c r="U118" s="21">
        <f t="shared" si="267"/>
        <v>-2</v>
      </c>
      <c r="V118" s="19">
        <f t="shared" si="268"/>
        <v>-0.23760000000000003</v>
      </c>
      <c r="X118" s="29"/>
    </row>
    <row r="119" spans="1:24">
      <c r="A119" s="26" t="s">
        <v>13</v>
      </c>
      <c r="B119" s="26" t="s">
        <v>51</v>
      </c>
      <c r="C119" s="30">
        <v>19.8</v>
      </c>
      <c r="D119" s="27">
        <v>11.5</v>
      </c>
      <c r="E119" s="28"/>
      <c r="F119" s="16">
        <f t="shared" si="260"/>
        <v>0</v>
      </c>
      <c r="G119" s="17"/>
      <c r="H119" s="18">
        <v>2</v>
      </c>
      <c r="I119" s="19">
        <f t="shared" si="261"/>
        <v>0.45540000000000003</v>
      </c>
      <c r="J119" s="16"/>
      <c r="K119" s="18"/>
      <c r="L119" s="19">
        <f t="shared" si="262"/>
        <v>0</v>
      </c>
      <c r="M119" s="16"/>
      <c r="N119" s="18"/>
      <c r="O119" s="19">
        <f t="shared" si="263"/>
        <v>0</v>
      </c>
      <c r="P119" s="16"/>
      <c r="Q119" s="18"/>
      <c r="R119" s="19">
        <f t="shared" si="264"/>
        <v>0</v>
      </c>
      <c r="S119" s="20">
        <f t="shared" si="265"/>
        <v>2</v>
      </c>
      <c r="T119" s="19">
        <f t="shared" si="266"/>
        <v>0.45540000000000003</v>
      </c>
      <c r="U119" s="21">
        <f t="shared" si="267"/>
        <v>-2</v>
      </c>
      <c r="V119" s="19">
        <f t="shared" si="268"/>
        <v>-0.45540000000000003</v>
      </c>
      <c r="X119" s="29"/>
    </row>
    <row r="120" spans="1:24">
      <c r="A120" s="26" t="s">
        <v>13</v>
      </c>
      <c r="B120" s="26" t="s">
        <v>51</v>
      </c>
      <c r="C120" s="30">
        <v>19.8</v>
      </c>
      <c r="D120" s="27">
        <v>11.8</v>
      </c>
      <c r="E120" s="28"/>
      <c r="F120" s="16">
        <f t="shared" si="260"/>
        <v>0</v>
      </c>
      <c r="G120" s="17"/>
      <c r="H120" s="18">
        <v>5</v>
      </c>
      <c r="I120" s="19">
        <f t="shared" si="261"/>
        <v>1.1682000000000001</v>
      </c>
      <c r="J120" s="16"/>
      <c r="K120" s="18"/>
      <c r="L120" s="19">
        <f t="shared" si="262"/>
        <v>0</v>
      </c>
      <c r="M120" s="16"/>
      <c r="N120" s="18"/>
      <c r="O120" s="19">
        <f t="shared" si="263"/>
        <v>0</v>
      </c>
      <c r="P120" s="16"/>
      <c r="Q120" s="18"/>
      <c r="R120" s="19">
        <f t="shared" si="264"/>
        <v>0</v>
      </c>
      <c r="S120" s="20">
        <f t="shared" si="265"/>
        <v>5</v>
      </c>
      <c r="T120" s="19">
        <f t="shared" si="266"/>
        <v>1.1682000000000001</v>
      </c>
      <c r="U120" s="21">
        <f t="shared" si="267"/>
        <v>-5</v>
      </c>
      <c r="V120" s="19">
        <f t="shared" si="268"/>
        <v>-1.1682000000000001</v>
      </c>
      <c r="X120" s="29"/>
    </row>
    <row r="121" spans="1:24">
      <c r="A121" s="26" t="s">
        <v>13</v>
      </c>
      <c r="B121" s="26" t="s">
        <v>51</v>
      </c>
      <c r="C121" s="30">
        <v>19.8</v>
      </c>
      <c r="D121" s="27">
        <v>12</v>
      </c>
      <c r="E121" s="28"/>
      <c r="F121" s="16">
        <f t="shared" si="260"/>
        <v>0</v>
      </c>
      <c r="G121" s="17"/>
      <c r="H121" s="18">
        <v>9</v>
      </c>
      <c r="I121" s="19">
        <f t="shared" si="261"/>
        <v>2.1384000000000003</v>
      </c>
      <c r="J121" s="16"/>
      <c r="K121" s="18"/>
      <c r="L121" s="19">
        <f t="shared" si="262"/>
        <v>0</v>
      </c>
      <c r="M121" s="16"/>
      <c r="N121" s="18"/>
      <c r="O121" s="19">
        <f t="shared" si="263"/>
        <v>0</v>
      </c>
      <c r="P121" s="16"/>
      <c r="Q121" s="18"/>
      <c r="R121" s="19">
        <f t="shared" si="264"/>
        <v>0</v>
      </c>
      <c r="S121" s="20">
        <f t="shared" si="265"/>
        <v>9</v>
      </c>
      <c r="T121" s="19">
        <f t="shared" si="266"/>
        <v>2.1384000000000003</v>
      </c>
      <c r="U121" s="21">
        <f t="shared" si="267"/>
        <v>-9</v>
      </c>
      <c r="V121" s="19">
        <f t="shared" si="268"/>
        <v>-2.1384000000000003</v>
      </c>
      <c r="X121" s="29"/>
    </row>
    <row r="122" spans="1:24">
      <c r="A122" s="26" t="s">
        <v>13</v>
      </c>
      <c r="B122" s="26" t="s">
        <v>51</v>
      </c>
      <c r="C122" s="30">
        <v>19.8</v>
      </c>
      <c r="D122" s="27">
        <v>6.1</v>
      </c>
      <c r="E122" s="28"/>
      <c r="F122" s="16">
        <f t="shared" si="260"/>
        <v>0</v>
      </c>
      <c r="G122" s="17"/>
      <c r="H122" s="18">
        <v>2</v>
      </c>
      <c r="I122" s="19">
        <f t="shared" si="261"/>
        <v>0.24156</v>
      </c>
      <c r="J122" s="16"/>
      <c r="K122" s="18"/>
      <c r="L122" s="19">
        <f t="shared" si="262"/>
        <v>0</v>
      </c>
      <c r="M122" s="16"/>
      <c r="N122" s="18"/>
      <c r="O122" s="19">
        <f t="shared" si="263"/>
        <v>0</v>
      </c>
      <c r="P122" s="16"/>
      <c r="Q122" s="18"/>
      <c r="R122" s="19">
        <f t="shared" si="264"/>
        <v>0</v>
      </c>
      <c r="S122" s="20">
        <f t="shared" si="265"/>
        <v>2</v>
      </c>
      <c r="T122" s="19">
        <f t="shared" si="266"/>
        <v>0.24156</v>
      </c>
      <c r="U122" s="21">
        <f t="shared" si="267"/>
        <v>-2</v>
      </c>
      <c r="V122" s="19">
        <f t="shared" si="268"/>
        <v>-0.24156</v>
      </c>
      <c r="X122" s="29"/>
    </row>
    <row r="123" spans="1:24">
      <c r="A123" s="26" t="s">
        <v>13</v>
      </c>
      <c r="B123" s="26" t="s">
        <v>51</v>
      </c>
      <c r="C123" s="30">
        <v>19.8</v>
      </c>
      <c r="D123" s="27">
        <v>6.3</v>
      </c>
      <c r="E123" s="28"/>
      <c r="F123" s="16">
        <f t="shared" si="260"/>
        <v>0</v>
      </c>
      <c r="G123" s="17"/>
      <c r="H123" s="18">
        <v>1</v>
      </c>
      <c r="I123" s="19">
        <f t="shared" si="261"/>
        <v>0.12473999999999999</v>
      </c>
      <c r="J123" s="16"/>
      <c r="K123" s="18"/>
      <c r="L123" s="19">
        <f t="shared" si="262"/>
        <v>0</v>
      </c>
      <c r="M123" s="16"/>
      <c r="N123" s="18"/>
      <c r="O123" s="19">
        <f t="shared" si="263"/>
        <v>0</v>
      </c>
      <c r="P123" s="16"/>
      <c r="Q123" s="18"/>
      <c r="R123" s="19">
        <f t="shared" si="264"/>
        <v>0</v>
      </c>
      <c r="S123" s="20">
        <f t="shared" si="265"/>
        <v>1</v>
      </c>
      <c r="T123" s="19">
        <f t="shared" si="266"/>
        <v>0.12473999999999999</v>
      </c>
      <c r="U123" s="21">
        <f t="shared" si="267"/>
        <v>-1</v>
      </c>
      <c r="V123" s="19">
        <f t="shared" si="268"/>
        <v>-0.12473999999999999</v>
      </c>
      <c r="X123" s="29"/>
    </row>
    <row r="124" spans="1:24">
      <c r="A124" s="26" t="s">
        <v>13</v>
      </c>
      <c r="B124" s="26" t="s">
        <v>51</v>
      </c>
      <c r="C124" s="30">
        <v>19.8</v>
      </c>
      <c r="D124" s="27"/>
      <c r="E124" s="28"/>
      <c r="F124" s="16">
        <f t="shared" si="260"/>
        <v>0</v>
      </c>
      <c r="G124" s="17"/>
      <c r="H124" s="18"/>
      <c r="I124" s="19">
        <f t="shared" si="261"/>
        <v>0</v>
      </c>
      <c r="J124" s="16"/>
      <c r="K124" s="18"/>
      <c r="L124" s="19">
        <f t="shared" si="262"/>
        <v>0</v>
      </c>
      <c r="M124" s="16"/>
      <c r="N124" s="18"/>
      <c r="O124" s="19">
        <f t="shared" si="263"/>
        <v>0</v>
      </c>
      <c r="P124" s="16"/>
      <c r="Q124" s="18"/>
      <c r="R124" s="19">
        <f t="shared" si="264"/>
        <v>0</v>
      </c>
      <c r="S124" s="20">
        <f t="shared" si="265"/>
        <v>0</v>
      </c>
      <c r="T124" s="19">
        <f t="shared" si="266"/>
        <v>0</v>
      </c>
      <c r="U124" s="21">
        <f t="shared" si="267"/>
        <v>0</v>
      </c>
      <c r="V124" s="19">
        <f t="shared" si="268"/>
        <v>0</v>
      </c>
      <c r="X124" s="29"/>
    </row>
    <row r="125" spans="1:24">
      <c r="A125" s="26" t="s">
        <v>13</v>
      </c>
      <c r="B125" s="26" t="s">
        <v>51</v>
      </c>
      <c r="C125" s="30">
        <v>19.8</v>
      </c>
      <c r="D125" s="27"/>
      <c r="E125" s="28"/>
      <c r="F125" s="16">
        <f t="shared" si="251"/>
        <v>0</v>
      </c>
      <c r="G125" s="17"/>
      <c r="H125" s="18"/>
      <c r="I125" s="19">
        <f t="shared" si="252"/>
        <v>0</v>
      </c>
      <c r="J125" s="16"/>
      <c r="K125" s="18"/>
      <c r="L125" s="19">
        <f t="shared" si="253"/>
        <v>0</v>
      </c>
      <c r="M125" s="16"/>
      <c r="N125" s="18"/>
      <c r="O125" s="19">
        <f t="shared" si="254"/>
        <v>0</v>
      </c>
      <c r="P125" s="16"/>
      <c r="Q125" s="18"/>
      <c r="R125" s="19">
        <f t="shared" si="255"/>
        <v>0</v>
      </c>
      <c r="S125" s="20">
        <f t="shared" si="256"/>
        <v>0</v>
      </c>
      <c r="T125" s="19">
        <f t="shared" si="257"/>
        <v>0</v>
      </c>
      <c r="U125" s="21">
        <f t="shared" si="258"/>
        <v>0</v>
      </c>
      <c r="V125" s="19">
        <f t="shared" si="259"/>
        <v>0</v>
      </c>
      <c r="X125" s="29"/>
    </row>
    <row r="126" spans="1:24">
      <c r="A126" s="36"/>
      <c r="B126" s="36"/>
      <c r="C126" s="37"/>
      <c r="D126" s="38"/>
      <c r="E126" s="31">
        <f t="shared" ref="E126:F126" si="269">SUM(E114:E125)</f>
        <v>28</v>
      </c>
      <c r="F126" s="38">
        <f t="shared" si="269"/>
        <v>4.7282399999999996</v>
      </c>
      <c r="G126" s="17"/>
      <c r="H126" s="31">
        <f t="shared" ref="H126" si="270">SUM(H114:H125)</f>
        <v>23</v>
      </c>
      <c r="I126" s="38">
        <f t="shared" ref="I126" si="271">SUM(I114:I125)</f>
        <v>4.8232800000000005</v>
      </c>
      <c r="J126" s="16"/>
      <c r="K126" s="31">
        <f t="shared" ref="K126" si="272">SUM(K114:K125)</f>
        <v>0</v>
      </c>
      <c r="L126" s="38">
        <f t="shared" ref="L126" si="273">SUM(L114:L125)</f>
        <v>0</v>
      </c>
      <c r="M126" s="16"/>
      <c r="N126" s="31">
        <f t="shared" ref="N126" si="274">SUM(N114:N125)</f>
        <v>0</v>
      </c>
      <c r="O126" s="38">
        <f t="shared" ref="O126" si="275">SUM(O114:O125)</f>
        <v>0</v>
      </c>
      <c r="P126" s="16"/>
      <c r="Q126" s="31">
        <f t="shared" ref="Q126" si="276">SUM(Q114:Q125)</f>
        <v>0</v>
      </c>
      <c r="R126" s="38">
        <f t="shared" ref="R126" si="277">SUM(R114:R125)</f>
        <v>0</v>
      </c>
      <c r="S126" s="31">
        <f t="shared" ref="S126" si="278">SUM(S114:S125)</f>
        <v>23</v>
      </c>
      <c r="T126" s="38">
        <f t="shared" ref="T126" si="279">SUM(T114:T125)</f>
        <v>4.8232800000000005</v>
      </c>
      <c r="U126" s="31">
        <f t="shared" ref="U126" si="280">SUM(U114:U125)</f>
        <v>5</v>
      </c>
      <c r="V126" s="38">
        <f t="shared" ref="V126" si="281">SUM(V114:V125)</f>
        <v>-9.5040000000000152E-2</v>
      </c>
      <c r="X126" s="29"/>
    </row>
    <row r="127" spans="1:24">
      <c r="A127" s="26" t="s">
        <v>13</v>
      </c>
      <c r="B127" s="26" t="s">
        <v>53</v>
      </c>
      <c r="C127" s="30">
        <v>23.6</v>
      </c>
      <c r="D127" s="27">
        <v>9.5</v>
      </c>
      <c r="E127" s="28">
        <v>10</v>
      </c>
      <c r="F127" s="16">
        <f>(C127*D127*E127/1000)</f>
        <v>2.242</v>
      </c>
      <c r="G127" s="17" t="s">
        <v>89</v>
      </c>
      <c r="H127" s="18"/>
      <c r="I127" s="19">
        <f>(C127*D127*H127/1000)</f>
        <v>0</v>
      </c>
      <c r="J127" s="16"/>
      <c r="K127" s="18"/>
      <c r="L127" s="19">
        <f>(C127*D127*K127/1000)</f>
        <v>0</v>
      </c>
      <c r="M127" s="16"/>
      <c r="N127" s="18"/>
      <c r="O127" s="19">
        <f>(C127*D127*N127/1000)</f>
        <v>0</v>
      </c>
      <c r="P127" s="16"/>
      <c r="Q127" s="18"/>
      <c r="R127" s="19">
        <f>(C127*D127*Q127/1000)</f>
        <v>0</v>
      </c>
      <c r="S127" s="20">
        <f>+H127+K127+Q127+N127</f>
        <v>0</v>
      </c>
      <c r="T127" s="19">
        <f>+I127+L127+R127+O127</f>
        <v>0</v>
      </c>
      <c r="U127" s="21">
        <f>E127-S127</f>
        <v>10</v>
      </c>
      <c r="V127" s="19">
        <f>F127-T127</f>
        <v>2.242</v>
      </c>
      <c r="X127" s="29"/>
    </row>
    <row r="128" spans="1:24">
      <c r="A128" s="26" t="s">
        <v>13</v>
      </c>
      <c r="B128" s="26" t="s">
        <v>53</v>
      </c>
      <c r="C128" s="30">
        <v>23.6</v>
      </c>
      <c r="D128" s="27">
        <v>11</v>
      </c>
      <c r="E128" s="28"/>
      <c r="F128" s="16">
        <f t="shared" ref="F128:F129" si="282">(C128*D128*E128/1000)</f>
        <v>0</v>
      </c>
      <c r="G128" s="17" t="s">
        <v>167</v>
      </c>
      <c r="H128" s="18">
        <v>9</v>
      </c>
      <c r="I128" s="19">
        <f t="shared" ref="I128:I129" si="283">(C128*D128*H128/1000)</f>
        <v>2.3364000000000003</v>
      </c>
      <c r="J128" s="16"/>
      <c r="K128" s="18"/>
      <c r="L128" s="19">
        <f t="shared" ref="L128:L129" si="284">(C128*D128*K128/1000)</f>
        <v>0</v>
      </c>
      <c r="M128" s="16"/>
      <c r="N128" s="18"/>
      <c r="O128" s="19">
        <f t="shared" ref="O128:O129" si="285">(C128*D128*N128/1000)</f>
        <v>0</v>
      </c>
      <c r="P128" s="16"/>
      <c r="Q128" s="18"/>
      <c r="R128" s="19">
        <f t="shared" ref="R128:R129" si="286">(C128*D128*Q128/1000)</f>
        <v>0</v>
      </c>
      <c r="S128" s="20">
        <f t="shared" ref="S128:S129" si="287">+H128+K128+Q128+N128</f>
        <v>9</v>
      </c>
      <c r="T128" s="19">
        <f t="shared" ref="T128:T129" si="288">+I128+L128+R128+O128</f>
        <v>2.3364000000000003</v>
      </c>
      <c r="U128" s="21">
        <f t="shared" ref="U128:U129" si="289">E128-S128</f>
        <v>-9</v>
      </c>
      <c r="V128" s="19">
        <f t="shared" ref="V128:V129" si="290">F128-T128</f>
        <v>-2.3364000000000003</v>
      </c>
      <c r="X128" s="29"/>
    </row>
    <row r="129" spans="1:24">
      <c r="A129" s="26" t="s">
        <v>13</v>
      </c>
      <c r="B129" s="26" t="s">
        <v>53</v>
      </c>
      <c r="C129" s="30">
        <v>23.6</v>
      </c>
      <c r="D129" s="27">
        <v>10.7</v>
      </c>
      <c r="E129" s="28"/>
      <c r="F129" s="16">
        <f t="shared" si="282"/>
        <v>0</v>
      </c>
      <c r="G129" s="17"/>
      <c r="H129" s="18">
        <v>1</v>
      </c>
      <c r="I129" s="19">
        <f t="shared" si="283"/>
        <v>0.25252000000000002</v>
      </c>
      <c r="J129" s="16"/>
      <c r="K129" s="18"/>
      <c r="L129" s="19">
        <f t="shared" si="284"/>
        <v>0</v>
      </c>
      <c r="M129" s="16"/>
      <c r="N129" s="18"/>
      <c r="O129" s="19">
        <f t="shared" si="285"/>
        <v>0</v>
      </c>
      <c r="P129" s="16"/>
      <c r="Q129" s="18"/>
      <c r="R129" s="19">
        <f t="shared" si="286"/>
        <v>0</v>
      </c>
      <c r="S129" s="20">
        <f t="shared" si="287"/>
        <v>1</v>
      </c>
      <c r="T129" s="19">
        <f t="shared" si="288"/>
        <v>0.25252000000000002</v>
      </c>
      <c r="U129" s="21">
        <f t="shared" si="289"/>
        <v>-1</v>
      </c>
      <c r="V129" s="19">
        <f t="shared" si="290"/>
        <v>-0.25252000000000002</v>
      </c>
      <c r="X129" s="29"/>
    </row>
    <row r="130" spans="1:24">
      <c r="A130" s="36"/>
      <c r="B130" s="36"/>
      <c r="C130" s="37"/>
      <c r="D130" s="38"/>
      <c r="E130" s="31">
        <f>SUM(E127:E129)</f>
        <v>10</v>
      </c>
      <c r="F130" s="38">
        <f t="shared" ref="F130" si="291">SUM(F127:F129)</f>
        <v>2.242</v>
      </c>
      <c r="G130" s="17"/>
      <c r="H130" s="31">
        <f>SUM(H127:H129)</f>
        <v>10</v>
      </c>
      <c r="I130" s="38">
        <f t="shared" ref="I130" si="292">SUM(I127:I129)</f>
        <v>2.5889200000000003</v>
      </c>
      <c r="J130" s="16"/>
      <c r="K130" s="31">
        <f>SUM(K127:K129)</f>
        <v>0</v>
      </c>
      <c r="L130" s="38">
        <f t="shared" ref="L130" si="293">SUM(L127:L129)</f>
        <v>0</v>
      </c>
      <c r="M130" s="16"/>
      <c r="N130" s="31">
        <f>SUM(N127:N129)</f>
        <v>0</v>
      </c>
      <c r="O130" s="38">
        <f t="shared" ref="O130" si="294">SUM(O127:O129)</f>
        <v>0</v>
      </c>
      <c r="P130" s="16"/>
      <c r="Q130" s="31">
        <f>SUM(Q127:Q129)</f>
        <v>0</v>
      </c>
      <c r="R130" s="38">
        <f t="shared" ref="R130" si="295">SUM(R127:R129)</f>
        <v>0</v>
      </c>
      <c r="S130" s="31">
        <f>SUM(S127:S129)</f>
        <v>10</v>
      </c>
      <c r="T130" s="38">
        <f t="shared" ref="T130" si="296">SUM(T127:T129)</f>
        <v>2.5889200000000003</v>
      </c>
      <c r="U130" s="31">
        <f>SUM(U127:U129)</f>
        <v>0</v>
      </c>
      <c r="V130" s="38">
        <f t="shared" ref="V130" si="297">SUM(V127:V129)</f>
        <v>-0.34692000000000028</v>
      </c>
      <c r="X130" s="29"/>
    </row>
    <row r="131" spans="1:24">
      <c r="A131" s="26" t="s">
        <v>13</v>
      </c>
      <c r="B131" s="26" t="s">
        <v>124</v>
      </c>
      <c r="C131" s="30">
        <v>23</v>
      </c>
      <c r="D131" s="27">
        <v>9.3000000000000007</v>
      </c>
      <c r="E131" s="28">
        <v>10</v>
      </c>
      <c r="F131" s="16">
        <f>(C131*D131*E131/1000)</f>
        <v>2.1389999999999998</v>
      </c>
      <c r="G131" s="17" t="s">
        <v>89</v>
      </c>
      <c r="H131" s="18">
        <v>10</v>
      </c>
      <c r="I131" s="19">
        <f>(C131*D131*H131/1000)</f>
        <v>2.1389999999999998</v>
      </c>
      <c r="J131" s="16"/>
      <c r="K131" s="18"/>
      <c r="L131" s="19">
        <f>(C131*D131*K131/1000)</f>
        <v>0</v>
      </c>
      <c r="M131" s="16"/>
      <c r="N131" s="18"/>
      <c r="O131" s="19">
        <f>(C131*D131*N131/1000)</f>
        <v>0</v>
      </c>
      <c r="P131" s="16"/>
      <c r="Q131" s="18"/>
      <c r="R131" s="19">
        <f t="shared" ref="R131:R132" si="298">(C131*D131*Q131/1000)</f>
        <v>0</v>
      </c>
      <c r="S131" s="20">
        <f t="shared" ref="S131:S132" si="299">+H131+K131+Q131+N131</f>
        <v>10</v>
      </c>
      <c r="T131" s="19">
        <f t="shared" ref="T131:T132" si="300">+I131+L131+R131+O131</f>
        <v>2.1389999999999998</v>
      </c>
      <c r="U131" s="21">
        <f t="shared" ref="U131:U132" si="301">E131-S131</f>
        <v>0</v>
      </c>
      <c r="V131" s="19">
        <f t="shared" ref="V131:V132" si="302">F131-T131</f>
        <v>0</v>
      </c>
      <c r="X131" s="29"/>
    </row>
    <row r="132" spans="1:24">
      <c r="A132" s="26" t="s">
        <v>13</v>
      </c>
      <c r="B132" s="26" t="s">
        <v>124</v>
      </c>
      <c r="C132" s="30">
        <v>23</v>
      </c>
      <c r="D132" s="27">
        <v>10.9</v>
      </c>
      <c r="E132" s="28">
        <v>4</v>
      </c>
      <c r="F132" s="16">
        <f>(C132*D132*E132/1000)</f>
        <v>1.0028000000000001</v>
      </c>
      <c r="G132" s="17" t="s">
        <v>182</v>
      </c>
      <c r="H132" s="18">
        <v>4</v>
      </c>
      <c r="I132" s="19">
        <f>(C132*D132*H132/1000)</f>
        <v>1.0028000000000001</v>
      </c>
      <c r="J132" s="16"/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 t="shared" si="298"/>
        <v>0</v>
      </c>
      <c r="S132" s="20">
        <f t="shared" si="299"/>
        <v>4</v>
      </c>
      <c r="T132" s="19">
        <f t="shared" si="300"/>
        <v>1.0028000000000001</v>
      </c>
      <c r="U132" s="21">
        <f t="shared" si="301"/>
        <v>0</v>
      </c>
      <c r="V132" s="19">
        <f t="shared" si="302"/>
        <v>0</v>
      </c>
      <c r="X132" s="29"/>
    </row>
    <row r="133" spans="1:24">
      <c r="A133" s="36"/>
      <c r="B133" s="36"/>
      <c r="C133" s="37"/>
      <c r="D133" s="38"/>
      <c r="E133" s="31">
        <f t="shared" ref="E133:F133" si="303">SUM(E131:E132)</f>
        <v>14</v>
      </c>
      <c r="F133" s="38">
        <f t="shared" si="303"/>
        <v>3.1417999999999999</v>
      </c>
      <c r="G133" s="17"/>
      <c r="H133" s="31">
        <f t="shared" ref="H133" si="304">SUM(H131:H132)</f>
        <v>14</v>
      </c>
      <c r="I133" s="38">
        <f t="shared" ref="I133" si="305">SUM(I131:I132)</f>
        <v>3.1417999999999999</v>
      </c>
      <c r="J133" s="16"/>
      <c r="K133" s="31">
        <f t="shared" ref="K133" si="306">SUM(K131:K132)</f>
        <v>0</v>
      </c>
      <c r="L133" s="38">
        <f t="shared" ref="L133" si="307">SUM(L131:L132)</f>
        <v>0</v>
      </c>
      <c r="M133" s="16"/>
      <c r="N133" s="31">
        <f t="shared" ref="N133" si="308">SUM(N131:N132)</f>
        <v>0</v>
      </c>
      <c r="O133" s="38">
        <f t="shared" ref="O133" si="309">SUM(O131:O132)</f>
        <v>0</v>
      </c>
      <c r="P133" s="16"/>
      <c r="Q133" s="31">
        <f t="shared" ref="Q133" si="310">SUM(Q131:Q132)</f>
        <v>0</v>
      </c>
      <c r="R133" s="38">
        <f t="shared" ref="R133" si="311">SUM(R131:R132)</f>
        <v>0</v>
      </c>
      <c r="S133" s="31">
        <f t="shared" ref="S133" si="312">SUM(S131:S132)</f>
        <v>14</v>
      </c>
      <c r="T133" s="38">
        <f t="shared" ref="T133" si="313">SUM(T131:T132)</f>
        <v>3.1417999999999999</v>
      </c>
      <c r="U133" s="31">
        <f t="shared" ref="U133" si="314">SUM(U131:U132)</f>
        <v>0</v>
      </c>
      <c r="V133" s="38">
        <f t="shared" ref="V133" si="315">SUM(V131:V132)</f>
        <v>0</v>
      </c>
      <c r="X133" s="29"/>
    </row>
    <row r="134" spans="1:24">
      <c r="A134" s="26" t="s">
        <v>13</v>
      </c>
      <c r="B134" s="26" t="s">
        <v>125</v>
      </c>
      <c r="C134" s="30">
        <v>27.3</v>
      </c>
      <c r="D134" s="27">
        <v>8.6999999999999993</v>
      </c>
      <c r="E134" s="28">
        <v>15</v>
      </c>
      <c r="F134" s="16">
        <f t="shared" ref="F134:F140" si="316">(C134*D134*E134/1000)</f>
        <v>3.5626499999999997</v>
      </c>
      <c r="G134" s="17" t="s">
        <v>89</v>
      </c>
      <c r="H134" s="18">
        <v>14</v>
      </c>
      <c r="I134" s="19">
        <f t="shared" ref="I134:I140" si="317">(C134*D134*H134/1000)</f>
        <v>3.3251399999999998</v>
      </c>
      <c r="J134" s="16" t="s">
        <v>111</v>
      </c>
      <c r="K134" s="18"/>
      <c r="L134" s="19">
        <f t="shared" ref="L134:L140" si="318">(C134*D134*K134/1000)</f>
        <v>0</v>
      </c>
      <c r="M134" s="17" t="s">
        <v>89</v>
      </c>
      <c r="N134" s="18"/>
      <c r="O134" s="19">
        <f t="shared" ref="O134:O140" si="319">(C134*D134*N134/1000)</f>
        <v>0</v>
      </c>
      <c r="P134" s="16"/>
      <c r="Q134" s="18"/>
      <c r="R134" s="19">
        <f t="shared" ref="R134:R140" si="320">(C134*D134*Q134/1000)</f>
        <v>0</v>
      </c>
      <c r="S134" s="20">
        <f t="shared" ref="S134:S140" si="321">+H134+K134+Q134+N134</f>
        <v>14</v>
      </c>
      <c r="T134" s="19">
        <f t="shared" ref="T134:T140" si="322">+I134+L134+R134+O134</f>
        <v>3.3251399999999998</v>
      </c>
      <c r="U134" s="21">
        <f t="shared" ref="U134:U140" si="323">E134-S134</f>
        <v>1</v>
      </c>
      <c r="V134" s="19">
        <f t="shared" ref="V134:V140" si="324">F134-T134</f>
        <v>0.23750999999999989</v>
      </c>
      <c r="X134" s="29"/>
    </row>
    <row r="135" spans="1:24">
      <c r="A135" s="26" t="s">
        <v>13</v>
      </c>
      <c r="B135" s="26" t="s">
        <v>125</v>
      </c>
      <c r="C135" s="30">
        <v>27.3</v>
      </c>
      <c r="D135" s="27">
        <v>9</v>
      </c>
      <c r="E135" s="28">
        <v>10</v>
      </c>
      <c r="F135" s="16">
        <f t="shared" si="316"/>
        <v>2.4569999999999999</v>
      </c>
      <c r="G135" s="17" t="s">
        <v>179</v>
      </c>
      <c r="H135" s="18">
        <v>9</v>
      </c>
      <c r="I135" s="19">
        <f t="shared" si="317"/>
        <v>2.2113</v>
      </c>
      <c r="J135" s="16" t="s">
        <v>179</v>
      </c>
      <c r="K135" s="18"/>
      <c r="L135" s="19">
        <f t="shared" si="318"/>
        <v>0</v>
      </c>
      <c r="M135" s="17" t="s">
        <v>182</v>
      </c>
      <c r="N135" s="18"/>
      <c r="O135" s="19">
        <f t="shared" si="319"/>
        <v>0</v>
      </c>
      <c r="P135" s="16"/>
      <c r="Q135" s="18"/>
      <c r="R135" s="19">
        <f t="shared" si="320"/>
        <v>0</v>
      </c>
      <c r="S135" s="20">
        <f t="shared" si="321"/>
        <v>9</v>
      </c>
      <c r="T135" s="19">
        <f t="shared" si="322"/>
        <v>2.2113</v>
      </c>
      <c r="U135" s="21">
        <f t="shared" si="323"/>
        <v>1</v>
      </c>
      <c r="V135" s="19">
        <f t="shared" si="324"/>
        <v>0.24569999999999981</v>
      </c>
      <c r="X135" s="29"/>
    </row>
    <row r="136" spans="1:24">
      <c r="A136" s="26" t="s">
        <v>13</v>
      </c>
      <c r="B136" s="26" t="s">
        <v>125</v>
      </c>
      <c r="C136" s="30">
        <v>27.3</v>
      </c>
      <c r="D136" s="27">
        <v>10.199999999999999</v>
      </c>
      <c r="E136" s="28">
        <v>25</v>
      </c>
      <c r="F136" s="16">
        <f t="shared" si="316"/>
        <v>6.9614999999999991</v>
      </c>
      <c r="G136" s="17"/>
      <c r="H136" s="18">
        <f>10+15</f>
        <v>25</v>
      </c>
      <c r="I136" s="19">
        <f t="shared" si="317"/>
        <v>6.9614999999999991</v>
      </c>
      <c r="J136" s="16"/>
      <c r="K136" s="18"/>
      <c r="L136" s="19">
        <f t="shared" si="318"/>
        <v>0</v>
      </c>
      <c r="M136" s="16"/>
      <c r="N136" s="18"/>
      <c r="O136" s="19">
        <f t="shared" si="319"/>
        <v>0</v>
      </c>
      <c r="P136" s="16"/>
      <c r="Q136" s="18"/>
      <c r="R136" s="19">
        <f t="shared" si="320"/>
        <v>0</v>
      </c>
      <c r="S136" s="20">
        <f t="shared" si="321"/>
        <v>25</v>
      </c>
      <c r="T136" s="19">
        <f t="shared" si="322"/>
        <v>6.9614999999999991</v>
      </c>
      <c r="U136" s="21">
        <f t="shared" si="323"/>
        <v>0</v>
      </c>
      <c r="V136" s="19">
        <f t="shared" si="324"/>
        <v>0</v>
      </c>
      <c r="X136" s="29"/>
    </row>
    <row r="137" spans="1:24">
      <c r="A137" s="26" t="s">
        <v>13</v>
      </c>
      <c r="B137" s="26" t="s">
        <v>125</v>
      </c>
      <c r="C137" s="30">
        <v>27.3</v>
      </c>
      <c r="D137" s="27">
        <v>10.7</v>
      </c>
      <c r="E137" s="28">
        <v>11</v>
      </c>
      <c r="F137" s="16">
        <f t="shared" si="316"/>
        <v>3.2132100000000001</v>
      </c>
      <c r="G137" s="17"/>
      <c r="H137" s="18">
        <v>11</v>
      </c>
      <c r="I137" s="19">
        <f t="shared" si="317"/>
        <v>3.2132100000000001</v>
      </c>
      <c r="J137" s="16"/>
      <c r="K137" s="18"/>
      <c r="L137" s="19">
        <f t="shared" si="318"/>
        <v>0</v>
      </c>
      <c r="M137" s="16"/>
      <c r="N137" s="18"/>
      <c r="O137" s="19">
        <f t="shared" si="319"/>
        <v>0</v>
      </c>
      <c r="P137" s="16"/>
      <c r="Q137" s="18"/>
      <c r="R137" s="19">
        <f t="shared" si="320"/>
        <v>0</v>
      </c>
      <c r="S137" s="20">
        <f t="shared" si="321"/>
        <v>11</v>
      </c>
      <c r="T137" s="19">
        <f t="shared" si="322"/>
        <v>3.2132100000000001</v>
      </c>
      <c r="U137" s="21">
        <f t="shared" si="323"/>
        <v>0</v>
      </c>
      <c r="V137" s="19">
        <f t="shared" si="324"/>
        <v>0</v>
      </c>
      <c r="X137" s="29"/>
    </row>
    <row r="138" spans="1:24">
      <c r="A138" s="26" t="s">
        <v>13</v>
      </c>
      <c r="B138" s="26" t="s">
        <v>125</v>
      </c>
      <c r="C138" s="30">
        <v>27.3</v>
      </c>
      <c r="D138" s="27">
        <v>11.8</v>
      </c>
      <c r="E138" s="28">
        <v>11</v>
      </c>
      <c r="F138" s="16">
        <f t="shared" si="316"/>
        <v>3.5435400000000006</v>
      </c>
      <c r="G138" s="17"/>
      <c r="H138" s="18">
        <v>6</v>
      </c>
      <c r="I138" s="19">
        <f t="shared" si="317"/>
        <v>1.9328400000000001</v>
      </c>
      <c r="J138" s="16"/>
      <c r="K138" s="18">
        <v>5</v>
      </c>
      <c r="L138" s="19">
        <f t="shared" si="318"/>
        <v>1.6107000000000002</v>
      </c>
      <c r="M138" s="16"/>
      <c r="N138" s="18"/>
      <c r="O138" s="19">
        <f t="shared" si="319"/>
        <v>0</v>
      </c>
      <c r="P138" s="16"/>
      <c r="Q138" s="18"/>
      <c r="R138" s="19">
        <f t="shared" si="320"/>
        <v>0</v>
      </c>
      <c r="S138" s="20">
        <f t="shared" si="321"/>
        <v>11</v>
      </c>
      <c r="T138" s="19">
        <f t="shared" si="322"/>
        <v>3.5435400000000001</v>
      </c>
      <c r="U138" s="21">
        <f t="shared" si="323"/>
        <v>0</v>
      </c>
      <c r="V138" s="19">
        <f t="shared" si="324"/>
        <v>0</v>
      </c>
      <c r="X138" s="29"/>
    </row>
    <row r="139" spans="1:24">
      <c r="A139" s="26" t="s">
        <v>13</v>
      </c>
      <c r="B139" s="26" t="s">
        <v>125</v>
      </c>
      <c r="C139" s="30">
        <v>27.3</v>
      </c>
      <c r="D139" s="27">
        <v>12</v>
      </c>
      <c r="E139" s="28">
        <v>8</v>
      </c>
      <c r="F139" s="16">
        <f t="shared" ref="F139" si="325">(C139*D139*E139/1000)</f>
        <v>2.6208</v>
      </c>
      <c r="G139" s="17"/>
      <c r="H139" s="18">
        <v>4</v>
      </c>
      <c r="I139" s="19">
        <f t="shared" ref="I139" si="326">(C139*D139*H139/1000)</f>
        <v>1.3104</v>
      </c>
      <c r="J139" s="16"/>
      <c r="K139" s="18">
        <v>4</v>
      </c>
      <c r="L139" s="19">
        <f t="shared" ref="L139" si="327">(C139*D139*K139/1000)</f>
        <v>1.3104</v>
      </c>
      <c r="M139" s="16"/>
      <c r="N139" s="18"/>
      <c r="O139" s="19">
        <f t="shared" ref="O139" si="328">(C139*D139*N139/1000)</f>
        <v>0</v>
      </c>
      <c r="P139" s="16"/>
      <c r="Q139" s="18"/>
      <c r="R139" s="19">
        <f t="shared" ref="R139" si="329">(C139*D139*Q139/1000)</f>
        <v>0</v>
      </c>
      <c r="S139" s="20">
        <f t="shared" ref="S139" si="330">+H139+K139+Q139+N139</f>
        <v>8</v>
      </c>
      <c r="T139" s="19">
        <f t="shared" ref="T139" si="331">+I139+L139+R139+O139</f>
        <v>2.6208</v>
      </c>
      <c r="U139" s="21">
        <f t="shared" ref="U139" si="332">E139-S139</f>
        <v>0</v>
      </c>
      <c r="V139" s="19">
        <f t="shared" ref="V139" si="333">F139-T139</f>
        <v>0</v>
      </c>
      <c r="X139" s="29"/>
    </row>
    <row r="140" spans="1:24">
      <c r="A140" s="26" t="s">
        <v>13</v>
      </c>
      <c r="B140" s="26" t="s">
        <v>125</v>
      </c>
      <c r="C140" s="30">
        <v>27.3</v>
      </c>
      <c r="D140" s="27">
        <v>10</v>
      </c>
      <c r="E140" s="28"/>
      <c r="F140" s="16">
        <f t="shared" si="316"/>
        <v>0</v>
      </c>
      <c r="G140" s="17"/>
      <c r="H140" s="18"/>
      <c r="I140" s="19">
        <f t="shared" si="317"/>
        <v>0</v>
      </c>
      <c r="J140" s="16"/>
      <c r="K140" s="18"/>
      <c r="L140" s="19">
        <f t="shared" si="318"/>
        <v>0</v>
      </c>
      <c r="M140" s="16"/>
      <c r="N140" s="18">
        <v>2</v>
      </c>
      <c r="O140" s="19">
        <f t="shared" si="319"/>
        <v>0.54600000000000004</v>
      </c>
      <c r="P140" s="16"/>
      <c r="Q140" s="18"/>
      <c r="R140" s="19">
        <f t="shared" si="320"/>
        <v>0</v>
      </c>
      <c r="S140" s="20">
        <f t="shared" si="321"/>
        <v>2</v>
      </c>
      <c r="T140" s="19">
        <f t="shared" si="322"/>
        <v>0.54600000000000004</v>
      </c>
      <c r="U140" s="21">
        <f t="shared" si="323"/>
        <v>-2</v>
      </c>
      <c r="V140" s="19">
        <f t="shared" si="324"/>
        <v>-0.54600000000000004</v>
      </c>
      <c r="X140" s="29"/>
    </row>
    <row r="141" spans="1:24">
      <c r="A141" s="36"/>
      <c r="B141" s="36"/>
      <c r="C141" s="37"/>
      <c r="D141" s="38"/>
      <c r="E141" s="31">
        <f t="shared" ref="E141:F141" si="334">SUM(E134:E140)</f>
        <v>80</v>
      </c>
      <c r="F141" s="38">
        <f t="shared" si="334"/>
        <v>22.358699999999999</v>
      </c>
      <c r="G141" s="16"/>
      <c r="H141" s="31">
        <f t="shared" ref="H141" si="335">SUM(H134:H140)</f>
        <v>69</v>
      </c>
      <c r="I141" s="38">
        <f t="shared" ref="I141" si="336">SUM(I134:I140)</f>
        <v>18.95439</v>
      </c>
      <c r="J141" s="16"/>
      <c r="K141" s="31">
        <f t="shared" ref="K141" si="337">SUM(K134:K140)</f>
        <v>9</v>
      </c>
      <c r="L141" s="38">
        <f t="shared" ref="L141" si="338">SUM(L134:L140)</f>
        <v>2.9211</v>
      </c>
      <c r="M141" s="16"/>
      <c r="N141" s="31">
        <f t="shared" ref="N141" si="339">SUM(N134:N140)</f>
        <v>2</v>
      </c>
      <c r="O141" s="38">
        <f t="shared" ref="O141" si="340">SUM(O134:O140)</f>
        <v>0.54600000000000004</v>
      </c>
      <c r="P141" s="16"/>
      <c r="Q141" s="31">
        <f t="shared" ref="Q141" si="341">SUM(Q134:Q140)</f>
        <v>0</v>
      </c>
      <c r="R141" s="38">
        <f t="shared" ref="R141" si="342">SUM(R134:R140)</f>
        <v>0</v>
      </c>
      <c r="S141" s="31">
        <f t="shared" ref="S141" si="343">SUM(S134:S140)</f>
        <v>80</v>
      </c>
      <c r="T141" s="38">
        <f t="shared" ref="T141" si="344">SUM(T134:T140)</f>
        <v>22.421489999999999</v>
      </c>
      <c r="U141" s="31">
        <f t="shared" ref="U141" si="345">SUM(U134:U140)</f>
        <v>0</v>
      </c>
      <c r="V141" s="38">
        <f t="shared" ref="V141" si="346">SUM(V134:V140)</f>
        <v>-6.2790000000000346E-2</v>
      </c>
      <c r="X141" s="29"/>
    </row>
    <row r="142" spans="1:24">
      <c r="A142" s="26" t="s">
        <v>13</v>
      </c>
      <c r="B142" s="26" t="s">
        <v>126</v>
      </c>
      <c r="C142" s="30">
        <v>33.799999999999997</v>
      </c>
      <c r="D142" s="27">
        <v>8.1</v>
      </c>
      <c r="E142" s="28">
        <v>13</v>
      </c>
      <c r="F142" s="16">
        <f t="shared" ref="F142:F148" si="347">(C142*D142*E142/1000)</f>
        <v>3.5591399999999993</v>
      </c>
      <c r="G142" s="16" t="s">
        <v>111</v>
      </c>
      <c r="H142" s="18">
        <v>4</v>
      </c>
      <c r="I142" s="19">
        <f t="shared" ref="I142:I148" si="348">(C142*D142*H142/1000)</f>
        <v>1.0951199999999999</v>
      </c>
      <c r="J142" s="17" t="s">
        <v>89</v>
      </c>
      <c r="K142" s="18">
        <v>4</v>
      </c>
      <c r="L142" s="19">
        <f t="shared" ref="L142:L148" si="349">(C142*D142*K142/1000)</f>
        <v>1.0951199999999999</v>
      </c>
      <c r="M142" s="16"/>
      <c r="N142" s="18"/>
      <c r="O142" s="19">
        <f t="shared" ref="O142:O148" si="350">(C142*D142*N142/1000)</f>
        <v>0</v>
      </c>
      <c r="P142" s="16"/>
      <c r="Q142" s="18"/>
      <c r="R142" s="19">
        <f t="shared" ref="R142:R148" si="351">(C142*D142*Q142/1000)</f>
        <v>0</v>
      </c>
      <c r="S142" s="20">
        <f t="shared" ref="S142:S148" si="352">+H142+K142+Q142+N142</f>
        <v>8</v>
      </c>
      <c r="T142" s="19">
        <f t="shared" ref="T142:T148" si="353">+I142+L142+R142+O142</f>
        <v>2.1902399999999997</v>
      </c>
      <c r="U142" s="21">
        <f t="shared" ref="U142:U148" si="354">E142-S142</f>
        <v>5</v>
      </c>
      <c r="V142" s="19">
        <f t="shared" ref="V142:V148" si="355">F142-T142</f>
        <v>1.3688999999999996</v>
      </c>
      <c r="X142" s="29"/>
    </row>
    <row r="143" spans="1:24">
      <c r="A143" s="26" t="s">
        <v>13</v>
      </c>
      <c r="B143" s="26" t="s">
        <v>126</v>
      </c>
      <c r="C143" s="30">
        <v>33.799999999999997</v>
      </c>
      <c r="D143" s="27">
        <v>8.4</v>
      </c>
      <c r="E143" s="28">
        <v>4</v>
      </c>
      <c r="F143" s="16">
        <f t="shared" si="347"/>
        <v>1.13568</v>
      </c>
      <c r="G143" s="16" t="s">
        <v>179</v>
      </c>
      <c r="H143" s="18"/>
      <c r="I143" s="19">
        <f t="shared" si="348"/>
        <v>0</v>
      </c>
      <c r="J143" s="17" t="s">
        <v>182</v>
      </c>
      <c r="K143" s="18"/>
      <c r="L143" s="19">
        <f t="shared" si="349"/>
        <v>0</v>
      </c>
      <c r="M143" s="16"/>
      <c r="N143" s="18"/>
      <c r="O143" s="19">
        <f t="shared" si="350"/>
        <v>0</v>
      </c>
      <c r="P143" s="16"/>
      <c r="Q143" s="18"/>
      <c r="R143" s="19">
        <f t="shared" si="351"/>
        <v>0</v>
      </c>
      <c r="S143" s="20">
        <f t="shared" si="352"/>
        <v>0</v>
      </c>
      <c r="T143" s="19">
        <f t="shared" si="353"/>
        <v>0</v>
      </c>
      <c r="U143" s="21">
        <f t="shared" si="354"/>
        <v>4</v>
      </c>
      <c r="V143" s="19">
        <f t="shared" si="355"/>
        <v>1.13568</v>
      </c>
      <c r="X143" s="29"/>
    </row>
    <row r="144" spans="1:24">
      <c r="A144" s="26" t="s">
        <v>13</v>
      </c>
      <c r="B144" s="26" t="s">
        <v>126</v>
      </c>
      <c r="C144" s="30">
        <v>33.799999999999997</v>
      </c>
      <c r="D144" s="27">
        <v>11</v>
      </c>
      <c r="E144" s="28">
        <v>6</v>
      </c>
      <c r="F144" s="16">
        <f t="shared" si="347"/>
        <v>2.2307999999999999</v>
      </c>
      <c r="G144" s="17"/>
      <c r="H144" s="18">
        <v>6</v>
      </c>
      <c r="I144" s="19">
        <f t="shared" si="348"/>
        <v>2.2307999999999999</v>
      </c>
      <c r="J144" s="16"/>
      <c r="K144" s="18"/>
      <c r="L144" s="19">
        <f t="shared" si="349"/>
        <v>0</v>
      </c>
      <c r="M144" s="16"/>
      <c r="N144" s="18"/>
      <c r="O144" s="19">
        <f t="shared" si="350"/>
        <v>0</v>
      </c>
      <c r="P144" s="16"/>
      <c r="Q144" s="18"/>
      <c r="R144" s="19">
        <f t="shared" si="351"/>
        <v>0</v>
      </c>
      <c r="S144" s="20">
        <f t="shared" si="352"/>
        <v>6</v>
      </c>
      <c r="T144" s="19">
        <f t="shared" si="353"/>
        <v>2.2307999999999999</v>
      </c>
      <c r="U144" s="21">
        <f t="shared" si="354"/>
        <v>0</v>
      </c>
      <c r="V144" s="19">
        <f t="shared" si="355"/>
        <v>0</v>
      </c>
      <c r="X144" s="29"/>
    </row>
    <row r="145" spans="1:24">
      <c r="A145" s="26" t="s">
        <v>13</v>
      </c>
      <c r="B145" s="26" t="s">
        <v>126</v>
      </c>
      <c r="C145" s="30">
        <v>33.799999999999997</v>
      </c>
      <c r="D145" s="27">
        <v>12</v>
      </c>
      <c r="E145" s="28">
        <v>8</v>
      </c>
      <c r="F145" s="16">
        <f t="shared" ref="F145:F147" si="356">(C145*D145*E145/1000)</f>
        <v>3.2447999999999997</v>
      </c>
      <c r="G145" s="17"/>
      <c r="H145" s="18">
        <v>6</v>
      </c>
      <c r="I145" s="19">
        <f t="shared" ref="I145:I147" si="357">(C145*D145*H145/1000)</f>
        <v>2.4335999999999998</v>
      </c>
      <c r="J145" s="16"/>
      <c r="K145" s="18">
        <v>2</v>
      </c>
      <c r="L145" s="19">
        <f t="shared" ref="L145:L147" si="358">(C145*D145*K145/1000)</f>
        <v>0.81119999999999992</v>
      </c>
      <c r="M145" s="16"/>
      <c r="N145" s="18"/>
      <c r="O145" s="19">
        <f t="shared" ref="O145:O147" si="359">(C145*D145*N145/1000)</f>
        <v>0</v>
      </c>
      <c r="P145" s="16"/>
      <c r="Q145" s="18"/>
      <c r="R145" s="19">
        <f t="shared" ref="R145:R147" si="360">(C145*D145*Q145/1000)</f>
        <v>0</v>
      </c>
      <c r="S145" s="20">
        <f t="shared" ref="S145:S147" si="361">+H145+K145+Q145+N145</f>
        <v>8</v>
      </c>
      <c r="T145" s="19">
        <f t="shared" ref="T145:T147" si="362">+I145+L145+R145+O145</f>
        <v>3.2447999999999997</v>
      </c>
      <c r="U145" s="21">
        <f t="shared" ref="U145:U147" si="363">E145-S145</f>
        <v>0</v>
      </c>
      <c r="V145" s="19">
        <f t="shared" ref="V145:V147" si="364">F145-T145</f>
        <v>0</v>
      </c>
      <c r="X145" s="29"/>
    </row>
    <row r="146" spans="1:24">
      <c r="A146" s="26" t="s">
        <v>13</v>
      </c>
      <c r="B146" s="26" t="s">
        <v>126</v>
      </c>
      <c r="C146" s="30">
        <v>33.799999999999997</v>
      </c>
      <c r="D146" s="27">
        <v>9</v>
      </c>
      <c r="E146" s="28"/>
      <c r="F146" s="16">
        <f t="shared" si="356"/>
        <v>0</v>
      </c>
      <c r="G146" s="17"/>
      <c r="H146" s="18">
        <v>4</v>
      </c>
      <c r="I146" s="19">
        <f t="shared" si="357"/>
        <v>1.2167999999999999</v>
      </c>
      <c r="J146" s="16"/>
      <c r="K146" s="18">
        <v>1</v>
      </c>
      <c r="L146" s="19">
        <f t="shared" si="358"/>
        <v>0.30419999999999997</v>
      </c>
      <c r="M146" s="16"/>
      <c r="N146" s="18"/>
      <c r="O146" s="19">
        <f t="shared" si="359"/>
        <v>0</v>
      </c>
      <c r="P146" s="16"/>
      <c r="Q146" s="18"/>
      <c r="R146" s="19">
        <f t="shared" si="360"/>
        <v>0</v>
      </c>
      <c r="S146" s="20">
        <f t="shared" si="361"/>
        <v>5</v>
      </c>
      <c r="T146" s="19">
        <f t="shared" si="362"/>
        <v>1.5209999999999999</v>
      </c>
      <c r="U146" s="21">
        <f t="shared" si="363"/>
        <v>-5</v>
      </c>
      <c r="V146" s="19">
        <f t="shared" si="364"/>
        <v>-1.5209999999999999</v>
      </c>
      <c r="X146" s="29"/>
    </row>
    <row r="147" spans="1:24">
      <c r="A147" s="26" t="s">
        <v>13</v>
      </c>
      <c r="B147" s="26" t="s">
        <v>126</v>
      </c>
      <c r="C147" s="30">
        <v>33.799999999999997</v>
      </c>
      <c r="D147" s="27">
        <v>8.1999999999999993</v>
      </c>
      <c r="E147" s="28"/>
      <c r="F147" s="16">
        <f t="shared" si="356"/>
        <v>0</v>
      </c>
      <c r="G147" s="17"/>
      <c r="H147" s="18"/>
      <c r="I147" s="19">
        <f t="shared" si="357"/>
        <v>0</v>
      </c>
      <c r="J147" s="16"/>
      <c r="K147" s="18">
        <v>4</v>
      </c>
      <c r="L147" s="19">
        <f t="shared" si="358"/>
        <v>1.1086399999999998</v>
      </c>
      <c r="M147" s="16"/>
      <c r="N147" s="18"/>
      <c r="O147" s="19">
        <f t="shared" si="359"/>
        <v>0</v>
      </c>
      <c r="P147" s="16"/>
      <c r="Q147" s="18"/>
      <c r="R147" s="19">
        <f t="shared" si="360"/>
        <v>0</v>
      </c>
      <c r="S147" s="20">
        <f t="shared" si="361"/>
        <v>4</v>
      </c>
      <c r="T147" s="19">
        <f t="shared" si="362"/>
        <v>1.1086399999999998</v>
      </c>
      <c r="U147" s="21">
        <f t="shared" si="363"/>
        <v>-4</v>
      </c>
      <c r="V147" s="19">
        <f t="shared" si="364"/>
        <v>-1.1086399999999998</v>
      </c>
      <c r="X147" s="29"/>
    </row>
    <row r="148" spans="1:24">
      <c r="A148" s="26" t="s">
        <v>13</v>
      </c>
      <c r="B148" s="26" t="s">
        <v>126</v>
      </c>
      <c r="C148" s="30">
        <v>33.799999999999997</v>
      </c>
      <c r="D148" s="27"/>
      <c r="E148" s="28"/>
      <c r="F148" s="16">
        <f t="shared" si="347"/>
        <v>0</v>
      </c>
      <c r="G148" s="17"/>
      <c r="H148" s="18"/>
      <c r="I148" s="19">
        <f t="shared" si="348"/>
        <v>0</v>
      </c>
      <c r="J148" s="16"/>
      <c r="K148" s="18"/>
      <c r="L148" s="19">
        <f t="shared" si="349"/>
        <v>0</v>
      </c>
      <c r="M148" s="16"/>
      <c r="N148" s="18"/>
      <c r="O148" s="19">
        <f t="shared" si="350"/>
        <v>0</v>
      </c>
      <c r="P148" s="16"/>
      <c r="Q148" s="18"/>
      <c r="R148" s="19">
        <f t="shared" si="351"/>
        <v>0</v>
      </c>
      <c r="S148" s="20">
        <f t="shared" si="352"/>
        <v>0</v>
      </c>
      <c r="T148" s="19">
        <f t="shared" si="353"/>
        <v>0</v>
      </c>
      <c r="U148" s="21">
        <f t="shared" si="354"/>
        <v>0</v>
      </c>
      <c r="V148" s="19">
        <f t="shared" si="355"/>
        <v>0</v>
      </c>
      <c r="X148" s="29"/>
    </row>
    <row r="149" spans="1:24">
      <c r="A149" s="36"/>
      <c r="B149" s="36"/>
      <c r="C149" s="37"/>
      <c r="D149" s="38"/>
      <c r="E149" s="31">
        <f t="shared" ref="E149:F149" si="365">SUM(E142:E148)</f>
        <v>31</v>
      </c>
      <c r="F149" s="38">
        <f t="shared" si="365"/>
        <v>10.170419999999998</v>
      </c>
      <c r="G149" s="17"/>
      <c r="H149" s="31">
        <f t="shared" ref="H149" si="366">SUM(H142:H148)</f>
        <v>20</v>
      </c>
      <c r="I149" s="38">
        <f t="shared" ref="I149" si="367">SUM(I142:I148)</f>
        <v>6.9763200000000003</v>
      </c>
      <c r="J149" s="16"/>
      <c r="K149" s="31">
        <f t="shared" ref="K149" si="368">SUM(K142:K148)</f>
        <v>11</v>
      </c>
      <c r="L149" s="38">
        <f t="shared" ref="L149" si="369">SUM(L142:L148)</f>
        <v>3.3191599999999997</v>
      </c>
      <c r="M149" s="16"/>
      <c r="N149" s="31">
        <f t="shared" ref="N149" si="370">SUM(N142:N148)</f>
        <v>0</v>
      </c>
      <c r="O149" s="38">
        <f t="shared" ref="O149" si="371">SUM(O142:O148)</f>
        <v>0</v>
      </c>
      <c r="P149" s="16"/>
      <c r="Q149" s="31">
        <f t="shared" ref="Q149" si="372">SUM(Q142:Q148)</f>
        <v>0</v>
      </c>
      <c r="R149" s="38">
        <f t="shared" ref="R149" si="373">SUM(R142:R148)</f>
        <v>0</v>
      </c>
      <c r="S149" s="31">
        <f t="shared" ref="S149" si="374">SUM(S142:S148)</f>
        <v>31</v>
      </c>
      <c r="T149" s="38">
        <f t="shared" ref="T149" si="375">SUM(T142:T148)</f>
        <v>10.29548</v>
      </c>
      <c r="U149" s="31">
        <f t="shared" ref="U149" si="376">SUM(U142:U148)</f>
        <v>0</v>
      </c>
      <c r="V149" s="38">
        <f t="shared" ref="V149" si="377">SUM(V142:V148)</f>
        <v>-0.12505999999999995</v>
      </c>
      <c r="X149" s="29"/>
    </row>
    <row r="150" spans="1:24">
      <c r="A150" s="26" t="s">
        <v>13</v>
      </c>
      <c r="B150" s="26" t="s">
        <v>127</v>
      </c>
      <c r="C150" s="30">
        <v>35.9</v>
      </c>
      <c r="D150" s="27">
        <v>7.5</v>
      </c>
      <c r="E150" s="28">
        <v>2</v>
      </c>
      <c r="F150" s="16">
        <f t="shared" ref="F150:F153" si="378">(C150*D150*E150/1000)</f>
        <v>0.53849999999999998</v>
      </c>
      <c r="G150" s="16" t="s">
        <v>111</v>
      </c>
      <c r="H150" s="18"/>
      <c r="I150" s="19">
        <f t="shared" ref="I150:I153" si="379">(C150*D150*H150/1000)</f>
        <v>0</v>
      </c>
      <c r="J150" s="17" t="s">
        <v>89</v>
      </c>
      <c r="K150" s="18"/>
      <c r="L150" s="19">
        <f t="shared" ref="L150:L153" si="380">(C150*D150*K150/1000)</f>
        <v>0</v>
      </c>
      <c r="M150" s="16"/>
      <c r="N150" s="18"/>
      <c r="O150" s="19">
        <f t="shared" ref="O150:O153" si="381">(C150*D150*N150/1000)</f>
        <v>0</v>
      </c>
      <c r="P150" s="16"/>
      <c r="Q150" s="18"/>
      <c r="R150" s="19">
        <f t="shared" ref="R150:R153" si="382">(C150*D150*Q150/1000)</f>
        <v>0</v>
      </c>
      <c r="S150" s="20">
        <f t="shared" ref="S150:S153" si="383">+H150+K150+Q150+N150</f>
        <v>0</v>
      </c>
      <c r="T150" s="19">
        <f t="shared" ref="T150:T153" si="384">+I150+L150+R150+O150</f>
        <v>0</v>
      </c>
      <c r="U150" s="21">
        <f t="shared" ref="U150:U153" si="385">E150-S150</f>
        <v>2</v>
      </c>
      <c r="V150" s="19">
        <f t="shared" ref="V150:V153" si="386">F150-T150</f>
        <v>0.53849999999999998</v>
      </c>
      <c r="X150" s="29"/>
    </row>
    <row r="151" spans="1:24">
      <c r="A151" s="26" t="s">
        <v>13</v>
      </c>
      <c r="B151" s="26" t="s">
        <v>127</v>
      </c>
      <c r="C151" s="30">
        <v>35.9</v>
      </c>
      <c r="D151" s="27">
        <v>11.2</v>
      </c>
      <c r="E151" s="28">
        <v>12</v>
      </c>
      <c r="F151" s="16">
        <f t="shared" ref="F151:F152" si="387">(C151*D151*E151/1000)</f>
        <v>4.8249599999999999</v>
      </c>
      <c r="G151" s="16" t="s">
        <v>179</v>
      </c>
      <c r="H151" s="18">
        <v>6</v>
      </c>
      <c r="I151" s="19">
        <f t="shared" ref="I151:I152" si="388">(C151*D151*H151/1000)</f>
        <v>2.41248</v>
      </c>
      <c r="J151" s="17" t="s">
        <v>182</v>
      </c>
      <c r="K151" s="18">
        <v>5</v>
      </c>
      <c r="L151" s="19">
        <f t="shared" ref="L151:L152" si="389">(C151*D151*K151/1000)</f>
        <v>2.0103999999999997</v>
      </c>
      <c r="M151" s="16"/>
      <c r="N151" s="18"/>
      <c r="O151" s="19">
        <f t="shared" ref="O151:O152" si="390">(C151*D151*N151/1000)</f>
        <v>0</v>
      </c>
      <c r="P151" s="16"/>
      <c r="Q151" s="18"/>
      <c r="R151" s="19">
        <f t="shared" ref="R151:R152" si="391">(C151*D151*Q151/1000)</f>
        <v>0</v>
      </c>
      <c r="S151" s="20">
        <f t="shared" ref="S151:S152" si="392">+H151+K151+Q151+N151</f>
        <v>11</v>
      </c>
      <c r="T151" s="19">
        <f t="shared" ref="T151:T152" si="393">+I151+L151+R151+O151</f>
        <v>4.4228799999999993</v>
      </c>
      <c r="U151" s="21">
        <f t="shared" ref="U151:U152" si="394">E151-S151</f>
        <v>1</v>
      </c>
      <c r="V151" s="19">
        <f t="shared" ref="V151:V152" si="395">F151-T151</f>
        <v>0.40208000000000066</v>
      </c>
      <c r="X151" s="29"/>
    </row>
    <row r="152" spans="1:24">
      <c r="A152" s="26" t="s">
        <v>13</v>
      </c>
      <c r="B152" s="26" t="s">
        <v>127</v>
      </c>
      <c r="C152" s="30">
        <v>35.9</v>
      </c>
      <c r="D152" s="27">
        <v>10</v>
      </c>
      <c r="E152" s="28"/>
      <c r="F152" s="16">
        <f t="shared" si="387"/>
        <v>0</v>
      </c>
      <c r="G152" s="16"/>
      <c r="H152" s="18">
        <v>2</v>
      </c>
      <c r="I152" s="19">
        <f t="shared" si="388"/>
        <v>0.71799999999999997</v>
      </c>
      <c r="J152" s="16"/>
      <c r="K152" s="18"/>
      <c r="L152" s="19">
        <f t="shared" si="389"/>
        <v>0</v>
      </c>
      <c r="M152" s="16"/>
      <c r="N152" s="18"/>
      <c r="O152" s="19">
        <f t="shared" si="390"/>
        <v>0</v>
      </c>
      <c r="P152" s="16"/>
      <c r="Q152" s="18"/>
      <c r="R152" s="19">
        <f t="shared" si="391"/>
        <v>0</v>
      </c>
      <c r="S152" s="20">
        <f t="shared" si="392"/>
        <v>2</v>
      </c>
      <c r="T152" s="19">
        <f t="shared" si="393"/>
        <v>0.71799999999999997</v>
      </c>
      <c r="U152" s="21">
        <f t="shared" si="394"/>
        <v>-2</v>
      </c>
      <c r="V152" s="19">
        <f t="shared" si="395"/>
        <v>-0.71799999999999997</v>
      </c>
      <c r="X152" s="29"/>
    </row>
    <row r="153" spans="1:24">
      <c r="A153" s="26" t="s">
        <v>13</v>
      </c>
      <c r="B153" s="26" t="s">
        <v>127</v>
      </c>
      <c r="C153" s="30">
        <v>35.9</v>
      </c>
      <c r="D153" s="27">
        <v>11.5</v>
      </c>
      <c r="E153" s="28"/>
      <c r="F153" s="16">
        <f t="shared" si="378"/>
        <v>0</v>
      </c>
      <c r="G153" s="16"/>
      <c r="H153" s="18"/>
      <c r="I153" s="19">
        <f t="shared" si="379"/>
        <v>0</v>
      </c>
      <c r="J153" s="16"/>
      <c r="K153" s="18">
        <v>1</v>
      </c>
      <c r="L153" s="19">
        <f t="shared" si="380"/>
        <v>0.41284999999999994</v>
      </c>
      <c r="M153" s="16"/>
      <c r="N153" s="18"/>
      <c r="O153" s="19">
        <f t="shared" si="381"/>
        <v>0</v>
      </c>
      <c r="P153" s="16"/>
      <c r="Q153" s="18"/>
      <c r="R153" s="19">
        <f t="shared" si="382"/>
        <v>0</v>
      </c>
      <c r="S153" s="20">
        <f t="shared" si="383"/>
        <v>1</v>
      </c>
      <c r="T153" s="19">
        <f t="shared" si="384"/>
        <v>0.41284999999999994</v>
      </c>
      <c r="U153" s="21">
        <f t="shared" si="385"/>
        <v>-1</v>
      </c>
      <c r="V153" s="19">
        <f t="shared" si="386"/>
        <v>-0.41284999999999994</v>
      </c>
      <c r="X153" s="29"/>
    </row>
    <row r="154" spans="1:24">
      <c r="A154" s="36"/>
      <c r="B154" s="36"/>
      <c r="C154" s="37"/>
      <c r="D154" s="38"/>
      <c r="E154" s="31">
        <f t="shared" ref="E154:F154" si="396">SUM(E150:E153)</f>
        <v>14</v>
      </c>
      <c r="F154" s="38">
        <f t="shared" si="396"/>
        <v>5.3634599999999999</v>
      </c>
      <c r="G154" s="17"/>
      <c r="H154" s="31">
        <f t="shared" ref="H154" si="397">SUM(H150:H153)</f>
        <v>8</v>
      </c>
      <c r="I154" s="38">
        <f t="shared" ref="I154" si="398">SUM(I150:I153)</f>
        <v>3.1304799999999999</v>
      </c>
      <c r="J154" s="16"/>
      <c r="K154" s="31">
        <f t="shared" ref="K154" si="399">SUM(K150:K153)</f>
        <v>6</v>
      </c>
      <c r="L154" s="38">
        <f t="shared" ref="L154" si="400">SUM(L150:L153)</f>
        <v>2.4232499999999995</v>
      </c>
      <c r="M154" s="16"/>
      <c r="N154" s="31">
        <f t="shared" ref="N154" si="401">SUM(N150:N153)</f>
        <v>0</v>
      </c>
      <c r="O154" s="38">
        <f t="shared" ref="O154" si="402">SUM(O150:O153)</f>
        <v>0</v>
      </c>
      <c r="P154" s="16"/>
      <c r="Q154" s="31">
        <f t="shared" ref="Q154" si="403">SUM(Q150:Q153)</f>
        <v>0</v>
      </c>
      <c r="R154" s="38">
        <f t="shared" ref="R154" si="404">SUM(R150:R153)</f>
        <v>0</v>
      </c>
      <c r="S154" s="31">
        <f t="shared" ref="S154" si="405">SUM(S150:S153)</f>
        <v>14</v>
      </c>
      <c r="T154" s="38">
        <f t="shared" ref="T154" si="406">SUM(T150:T153)</f>
        <v>5.5537299999999989</v>
      </c>
      <c r="U154" s="31">
        <f t="shared" ref="U154" si="407">SUM(U150:U153)</f>
        <v>0</v>
      </c>
      <c r="V154" s="38">
        <f t="shared" ref="V154" si="408">SUM(V150:V153)</f>
        <v>-0.19026999999999927</v>
      </c>
      <c r="X154" s="29"/>
    </row>
    <row r="155" spans="1:24">
      <c r="A155" s="26" t="s">
        <v>13</v>
      </c>
      <c r="B155" s="26" t="s">
        <v>128</v>
      </c>
      <c r="C155" s="30">
        <v>40.1</v>
      </c>
      <c r="D155" s="27">
        <v>6</v>
      </c>
      <c r="E155" s="28">
        <v>16</v>
      </c>
      <c r="F155" s="16">
        <f t="shared" ref="F155:F166" si="409">(C155*D155*E155/1000)</f>
        <v>3.8496000000000006</v>
      </c>
      <c r="G155" s="16" t="s">
        <v>111</v>
      </c>
      <c r="H155" s="18">
        <v>8</v>
      </c>
      <c r="I155" s="19">
        <f t="shared" ref="I155:I166" si="410">(C155*D155*H155/1000)</f>
        <v>1.9248000000000003</v>
      </c>
      <c r="J155" s="17" t="s">
        <v>89</v>
      </c>
      <c r="K155" s="18">
        <v>3</v>
      </c>
      <c r="L155" s="19">
        <f t="shared" ref="L155:L166" si="411">(C155*D155*K155/1000)</f>
        <v>0.72180000000000011</v>
      </c>
      <c r="M155" s="16"/>
      <c r="N155" s="18"/>
      <c r="O155" s="19">
        <f t="shared" ref="O155:O166" si="412">(C155*D155*N155/1000)</f>
        <v>0</v>
      </c>
      <c r="P155" s="16"/>
      <c r="Q155" s="18"/>
      <c r="R155" s="19">
        <f t="shared" ref="R155:R166" si="413">(C155*D155*Q155/1000)</f>
        <v>0</v>
      </c>
      <c r="S155" s="20">
        <f t="shared" ref="S155:S166" si="414">+H155+K155+Q155+N155</f>
        <v>11</v>
      </c>
      <c r="T155" s="19">
        <f t="shared" ref="T155:T166" si="415">+I155+L155+R155+O155</f>
        <v>2.6466000000000003</v>
      </c>
      <c r="U155" s="21">
        <f t="shared" ref="U155:U166" si="416">E155-S155</f>
        <v>5</v>
      </c>
      <c r="V155" s="19">
        <f t="shared" ref="V155:V166" si="417">F155-T155</f>
        <v>1.2030000000000003</v>
      </c>
      <c r="X155" s="29"/>
    </row>
    <row r="156" spans="1:24">
      <c r="A156" s="26" t="s">
        <v>13</v>
      </c>
      <c r="B156" s="26" t="s">
        <v>128</v>
      </c>
      <c r="C156" s="30">
        <v>40.1</v>
      </c>
      <c r="D156" s="27">
        <v>6.3</v>
      </c>
      <c r="E156" s="28">
        <v>8</v>
      </c>
      <c r="F156" s="16">
        <f t="shared" si="409"/>
        <v>2.0210400000000002</v>
      </c>
      <c r="G156" s="16" t="s">
        <v>179</v>
      </c>
      <c r="H156" s="18">
        <v>5</v>
      </c>
      <c r="I156" s="19">
        <f t="shared" si="410"/>
        <v>1.26315</v>
      </c>
      <c r="J156" s="17" t="s">
        <v>182</v>
      </c>
      <c r="K156" s="18">
        <v>1</v>
      </c>
      <c r="L156" s="19">
        <f t="shared" si="411"/>
        <v>0.25263000000000002</v>
      </c>
      <c r="M156" s="16"/>
      <c r="N156" s="18"/>
      <c r="O156" s="19">
        <f t="shared" si="412"/>
        <v>0</v>
      </c>
      <c r="P156" s="16"/>
      <c r="Q156" s="18"/>
      <c r="R156" s="19">
        <f t="shared" si="413"/>
        <v>0</v>
      </c>
      <c r="S156" s="20">
        <f t="shared" si="414"/>
        <v>6</v>
      </c>
      <c r="T156" s="19">
        <f t="shared" si="415"/>
        <v>1.5157799999999999</v>
      </c>
      <c r="U156" s="21">
        <f t="shared" si="416"/>
        <v>2</v>
      </c>
      <c r="V156" s="19">
        <f t="shared" si="417"/>
        <v>0.50526000000000026</v>
      </c>
      <c r="X156" s="29"/>
    </row>
    <row r="157" spans="1:24">
      <c r="A157" s="26" t="s">
        <v>13</v>
      </c>
      <c r="B157" s="26" t="s">
        <v>128</v>
      </c>
      <c r="C157" s="30">
        <v>40.1</v>
      </c>
      <c r="D157" s="27">
        <v>6.8</v>
      </c>
      <c r="E157" s="28">
        <v>19</v>
      </c>
      <c r="F157" s="16">
        <f t="shared" si="409"/>
        <v>5.1809200000000004</v>
      </c>
      <c r="G157" s="17"/>
      <c r="H157" s="18">
        <v>8</v>
      </c>
      <c r="I157" s="19">
        <f t="shared" si="410"/>
        <v>2.1814400000000003</v>
      </c>
      <c r="J157" s="16"/>
      <c r="K157" s="18">
        <v>2</v>
      </c>
      <c r="L157" s="19">
        <f t="shared" si="411"/>
        <v>0.54536000000000007</v>
      </c>
      <c r="M157" s="16"/>
      <c r="N157" s="18"/>
      <c r="O157" s="19">
        <f t="shared" si="412"/>
        <v>0</v>
      </c>
      <c r="P157" s="16"/>
      <c r="Q157" s="18"/>
      <c r="R157" s="19">
        <f t="shared" si="413"/>
        <v>0</v>
      </c>
      <c r="S157" s="20">
        <f t="shared" si="414"/>
        <v>10</v>
      </c>
      <c r="T157" s="19">
        <f t="shared" si="415"/>
        <v>2.7268000000000003</v>
      </c>
      <c r="U157" s="21">
        <f t="shared" si="416"/>
        <v>9</v>
      </c>
      <c r="V157" s="19">
        <f t="shared" si="417"/>
        <v>2.4541200000000001</v>
      </c>
      <c r="X157" s="29"/>
    </row>
    <row r="158" spans="1:24">
      <c r="A158" s="26" t="s">
        <v>13</v>
      </c>
      <c r="B158" s="26" t="s">
        <v>128</v>
      </c>
      <c r="C158" s="30">
        <v>40.1</v>
      </c>
      <c r="D158" s="27">
        <v>10.1</v>
      </c>
      <c r="E158" s="28">
        <v>4</v>
      </c>
      <c r="F158" s="16">
        <f t="shared" ref="F158:F165" si="418">(C158*D158*E158/1000)</f>
        <v>1.6200399999999999</v>
      </c>
      <c r="G158" s="17"/>
      <c r="H158" s="18">
        <v>3</v>
      </c>
      <c r="I158" s="19">
        <f t="shared" ref="I158:I165" si="419">(C158*D158*H158/1000)</f>
        <v>1.2150300000000001</v>
      </c>
      <c r="J158" s="16"/>
      <c r="K158" s="18">
        <v>1</v>
      </c>
      <c r="L158" s="19">
        <f t="shared" ref="L158:L165" si="420">(C158*D158*K158/1000)</f>
        <v>0.40500999999999998</v>
      </c>
      <c r="M158" s="16"/>
      <c r="N158" s="18"/>
      <c r="O158" s="19">
        <f t="shared" ref="O158:O165" si="421">(C158*D158*N158/1000)</f>
        <v>0</v>
      </c>
      <c r="P158" s="16"/>
      <c r="Q158" s="18"/>
      <c r="R158" s="19">
        <f t="shared" ref="R158:R165" si="422">(C158*D158*Q158/1000)</f>
        <v>0</v>
      </c>
      <c r="S158" s="20">
        <f t="shared" ref="S158:S165" si="423">+H158+K158+Q158+N158</f>
        <v>4</v>
      </c>
      <c r="T158" s="19">
        <f t="shared" ref="T158:T165" si="424">+I158+L158+R158+O158</f>
        <v>1.6200399999999999</v>
      </c>
      <c r="U158" s="21">
        <f t="shared" ref="U158:U165" si="425">E158-S158</f>
        <v>0</v>
      </c>
      <c r="V158" s="19">
        <f t="shared" ref="V158:V165" si="426">F158-T158</f>
        <v>0</v>
      </c>
      <c r="X158" s="29"/>
    </row>
    <row r="159" spans="1:24">
      <c r="A159" s="26" t="s">
        <v>13</v>
      </c>
      <c r="B159" s="26" t="s">
        <v>128</v>
      </c>
      <c r="C159" s="30">
        <v>40.1</v>
      </c>
      <c r="D159" s="27">
        <v>6.1</v>
      </c>
      <c r="E159" s="28"/>
      <c r="F159" s="16">
        <f t="shared" si="418"/>
        <v>0</v>
      </c>
      <c r="G159" s="17"/>
      <c r="H159" s="18"/>
      <c r="I159" s="19">
        <f t="shared" si="419"/>
        <v>0</v>
      </c>
      <c r="J159" s="16"/>
      <c r="K159" s="18">
        <v>1</v>
      </c>
      <c r="L159" s="19">
        <f t="shared" si="420"/>
        <v>0.24460999999999999</v>
      </c>
      <c r="M159" s="16"/>
      <c r="N159" s="18"/>
      <c r="O159" s="19">
        <f t="shared" si="421"/>
        <v>0</v>
      </c>
      <c r="P159" s="16"/>
      <c r="Q159" s="18"/>
      <c r="R159" s="19">
        <f t="shared" si="422"/>
        <v>0</v>
      </c>
      <c r="S159" s="20">
        <f t="shared" si="423"/>
        <v>1</v>
      </c>
      <c r="T159" s="19">
        <f t="shared" si="424"/>
        <v>0.24460999999999999</v>
      </c>
      <c r="U159" s="21">
        <f t="shared" si="425"/>
        <v>-1</v>
      </c>
      <c r="V159" s="19">
        <f t="shared" si="426"/>
        <v>-0.24460999999999999</v>
      </c>
      <c r="X159" s="29"/>
    </row>
    <row r="160" spans="1:24">
      <c r="A160" s="26" t="s">
        <v>13</v>
      </c>
      <c r="B160" s="26" t="s">
        <v>128</v>
      </c>
      <c r="C160" s="30">
        <v>40.1</v>
      </c>
      <c r="D160" s="27">
        <v>6.6</v>
      </c>
      <c r="E160" s="28"/>
      <c r="F160" s="16">
        <f t="shared" si="418"/>
        <v>0</v>
      </c>
      <c r="G160" s="17"/>
      <c r="H160" s="18"/>
      <c r="I160" s="19">
        <f t="shared" si="419"/>
        <v>0</v>
      </c>
      <c r="J160" s="16"/>
      <c r="K160" s="18">
        <v>1</v>
      </c>
      <c r="L160" s="19">
        <f t="shared" si="420"/>
        <v>0.26465999999999995</v>
      </c>
      <c r="M160" s="16"/>
      <c r="N160" s="18"/>
      <c r="O160" s="19">
        <f t="shared" si="421"/>
        <v>0</v>
      </c>
      <c r="P160" s="16"/>
      <c r="Q160" s="18"/>
      <c r="R160" s="19">
        <f t="shared" si="422"/>
        <v>0</v>
      </c>
      <c r="S160" s="20">
        <f t="shared" si="423"/>
        <v>1</v>
      </c>
      <c r="T160" s="19">
        <f t="shared" si="424"/>
        <v>0.26465999999999995</v>
      </c>
      <c r="U160" s="21">
        <f t="shared" si="425"/>
        <v>-1</v>
      </c>
      <c r="V160" s="19">
        <f t="shared" si="426"/>
        <v>-0.26465999999999995</v>
      </c>
      <c r="X160" s="29"/>
    </row>
    <row r="161" spans="1:24">
      <c r="A161" s="26" t="s">
        <v>13</v>
      </c>
      <c r="B161" s="26" t="s">
        <v>128</v>
      </c>
      <c r="C161" s="30">
        <v>40.1</v>
      </c>
      <c r="D161" s="27">
        <v>7.3</v>
      </c>
      <c r="E161" s="28"/>
      <c r="F161" s="16">
        <f t="shared" si="418"/>
        <v>0</v>
      </c>
      <c r="G161" s="17"/>
      <c r="H161" s="18"/>
      <c r="I161" s="19">
        <f t="shared" si="419"/>
        <v>0</v>
      </c>
      <c r="J161" s="16"/>
      <c r="K161" s="18">
        <v>5</v>
      </c>
      <c r="L161" s="19">
        <f t="shared" si="420"/>
        <v>1.4636500000000001</v>
      </c>
      <c r="M161" s="16"/>
      <c r="N161" s="18"/>
      <c r="O161" s="19">
        <f t="shared" si="421"/>
        <v>0</v>
      </c>
      <c r="P161" s="16"/>
      <c r="Q161" s="18"/>
      <c r="R161" s="19">
        <f t="shared" si="422"/>
        <v>0</v>
      </c>
      <c r="S161" s="20">
        <f t="shared" si="423"/>
        <v>5</v>
      </c>
      <c r="T161" s="19">
        <f t="shared" si="424"/>
        <v>1.4636500000000001</v>
      </c>
      <c r="U161" s="21">
        <f t="shared" si="425"/>
        <v>-5</v>
      </c>
      <c r="V161" s="19">
        <f t="shared" si="426"/>
        <v>-1.4636500000000001</v>
      </c>
      <c r="X161" s="29"/>
    </row>
    <row r="162" spans="1:24">
      <c r="A162" s="26" t="s">
        <v>13</v>
      </c>
      <c r="B162" s="26" t="s">
        <v>128</v>
      </c>
      <c r="C162" s="30">
        <v>40.1</v>
      </c>
      <c r="D162" s="27">
        <v>7.5</v>
      </c>
      <c r="E162" s="28"/>
      <c r="F162" s="16">
        <f t="shared" si="418"/>
        <v>0</v>
      </c>
      <c r="G162" s="17"/>
      <c r="H162" s="18"/>
      <c r="I162" s="19">
        <f t="shared" si="419"/>
        <v>0</v>
      </c>
      <c r="J162" s="16"/>
      <c r="K162" s="18">
        <v>6</v>
      </c>
      <c r="L162" s="19">
        <f t="shared" si="420"/>
        <v>1.8045</v>
      </c>
      <c r="M162" s="16"/>
      <c r="N162" s="18"/>
      <c r="O162" s="19">
        <f t="shared" si="421"/>
        <v>0</v>
      </c>
      <c r="P162" s="16"/>
      <c r="Q162" s="18"/>
      <c r="R162" s="19">
        <f t="shared" si="422"/>
        <v>0</v>
      </c>
      <c r="S162" s="20">
        <f t="shared" si="423"/>
        <v>6</v>
      </c>
      <c r="T162" s="19">
        <f t="shared" si="424"/>
        <v>1.8045</v>
      </c>
      <c r="U162" s="21">
        <f t="shared" si="425"/>
        <v>-6</v>
      </c>
      <c r="V162" s="19">
        <f t="shared" si="426"/>
        <v>-1.8045</v>
      </c>
      <c r="X162" s="29"/>
    </row>
    <row r="163" spans="1:24">
      <c r="A163" s="26" t="s">
        <v>13</v>
      </c>
      <c r="B163" s="26" t="s">
        <v>128</v>
      </c>
      <c r="C163" s="30">
        <v>40.1</v>
      </c>
      <c r="D163" s="27">
        <v>7.8</v>
      </c>
      <c r="E163" s="28"/>
      <c r="F163" s="16">
        <f t="shared" si="418"/>
        <v>0</v>
      </c>
      <c r="G163" s="17"/>
      <c r="H163" s="18"/>
      <c r="I163" s="19">
        <f t="shared" si="419"/>
        <v>0</v>
      </c>
      <c r="J163" s="16"/>
      <c r="K163" s="18">
        <v>1</v>
      </c>
      <c r="L163" s="19">
        <f t="shared" si="420"/>
        <v>0.31278</v>
      </c>
      <c r="M163" s="16"/>
      <c r="N163" s="18"/>
      <c r="O163" s="19">
        <f t="shared" si="421"/>
        <v>0</v>
      </c>
      <c r="P163" s="16"/>
      <c r="Q163" s="18"/>
      <c r="R163" s="19">
        <f t="shared" si="422"/>
        <v>0</v>
      </c>
      <c r="S163" s="20">
        <f t="shared" si="423"/>
        <v>1</v>
      </c>
      <c r="T163" s="19">
        <f t="shared" si="424"/>
        <v>0.31278</v>
      </c>
      <c r="U163" s="21">
        <f t="shared" si="425"/>
        <v>-1</v>
      </c>
      <c r="V163" s="19">
        <f t="shared" si="426"/>
        <v>-0.31278</v>
      </c>
      <c r="X163" s="29"/>
    </row>
    <row r="164" spans="1:24">
      <c r="A164" s="26" t="s">
        <v>13</v>
      </c>
      <c r="B164" s="26" t="s">
        <v>128</v>
      </c>
      <c r="C164" s="30">
        <v>40.1</v>
      </c>
      <c r="D164" s="27">
        <v>9.5</v>
      </c>
      <c r="E164" s="28"/>
      <c r="F164" s="16">
        <f t="shared" si="418"/>
        <v>0</v>
      </c>
      <c r="G164" s="17"/>
      <c r="H164" s="18"/>
      <c r="I164" s="19">
        <f t="shared" si="419"/>
        <v>0</v>
      </c>
      <c r="J164" s="16"/>
      <c r="K164" s="18">
        <v>1</v>
      </c>
      <c r="L164" s="19">
        <f t="shared" si="420"/>
        <v>0.38095000000000001</v>
      </c>
      <c r="M164" s="16"/>
      <c r="N164" s="18"/>
      <c r="O164" s="19">
        <f t="shared" si="421"/>
        <v>0</v>
      </c>
      <c r="P164" s="16"/>
      <c r="Q164" s="18"/>
      <c r="R164" s="19">
        <f t="shared" si="422"/>
        <v>0</v>
      </c>
      <c r="S164" s="20">
        <f t="shared" si="423"/>
        <v>1</v>
      </c>
      <c r="T164" s="19">
        <f t="shared" si="424"/>
        <v>0.38095000000000001</v>
      </c>
      <c r="U164" s="21">
        <f t="shared" si="425"/>
        <v>-1</v>
      </c>
      <c r="V164" s="19">
        <f t="shared" si="426"/>
        <v>-0.38095000000000001</v>
      </c>
      <c r="X164" s="29"/>
    </row>
    <row r="165" spans="1:24">
      <c r="A165" s="26" t="s">
        <v>13</v>
      </c>
      <c r="B165" s="26" t="s">
        <v>128</v>
      </c>
      <c r="C165" s="30">
        <v>40.1</v>
      </c>
      <c r="D165" s="27">
        <v>9.8000000000000007</v>
      </c>
      <c r="E165" s="28"/>
      <c r="F165" s="16">
        <f t="shared" si="418"/>
        <v>0</v>
      </c>
      <c r="G165" s="17"/>
      <c r="H165" s="18"/>
      <c r="I165" s="19">
        <f t="shared" si="419"/>
        <v>0</v>
      </c>
      <c r="J165" s="16"/>
      <c r="K165" s="18">
        <v>1</v>
      </c>
      <c r="L165" s="19">
        <f t="shared" si="420"/>
        <v>0.39298</v>
      </c>
      <c r="M165" s="16"/>
      <c r="N165" s="18"/>
      <c r="O165" s="19">
        <f t="shared" si="421"/>
        <v>0</v>
      </c>
      <c r="P165" s="16"/>
      <c r="Q165" s="18"/>
      <c r="R165" s="19">
        <f t="shared" si="422"/>
        <v>0</v>
      </c>
      <c r="S165" s="20">
        <f t="shared" si="423"/>
        <v>1</v>
      </c>
      <c r="T165" s="19">
        <f t="shared" si="424"/>
        <v>0.39298</v>
      </c>
      <c r="U165" s="21">
        <f t="shared" si="425"/>
        <v>-1</v>
      </c>
      <c r="V165" s="19">
        <f t="shared" si="426"/>
        <v>-0.39298</v>
      </c>
      <c r="X165" s="29"/>
    </row>
    <row r="166" spans="1:24">
      <c r="A166" s="26" t="s">
        <v>13</v>
      </c>
      <c r="B166" s="26" t="s">
        <v>128</v>
      </c>
      <c r="C166" s="30">
        <v>40.1</v>
      </c>
      <c r="D166" s="27"/>
      <c r="E166" s="28"/>
      <c r="F166" s="16">
        <f t="shared" si="409"/>
        <v>0</v>
      </c>
      <c r="G166" s="17"/>
      <c r="H166" s="18"/>
      <c r="I166" s="19">
        <f t="shared" si="410"/>
        <v>0</v>
      </c>
      <c r="J166" s="16"/>
      <c r="K166" s="18"/>
      <c r="L166" s="19">
        <f t="shared" si="411"/>
        <v>0</v>
      </c>
      <c r="M166" s="16"/>
      <c r="N166" s="18"/>
      <c r="O166" s="19">
        <f t="shared" si="412"/>
        <v>0</v>
      </c>
      <c r="P166" s="16"/>
      <c r="Q166" s="18"/>
      <c r="R166" s="19">
        <f t="shared" si="413"/>
        <v>0</v>
      </c>
      <c r="S166" s="20">
        <f t="shared" si="414"/>
        <v>0</v>
      </c>
      <c r="T166" s="19">
        <f t="shared" si="415"/>
        <v>0</v>
      </c>
      <c r="U166" s="21">
        <f t="shared" si="416"/>
        <v>0</v>
      </c>
      <c r="V166" s="19">
        <f t="shared" si="417"/>
        <v>0</v>
      </c>
      <c r="X166" s="29"/>
    </row>
    <row r="167" spans="1:24">
      <c r="A167" s="36"/>
      <c r="B167" s="36"/>
      <c r="C167" s="37"/>
      <c r="D167" s="38"/>
      <c r="E167" s="31">
        <f t="shared" ref="E167:F167" si="427">SUM(E155:E166)</f>
        <v>47</v>
      </c>
      <c r="F167" s="38">
        <f t="shared" si="427"/>
        <v>12.671600000000002</v>
      </c>
      <c r="G167" s="17"/>
      <c r="H167" s="31">
        <f t="shared" ref="H167" si="428">SUM(H155:H166)</f>
        <v>24</v>
      </c>
      <c r="I167" s="38">
        <f t="shared" ref="I167" si="429">SUM(I155:I166)</f>
        <v>6.5844200000000015</v>
      </c>
      <c r="J167" s="16"/>
      <c r="K167" s="31">
        <f t="shared" ref="K167" si="430">SUM(K155:K166)</f>
        <v>23</v>
      </c>
      <c r="L167" s="38">
        <f t="shared" ref="L167" si="431">SUM(L155:L166)</f>
        <v>6.7889300000000006</v>
      </c>
      <c r="M167" s="16"/>
      <c r="N167" s="31">
        <f t="shared" ref="N167" si="432">SUM(N155:N166)</f>
        <v>0</v>
      </c>
      <c r="O167" s="38">
        <f t="shared" ref="O167" si="433">SUM(O155:O166)</f>
        <v>0</v>
      </c>
      <c r="P167" s="16"/>
      <c r="Q167" s="31">
        <f t="shared" ref="Q167" si="434">SUM(Q155:Q166)</f>
        <v>0</v>
      </c>
      <c r="R167" s="38">
        <f t="shared" ref="R167" si="435">SUM(R155:R166)</f>
        <v>0</v>
      </c>
      <c r="S167" s="31">
        <f t="shared" ref="S167" si="436">SUM(S155:S166)</f>
        <v>47</v>
      </c>
      <c r="T167" s="38">
        <f t="shared" ref="T167" si="437">SUM(T155:T166)</f>
        <v>13.373349999999999</v>
      </c>
      <c r="U167" s="31">
        <f t="shared" ref="U167" si="438">SUM(U155:U166)</f>
        <v>0</v>
      </c>
      <c r="V167" s="38">
        <f t="shared" ref="V167" si="439">SUM(V155:V166)</f>
        <v>-0.70174999999999965</v>
      </c>
      <c r="X167" s="29"/>
    </row>
    <row r="168" spans="1:24">
      <c r="A168" s="26" t="s">
        <v>13</v>
      </c>
      <c r="B168" s="26" t="s">
        <v>34</v>
      </c>
      <c r="C168" s="30">
        <v>5.76</v>
      </c>
      <c r="D168" s="27"/>
      <c r="E168" s="28"/>
      <c r="F168" s="16">
        <f t="shared" ref="F168:F171" si="440">(C168*D168*E168/1000)</f>
        <v>0</v>
      </c>
      <c r="G168" s="17" t="s">
        <v>88</v>
      </c>
      <c r="H168" s="18"/>
      <c r="I168" s="19">
        <f t="shared" ref="I168:I171" si="441">(C168*D168*H168/1000)</f>
        <v>0</v>
      </c>
      <c r="J168" s="16"/>
      <c r="K168" s="18"/>
      <c r="L168" s="19">
        <f t="shared" ref="L168:L171" si="442">(C168*D168*K168/1000)</f>
        <v>0</v>
      </c>
      <c r="M168" s="16"/>
      <c r="N168" s="18"/>
      <c r="O168" s="19">
        <f t="shared" ref="O168:O171" si="443">(C168*D168*N168/1000)</f>
        <v>0</v>
      </c>
      <c r="P168" s="16"/>
      <c r="Q168" s="18"/>
      <c r="R168" s="19">
        <f t="shared" ref="R168:R171" si="444">(C168*D168*Q168/1000)</f>
        <v>0</v>
      </c>
      <c r="S168" s="20">
        <f t="shared" ref="S168:S171" si="445">+H168+K168+Q168+N168</f>
        <v>0</v>
      </c>
      <c r="T168" s="19">
        <f t="shared" ref="T168:T171" si="446">+I168+L168+R168+O168</f>
        <v>0</v>
      </c>
      <c r="U168" s="21">
        <f t="shared" ref="U168:U171" si="447">E168-S168</f>
        <v>0</v>
      </c>
      <c r="V168" s="19">
        <f t="shared" ref="V168:V171" si="448">F168-T168</f>
        <v>0</v>
      </c>
      <c r="X168" s="29"/>
    </row>
    <row r="169" spans="1:24">
      <c r="A169" s="26" t="s">
        <v>13</v>
      </c>
      <c r="B169" s="26" t="s">
        <v>34</v>
      </c>
      <c r="C169" s="30">
        <v>5.76</v>
      </c>
      <c r="D169" s="27">
        <v>11</v>
      </c>
      <c r="E169" s="28">
        <f>37+5</f>
        <v>42</v>
      </c>
      <c r="F169" s="16">
        <f t="shared" si="440"/>
        <v>2.6611199999999999</v>
      </c>
      <c r="G169" s="17" t="s">
        <v>172</v>
      </c>
      <c r="H169" s="18">
        <v>36</v>
      </c>
      <c r="I169" s="19">
        <f t="shared" si="441"/>
        <v>2.2809599999999999</v>
      </c>
      <c r="J169" s="16"/>
      <c r="K169" s="18"/>
      <c r="L169" s="19">
        <f t="shared" si="442"/>
        <v>0</v>
      </c>
      <c r="M169" s="16"/>
      <c r="N169" s="18"/>
      <c r="O169" s="19">
        <f t="shared" si="443"/>
        <v>0</v>
      </c>
      <c r="P169" s="16"/>
      <c r="Q169" s="18"/>
      <c r="R169" s="19">
        <f t="shared" si="444"/>
        <v>0</v>
      </c>
      <c r="S169" s="20">
        <f t="shared" si="445"/>
        <v>36</v>
      </c>
      <c r="T169" s="19">
        <f t="shared" si="446"/>
        <v>2.2809599999999999</v>
      </c>
      <c r="U169" s="21">
        <f t="shared" si="447"/>
        <v>6</v>
      </c>
      <c r="V169" s="19">
        <f t="shared" si="448"/>
        <v>0.38016000000000005</v>
      </c>
      <c r="X169" s="29"/>
    </row>
    <row r="170" spans="1:24">
      <c r="A170" s="26" t="s">
        <v>13</v>
      </c>
      <c r="B170" s="26" t="s">
        <v>34</v>
      </c>
      <c r="C170" s="30">
        <v>5.76</v>
      </c>
      <c r="D170" s="27">
        <v>11.5</v>
      </c>
      <c r="E170" s="28">
        <v>36</v>
      </c>
      <c r="F170" s="16">
        <f t="shared" si="440"/>
        <v>2.3846400000000001</v>
      </c>
      <c r="G170" s="17"/>
      <c r="H170" s="18">
        <v>30</v>
      </c>
      <c r="I170" s="19">
        <f t="shared" si="441"/>
        <v>1.9871999999999999</v>
      </c>
      <c r="J170" s="16"/>
      <c r="K170" s="18"/>
      <c r="L170" s="19">
        <f t="shared" si="442"/>
        <v>0</v>
      </c>
      <c r="M170" s="16"/>
      <c r="N170" s="18"/>
      <c r="O170" s="19">
        <f t="shared" si="443"/>
        <v>0</v>
      </c>
      <c r="P170" s="16"/>
      <c r="Q170" s="18"/>
      <c r="R170" s="19">
        <f t="shared" si="444"/>
        <v>0</v>
      </c>
      <c r="S170" s="20">
        <f t="shared" si="445"/>
        <v>30</v>
      </c>
      <c r="T170" s="19">
        <f t="shared" si="446"/>
        <v>1.9871999999999999</v>
      </c>
      <c r="U170" s="21">
        <f t="shared" si="447"/>
        <v>6</v>
      </c>
      <c r="V170" s="19">
        <f t="shared" si="448"/>
        <v>0.39744000000000024</v>
      </c>
      <c r="X170" s="29"/>
    </row>
    <row r="171" spans="1:24">
      <c r="A171" s="26" t="s">
        <v>13</v>
      </c>
      <c r="B171" s="26" t="s">
        <v>34</v>
      </c>
      <c r="C171" s="30">
        <v>5.76</v>
      </c>
      <c r="D171" s="27">
        <v>12</v>
      </c>
      <c r="E171" s="28">
        <f>58+41</f>
        <v>99</v>
      </c>
      <c r="F171" s="16">
        <f t="shared" si="440"/>
        <v>6.8428800000000001</v>
      </c>
      <c r="G171" s="17"/>
      <c r="H171" s="18">
        <f>12+69+11+12+7</f>
        <v>111</v>
      </c>
      <c r="I171" s="19">
        <f t="shared" si="441"/>
        <v>7.6723200000000009</v>
      </c>
      <c r="J171" s="16"/>
      <c r="K171" s="18"/>
      <c r="L171" s="19">
        <f t="shared" si="442"/>
        <v>0</v>
      </c>
      <c r="M171" s="16"/>
      <c r="N171" s="18"/>
      <c r="O171" s="19">
        <f t="shared" si="443"/>
        <v>0</v>
      </c>
      <c r="P171" s="16"/>
      <c r="Q171" s="18"/>
      <c r="R171" s="19">
        <f t="shared" si="444"/>
        <v>0</v>
      </c>
      <c r="S171" s="20">
        <f t="shared" si="445"/>
        <v>111</v>
      </c>
      <c r="T171" s="19">
        <f t="shared" si="446"/>
        <v>7.6723200000000009</v>
      </c>
      <c r="U171" s="21">
        <f t="shared" si="447"/>
        <v>-12</v>
      </c>
      <c r="V171" s="19">
        <f t="shared" si="448"/>
        <v>-0.82944000000000084</v>
      </c>
      <c r="X171" s="29"/>
    </row>
    <row r="172" spans="1:24">
      <c r="A172" s="36"/>
      <c r="B172" s="36"/>
      <c r="C172" s="37"/>
      <c r="D172" s="38"/>
      <c r="E172" s="31">
        <f t="shared" ref="E172:F172" si="449">SUM(E168:E171)</f>
        <v>177</v>
      </c>
      <c r="F172" s="38">
        <f t="shared" si="449"/>
        <v>11.888639999999999</v>
      </c>
      <c r="G172" s="16"/>
      <c r="H172" s="31">
        <f t="shared" ref="H172" si="450">SUM(H168:H171)</f>
        <v>177</v>
      </c>
      <c r="I172" s="38">
        <f>SUM(I168:I171)</f>
        <v>11.940480000000001</v>
      </c>
      <c r="J172" s="16"/>
      <c r="K172" s="31">
        <f t="shared" ref="K172" si="451">SUM(K168:K171)</f>
        <v>0</v>
      </c>
      <c r="L172" s="38">
        <f t="shared" ref="L172" si="452">SUM(L168:L171)</f>
        <v>0</v>
      </c>
      <c r="M172" s="16"/>
      <c r="N172" s="31">
        <f t="shared" ref="N172" si="453">SUM(N168:N171)</f>
        <v>0</v>
      </c>
      <c r="O172" s="38">
        <f t="shared" ref="O172" si="454">SUM(O168:O171)</f>
        <v>0</v>
      </c>
      <c r="P172" s="16"/>
      <c r="Q172" s="31">
        <f t="shared" ref="Q172" si="455">SUM(Q168:Q171)</f>
        <v>0</v>
      </c>
      <c r="R172" s="38">
        <f t="shared" ref="R172" si="456">SUM(R168:R171)</f>
        <v>0</v>
      </c>
      <c r="S172" s="31">
        <f t="shared" ref="S172" si="457">SUM(S168:S171)</f>
        <v>177</v>
      </c>
      <c r="T172" s="38">
        <f t="shared" ref="T172" si="458">SUM(T168:T171)</f>
        <v>11.940480000000001</v>
      </c>
      <c r="U172" s="31">
        <f t="shared" ref="U172" si="459">SUM(U168:U171)</f>
        <v>0</v>
      </c>
      <c r="V172" s="38">
        <f t="shared" ref="V172" si="460">SUM(V168:V171)</f>
        <v>-5.1840000000000552E-2</v>
      </c>
      <c r="X172" s="29"/>
    </row>
    <row r="173" spans="1:24">
      <c r="A173" s="26" t="s">
        <v>13</v>
      </c>
      <c r="B173" s="26" t="s">
        <v>35</v>
      </c>
      <c r="C173" s="30">
        <v>6.85</v>
      </c>
      <c r="D173" s="27">
        <v>10.5</v>
      </c>
      <c r="E173" s="28">
        <v>40</v>
      </c>
      <c r="F173" s="16">
        <f t="shared" ref="F173:F177" si="461">(C173*D173*E173/1000)</f>
        <v>2.8769999999999998</v>
      </c>
      <c r="G173" s="16" t="s">
        <v>93</v>
      </c>
      <c r="H173" s="18"/>
      <c r="I173" s="19">
        <f t="shared" ref="I173:I177" si="462">(C173*D173*H173/1000)</f>
        <v>0</v>
      </c>
      <c r="J173" s="16" t="s">
        <v>93</v>
      </c>
      <c r="K173" s="18">
        <v>41</v>
      </c>
      <c r="L173" s="19">
        <f t="shared" ref="L173:L177" si="463">(C173*D173*K173/1000)</f>
        <v>2.9489249999999996</v>
      </c>
      <c r="M173" s="16"/>
      <c r="N173" s="18"/>
      <c r="O173" s="19">
        <f t="shared" ref="O173:O177" si="464">(C173*D173*N173/1000)</f>
        <v>0</v>
      </c>
      <c r="P173" s="16"/>
      <c r="Q173" s="18"/>
      <c r="R173" s="19">
        <f t="shared" ref="R173:R177" si="465">(C173*D173*Q173/1000)</f>
        <v>0</v>
      </c>
      <c r="S173" s="20">
        <f t="shared" ref="S173:S177" si="466">+H173+K173+Q173+N173</f>
        <v>41</v>
      </c>
      <c r="T173" s="19">
        <f t="shared" ref="T173:T177" si="467">+I173+L173+R173+O173</f>
        <v>2.9489249999999996</v>
      </c>
      <c r="U173" s="21">
        <f t="shared" ref="U173:U177" si="468">E173-S173</f>
        <v>-1</v>
      </c>
      <c r="V173" s="19">
        <f t="shared" ref="V173:V177" si="469">F173-T173</f>
        <v>-7.1924999999999795E-2</v>
      </c>
      <c r="X173" s="29"/>
    </row>
    <row r="174" spans="1:24">
      <c r="A174" s="26" t="s">
        <v>13</v>
      </c>
      <c r="B174" s="26" t="s">
        <v>35</v>
      </c>
      <c r="C174" s="30">
        <v>6.85</v>
      </c>
      <c r="D174" s="27">
        <v>11</v>
      </c>
      <c r="E174" s="28">
        <v>45</v>
      </c>
      <c r="F174" s="16">
        <f t="shared" si="461"/>
        <v>3.3907499999999997</v>
      </c>
      <c r="G174" s="16" t="s">
        <v>168</v>
      </c>
      <c r="H174" s="18">
        <v>32</v>
      </c>
      <c r="I174" s="19">
        <f t="shared" si="462"/>
        <v>2.4112</v>
      </c>
      <c r="J174" s="16" t="s">
        <v>169</v>
      </c>
      <c r="K174" s="18">
        <v>13</v>
      </c>
      <c r="L174" s="19">
        <f t="shared" si="463"/>
        <v>0.97954999999999992</v>
      </c>
      <c r="M174" s="16"/>
      <c r="N174" s="18"/>
      <c r="O174" s="19">
        <f t="shared" si="464"/>
        <v>0</v>
      </c>
      <c r="P174" s="16"/>
      <c r="Q174" s="18"/>
      <c r="R174" s="19">
        <f t="shared" si="465"/>
        <v>0</v>
      </c>
      <c r="S174" s="20">
        <f t="shared" si="466"/>
        <v>45</v>
      </c>
      <c r="T174" s="19">
        <f t="shared" si="467"/>
        <v>3.3907499999999997</v>
      </c>
      <c r="U174" s="21">
        <f t="shared" si="468"/>
        <v>0</v>
      </c>
      <c r="V174" s="19">
        <f t="shared" si="469"/>
        <v>0</v>
      </c>
      <c r="X174" s="29"/>
    </row>
    <row r="175" spans="1:24">
      <c r="A175" s="26" t="s">
        <v>13</v>
      </c>
      <c r="B175" s="26" t="s">
        <v>35</v>
      </c>
      <c r="C175" s="30">
        <v>6.85</v>
      </c>
      <c r="D175" s="27">
        <v>11.5</v>
      </c>
      <c r="E175" s="28">
        <v>32</v>
      </c>
      <c r="F175" s="16">
        <f t="shared" si="461"/>
        <v>2.5207999999999999</v>
      </c>
      <c r="G175" s="17"/>
      <c r="H175" s="18">
        <v>27</v>
      </c>
      <c r="I175" s="19">
        <f t="shared" si="462"/>
        <v>2.1269249999999995</v>
      </c>
      <c r="J175" s="16"/>
      <c r="K175" s="18">
        <v>4</v>
      </c>
      <c r="L175" s="19">
        <f t="shared" si="463"/>
        <v>0.31509999999999999</v>
      </c>
      <c r="M175" s="16"/>
      <c r="N175" s="18"/>
      <c r="O175" s="19">
        <f t="shared" si="464"/>
        <v>0</v>
      </c>
      <c r="P175" s="16"/>
      <c r="Q175" s="18"/>
      <c r="R175" s="19">
        <f t="shared" si="465"/>
        <v>0</v>
      </c>
      <c r="S175" s="20">
        <f t="shared" si="466"/>
        <v>31</v>
      </c>
      <c r="T175" s="19">
        <f t="shared" si="467"/>
        <v>2.4420249999999997</v>
      </c>
      <c r="U175" s="21">
        <f t="shared" si="468"/>
        <v>1</v>
      </c>
      <c r="V175" s="19">
        <f t="shared" si="469"/>
        <v>7.8775000000000261E-2</v>
      </c>
      <c r="X175" s="29"/>
    </row>
    <row r="176" spans="1:24">
      <c r="A176" s="26" t="s">
        <v>13</v>
      </c>
      <c r="B176" s="26" t="s">
        <v>35</v>
      </c>
      <c r="C176" s="30">
        <v>6.85</v>
      </c>
      <c r="D176" s="27">
        <v>12</v>
      </c>
      <c r="E176" s="28">
        <v>122</v>
      </c>
      <c r="F176" s="16">
        <f t="shared" ref="F176" si="470">(C176*D176*E176/1000)</f>
        <v>10.028399999999998</v>
      </c>
      <c r="G176" s="17"/>
      <c r="H176" s="18">
        <v>81</v>
      </c>
      <c r="I176" s="19">
        <f t="shared" ref="I176" si="471">(C176*D176*H176/1000)</f>
        <v>6.658199999999999</v>
      </c>
      <c r="J176" s="16"/>
      <c r="K176" s="18">
        <f>22+19</f>
        <v>41</v>
      </c>
      <c r="L176" s="19">
        <f t="shared" ref="L176" si="472">(C176*D176*K176/1000)</f>
        <v>3.3701999999999992</v>
      </c>
      <c r="M176" s="16"/>
      <c r="N176" s="18"/>
      <c r="O176" s="19">
        <f t="shared" ref="O176" si="473">(C176*D176*N176/1000)</f>
        <v>0</v>
      </c>
      <c r="P176" s="16"/>
      <c r="Q176" s="18"/>
      <c r="R176" s="19">
        <f t="shared" ref="R176" si="474">(C176*D176*Q176/1000)</f>
        <v>0</v>
      </c>
      <c r="S176" s="20">
        <f t="shared" ref="S176" si="475">+H176+K176+Q176+N176</f>
        <v>122</v>
      </c>
      <c r="T176" s="19">
        <f t="shared" ref="T176" si="476">+I176+L176+R176+O176</f>
        <v>10.028399999999998</v>
      </c>
      <c r="U176" s="21">
        <f t="shared" ref="U176" si="477">E176-S176</f>
        <v>0</v>
      </c>
      <c r="V176" s="19">
        <f t="shared" ref="V176" si="478">F176-T176</f>
        <v>0</v>
      </c>
      <c r="X176" s="29"/>
    </row>
    <row r="177" spans="1:24">
      <c r="A177" s="26" t="s">
        <v>13</v>
      </c>
      <c r="B177" s="26" t="s">
        <v>35</v>
      </c>
      <c r="C177" s="30">
        <v>6.85</v>
      </c>
      <c r="D177" s="27">
        <v>9.6</v>
      </c>
      <c r="E177" s="28"/>
      <c r="F177" s="16">
        <f t="shared" si="461"/>
        <v>0</v>
      </c>
      <c r="G177" s="17"/>
      <c r="H177" s="18"/>
      <c r="I177" s="19">
        <f t="shared" si="462"/>
        <v>0</v>
      </c>
      <c r="J177" s="16"/>
      <c r="K177" s="18">
        <v>1</v>
      </c>
      <c r="L177" s="19">
        <f t="shared" si="463"/>
        <v>6.5759999999999985E-2</v>
      </c>
      <c r="M177" s="16"/>
      <c r="N177" s="18"/>
      <c r="O177" s="19">
        <f t="shared" si="464"/>
        <v>0</v>
      </c>
      <c r="P177" s="16"/>
      <c r="Q177" s="18"/>
      <c r="R177" s="19">
        <f t="shared" si="465"/>
        <v>0</v>
      </c>
      <c r="S177" s="20">
        <f t="shared" si="466"/>
        <v>1</v>
      </c>
      <c r="T177" s="19">
        <f t="shared" si="467"/>
        <v>6.5759999999999985E-2</v>
      </c>
      <c r="U177" s="21">
        <f t="shared" si="468"/>
        <v>-1</v>
      </c>
      <c r="V177" s="19">
        <f t="shared" si="469"/>
        <v>-6.5759999999999985E-2</v>
      </c>
      <c r="X177" s="29"/>
    </row>
    <row r="178" spans="1:24">
      <c r="A178" s="36"/>
      <c r="B178" s="36"/>
      <c r="C178" s="37"/>
      <c r="D178" s="38"/>
      <c r="E178" s="31">
        <f t="shared" ref="E178:F178" si="479">SUM(E173:E177)</f>
        <v>239</v>
      </c>
      <c r="F178" s="38">
        <f t="shared" si="479"/>
        <v>18.816949999999999</v>
      </c>
      <c r="G178" s="17"/>
      <c r="H178" s="31">
        <f t="shared" ref="H178" si="480">SUM(H173:H177)</f>
        <v>140</v>
      </c>
      <c r="I178" s="38">
        <f t="shared" ref="I178" si="481">SUM(I173:I177)</f>
        <v>11.196324999999998</v>
      </c>
      <c r="J178" s="16"/>
      <c r="K178" s="31">
        <f t="shared" ref="K178" si="482">SUM(K173:K177)</f>
        <v>100</v>
      </c>
      <c r="L178" s="38">
        <f t="shared" ref="L178" si="483">SUM(L173:L177)</f>
        <v>7.6795349999999987</v>
      </c>
      <c r="M178" s="16"/>
      <c r="N178" s="31">
        <f t="shared" ref="N178" si="484">SUM(N173:N177)</f>
        <v>0</v>
      </c>
      <c r="O178" s="38">
        <f t="shared" ref="O178" si="485">SUM(O173:O177)</f>
        <v>0</v>
      </c>
      <c r="P178" s="16"/>
      <c r="Q178" s="31">
        <f t="shared" ref="Q178" si="486">SUM(Q173:Q177)</f>
        <v>0</v>
      </c>
      <c r="R178" s="38">
        <f t="shared" ref="R178" si="487">SUM(R173:R177)</f>
        <v>0</v>
      </c>
      <c r="S178" s="31">
        <f t="shared" ref="S178" si="488">SUM(S173:S177)</f>
        <v>240</v>
      </c>
      <c r="T178" s="38">
        <f t="shared" ref="T178" si="489">SUM(T173:T177)</f>
        <v>18.875859999999999</v>
      </c>
      <c r="U178" s="31">
        <f t="shared" ref="U178" si="490">SUM(U173:U177)</f>
        <v>-1</v>
      </c>
      <c r="V178" s="38">
        <f t="shared" ref="V178" si="491">SUM(V173:V177)</f>
        <v>-5.8909999999999518E-2</v>
      </c>
      <c r="X178" s="29"/>
    </row>
    <row r="179" spans="1:24">
      <c r="A179" s="26" t="s">
        <v>13</v>
      </c>
      <c r="B179" s="26" t="s">
        <v>57</v>
      </c>
      <c r="C179" s="30">
        <v>6.17</v>
      </c>
      <c r="D179" s="27">
        <v>11.5</v>
      </c>
      <c r="E179" s="28">
        <v>12</v>
      </c>
      <c r="F179" s="16">
        <f>(C179*D179*E179/1000)</f>
        <v>0.85145999999999999</v>
      </c>
      <c r="G179" s="17" t="s">
        <v>111</v>
      </c>
      <c r="H179" s="18">
        <v>12</v>
      </c>
      <c r="I179" s="19">
        <f>(C179*D179*H179/1000)</f>
        <v>0.85145999999999999</v>
      </c>
      <c r="J179" s="16"/>
      <c r="K179" s="18"/>
      <c r="L179" s="19">
        <f>(C179*D179*K179/1000)</f>
        <v>0</v>
      </c>
      <c r="M179" s="16"/>
      <c r="N179" s="18"/>
      <c r="O179" s="19">
        <f>(C179*D179*N179/1000)</f>
        <v>0</v>
      </c>
      <c r="P179" s="16"/>
      <c r="Q179" s="18"/>
      <c r="R179" s="19">
        <f>(C179*D179*Q179/1000)</f>
        <v>0</v>
      </c>
      <c r="S179" s="20">
        <f>+H179+K179+Q179+N179</f>
        <v>12</v>
      </c>
      <c r="T179" s="19">
        <f>+I179+L179+R179+O179</f>
        <v>0.85145999999999999</v>
      </c>
      <c r="U179" s="21">
        <f>E179-S179</f>
        <v>0</v>
      </c>
      <c r="V179" s="19">
        <f>F179-T179</f>
        <v>0</v>
      </c>
      <c r="X179" s="29"/>
    </row>
    <row r="180" spans="1:24">
      <c r="A180" s="36"/>
      <c r="B180" s="36"/>
      <c r="C180" s="37"/>
      <c r="D180" s="38"/>
      <c r="E180" s="31">
        <f t="shared" ref="E180:F180" si="492">SUM(E179)</f>
        <v>12</v>
      </c>
      <c r="F180" s="38">
        <f t="shared" si="492"/>
        <v>0.85145999999999999</v>
      </c>
      <c r="G180" s="17" t="s">
        <v>178</v>
      </c>
      <c r="H180" s="31">
        <f t="shared" ref="H180" si="493">SUM(H179)</f>
        <v>12</v>
      </c>
      <c r="I180" s="38">
        <f t="shared" ref="I180" si="494">SUM(I179)</f>
        <v>0.85145999999999999</v>
      </c>
      <c r="J180" s="16"/>
      <c r="K180" s="31">
        <f t="shared" ref="K180" si="495">SUM(K179)</f>
        <v>0</v>
      </c>
      <c r="L180" s="38">
        <f t="shared" ref="L180" si="496">SUM(L179)</f>
        <v>0</v>
      </c>
      <c r="M180" s="16"/>
      <c r="N180" s="31">
        <f t="shared" ref="N180" si="497">SUM(N179)</f>
        <v>0</v>
      </c>
      <c r="O180" s="38">
        <f t="shared" ref="O180" si="498">SUM(O179)</f>
        <v>0</v>
      </c>
      <c r="P180" s="16"/>
      <c r="Q180" s="31">
        <f t="shared" ref="Q180" si="499">SUM(Q179)</f>
        <v>0</v>
      </c>
      <c r="R180" s="38">
        <f t="shared" ref="R180" si="500">SUM(R179)</f>
        <v>0</v>
      </c>
      <c r="S180" s="31">
        <f t="shared" ref="S180" si="501">SUM(S179)</f>
        <v>12</v>
      </c>
      <c r="T180" s="38">
        <f t="shared" ref="T180" si="502">SUM(T179)</f>
        <v>0.85145999999999999</v>
      </c>
      <c r="U180" s="31">
        <f t="shared" ref="U180" si="503">SUM(U179)</f>
        <v>0</v>
      </c>
      <c r="V180" s="38">
        <f t="shared" ref="V180" si="504">SUM(V179)</f>
        <v>0</v>
      </c>
      <c r="X180" s="29"/>
    </row>
    <row r="181" spans="1:24">
      <c r="A181" s="26" t="s">
        <v>13</v>
      </c>
      <c r="B181" s="26" t="s">
        <v>58</v>
      </c>
      <c r="C181" s="30">
        <v>7.34</v>
      </c>
      <c r="D181" s="27">
        <v>10</v>
      </c>
      <c r="E181" s="28">
        <v>44</v>
      </c>
      <c r="F181" s="16">
        <f t="shared" ref="F181:F183" si="505">(C181*D181*E181/1000)</f>
        <v>3.2296000000000005</v>
      </c>
      <c r="G181" s="17" t="s">
        <v>111</v>
      </c>
      <c r="H181" s="18">
        <v>44</v>
      </c>
      <c r="I181" s="19">
        <f t="shared" ref="I181:I183" si="506">(C181*D181*H181/1000)</f>
        <v>3.2296000000000005</v>
      </c>
      <c r="J181" s="16"/>
      <c r="K181" s="18"/>
      <c r="L181" s="19">
        <f t="shared" ref="L181:L183" si="507">(C181*D181*K181/1000)</f>
        <v>0</v>
      </c>
      <c r="M181" s="16"/>
      <c r="N181" s="18"/>
      <c r="O181" s="19">
        <f t="shared" ref="O181:O183" si="508">(C181*D181*N181/1000)</f>
        <v>0</v>
      </c>
      <c r="P181" s="16"/>
      <c r="Q181" s="18"/>
      <c r="R181" s="19">
        <f t="shared" ref="R181:R183" si="509">(C181*D181*Q181/1000)</f>
        <v>0</v>
      </c>
      <c r="S181" s="20">
        <f t="shared" ref="S181:S183" si="510">+H181+K181+Q181+N181</f>
        <v>44</v>
      </c>
      <c r="T181" s="19">
        <f t="shared" ref="T181:T183" si="511">+I181+L181+R181+O181</f>
        <v>3.2296000000000005</v>
      </c>
      <c r="U181" s="21">
        <f t="shared" ref="U181:U183" si="512">E181-S181</f>
        <v>0</v>
      </c>
      <c r="V181" s="19">
        <f t="shared" ref="V181:V183" si="513">F181-T181</f>
        <v>0</v>
      </c>
      <c r="X181" s="29"/>
    </row>
    <row r="182" spans="1:24">
      <c r="A182" s="26" t="s">
        <v>13</v>
      </c>
      <c r="B182" s="26" t="s">
        <v>58</v>
      </c>
      <c r="C182" s="30">
        <v>7.34</v>
      </c>
      <c r="D182" s="27">
        <v>11.5</v>
      </c>
      <c r="E182" s="28">
        <v>62</v>
      </c>
      <c r="F182" s="16">
        <f t="shared" si="505"/>
        <v>5.2334199999999997</v>
      </c>
      <c r="G182" s="17" t="s">
        <v>178</v>
      </c>
      <c r="H182" s="18">
        <f>19+43</f>
        <v>62</v>
      </c>
      <c r="I182" s="19">
        <f t="shared" si="506"/>
        <v>5.2334199999999997</v>
      </c>
      <c r="J182" s="16"/>
      <c r="K182" s="18"/>
      <c r="L182" s="19">
        <f t="shared" si="507"/>
        <v>0</v>
      </c>
      <c r="M182" s="16"/>
      <c r="N182" s="18"/>
      <c r="O182" s="19">
        <f t="shared" si="508"/>
        <v>0</v>
      </c>
      <c r="P182" s="16"/>
      <c r="Q182" s="18"/>
      <c r="R182" s="19">
        <f t="shared" si="509"/>
        <v>0</v>
      </c>
      <c r="S182" s="20">
        <f t="shared" si="510"/>
        <v>62</v>
      </c>
      <c r="T182" s="19">
        <f t="shared" si="511"/>
        <v>5.2334199999999997</v>
      </c>
      <c r="U182" s="21">
        <f t="shared" si="512"/>
        <v>0</v>
      </c>
      <c r="V182" s="19">
        <f t="shared" si="513"/>
        <v>0</v>
      </c>
      <c r="X182" s="29"/>
    </row>
    <row r="183" spans="1:24">
      <c r="A183" s="26" t="s">
        <v>13</v>
      </c>
      <c r="B183" s="26" t="s">
        <v>58</v>
      </c>
      <c r="C183" s="30">
        <v>7.34</v>
      </c>
      <c r="D183" s="27">
        <v>12</v>
      </c>
      <c r="E183" s="28">
        <v>75</v>
      </c>
      <c r="F183" s="16">
        <f t="shared" si="505"/>
        <v>6.6059999999999999</v>
      </c>
      <c r="G183" s="17"/>
      <c r="H183" s="18">
        <v>75</v>
      </c>
      <c r="I183" s="19">
        <f t="shared" si="506"/>
        <v>6.6059999999999999</v>
      </c>
      <c r="J183" s="16"/>
      <c r="K183" s="18"/>
      <c r="L183" s="19">
        <f t="shared" si="507"/>
        <v>0</v>
      </c>
      <c r="M183" s="16"/>
      <c r="N183" s="18"/>
      <c r="O183" s="19">
        <f t="shared" si="508"/>
        <v>0</v>
      </c>
      <c r="P183" s="16"/>
      <c r="Q183" s="18"/>
      <c r="R183" s="19">
        <f t="shared" si="509"/>
        <v>0</v>
      </c>
      <c r="S183" s="20">
        <f t="shared" si="510"/>
        <v>75</v>
      </c>
      <c r="T183" s="19">
        <f t="shared" si="511"/>
        <v>6.6059999999999999</v>
      </c>
      <c r="U183" s="21">
        <f t="shared" si="512"/>
        <v>0</v>
      </c>
      <c r="V183" s="19">
        <f t="shared" si="513"/>
        <v>0</v>
      </c>
      <c r="X183" s="29"/>
    </row>
    <row r="184" spans="1:24">
      <c r="A184" s="36"/>
      <c r="B184" s="36"/>
      <c r="C184" s="37"/>
      <c r="D184" s="38"/>
      <c r="E184" s="31">
        <f t="shared" ref="E184:F184" si="514">SUM(E181:E183)</f>
        <v>181</v>
      </c>
      <c r="F184" s="38">
        <f t="shared" si="514"/>
        <v>15.06902</v>
      </c>
      <c r="G184" s="17"/>
      <c r="H184" s="31">
        <f t="shared" ref="H184" si="515">SUM(H181:H183)</f>
        <v>181</v>
      </c>
      <c r="I184" s="38">
        <f t="shared" ref="I184" si="516">SUM(I181:I183)</f>
        <v>15.06902</v>
      </c>
      <c r="J184" s="16"/>
      <c r="K184" s="31">
        <f t="shared" ref="K184" si="517">SUM(K181:K183)</f>
        <v>0</v>
      </c>
      <c r="L184" s="38">
        <f t="shared" ref="L184" si="518">SUM(L181:L183)</f>
        <v>0</v>
      </c>
      <c r="M184" s="16"/>
      <c r="N184" s="31">
        <f t="shared" ref="N184" si="519">SUM(N181:N183)</f>
        <v>0</v>
      </c>
      <c r="O184" s="38">
        <f t="shared" ref="O184" si="520">SUM(O181:O183)</f>
        <v>0</v>
      </c>
      <c r="P184" s="16"/>
      <c r="Q184" s="31">
        <f t="shared" ref="Q184" si="521">SUM(Q181:Q183)</f>
        <v>0</v>
      </c>
      <c r="R184" s="38">
        <f t="shared" ref="R184" si="522">SUM(R181:R183)</f>
        <v>0</v>
      </c>
      <c r="S184" s="31">
        <f t="shared" ref="S184" si="523">SUM(S181:S183)</f>
        <v>181</v>
      </c>
      <c r="T184" s="38">
        <f t="shared" ref="T184" si="524">SUM(T181:T183)</f>
        <v>15.06902</v>
      </c>
      <c r="U184" s="31">
        <f t="shared" ref="U184" si="525">SUM(U181:U183)</f>
        <v>0</v>
      </c>
      <c r="V184" s="38">
        <f t="shared" ref="V184" si="526">SUM(V181:V183)</f>
        <v>0</v>
      </c>
      <c r="X184" s="29"/>
    </row>
    <row r="185" spans="1:24">
      <c r="A185" s="26" t="s">
        <v>13</v>
      </c>
      <c r="B185" s="26" t="s">
        <v>26</v>
      </c>
      <c r="C185" s="30">
        <v>8.3000000000000007</v>
      </c>
      <c r="D185" s="27">
        <v>9.5</v>
      </c>
      <c r="E185" s="28">
        <v>37</v>
      </c>
      <c r="F185" s="16">
        <f t="shared" ref="F185:F191" si="527">(C185*D185*E185/1000)</f>
        <v>2.9174500000000001</v>
      </c>
      <c r="G185" s="17" t="s">
        <v>88</v>
      </c>
      <c r="H185" s="18">
        <v>12</v>
      </c>
      <c r="I185" s="19">
        <f t="shared" ref="I185:I191" si="528">(C185*D185*H185/1000)</f>
        <v>0.94620000000000004</v>
      </c>
      <c r="J185" s="16" t="s">
        <v>88</v>
      </c>
      <c r="K185" s="18">
        <v>17</v>
      </c>
      <c r="L185" s="19">
        <f t="shared" ref="L185:L191" si="529">(C185*D185*K185/1000)</f>
        <v>1.3404500000000001</v>
      </c>
      <c r="M185" s="17" t="s">
        <v>93</v>
      </c>
      <c r="N185" s="18"/>
      <c r="O185" s="19">
        <f t="shared" ref="O185:O191" si="530">(C185*D185*N185/1000)</f>
        <v>0</v>
      </c>
      <c r="P185" s="16"/>
      <c r="Q185" s="18"/>
      <c r="R185" s="19">
        <f t="shared" ref="R185:R191" si="531">(C185*D185*Q185/1000)</f>
        <v>0</v>
      </c>
      <c r="S185" s="20">
        <f t="shared" ref="S185:S191" si="532">+H185+K185+Q185+N185</f>
        <v>29</v>
      </c>
      <c r="T185" s="19">
        <f t="shared" ref="T185:T191" si="533">+I185+L185+R185+O185</f>
        <v>2.2866500000000003</v>
      </c>
      <c r="U185" s="21">
        <f t="shared" ref="U185:U191" si="534">E185-S185</f>
        <v>8</v>
      </c>
      <c r="V185" s="19">
        <f t="shared" ref="V185:V191" si="535">F185-T185</f>
        <v>0.63079999999999981</v>
      </c>
      <c r="X185" s="29"/>
    </row>
    <row r="186" spans="1:24">
      <c r="A186" s="26" t="s">
        <v>13</v>
      </c>
      <c r="B186" s="26" t="s">
        <v>26</v>
      </c>
      <c r="C186" s="30">
        <v>8.3000000000000007</v>
      </c>
      <c r="D186" s="27">
        <v>10</v>
      </c>
      <c r="E186" s="28">
        <v>36</v>
      </c>
      <c r="F186" s="16">
        <f t="shared" si="527"/>
        <v>2.988</v>
      </c>
      <c r="G186" s="17" t="s">
        <v>168</v>
      </c>
      <c r="H186" s="18">
        <v>22</v>
      </c>
      <c r="I186" s="19">
        <f t="shared" si="528"/>
        <v>1.8260000000000001</v>
      </c>
      <c r="J186" s="16" t="s">
        <v>169</v>
      </c>
      <c r="K186" s="18">
        <f>9+7</f>
        <v>16</v>
      </c>
      <c r="L186" s="19">
        <f t="shared" si="529"/>
        <v>1.3280000000000001</v>
      </c>
      <c r="M186" s="17" t="s">
        <v>170</v>
      </c>
      <c r="N186" s="18"/>
      <c r="O186" s="19">
        <f t="shared" si="530"/>
        <v>0</v>
      </c>
      <c r="P186" s="16"/>
      <c r="Q186" s="18"/>
      <c r="R186" s="19">
        <f t="shared" si="531"/>
        <v>0</v>
      </c>
      <c r="S186" s="20">
        <f t="shared" si="532"/>
        <v>38</v>
      </c>
      <c r="T186" s="19">
        <f t="shared" si="533"/>
        <v>3.1539999999999999</v>
      </c>
      <c r="U186" s="21">
        <f t="shared" si="534"/>
        <v>-2</v>
      </c>
      <c r="V186" s="19">
        <f t="shared" si="535"/>
        <v>-0.16599999999999993</v>
      </c>
      <c r="X186" s="29"/>
    </row>
    <row r="187" spans="1:24">
      <c r="A187" s="26" t="s">
        <v>13</v>
      </c>
      <c r="B187" s="26" t="s">
        <v>26</v>
      </c>
      <c r="C187" s="30">
        <v>8.3000000000000007</v>
      </c>
      <c r="D187" s="27">
        <v>10.199999999999999</v>
      </c>
      <c r="E187" s="28">
        <v>27</v>
      </c>
      <c r="F187" s="16">
        <f t="shared" si="527"/>
        <v>2.2858199999999997</v>
      </c>
      <c r="G187" s="17"/>
      <c r="H187" s="18">
        <v>16</v>
      </c>
      <c r="I187" s="19">
        <f t="shared" si="528"/>
        <v>1.35456</v>
      </c>
      <c r="J187" s="16"/>
      <c r="K187" s="18">
        <v>10</v>
      </c>
      <c r="L187" s="19">
        <f t="shared" si="529"/>
        <v>0.84659999999999991</v>
      </c>
      <c r="M187" s="16"/>
      <c r="N187" s="18"/>
      <c r="O187" s="19">
        <f t="shared" si="530"/>
        <v>0</v>
      </c>
      <c r="P187" s="16"/>
      <c r="Q187" s="18"/>
      <c r="R187" s="19">
        <f t="shared" si="531"/>
        <v>0</v>
      </c>
      <c r="S187" s="20">
        <f t="shared" si="532"/>
        <v>26</v>
      </c>
      <c r="T187" s="19">
        <f t="shared" si="533"/>
        <v>2.2011599999999998</v>
      </c>
      <c r="U187" s="21">
        <f t="shared" si="534"/>
        <v>1</v>
      </c>
      <c r="V187" s="19">
        <f t="shared" si="535"/>
        <v>8.4659999999999958E-2</v>
      </c>
      <c r="X187" s="29"/>
    </row>
    <row r="188" spans="1:24">
      <c r="A188" s="26" t="s">
        <v>13</v>
      </c>
      <c r="B188" s="26" t="s">
        <v>26</v>
      </c>
      <c r="C188" s="30">
        <v>8.3000000000000007</v>
      </c>
      <c r="D188" s="27">
        <v>10.5</v>
      </c>
      <c r="E188" s="28">
        <v>29</v>
      </c>
      <c r="F188" s="16">
        <f t="shared" si="527"/>
        <v>2.5273500000000002</v>
      </c>
      <c r="G188" s="17"/>
      <c r="H188" s="18">
        <v>30</v>
      </c>
      <c r="I188" s="19">
        <f t="shared" si="528"/>
        <v>2.6145</v>
      </c>
      <c r="J188" s="16"/>
      <c r="K188" s="18"/>
      <c r="L188" s="19">
        <f t="shared" si="529"/>
        <v>0</v>
      </c>
      <c r="M188" s="16"/>
      <c r="N188" s="18"/>
      <c r="O188" s="19">
        <f t="shared" si="530"/>
        <v>0</v>
      </c>
      <c r="P188" s="16"/>
      <c r="Q188" s="18"/>
      <c r="R188" s="19">
        <f t="shared" si="531"/>
        <v>0</v>
      </c>
      <c r="S188" s="20">
        <f t="shared" si="532"/>
        <v>30</v>
      </c>
      <c r="T188" s="19">
        <f t="shared" si="533"/>
        <v>2.6145</v>
      </c>
      <c r="U188" s="21">
        <f t="shared" si="534"/>
        <v>-1</v>
      </c>
      <c r="V188" s="19">
        <f t="shared" si="535"/>
        <v>-8.7149999999999839E-2</v>
      </c>
      <c r="X188" s="29"/>
    </row>
    <row r="189" spans="1:24">
      <c r="A189" s="26" t="s">
        <v>13</v>
      </c>
      <c r="B189" s="26" t="s">
        <v>26</v>
      </c>
      <c r="C189" s="30">
        <v>8.3000000000000007</v>
      </c>
      <c r="D189" s="27">
        <v>11</v>
      </c>
      <c r="E189" s="28">
        <v>46</v>
      </c>
      <c r="F189" s="16">
        <f t="shared" si="527"/>
        <v>4.1997999999999998</v>
      </c>
      <c r="G189" s="17"/>
      <c r="H189" s="18">
        <v>1</v>
      </c>
      <c r="I189" s="19">
        <f t="shared" si="528"/>
        <v>9.1300000000000006E-2</v>
      </c>
      <c r="J189" s="16"/>
      <c r="K189" s="18">
        <v>32</v>
      </c>
      <c r="L189" s="19">
        <f t="shared" si="529"/>
        <v>2.9216000000000002</v>
      </c>
      <c r="M189" s="16"/>
      <c r="N189" s="18">
        <v>13</v>
      </c>
      <c r="O189" s="19">
        <f t="shared" si="530"/>
        <v>1.1869000000000001</v>
      </c>
      <c r="P189" s="16"/>
      <c r="Q189" s="18"/>
      <c r="R189" s="19">
        <f t="shared" si="531"/>
        <v>0</v>
      </c>
      <c r="S189" s="20">
        <f t="shared" si="532"/>
        <v>46</v>
      </c>
      <c r="T189" s="19">
        <f t="shared" si="533"/>
        <v>4.1997999999999998</v>
      </c>
      <c r="U189" s="21">
        <f t="shared" si="534"/>
        <v>0</v>
      </c>
      <c r="V189" s="19">
        <f t="shared" si="535"/>
        <v>0</v>
      </c>
      <c r="X189" s="29"/>
    </row>
    <row r="190" spans="1:24">
      <c r="A190" s="26" t="s">
        <v>13</v>
      </c>
      <c r="B190" s="26" t="s">
        <v>26</v>
      </c>
      <c r="C190" s="30">
        <v>8.3000000000000007</v>
      </c>
      <c r="D190" s="27">
        <v>11.5</v>
      </c>
      <c r="E190" s="28">
        <v>46</v>
      </c>
      <c r="F190" s="16">
        <f t="shared" si="527"/>
        <v>4.3906999999999998</v>
      </c>
      <c r="G190" s="17"/>
      <c r="H190" s="18">
        <v>31</v>
      </c>
      <c r="I190" s="19">
        <f t="shared" si="528"/>
        <v>2.9589500000000002</v>
      </c>
      <c r="J190" s="16"/>
      <c r="K190" s="18">
        <v>15</v>
      </c>
      <c r="L190" s="19">
        <f t="shared" si="529"/>
        <v>1.4317500000000001</v>
      </c>
      <c r="M190" s="16"/>
      <c r="N190" s="18">
        <v>6</v>
      </c>
      <c r="O190" s="19">
        <f t="shared" si="530"/>
        <v>0.5727000000000001</v>
      </c>
      <c r="P190" s="16"/>
      <c r="Q190" s="18"/>
      <c r="R190" s="19">
        <f t="shared" si="531"/>
        <v>0</v>
      </c>
      <c r="S190" s="20">
        <f t="shared" si="532"/>
        <v>52</v>
      </c>
      <c r="T190" s="19">
        <f t="shared" si="533"/>
        <v>4.9634000000000009</v>
      </c>
      <c r="U190" s="21">
        <f t="shared" si="534"/>
        <v>-6</v>
      </c>
      <c r="V190" s="19">
        <f t="shared" si="535"/>
        <v>-0.5727000000000011</v>
      </c>
    </row>
    <row r="191" spans="1:24">
      <c r="A191" s="26" t="s">
        <v>13</v>
      </c>
      <c r="B191" s="26" t="s">
        <v>26</v>
      </c>
      <c r="C191" s="30">
        <v>8.3000000000000007</v>
      </c>
      <c r="D191" s="27">
        <v>12</v>
      </c>
      <c r="E191" s="28">
        <v>100</v>
      </c>
      <c r="F191" s="16">
        <f t="shared" si="527"/>
        <v>9.9600000000000009</v>
      </c>
      <c r="G191" s="17"/>
      <c r="H191" s="18">
        <v>69</v>
      </c>
      <c r="I191" s="19">
        <f t="shared" si="528"/>
        <v>6.8724000000000007</v>
      </c>
      <c r="J191" s="16"/>
      <c r="K191" s="18">
        <v>21</v>
      </c>
      <c r="L191" s="19">
        <f t="shared" si="529"/>
        <v>2.0916000000000006</v>
      </c>
      <c r="M191" s="16"/>
      <c r="N191" s="18">
        <v>10</v>
      </c>
      <c r="O191" s="19">
        <f t="shared" si="530"/>
        <v>0.99600000000000011</v>
      </c>
      <c r="P191" s="16"/>
      <c r="Q191" s="18"/>
      <c r="R191" s="19">
        <f t="shared" si="531"/>
        <v>0</v>
      </c>
      <c r="S191" s="20">
        <f t="shared" si="532"/>
        <v>100</v>
      </c>
      <c r="T191" s="19">
        <f t="shared" si="533"/>
        <v>9.9600000000000026</v>
      </c>
      <c r="U191" s="21">
        <f t="shared" si="534"/>
        <v>0</v>
      </c>
      <c r="V191" s="19">
        <f t="shared" si="535"/>
        <v>0</v>
      </c>
    </row>
    <row r="192" spans="1:24">
      <c r="A192" s="36"/>
      <c r="B192" s="36"/>
      <c r="C192" s="37"/>
      <c r="D192" s="38"/>
      <c r="E192" s="31">
        <f t="shared" ref="E192:F192" si="536">SUM(E185:E191)</f>
        <v>321</v>
      </c>
      <c r="F192" s="38">
        <f t="shared" si="536"/>
        <v>29.269120000000001</v>
      </c>
      <c r="G192" s="26"/>
      <c r="H192" s="31">
        <f t="shared" ref="H192" si="537">SUM(H185:H191)</f>
        <v>181</v>
      </c>
      <c r="I192" s="38">
        <f t="shared" ref="I192" si="538">SUM(I185:I191)</f>
        <v>16.663910000000001</v>
      </c>
      <c r="J192" s="26"/>
      <c r="K192" s="31">
        <f t="shared" ref="K192" si="539">SUM(K185:K191)</f>
        <v>111</v>
      </c>
      <c r="L192" s="38">
        <f t="shared" ref="L192" si="540">SUM(L185:L191)</f>
        <v>9.9600000000000009</v>
      </c>
      <c r="M192" s="26"/>
      <c r="N192" s="31">
        <f t="shared" ref="N192" si="541">SUM(N185:N191)</f>
        <v>29</v>
      </c>
      <c r="O192" s="38">
        <f t="shared" ref="O192" si="542">SUM(O185:O191)</f>
        <v>2.7556000000000003</v>
      </c>
      <c r="P192" s="26"/>
      <c r="Q192" s="31">
        <f t="shared" ref="Q192" si="543">SUM(Q185:Q191)</f>
        <v>0</v>
      </c>
      <c r="R192" s="38">
        <f t="shared" ref="R192" si="544">SUM(R185:R191)</f>
        <v>0</v>
      </c>
      <c r="S192" s="31">
        <f t="shared" ref="S192" si="545">SUM(S185:S191)</f>
        <v>321</v>
      </c>
      <c r="T192" s="38">
        <f t="shared" ref="T192" si="546">SUM(T185:T191)</f>
        <v>29.379510000000003</v>
      </c>
      <c r="U192" s="31">
        <f t="shared" ref="U192" si="547">SUM(U185:U191)</f>
        <v>0</v>
      </c>
      <c r="V192" s="38">
        <f t="shared" ref="V192" si="548">SUM(V185:V191)</f>
        <v>-0.1103900000000011</v>
      </c>
    </row>
    <row r="193" spans="1:22">
      <c r="A193" s="26" t="s">
        <v>13</v>
      </c>
      <c r="B193" s="26" t="s">
        <v>37</v>
      </c>
      <c r="C193" s="30">
        <v>9.61</v>
      </c>
      <c r="D193" s="27">
        <v>8.1</v>
      </c>
      <c r="E193" s="28">
        <v>32</v>
      </c>
      <c r="F193" s="16">
        <f t="shared" ref="F193:F196" si="549">(C193*D193*E193/1000)</f>
        <v>2.4909119999999998</v>
      </c>
      <c r="G193" s="17" t="s">
        <v>88</v>
      </c>
      <c r="H193" s="18"/>
      <c r="I193" s="19">
        <f t="shared" ref="I193:I196" si="550">(C193*D193*H193/1000)</f>
        <v>0</v>
      </c>
      <c r="J193" s="16" t="s">
        <v>93</v>
      </c>
      <c r="K193" s="18">
        <v>19</v>
      </c>
      <c r="L193" s="19">
        <f t="shared" ref="L193:L196" si="551">(C193*D193*K193/1000)</f>
        <v>1.4789789999999998</v>
      </c>
      <c r="M193" s="16" t="s">
        <v>88</v>
      </c>
      <c r="N193" s="18">
        <v>13</v>
      </c>
      <c r="O193" s="19">
        <f t="shared" ref="O193:O196" si="552">(C193*D193*N193/1000)</f>
        <v>1.011933</v>
      </c>
      <c r="P193" s="17" t="s">
        <v>89</v>
      </c>
      <c r="Q193" s="18"/>
      <c r="R193" s="19">
        <f t="shared" ref="R193:R196" si="553">(C193*D193*Q193/1000)</f>
        <v>0</v>
      </c>
      <c r="S193" s="20">
        <f t="shared" ref="S193:S196" si="554">+H193+K193+Q193+N193</f>
        <v>32</v>
      </c>
      <c r="T193" s="19">
        <f t="shared" ref="T193:T196" si="555">+I193+L193+R193+O193</f>
        <v>2.4909119999999998</v>
      </c>
      <c r="U193" s="21">
        <f t="shared" ref="U193:U196" si="556">E193-S193</f>
        <v>0</v>
      </c>
      <c r="V193" s="19">
        <f t="shared" ref="V193:V196" si="557">F193-T193</f>
        <v>0</v>
      </c>
    </row>
    <row r="194" spans="1:22">
      <c r="A194" s="26" t="s">
        <v>13</v>
      </c>
      <c r="B194" s="26" t="s">
        <v>37</v>
      </c>
      <c r="C194" s="30">
        <v>9.61</v>
      </c>
      <c r="D194" s="27">
        <v>10</v>
      </c>
      <c r="E194" s="28">
        <v>22</v>
      </c>
      <c r="F194" s="16">
        <f t="shared" si="549"/>
        <v>2.1141999999999999</v>
      </c>
      <c r="G194" s="17" t="s">
        <v>168</v>
      </c>
      <c r="H194" s="18"/>
      <c r="I194" s="19">
        <f t="shared" si="550"/>
        <v>0</v>
      </c>
      <c r="J194" s="16" t="s">
        <v>169</v>
      </c>
      <c r="K194" s="18">
        <v>17</v>
      </c>
      <c r="L194" s="19">
        <f t="shared" si="551"/>
        <v>1.6336999999999997</v>
      </c>
      <c r="M194" s="16" t="s">
        <v>170</v>
      </c>
      <c r="N194" s="18"/>
      <c r="O194" s="19">
        <f t="shared" si="552"/>
        <v>0</v>
      </c>
      <c r="P194" s="17" t="s">
        <v>170</v>
      </c>
      <c r="Q194" s="18"/>
      <c r="R194" s="19">
        <f t="shared" si="553"/>
        <v>0</v>
      </c>
      <c r="S194" s="20">
        <f t="shared" si="554"/>
        <v>17</v>
      </c>
      <c r="T194" s="19">
        <f t="shared" si="555"/>
        <v>1.6336999999999997</v>
      </c>
      <c r="U194" s="21">
        <f t="shared" si="556"/>
        <v>5</v>
      </c>
      <c r="V194" s="19">
        <f t="shared" si="557"/>
        <v>0.48050000000000015</v>
      </c>
    </row>
    <row r="195" spans="1:22">
      <c r="A195" s="26" t="s">
        <v>13</v>
      </c>
      <c r="B195" s="26" t="s">
        <v>37</v>
      </c>
      <c r="C195" s="30">
        <v>9.61</v>
      </c>
      <c r="D195" s="27">
        <v>11</v>
      </c>
      <c r="E195" s="28">
        <v>78</v>
      </c>
      <c r="F195" s="16">
        <f t="shared" si="549"/>
        <v>8.245379999999999</v>
      </c>
      <c r="G195" s="17"/>
      <c r="H195" s="18">
        <v>21</v>
      </c>
      <c r="I195" s="19">
        <f t="shared" si="550"/>
        <v>2.21991</v>
      </c>
      <c r="J195" s="16"/>
      <c r="K195" s="18">
        <f>15+25</f>
        <v>40</v>
      </c>
      <c r="L195" s="19">
        <f t="shared" si="551"/>
        <v>4.2283999999999997</v>
      </c>
      <c r="M195" s="16"/>
      <c r="N195" s="18">
        <v>22</v>
      </c>
      <c r="O195" s="19">
        <f t="shared" si="552"/>
        <v>2.3256199999999998</v>
      </c>
      <c r="P195" s="16"/>
      <c r="Q195" s="18"/>
      <c r="R195" s="19">
        <f t="shared" si="553"/>
        <v>0</v>
      </c>
      <c r="S195" s="20">
        <f t="shared" si="554"/>
        <v>83</v>
      </c>
      <c r="T195" s="19">
        <f t="shared" si="555"/>
        <v>8.77393</v>
      </c>
      <c r="U195" s="21">
        <f t="shared" si="556"/>
        <v>-5</v>
      </c>
      <c r="V195" s="19">
        <f t="shared" si="557"/>
        <v>-0.52855000000000096</v>
      </c>
    </row>
    <row r="196" spans="1:22">
      <c r="A196" s="26" t="s">
        <v>13</v>
      </c>
      <c r="B196" s="26" t="s">
        <v>37</v>
      </c>
      <c r="C196" s="30">
        <v>9.61</v>
      </c>
      <c r="D196" s="27">
        <v>12</v>
      </c>
      <c r="E196" s="28">
        <v>26</v>
      </c>
      <c r="F196" s="16">
        <f t="shared" si="549"/>
        <v>2.9983199999999997</v>
      </c>
      <c r="G196" s="17"/>
      <c r="H196" s="18">
        <v>18</v>
      </c>
      <c r="I196" s="19">
        <f t="shared" si="550"/>
        <v>2.0757599999999998</v>
      </c>
      <c r="J196" s="16"/>
      <c r="K196" s="18"/>
      <c r="L196" s="19">
        <f t="shared" si="551"/>
        <v>0</v>
      </c>
      <c r="M196" s="16"/>
      <c r="N196" s="18"/>
      <c r="O196" s="19">
        <f t="shared" si="552"/>
        <v>0</v>
      </c>
      <c r="P196" s="16"/>
      <c r="Q196" s="18">
        <v>8</v>
      </c>
      <c r="R196" s="19">
        <f t="shared" si="553"/>
        <v>0.92255999999999994</v>
      </c>
      <c r="S196" s="20">
        <f t="shared" si="554"/>
        <v>26</v>
      </c>
      <c r="T196" s="19">
        <f t="shared" si="555"/>
        <v>2.9983199999999997</v>
      </c>
      <c r="U196" s="21">
        <f t="shared" si="556"/>
        <v>0</v>
      </c>
      <c r="V196" s="19">
        <f t="shared" si="557"/>
        <v>0</v>
      </c>
    </row>
    <row r="197" spans="1:22">
      <c r="A197" s="36"/>
      <c r="B197" s="36"/>
      <c r="C197" s="37"/>
      <c r="D197" s="38"/>
      <c r="E197" s="31">
        <f>SUM(E193:E196)</f>
        <v>158</v>
      </c>
      <c r="F197" s="38">
        <f>SUM(F193:F196)</f>
        <v>15.848811999999999</v>
      </c>
      <c r="G197" s="26"/>
      <c r="H197" s="31">
        <f>SUM(H193:H196)</f>
        <v>39</v>
      </c>
      <c r="I197" s="38">
        <f>SUM(I193:I196)</f>
        <v>4.2956699999999994</v>
      </c>
      <c r="J197" s="26"/>
      <c r="K197" s="31">
        <f>SUM(K193:K196)</f>
        <v>76</v>
      </c>
      <c r="L197" s="38">
        <f>SUM(L193:L196)</f>
        <v>7.3410789999999988</v>
      </c>
      <c r="M197" s="26"/>
      <c r="N197" s="31">
        <f>SUM(N193:N196)</f>
        <v>35</v>
      </c>
      <c r="O197" s="38">
        <f>SUM(O193:O196)</f>
        <v>3.3375529999999998</v>
      </c>
      <c r="P197" s="26"/>
      <c r="Q197" s="31">
        <f t="shared" ref="Q197:V197" si="558">SUM(Q193:Q196)</f>
        <v>8</v>
      </c>
      <c r="R197" s="38">
        <f t="shared" si="558"/>
        <v>0.92255999999999994</v>
      </c>
      <c r="S197" s="31">
        <f t="shared" si="558"/>
        <v>158</v>
      </c>
      <c r="T197" s="38">
        <f t="shared" si="558"/>
        <v>15.896861999999999</v>
      </c>
      <c r="U197" s="31">
        <f t="shared" si="558"/>
        <v>0</v>
      </c>
      <c r="V197" s="38">
        <f t="shared" si="558"/>
        <v>-4.8050000000000814E-2</v>
      </c>
    </row>
    <row r="198" spans="1:22">
      <c r="A198" s="33"/>
      <c r="B198" s="33"/>
      <c r="C198" s="34"/>
      <c r="D198" s="34"/>
      <c r="E198" s="34">
        <f>SUM(E6:E197)/2</f>
        <v>2783</v>
      </c>
      <c r="F198" s="35">
        <f>SUM(F6:F197)/2</f>
        <v>344.96126799999996</v>
      </c>
      <c r="G198" s="26"/>
      <c r="H198" s="34">
        <f>SUM(H6:H197)/2</f>
        <v>1641</v>
      </c>
      <c r="I198" s="35">
        <f>SUM(I6:I197)/2</f>
        <v>208.77715700000002</v>
      </c>
      <c r="J198" s="26"/>
      <c r="K198" s="34">
        <f>SUM(K6:K197)/2</f>
        <v>710</v>
      </c>
      <c r="L198" s="35">
        <f>SUM(L6:L197)/2</f>
        <v>91.075240000000008</v>
      </c>
      <c r="M198" s="26"/>
      <c r="N198" s="34">
        <f>SUM(N6:N197)/2</f>
        <v>361</v>
      </c>
      <c r="O198" s="35">
        <f>SUM(O6:O197)/2</f>
        <v>39.985192999999988</v>
      </c>
      <c r="P198" s="26"/>
      <c r="Q198" s="34">
        <f t="shared" ref="Q198:V198" si="559">SUM(Q6:Q197)/2</f>
        <v>73</v>
      </c>
      <c r="R198" s="35">
        <f t="shared" si="559"/>
        <v>8.1931899999999995</v>
      </c>
      <c r="S198" s="34">
        <f t="shared" si="559"/>
        <v>2785</v>
      </c>
      <c r="T198" s="35">
        <f t="shared" si="559"/>
        <v>348.03077999999994</v>
      </c>
      <c r="U198" s="34">
        <f t="shared" si="559"/>
        <v>-2</v>
      </c>
      <c r="V198" s="35">
        <f t="shared" si="559"/>
        <v>-3.0695120000000014</v>
      </c>
    </row>
    <row r="213" spans="18:18">
      <c r="R213" s="29"/>
    </row>
  </sheetData>
  <mergeCells count="11">
    <mergeCell ref="J4:L4"/>
    <mergeCell ref="P4:R4"/>
    <mergeCell ref="S4:T4"/>
    <mergeCell ref="U4:V4"/>
    <mergeCell ref="M4:O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5"/>
  <dimension ref="A1:X167"/>
  <sheetViews>
    <sheetView zoomScale="75" zoomScaleNormal="75" workbookViewId="0">
      <pane ySplit="5" topLeftCell="A30" activePane="bottomLeft" state="frozen"/>
      <selection pane="bottomLeft" activeCell="P42" sqref="P42:P4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138</v>
      </c>
      <c r="H1" s="144"/>
      <c r="I1" s="145" t="s">
        <v>137</v>
      </c>
      <c r="J1" s="144"/>
      <c r="K1" s="3"/>
      <c r="L1" s="4"/>
      <c r="M1" s="4"/>
      <c r="N1" s="3"/>
      <c r="O1" s="4"/>
      <c r="P1" s="146" t="str">
        <f>+F2</f>
        <v>LOI-138  07.05.23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147</v>
      </c>
      <c r="B2" s="8"/>
      <c r="C2" s="9"/>
      <c r="D2" s="9"/>
      <c r="E2" s="10"/>
      <c r="F2" s="146" t="s">
        <v>136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LOI-138  07.05.23</v>
      </c>
      <c r="V2" s="146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26">
        <v>9.26</v>
      </c>
      <c r="D6" s="27">
        <v>9.4</v>
      </c>
      <c r="E6" s="28">
        <v>87</v>
      </c>
      <c r="F6" s="16">
        <f t="shared" ref="F6:F10" si="0">(C6*D6*E6/1000)</f>
        <v>7.5728279999999994</v>
      </c>
      <c r="G6" s="17" t="s">
        <v>93</v>
      </c>
      <c r="H6" s="18">
        <v>84</v>
      </c>
      <c r="I6" s="19">
        <f t="shared" ref="I6:I10" si="1">(C6*D6*H6/1000)</f>
        <v>7.3116959999999995</v>
      </c>
      <c r="J6" s="16"/>
      <c r="K6" s="18"/>
      <c r="L6" s="19">
        <f t="shared" ref="L6:L10" si="2">(C6*D6*K6/1000)</f>
        <v>0</v>
      </c>
      <c r="M6" s="16"/>
      <c r="N6" s="18"/>
      <c r="O6" s="19">
        <f t="shared" ref="O6:O10" si="3">(C6*D6*N6/1000)</f>
        <v>0</v>
      </c>
      <c r="P6" s="16"/>
      <c r="Q6" s="18"/>
      <c r="R6" s="19">
        <f t="shared" ref="R6:R10" si="4">(C6*D6*Q6/1000)</f>
        <v>0</v>
      </c>
      <c r="S6" s="20">
        <f t="shared" ref="S6:S10" si="5">+H6+K6+Q6+N6</f>
        <v>84</v>
      </c>
      <c r="T6" s="19">
        <f t="shared" ref="T6:T10" si="6">+I6+L6+R6+O6</f>
        <v>7.3116959999999995</v>
      </c>
      <c r="U6" s="21">
        <f t="shared" ref="U6:U10" si="7">E6-S6</f>
        <v>3</v>
      </c>
      <c r="V6" s="19">
        <f t="shared" ref="V6:V10" si="8">F6-T6</f>
        <v>0.26113199999999992</v>
      </c>
      <c r="X6" s="29"/>
    </row>
    <row r="7" spans="1:24">
      <c r="A7" s="26" t="s">
        <v>13</v>
      </c>
      <c r="B7" s="26" t="s">
        <v>45</v>
      </c>
      <c r="C7" s="26">
        <v>9.26</v>
      </c>
      <c r="D7" s="27">
        <v>12</v>
      </c>
      <c r="E7" s="28">
        <v>36</v>
      </c>
      <c r="F7" s="16">
        <f t="shared" ref="F7:F9" si="9">(C7*D7*E7/1000)</f>
        <v>4.0003200000000003</v>
      </c>
      <c r="G7" s="17" t="s">
        <v>167</v>
      </c>
      <c r="H7" s="18">
        <v>33</v>
      </c>
      <c r="I7" s="19">
        <f t="shared" ref="I7:I9" si="10">(C7*D7*H7/1000)</f>
        <v>3.66696</v>
      </c>
      <c r="J7" s="16"/>
      <c r="K7" s="18"/>
      <c r="L7" s="19">
        <f t="shared" ref="L7:L9" si="11">(C7*D7*K7/1000)</f>
        <v>0</v>
      </c>
      <c r="M7" s="16"/>
      <c r="N7" s="18"/>
      <c r="O7" s="19">
        <f t="shared" ref="O7:O9" si="12">(C7*D7*N7/1000)</f>
        <v>0</v>
      </c>
      <c r="P7" s="16"/>
      <c r="Q7" s="18"/>
      <c r="R7" s="19">
        <f t="shared" ref="R7:R9" si="13">(C7*D7*Q7/1000)</f>
        <v>0</v>
      </c>
      <c r="S7" s="20">
        <f t="shared" ref="S7:S9" si="14">+H7+K7+Q7+N7</f>
        <v>33</v>
      </c>
      <c r="T7" s="19">
        <f t="shared" ref="T7:T9" si="15">+I7+L7+R7+O7</f>
        <v>3.66696</v>
      </c>
      <c r="U7" s="21">
        <f t="shared" ref="U7:U9" si="16">E7-S7</f>
        <v>3</v>
      </c>
      <c r="V7" s="19">
        <f t="shared" ref="V7:V9" si="17">F7-T7</f>
        <v>0.33336000000000032</v>
      </c>
      <c r="X7" s="29"/>
    </row>
    <row r="8" spans="1:24">
      <c r="A8" s="26" t="s">
        <v>13</v>
      </c>
      <c r="B8" s="26" t="s">
        <v>45</v>
      </c>
      <c r="C8" s="26">
        <v>9.26</v>
      </c>
      <c r="D8" s="27">
        <v>6.1</v>
      </c>
      <c r="E8" s="28"/>
      <c r="F8" s="16">
        <f t="shared" si="9"/>
        <v>0</v>
      </c>
      <c r="G8" s="17"/>
      <c r="H8" s="18">
        <v>2</v>
      </c>
      <c r="I8" s="19">
        <f t="shared" si="10"/>
        <v>0.11297199999999999</v>
      </c>
      <c r="J8" s="16"/>
      <c r="K8" s="18"/>
      <c r="L8" s="19">
        <f t="shared" si="11"/>
        <v>0</v>
      </c>
      <c r="M8" s="16"/>
      <c r="N8" s="18"/>
      <c r="O8" s="19">
        <f t="shared" si="12"/>
        <v>0</v>
      </c>
      <c r="P8" s="16"/>
      <c r="Q8" s="18"/>
      <c r="R8" s="19">
        <f t="shared" si="13"/>
        <v>0</v>
      </c>
      <c r="S8" s="20">
        <f t="shared" si="14"/>
        <v>2</v>
      </c>
      <c r="T8" s="19">
        <f t="shared" si="15"/>
        <v>0.11297199999999999</v>
      </c>
      <c r="U8" s="21">
        <f t="shared" si="16"/>
        <v>-2</v>
      </c>
      <c r="V8" s="19">
        <f t="shared" si="17"/>
        <v>-0.11297199999999999</v>
      </c>
      <c r="X8" s="29"/>
    </row>
    <row r="9" spans="1:24">
      <c r="A9" s="26" t="s">
        <v>13</v>
      </c>
      <c r="B9" s="26" t="s">
        <v>45</v>
      </c>
      <c r="C9" s="26">
        <v>9.26</v>
      </c>
      <c r="D9" s="27">
        <v>11</v>
      </c>
      <c r="E9" s="28"/>
      <c r="F9" s="16">
        <f t="shared" si="9"/>
        <v>0</v>
      </c>
      <c r="G9" s="17"/>
      <c r="H9" s="18">
        <v>2</v>
      </c>
      <c r="I9" s="19">
        <f t="shared" si="10"/>
        <v>0.20372000000000001</v>
      </c>
      <c r="J9" s="16"/>
      <c r="K9" s="18"/>
      <c r="L9" s="19">
        <f t="shared" si="11"/>
        <v>0</v>
      </c>
      <c r="M9" s="16"/>
      <c r="N9" s="18"/>
      <c r="O9" s="19">
        <f t="shared" si="12"/>
        <v>0</v>
      </c>
      <c r="P9" s="16"/>
      <c r="Q9" s="18"/>
      <c r="R9" s="19">
        <f t="shared" si="13"/>
        <v>0</v>
      </c>
      <c r="S9" s="20">
        <f t="shared" si="14"/>
        <v>2</v>
      </c>
      <c r="T9" s="19">
        <f t="shared" si="15"/>
        <v>0.20372000000000001</v>
      </c>
      <c r="U9" s="21">
        <f t="shared" si="16"/>
        <v>-2</v>
      </c>
      <c r="V9" s="19">
        <f t="shared" si="17"/>
        <v>-0.20372000000000001</v>
      </c>
      <c r="X9" s="29"/>
    </row>
    <row r="10" spans="1:24">
      <c r="A10" s="26" t="s">
        <v>13</v>
      </c>
      <c r="B10" s="26" t="s">
        <v>45</v>
      </c>
      <c r="C10" s="26">
        <v>9.26</v>
      </c>
      <c r="D10" s="27">
        <v>10.5</v>
      </c>
      <c r="E10" s="28"/>
      <c r="F10" s="16">
        <f t="shared" si="0"/>
        <v>0</v>
      </c>
      <c r="G10" s="17"/>
      <c r="H10" s="18">
        <v>3</v>
      </c>
      <c r="I10" s="19">
        <f t="shared" si="1"/>
        <v>0.29169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</v>
      </c>
      <c r="T10" s="19">
        <f t="shared" si="6"/>
        <v>0.29169</v>
      </c>
      <c r="U10" s="21">
        <f t="shared" si="7"/>
        <v>-3</v>
      </c>
      <c r="V10" s="19">
        <f t="shared" si="8"/>
        <v>-0.29169</v>
      </c>
      <c r="X10" s="29"/>
    </row>
    <row r="11" spans="1:24">
      <c r="A11" s="36"/>
      <c r="B11" s="36" t="s">
        <v>139</v>
      </c>
      <c r="C11" s="36"/>
      <c r="D11" s="38"/>
      <c r="E11" s="31">
        <f>SUM(E6:E10)</f>
        <v>123</v>
      </c>
      <c r="F11" s="38">
        <f>SUM(F6:F10)</f>
        <v>11.573148</v>
      </c>
      <c r="G11" s="17"/>
      <c r="H11" s="31">
        <f>SUM(H6:H10)</f>
        <v>124</v>
      </c>
      <c r="I11" s="38">
        <f>SUM(I6:I10)</f>
        <v>11.587038</v>
      </c>
      <c r="J11" s="16"/>
      <c r="K11" s="31">
        <f>SUM(K6:K10)</f>
        <v>0</v>
      </c>
      <c r="L11" s="38">
        <f>SUM(L6:L10)</f>
        <v>0</v>
      </c>
      <c r="M11" s="16"/>
      <c r="N11" s="31">
        <f>SUM(N6:N10)</f>
        <v>0</v>
      </c>
      <c r="O11" s="38">
        <f>SUM(O6:O10)</f>
        <v>0</v>
      </c>
      <c r="P11" s="16"/>
      <c r="Q11" s="31">
        <f t="shared" ref="Q11:V11" si="18">SUM(Q6:Q10)</f>
        <v>0</v>
      </c>
      <c r="R11" s="38">
        <f t="shared" si="18"/>
        <v>0</v>
      </c>
      <c r="S11" s="31">
        <f t="shared" si="18"/>
        <v>124</v>
      </c>
      <c r="T11" s="38">
        <f t="shared" si="18"/>
        <v>11.587038</v>
      </c>
      <c r="U11" s="31">
        <f t="shared" si="18"/>
        <v>-1</v>
      </c>
      <c r="V11" s="38">
        <f t="shared" si="18"/>
        <v>-1.3889999999999736E-2</v>
      </c>
      <c r="X11" s="29"/>
    </row>
    <row r="12" spans="1:24">
      <c r="A12" s="26" t="s">
        <v>13</v>
      </c>
      <c r="B12" s="26" t="s">
        <v>46</v>
      </c>
      <c r="C12" s="26">
        <v>10.7</v>
      </c>
      <c r="D12" s="27">
        <v>7.1</v>
      </c>
      <c r="E12" s="28">
        <v>49</v>
      </c>
      <c r="F12" s="16">
        <f t="shared" ref="F12:F14" si="19">(C12*D12*E12/1000)</f>
        <v>3.7225299999999995</v>
      </c>
      <c r="G12" s="16" t="s">
        <v>93</v>
      </c>
      <c r="H12" s="18">
        <v>3</v>
      </c>
      <c r="I12" s="19">
        <f t="shared" ref="I12:I14" si="20">(C12*D12*H12/1000)</f>
        <v>0.22790999999999997</v>
      </c>
      <c r="J12" s="16" t="s">
        <v>88</v>
      </c>
      <c r="K12" s="18">
        <v>16</v>
      </c>
      <c r="L12" s="19">
        <f t="shared" ref="L12:L14" si="21">(C12*D12*K12/1000)</f>
        <v>1.2155199999999997</v>
      </c>
      <c r="M12" s="17" t="s">
        <v>88</v>
      </c>
      <c r="N12" s="18"/>
      <c r="O12" s="19">
        <f t="shared" ref="O12:O14" si="22">(C12*D12*N12/1000)</f>
        <v>0</v>
      </c>
      <c r="P12" s="16" t="s">
        <v>93</v>
      </c>
      <c r="Q12" s="18">
        <v>3</v>
      </c>
      <c r="R12" s="19">
        <f t="shared" ref="R12:R14" si="23">(C12*D12*Q12/1000)</f>
        <v>0.22790999999999997</v>
      </c>
      <c r="S12" s="20">
        <f t="shared" ref="S12:S14" si="24">+H12+K12+Q12+N12</f>
        <v>22</v>
      </c>
      <c r="T12" s="19">
        <f t="shared" ref="T12:T14" si="25">+I12+L12+R12+O12</f>
        <v>1.6713399999999998</v>
      </c>
      <c r="U12" s="21">
        <f t="shared" ref="U12:U14" si="26">E12-S12</f>
        <v>27</v>
      </c>
      <c r="V12" s="19">
        <f t="shared" ref="V12:V14" si="27">F12-T12</f>
        <v>2.0511899999999996</v>
      </c>
      <c r="X12" s="29"/>
    </row>
    <row r="13" spans="1:24">
      <c r="A13" s="26" t="s">
        <v>13</v>
      </c>
      <c r="B13" s="26" t="s">
        <v>46</v>
      </c>
      <c r="C13" s="26">
        <v>10.7</v>
      </c>
      <c r="D13" s="27">
        <v>7.8</v>
      </c>
      <c r="E13" s="28">
        <v>13</v>
      </c>
      <c r="F13" s="16">
        <f t="shared" si="19"/>
        <v>1.0849800000000001</v>
      </c>
      <c r="G13" s="16" t="s">
        <v>168</v>
      </c>
      <c r="H13" s="18">
        <v>13</v>
      </c>
      <c r="I13" s="19">
        <f t="shared" si="20"/>
        <v>1.0849800000000001</v>
      </c>
      <c r="J13" s="16" t="s">
        <v>170</v>
      </c>
      <c r="K13" s="18"/>
      <c r="L13" s="19">
        <f t="shared" si="21"/>
        <v>0</v>
      </c>
      <c r="M13" s="17" t="s">
        <v>172</v>
      </c>
      <c r="N13" s="18"/>
      <c r="O13" s="19">
        <f t="shared" si="22"/>
        <v>0</v>
      </c>
      <c r="P13" s="16" t="s">
        <v>177</v>
      </c>
      <c r="Q13" s="18">
        <v>5</v>
      </c>
      <c r="R13" s="19">
        <f t="shared" si="23"/>
        <v>0.41729999999999995</v>
      </c>
      <c r="S13" s="20">
        <f t="shared" si="24"/>
        <v>18</v>
      </c>
      <c r="T13" s="19">
        <f t="shared" si="25"/>
        <v>1.5022800000000001</v>
      </c>
      <c r="U13" s="21">
        <f t="shared" si="26"/>
        <v>-5</v>
      </c>
      <c r="V13" s="19">
        <f t="shared" si="27"/>
        <v>-0.4173</v>
      </c>
      <c r="X13" s="29"/>
    </row>
    <row r="14" spans="1:24">
      <c r="A14" s="26" t="s">
        <v>13</v>
      </c>
      <c r="B14" s="26" t="s">
        <v>46</v>
      </c>
      <c r="C14" s="26">
        <v>10.7</v>
      </c>
      <c r="D14" s="27">
        <v>9.5</v>
      </c>
      <c r="E14" s="28">
        <v>16</v>
      </c>
      <c r="F14" s="16">
        <f t="shared" si="19"/>
        <v>1.6263999999999998</v>
      </c>
      <c r="G14" s="17"/>
      <c r="H14" s="18"/>
      <c r="I14" s="19">
        <f t="shared" si="20"/>
        <v>0</v>
      </c>
      <c r="J14" s="16"/>
      <c r="K14" s="18"/>
      <c r="L14" s="19">
        <f t="shared" si="21"/>
        <v>0</v>
      </c>
      <c r="M14" s="17"/>
      <c r="N14" s="18"/>
      <c r="O14" s="19">
        <f t="shared" si="22"/>
        <v>0</v>
      </c>
      <c r="P14" s="16"/>
      <c r="Q14" s="18"/>
      <c r="R14" s="19">
        <f t="shared" si="23"/>
        <v>0</v>
      </c>
      <c r="S14" s="20">
        <f t="shared" si="24"/>
        <v>0</v>
      </c>
      <c r="T14" s="19">
        <f t="shared" si="25"/>
        <v>0</v>
      </c>
      <c r="U14" s="21">
        <f t="shared" si="26"/>
        <v>16</v>
      </c>
      <c r="V14" s="19">
        <f t="shared" si="27"/>
        <v>1.6263999999999998</v>
      </c>
      <c r="X14" s="29"/>
    </row>
    <row r="15" spans="1:24">
      <c r="A15" s="26" t="s">
        <v>13</v>
      </c>
      <c r="B15" s="26" t="s">
        <v>46</v>
      </c>
      <c r="C15" s="26">
        <v>10.7</v>
      </c>
      <c r="D15" s="27">
        <v>11.6</v>
      </c>
      <c r="E15" s="28">
        <v>26</v>
      </c>
      <c r="F15" s="16">
        <f t="shared" ref="F15:F20" si="28">(C15*D15*E15/1000)</f>
        <v>3.2271199999999998</v>
      </c>
      <c r="G15" s="17"/>
      <c r="H15" s="18"/>
      <c r="I15" s="19">
        <f t="shared" ref="I15:I20" si="29">(C15*D15*H15/1000)</f>
        <v>0</v>
      </c>
      <c r="J15" s="16"/>
      <c r="K15" s="18"/>
      <c r="L15" s="19">
        <f t="shared" ref="L15:L20" si="30">(C15*D15*K15/1000)</f>
        <v>0</v>
      </c>
      <c r="M15" s="17"/>
      <c r="N15" s="18">
        <f t="shared" ref="N15" si="31">12+14</f>
        <v>26</v>
      </c>
      <c r="O15" s="19">
        <f t="shared" ref="O15:O20" si="32">(C15*D15*N15/1000)</f>
        <v>3.2271199999999998</v>
      </c>
      <c r="P15" s="16"/>
      <c r="Q15" s="18">
        <v>1</v>
      </c>
      <c r="R15" s="19">
        <f t="shared" ref="R15:R20" si="33">(C15*D15*Q15/1000)</f>
        <v>0.12411999999999999</v>
      </c>
      <c r="S15" s="20">
        <f t="shared" ref="S15:S20" si="34">+H15+K15+Q15+N15</f>
        <v>27</v>
      </c>
      <c r="T15" s="19">
        <f t="shared" ref="T15:T20" si="35">+I15+L15+R15+O15</f>
        <v>3.3512399999999998</v>
      </c>
      <c r="U15" s="21">
        <f t="shared" ref="U15:U20" si="36">E15-S15</f>
        <v>-1</v>
      </c>
      <c r="V15" s="19">
        <f t="shared" ref="V15:V20" si="37">F15-T15</f>
        <v>-0.12412000000000001</v>
      </c>
      <c r="X15" s="29"/>
    </row>
    <row r="16" spans="1:24">
      <c r="A16" s="26" t="s">
        <v>13</v>
      </c>
      <c r="B16" s="26" t="s">
        <v>46</v>
      </c>
      <c r="C16" s="26">
        <v>10.7</v>
      </c>
      <c r="D16" s="27">
        <v>6.8</v>
      </c>
      <c r="E16" s="28"/>
      <c r="F16" s="16">
        <f t="shared" si="28"/>
        <v>0</v>
      </c>
      <c r="G16" s="17"/>
      <c r="H16" s="18"/>
      <c r="I16" s="19">
        <f t="shared" si="29"/>
        <v>0</v>
      </c>
      <c r="J16" s="16"/>
      <c r="K16" s="18"/>
      <c r="L16" s="19">
        <f t="shared" si="30"/>
        <v>0</v>
      </c>
      <c r="M16" s="17"/>
      <c r="N16" s="18"/>
      <c r="O16" s="19">
        <f t="shared" si="32"/>
        <v>0</v>
      </c>
      <c r="P16" s="16"/>
      <c r="Q16" s="18">
        <v>1</v>
      </c>
      <c r="R16" s="19">
        <f t="shared" si="33"/>
        <v>7.2759999999999991E-2</v>
      </c>
      <c r="S16" s="20">
        <f t="shared" si="34"/>
        <v>1</v>
      </c>
      <c r="T16" s="19">
        <f t="shared" si="35"/>
        <v>7.2759999999999991E-2</v>
      </c>
      <c r="U16" s="21">
        <f t="shared" si="36"/>
        <v>-1</v>
      </c>
      <c r="V16" s="19">
        <f t="shared" si="37"/>
        <v>-7.2759999999999991E-2</v>
      </c>
      <c r="X16" s="29"/>
    </row>
    <row r="17" spans="1:24">
      <c r="A17" s="26" t="s">
        <v>13</v>
      </c>
      <c r="B17" s="26" t="s">
        <v>46</v>
      </c>
      <c r="C17" s="26">
        <v>10.7</v>
      </c>
      <c r="D17" s="27">
        <v>7.2</v>
      </c>
      <c r="E17" s="28"/>
      <c r="F17" s="16">
        <f t="shared" si="28"/>
        <v>0</v>
      </c>
      <c r="G17" s="17"/>
      <c r="H17" s="18"/>
      <c r="I17" s="19">
        <f t="shared" si="29"/>
        <v>0</v>
      </c>
      <c r="J17" s="16"/>
      <c r="K17" s="18"/>
      <c r="L17" s="19">
        <f t="shared" si="30"/>
        <v>0</v>
      </c>
      <c r="M17" s="17"/>
      <c r="N17" s="18"/>
      <c r="O17" s="19">
        <f t="shared" si="32"/>
        <v>0</v>
      </c>
      <c r="P17" s="16"/>
      <c r="Q17" s="18">
        <v>6</v>
      </c>
      <c r="R17" s="19">
        <f t="shared" si="33"/>
        <v>0.46223999999999993</v>
      </c>
      <c r="S17" s="20">
        <f t="shared" si="34"/>
        <v>6</v>
      </c>
      <c r="T17" s="19">
        <f t="shared" si="35"/>
        <v>0.46223999999999993</v>
      </c>
      <c r="U17" s="21">
        <f t="shared" si="36"/>
        <v>-6</v>
      </c>
      <c r="V17" s="19">
        <f t="shared" si="37"/>
        <v>-0.46223999999999993</v>
      </c>
      <c r="X17" s="29"/>
    </row>
    <row r="18" spans="1:24">
      <c r="A18" s="26" t="s">
        <v>13</v>
      </c>
      <c r="B18" s="26" t="s">
        <v>46</v>
      </c>
      <c r="C18" s="26">
        <v>10.7</v>
      </c>
      <c r="D18" s="27">
        <v>11.2</v>
      </c>
      <c r="E18" s="28"/>
      <c r="F18" s="16">
        <f t="shared" si="28"/>
        <v>0</v>
      </c>
      <c r="G18" s="17"/>
      <c r="H18" s="18"/>
      <c r="I18" s="19">
        <f t="shared" si="29"/>
        <v>0</v>
      </c>
      <c r="J18" s="16"/>
      <c r="K18" s="18"/>
      <c r="L18" s="19">
        <f t="shared" si="30"/>
        <v>0</v>
      </c>
      <c r="M18" s="17"/>
      <c r="N18" s="18"/>
      <c r="O18" s="19">
        <f t="shared" si="32"/>
        <v>0</v>
      </c>
      <c r="P18" s="16"/>
      <c r="Q18" s="18">
        <v>10</v>
      </c>
      <c r="R18" s="19">
        <f t="shared" si="33"/>
        <v>1.1983999999999999</v>
      </c>
      <c r="S18" s="20">
        <f t="shared" si="34"/>
        <v>10</v>
      </c>
      <c r="T18" s="19">
        <f t="shared" si="35"/>
        <v>1.1983999999999999</v>
      </c>
      <c r="U18" s="21">
        <f t="shared" si="36"/>
        <v>-10</v>
      </c>
      <c r="V18" s="19">
        <f t="shared" si="37"/>
        <v>-1.1983999999999999</v>
      </c>
      <c r="X18" s="29"/>
    </row>
    <row r="19" spans="1:24">
      <c r="A19" s="26" t="s">
        <v>13</v>
      </c>
      <c r="B19" s="26" t="s">
        <v>46</v>
      </c>
      <c r="C19" s="26">
        <v>10.7</v>
      </c>
      <c r="D19" s="27">
        <v>12</v>
      </c>
      <c r="E19" s="28"/>
      <c r="F19" s="16">
        <f t="shared" si="28"/>
        <v>0</v>
      </c>
      <c r="G19" s="17"/>
      <c r="H19" s="18"/>
      <c r="I19" s="19">
        <f t="shared" si="29"/>
        <v>0</v>
      </c>
      <c r="J19" s="16"/>
      <c r="K19" s="18"/>
      <c r="L19" s="19">
        <f t="shared" si="30"/>
        <v>0</v>
      </c>
      <c r="M19" s="17"/>
      <c r="N19" s="18"/>
      <c r="O19" s="19">
        <f t="shared" si="32"/>
        <v>0</v>
      </c>
      <c r="P19" s="16"/>
      <c r="Q19" s="18">
        <v>11</v>
      </c>
      <c r="R19" s="19">
        <f t="shared" si="33"/>
        <v>1.4123999999999997</v>
      </c>
      <c r="S19" s="20">
        <f t="shared" si="34"/>
        <v>11</v>
      </c>
      <c r="T19" s="19">
        <f t="shared" si="35"/>
        <v>1.4123999999999997</v>
      </c>
      <c r="U19" s="21">
        <f t="shared" si="36"/>
        <v>-11</v>
      </c>
      <c r="V19" s="19">
        <f t="shared" si="37"/>
        <v>-1.4123999999999997</v>
      </c>
      <c r="X19" s="29"/>
    </row>
    <row r="20" spans="1:24">
      <c r="A20" s="26" t="s">
        <v>13</v>
      </c>
      <c r="B20" s="26" t="s">
        <v>46</v>
      </c>
      <c r="C20" s="26">
        <v>10.7</v>
      </c>
      <c r="D20" s="27">
        <v>11.9</v>
      </c>
      <c r="E20" s="28"/>
      <c r="F20" s="16">
        <f t="shared" si="28"/>
        <v>0</v>
      </c>
      <c r="G20" s="17"/>
      <c r="H20" s="18"/>
      <c r="I20" s="19">
        <f t="shared" si="29"/>
        <v>0</v>
      </c>
      <c r="J20" s="16"/>
      <c r="K20" s="18"/>
      <c r="L20" s="19">
        <f t="shared" si="30"/>
        <v>0</v>
      </c>
      <c r="M20" s="17"/>
      <c r="N20" s="18"/>
      <c r="O20" s="19">
        <f t="shared" si="32"/>
        <v>0</v>
      </c>
      <c r="P20" s="16"/>
      <c r="Q20" s="18">
        <v>1</v>
      </c>
      <c r="R20" s="19">
        <f t="shared" si="33"/>
        <v>0.12733</v>
      </c>
      <c r="S20" s="20">
        <f t="shared" si="34"/>
        <v>1</v>
      </c>
      <c r="T20" s="19">
        <f t="shared" si="35"/>
        <v>0.12733</v>
      </c>
      <c r="U20" s="21">
        <f t="shared" si="36"/>
        <v>-1</v>
      </c>
      <c r="V20" s="19">
        <f t="shared" si="37"/>
        <v>-0.12733</v>
      </c>
      <c r="X20" s="29"/>
    </row>
    <row r="21" spans="1:24">
      <c r="A21" s="36"/>
      <c r="B21" s="36" t="s">
        <v>139</v>
      </c>
      <c r="C21" s="36"/>
      <c r="D21" s="38"/>
      <c r="E21" s="31">
        <f>SUM(E12:E20)</f>
        <v>104</v>
      </c>
      <c r="F21" s="38">
        <f>SUM(F12:F20)</f>
        <v>9.6610299999999985</v>
      </c>
      <c r="G21" s="17"/>
      <c r="H21" s="31">
        <f>SUM(H12:H20)</f>
        <v>16</v>
      </c>
      <c r="I21" s="38">
        <f>SUM(I12:I20)</f>
        <v>1.3128900000000001</v>
      </c>
      <c r="J21" s="16"/>
      <c r="K21" s="31">
        <f>SUM(K12:K20)</f>
        <v>16</v>
      </c>
      <c r="L21" s="38">
        <f>SUM(L12:L20)</f>
        <v>1.2155199999999997</v>
      </c>
      <c r="M21" s="16"/>
      <c r="N21" s="31">
        <f>SUM(N12:N20)</f>
        <v>26</v>
      </c>
      <c r="O21" s="38">
        <f>SUM(O12:O20)</f>
        <v>3.2271199999999998</v>
      </c>
      <c r="P21" s="16"/>
      <c r="Q21" s="31">
        <f t="shared" ref="Q21:V21" si="38">SUM(Q12:Q20)</f>
        <v>38</v>
      </c>
      <c r="R21" s="38">
        <f t="shared" si="38"/>
        <v>4.0424599999999993</v>
      </c>
      <c r="S21" s="31">
        <f t="shared" si="38"/>
        <v>96</v>
      </c>
      <c r="T21" s="38">
        <f t="shared" si="38"/>
        <v>9.7979899999999986</v>
      </c>
      <c r="U21" s="31">
        <f t="shared" si="38"/>
        <v>8</v>
      </c>
      <c r="V21" s="38">
        <f t="shared" si="38"/>
        <v>-0.13696000000000025</v>
      </c>
      <c r="X21" s="29"/>
    </row>
    <row r="22" spans="1:24">
      <c r="A22" s="26" t="s">
        <v>13</v>
      </c>
      <c r="B22" s="26" t="s">
        <v>61</v>
      </c>
      <c r="C22" s="26">
        <v>12.2</v>
      </c>
      <c r="D22" s="27">
        <v>8.4</v>
      </c>
      <c r="E22" s="28">
        <v>22</v>
      </c>
      <c r="F22" s="16">
        <f t="shared" ref="F22:F30" si="39">(C22*D22*E22/1000)</f>
        <v>2.2545600000000001</v>
      </c>
      <c r="G22" s="17" t="s">
        <v>93</v>
      </c>
      <c r="H22" s="18">
        <v>22</v>
      </c>
      <c r="I22" s="19">
        <f t="shared" ref="I22:I30" si="40">(C22*D22*H22/1000)</f>
        <v>2.2545600000000001</v>
      </c>
      <c r="J22" s="16" t="s">
        <v>89</v>
      </c>
      <c r="K22" s="18"/>
      <c r="L22" s="19">
        <f t="shared" ref="L22:L30" si="41">(C22*D22*K22/1000)</f>
        <v>0</v>
      </c>
      <c r="M22" s="16" t="s">
        <v>93</v>
      </c>
      <c r="N22" s="18"/>
      <c r="O22" s="19">
        <f t="shared" ref="O22:O30" si="42">(C22*D22*N22/1000)</f>
        <v>0</v>
      </c>
      <c r="P22" s="16"/>
      <c r="Q22" s="18"/>
      <c r="R22" s="19">
        <f t="shared" ref="R22:R30" si="43">(C22*D22*Q22/1000)</f>
        <v>0</v>
      </c>
      <c r="S22" s="20">
        <f t="shared" ref="S22:S30" si="44">+H22+K22+Q22+N22</f>
        <v>22</v>
      </c>
      <c r="T22" s="19">
        <f t="shared" ref="T22:T30" si="45">+I22+L22+R22+O22</f>
        <v>2.2545600000000001</v>
      </c>
      <c r="U22" s="21">
        <f t="shared" ref="U22:U30" si="46">E22-S22</f>
        <v>0</v>
      </c>
      <c r="V22" s="19">
        <f t="shared" ref="V22:V30" si="47">F22-T22</f>
        <v>0</v>
      </c>
      <c r="X22" s="29"/>
    </row>
    <row r="23" spans="1:24">
      <c r="A23" s="26" t="s">
        <v>13</v>
      </c>
      <c r="B23" s="26" t="s">
        <v>61</v>
      </c>
      <c r="C23" s="26">
        <v>12.2</v>
      </c>
      <c r="D23" s="27">
        <v>9.5</v>
      </c>
      <c r="E23" s="28">
        <v>20</v>
      </c>
      <c r="F23" s="16">
        <f t="shared" si="39"/>
        <v>2.3180000000000001</v>
      </c>
      <c r="G23" s="17" t="s">
        <v>158</v>
      </c>
      <c r="H23" s="18"/>
      <c r="I23" s="19">
        <f t="shared" si="40"/>
        <v>0</v>
      </c>
      <c r="J23" s="16" t="s">
        <v>158</v>
      </c>
      <c r="K23" s="18">
        <v>18</v>
      </c>
      <c r="L23" s="19">
        <f t="shared" si="41"/>
        <v>2.0861999999999998</v>
      </c>
      <c r="M23" s="16" t="s">
        <v>169</v>
      </c>
      <c r="N23" s="18"/>
      <c r="O23" s="19">
        <f t="shared" si="42"/>
        <v>0</v>
      </c>
      <c r="P23" s="16"/>
      <c r="Q23" s="18"/>
      <c r="R23" s="19">
        <f t="shared" si="43"/>
        <v>0</v>
      </c>
      <c r="S23" s="20">
        <f t="shared" si="44"/>
        <v>18</v>
      </c>
      <c r="T23" s="19">
        <f t="shared" si="45"/>
        <v>2.0861999999999998</v>
      </c>
      <c r="U23" s="21">
        <f t="shared" si="46"/>
        <v>2</v>
      </c>
      <c r="V23" s="19">
        <f t="shared" si="47"/>
        <v>0.23180000000000023</v>
      </c>
      <c r="X23" s="29"/>
    </row>
    <row r="24" spans="1:24">
      <c r="A24" s="26" t="s">
        <v>13</v>
      </c>
      <c r="B24" s="26" t="s">
        <v>61</v>
      </c>
      <c r="C24" s="26">
        <v>12.2</v>
      </c>
      <c r="D24" s="27">
        <v>10</v>
      </c>
      <c r="E24" s="28">
        <v>18</v>
      </c>
      <c r="F24" s="16">
        <f t="shared" si="39"/>
        <v>2.1960000000000002</v>
      </c>
      <c r="G24" s="17"/>
      <c r="H24" s="18">
        <v>18</v>
      </c>
      <c r="I24" s="19">
        <f t="shared" si="40"/>
        <v>2.1960000000000002</v>
      </c>
      <c r="J24" s="16"/>
      <c r="K24" s="18"/>
      <c r="L24" s="19">
        <f t="shared" si="41"/>
        <v>0</v>
      </c>
      <c r="M24" s="16"/>
      <c r="N24" s="18"/>
      <c r="O24" s="19">
        <f t="shared" si="42"/>
        <v>0</v>
      </c>
      <c r="P24" s="16"/>
      <c r="Q24" s="18"/>
      <c r="R24" s="19">
        <f t="shared" si="43"/>
        <v>0</v>
      </c>
      <c r="S24" s="20">
        <f t="shared" si="44"/>
        <v>18</v>
      </c>
      <c r="T24" s="19">
        <f t="shared" si="45"/>
        <v>2.1960000000000002</v>
      </c>
      <c r="U24" s="21">
        <f t="shared" si="46"/>
        <v>0</v>
      </c>
      <c r="V24" s="19">
        <f t="shared" si="47"/>
        <v>0</v>
      </c>
      <c r="X24" s="29"/>
    </row>
    <row r="25" spans="1:24">
      <c r="A25" s="26" t="s">
        <v>13</v>
      </c>
      <c r="B25" s="26" t="s">
        <v>61</v>
      </c>
      <c r="C25" s="26">
        <v>12.2</v>
      </c>
      <c r="D25" s="27">
        <v>10.4</v>
      </c>
      <c r="E25" s="28">
        <v>208</v>
      </c>
      <c r="F25" s="16">
        <f t="shared" si="39"/>
        <v>26.39104</v>
      </c>
      <c r="G25" s="17"/>
      <c r="H25" s="18">
        <f>12+95</f>
        <v>107</v>
      </c>
      <c r="I25" s="19">
        <f t="shared" si="40"/>
        <v>13.57616</v>
      </c>
      <c r="J25" s="16"/>
      <c r="K25" s="18">
        <f>47+30</f>
        <v>77</v>
      </c>
      <c r="L25" s="19">
        <f t="shared" si="41"/>
        <v>9.7697599999999998</v>
      </c>
      <c r="M25" s="16"/>
      <c r="N25" s="18"/>
      <c r="O25" s="19">
        <f t="shared" si="42"/>
        <v>0</v>
      </c>
      <c r="P25" s="16"/>
      <c r="Q25" s="18"/>
      <c r="R25" s="19">
        <f t="shared" si="43"/>
        <v>0</v>
      </c>
      <c r="S25" s="20">
        <f t="shared" si="44"/>
        <v>184</v>
      </c>
      <c r="T25" s="19">
        <f t="shared" si="45"/>
        <v>23.34592</v>
      </c>
      <c r="U25" s="21">
        <f t="shared" si="46"/>
        <v>24</v>
      </c>
      <c r="V25" s="19">
        <f t="shared" si="47"/>
        <v>3.0451200000000007</v>
      </c>
      <c r="X25" s="29"/>
    </row>
    <row r="26" spans="1:24">
      <c r="A26" s="26" t="s">
        <v>13</v>
      </c>
      <c r="B26" s="26" t="s">
        <v>61</v>
      </c>
      <c r="C26" s="26">
        <v>12.2</v>
      </c>
      <c r="D26" s="27">
        <v>11.1</v>
      </c>
      <c r="E26" s="28">
        <v>52</v>
      </c>
      <c r="F26" s="16">
        <f t="shared" ref="F26:F29" si="48">(C26*D26*E26/1000)</f>
        <v>7.0418399999999997</v>
      </c>
      <c r="G26" s="17"/>
      <c r="H26" s="18">
        <f t="shared" ref="H26" si="49">16+3</f>
        <v>19</v>
      </c>
      <c r="I26" s="19">
        <f t="shared" ref="I26:I29" si="50">(C26*D26*H26/1000)</f>
        <v>2.5729799999999994</v>
      </c>
      <c r="J26" s="16"/>
      <c r="K26" s="18">
        <v>29</v>
      </c>
      <c r="L26" s="19">
        <f t="shared" ref="L26:L29" si="51">(C26*D26*K26/1000)</f>
        <v>3.9271799999999999</v>
      </c>
      <c r="M26" s="16"/>
      <c r="N26" s="18">
        <v>1</v>
      </c>
      <c r="O26" s="19">
        <f t="shared" ref="O26:O29" si="52">(C26*D26*N26/1000)</f>
        <v>0.13541999999999998</v>
      </c>
      <c r="P26" s="16"/>
      <c r="Q26" s="18"/>
      <c r="R26" s="19">
        <f t="shared" ref="R26:R29" si="53">(C26*D26*Q26/1000)</f>
        <v>0</v>
      </c>
      <c r="S26" s="20">
        <f t="shared" ref="S26:S29" si="54">+H26+K26+Q26+N26</f>
        <v>49</v>
      </c>
      <c r="T26" s="19">
        <f t="shared" ref="T26:T29" si="55">+I26+L26+R26+O26</f>
        <v>6.6355799999999991</v>
      </c>
      <c r="U26" s="21">
        <f t="shared" ref="U26:U29" si="56">E26-S26</f>
        <v>3</v>
      </c>
      <c r="V26" s="19">
        <f t="shared" ref="V26:V29" si="57">F26-T26</f>
        <v>0.40626000000000051</v>
      </c>
      <c r="X26" s="29"/>
    </row>
    <row r="27" spans="1:24">
      <c r="A27" s="26" t="s">
        <v>13</v>
      </c>
      <c r="B27" s="26" t="s">
        <v>61</v>
      </c>
      <c r="C27" s="26">
        <v>12.2</v>
      </c>
      <c r="D27" s="27">
        <v>10.5</v>
      </c>
      <c r="E27" s="28"/>
      <c r="F27" s="16">
        <f t="shared" si="48"/>
        <v>0</v>
      </c>
      <c r="G27" s="17"/>
      <c r="H27" s="18"/>
      <c r="I27" s="19">
        <f t="shared" si="50"/>
        <v>0</v>
      </c>
      <c r="J27" s="16"/>
      <c r="K27" s="18"/>
      <c r="L27" s="19">
        <f t="shared" si="51"/>
        <v>0</v>
      </c>
      <c r="M27" s="16"/>
      <c r="N27" s="18">
        <v>5</v>
      </c>
      <c r="O27" s="19">
        <f t="shared" si="52"/>
        <v>0.64049999999999996</v>
      </c>
      <c r="P27" s="16"/>
      <c r="Q27" s="18"/>
      <c r="R27" s="19">
        <f t="shared" si="53"/>
        <v>0</v>
      </c>
      <c r="S27" s="20">
        <f t="shared" si="54"/>
        <v>5</v>
      </c>
      <c r="T27" s="19">
        <f t="shared" si="55"/>
        <v>0.64049999999999996</v>
      </c>
      <c r="U27" s="21">
        <f t="shared" si="56"/>
        <v>-5</v>
      </c>
      <c r="V27" s="19">
        <f t="shared" si="57"/>
        <v>-0.64049999999999996</v>
      </c>
      <c r="X27" s="29"/>
    </row>
    <row r="28" spans="1:24">
      <c r="A28" s="26" t="s">
        <v>13</v>
      </c>
      <c r="B28" s="26" t="s">
        <v>61</v>
      </c>
      <c r="C28" s="26">
        <v>12.2</v>
      </c>
      <c r="D28" s="27">
        <v>12</v>
      </c>
      <c r="E28" s="28"/>
      <c r="F28" s="16">
        <f t="shared" si="48"/>
        <v>0</v>
      </c>
      <c r="G28" s="17"/>
      <c r="H28" s="18"/>
      <c r="I28" s="19">
        <f t="shared" si="50"/>
        <v>0</v>
      </c>
      <c r="J28" s="16"/>
      <c r="K28" s="18"/>
      <c r="L28" s="19">
        <f t="shared" si="51"/>
        <v>0</v>
      </c>
      <c r="M28" s="16"/>
      <c r="N28" s="18">
        <v>19</v>
      </c>
      <c r="O28" s="19">
        <f t="shared" si="52"/>
        <v>2.7815999999999996</v>
      </c>
      <c r="P28" s="16"/>
      <c r="Q28" s="18"/>
      <c r="R28" s="19">
        <f t="shared" si="53"/>
        <v>0</v>
      </c>
      <c r="S28" s="20">
        <f t="shared" si="54"/>
        <v>19</v>
      </c>
      <c r="T28" s="19">
        <f t="shared" si="55"/>
        <v>2.7815999999999996</v>
      </c>
      <c r="U28" s="21">
        <f t="shared" si="56"/>
        <v>-19</v>
      </c>
      <c r="V28" s="19">
        <f t="shared" si="57"/>
        <v>-2.7815999999999996</v>
      </c>
      <c r="X28" s="29"/>
    </row>
    <row r="29" spans="1:24">
      <c r="A29" s="26" t="s">
        <v>13</v>
      </c>
      <c r="B29" s="26" t="s">
        <v>61</v>
      </c>
      <c r="C29" s="26">
        <v>12.2</v>
      </c>
      <c r="D29" s="27">
        <v>11.5</v>
      </c>
      <c r="E29" s="28"/>
      <c r="F29" s="16">
        <f t="shared" si="48"/>
        <v>0</v>
      </c>
      <c r="G29" s="17"/>
      <c r="H29" s="18"/>
      <c r="I29" s="19">
        <f t="shared" si="50"/>
        <v>0</v>
      </c>
      <c r="J29" s="16"/>
      <c r="K29" s="18"/>
      <c r="L29" s="19">
        <f t="shared" si="51"/>
        <v>0</v>
      </c>
      <c r="M29" s="16"/>
      <c r="N29" s="18">
        <v>2</v>
      </c>
      <c r="O29" s="19">
        <f t="shared" si="52"/>
        <v>0.28059999999999996</v>
      </c>
      <c r="P29" s="16"/>
      <c r="Q29" s="18"/>
      <c r="R29" s="19">
        <f t="shared" si="53"/>
        <v>0</v>
      </c>
      <c r="S29" s="20">
        <f t="shared" si="54"/>
        <v>2</v>
      </c>
      <c r="T29" s="19">
        <f t="shared" si="55"/>
        <v>0.28059999999999996</v>
      </c>
      <c r="U29" s="21">
        <f t="shared" si="56"/>
        <v>-2</v>
      </c>
      <c r="V29" s="19">
        <f t="shared" si="57"/>
        <v>-0.28059999999999996</v>
      </c>
      <c r="X29" s="29"/>
    </row>
    <row r="30" spans="1:24">
      <c r="A30" s="26" t="s">
        <v>13</v>
      </c>
      <c r="B30" s="26" t="s">
        <v>61</v>
      </c>
      <c r="C30" s="26">
        <v>12.2</v>
      </c>
      <c r="D30" s="27">
        <v>10.7</v>
      </c>
      <c r="E30" s="28"/>
      <c r="F30" s="16">
        <f t="shared" si="39"/>
        <v>0</v>
      </c>
      <c r="G30" s="17"/>
      <c r="H30" s="18"/>
      <c r="I30" s="19">
        <f t="shared" si="40"/>
        <v>0</v>
      </c>
      <c r="J30" s="16"/>
      <c r="K30" s="18"/>
      <c r="L30" s="19">
        <f t="shared" si="41"/>
        <v>0</v>
      </c>
      <c r="M30" s="16"/>
      <c r="N30" s="18">
        <v>1</v>
      </c>
      <c r="O30" s="19">
        <f t="shared" si="42"/>
        <v>0.13053999999999999</v>
      </c>
      <c r="P30" s="16"/>
      <c r="Q30" s="18"/>
      <c r="R30" s="19">
        <f t="shared" si="43"/>
        <v>0</v>
      </c>
      <c r="S30" s="20">
        <f t="shared" si="44"/>
        <v>1</v>
      </c>
      <c r="T30" s="19">
        <f t="shared" si="45"/>
        <v>0.13053999999999999</v>
      </c>
      <c r="U30" s="21">
        <f t="shared" si="46"/>
        <v>-1</v>
      </c>
      <c r="V30" s="19">
        <f t="shared" si="47"/>
        <v>-0.13053999999999999</v>
      </c>
      <c r="X30" s="29"/>
    </row>
    <row r="31" spans="1:24">
      <c r="A31" s="36"/>
      <c r="B31" s="36" t="s">
        <v>139</v>
      </c>
      <c r="C31" s="36"/>
      <c r="D31" s="38"/>
      <c r="E31" s="31">
        <f>SUM(E22:E30)</f>
        <v>320</v>
      </c>
      <c r="F31" s="38">
        <f>SUM(F22:F30)</f>
        <v>40.201439999999998</v>
      </c>
      <c r="G31" s="17"/>
      <c r="H31" s="31">
        <f>SUM(H22:H30)</f>
        <v>166</v>
      </c>
      <c r="I31" s="38">
        <f>SUM(I22:I30)</f>
        <v>20.599699999999999</v>
      </c>
      <c r="J31" s="16"/>
      <c r="K31" s="31">
        <f>SUM(K22:K30)</f>
        <v>124</v>
      </c>
      <c r="L31" s="38">
        <f>SUM(L22:L30)</f>
        <v>15.78314</v>
      </c>
      <c r="M31" s="16"/>
      <c r="N31" s="31">
        <f>SUM(N22:N30)</f>
        <v>28</v>
      </c>
      <c r="O31" s="38">
        <f>SUM(O22:O30)</f>
        <v>3.968659999999999</v>
      </c>
      <c r="P31" s="16"/>
      <c r="Q31" s="31">
        <f t="shared" ref="Q31:V31" si="58">SUM(Q22:Q30)</f>
        <v>0</v>
      </c>
      <c r="R31" s="38">
        <f t="shared" si="58"/>
        <v>0</v>
      </c>
      <c r="S31" s="31">
        <f t="shared" si="58"/>
        <v>318</v>
      </c>
      <c r="T31" s="38">
        <f t="shared" si="58"/>
        <v>40.351500000000001</v>
      </c>
      <c r="U31" s="31">
        <f t="shared" si="58"/>
        <v>2</v>
      </c>
      <c r="V31" s="38">
        <f t="shared" si="58"/>
        <v>-0.15005999999999797</v>
      </c>
      <c r="X31" s="29"/>
    </row>
    <row r="32" spans="1:24">
      <c r="A32" s="26" t="s">
        <v>13</v>
      </c>
      <c r="B32" s="26" t="s">
        <v>18</v>
      </c>
      <c r="C32" s="26">
        <v>16.600000000000001</v>
      </c>
      <c r="D32" s="27">
        <v>11</v>
      </c>
      <c r="E32" s="28">
        <v>20</v>
      </c>
      <c r="F32" s="16">
        <f t="shared" ref="F32" si="59">(C32*D32*E32/1000)</f>
        <v>3.6520000000000006</v>
      </c>
      <c r="G32" s="16" t="s">
        <v>88</v>
      </c>
      <c r="H32" s="18">
        <v>16</v>
      </c>
      <c r="I32" s="19">
        <f t="shared" ref="I32" si="60">(C32*D32*H32/1000)</f>
        <v>2.9216000000000002</v>
      </c>
      <c r="J32" s="16" t="s">
        <v>88</v>
      </c>
      <c r="K32" s="18"/>
      <c r="L32" s="19">
        <f t="shared" ref="L32" si="61">(C32*D32*K32/1000)</f>
        <v>0</v>
      </c>
      <c r="M32" s="16"/>
      <c r="N32" s="18"/>
      <c r="O32" s="19">
        <f t="shared" ref="O32" si="62">(C32*D32*N32/1000)</f>
        <v>0</v>
      </c>
      <c r="P32" s="16"/>
      <c r="Q32" s="18"/>
      <c r="R32" s="19">
        <f>(C32*D32*Q32/1000)</f>
        <v>0</v>
      </c>
      <c r="S32" s="20">
        <f>+H32+K32+Q32+N32</f>
        <v>16</v>
      </c>
      <c r="T32" s="19">
        <f>+I32+L32+R32+O32</f>
        <v>2.9216000000000002</v>
      </c>
      <c r="U32" s="21">
        <f>E32-S32</f>
        <v>4</v>
      </c>
      <c r="V32" s="19">
        <f>F32-T32</f>
        <v>0.73040000000000038</v>
      </c>
      <c r="X32" s="29"/>
    </row>
    <row r="33" spans="1:24">
      <c r="A33" s="26" t="s">
        <v>13</v>
      </c>
      <c r="B33" s="26" t="s">
        <v>18</v>
      </c>
      <c r="C33" s="26">
        <v>16.600000000000001</v>
      </c>
      <c r="D33" s="27">
        <v>11.4</v>
      </c>
      <c r="E33" s="28"/>
      <c r="F33" s="16">
        <f t="shared" ref="F33:F34" si="63">(C33*D33*E33/1000)</f>
        <v>0</v>
      </c>
      <c r="G33" s="16" t="s">
        <v>170</v>
      </c>
      <c r="H33" s="18"/>
      <c r="I33" s="19">
        <f t="shared" ref="I33:I34" si="64">(C33*D33*H33/1000)</f>
        <v>0</v>
      </c>
      <c r="J33" s="16" t="s">
        <v>175</v>
      </c>
      <c r="K33" s="18">
        <v>1</v>
      </c>
      <c r="L33" s="19">
        <f t="shared" ref="L33:L34" si="65">(C33*D33*K33/1000)</f>
        <v>0.18924000000000002</v>
      </c>
      <c r="M33" s="16"/>
      <c r="N33" s="18"/>
      <c r="O33" s="19">
        <f t="shared" ref="O33:O34" si="66">(C33*D33*N33/1000)</f>
        <v>0</v>
      </c>
      <c r="P33" s="16"/>
      <c r="Q33" s="18"/>
      <c r="R33" s="19">
        <f t="shared" ref="R33:R34" si="67">(C33*D33*Q33/1000)</f>
        <v>0</v>
      </c>
      <c r="S33" s="20">
        <f t="shared" ref="S33:S34" si="68">+H33+K33+Q33+N33</f>
        <v>1</v>
      </c>
      <c r="T33" s="19">
        <f t="shared" ref="T33:T34" si="69">+I33+L33+R33+O33</f>
        <v>0.18924000000000002</v>
      </c>
      <c r="U33" s="21">
        <f t="shared" ref="U33:U34" si="70">E33-S33</f>
        <v>-1</v>
      </c>
      <c r="V33" s="19">
        <f t="shared" ref="V33:V34" si="71">F33-T33</f>
        <v>-0.18924000000000002</v>
      </c>
      <c r="X33" s="29"/>
    </row>
    <row r="34" spans="1:24">
      <c r="A34" s="26" t="s">
        <v>13</v>
      </c>
      <c r="B34" s="26" t="s">
        <v>18</v>
      </c>
      <c r="C34" s="26">
        <v>16.600000000000001</v>
      </c>
      <c r="D34" s="27">
        <v>10.5</v>
      </c>
      <c r="E34" s="28"/>
      <c r="F34" s="16">
        <f t="shared" si="63"/>
        <v>0</v>
      </c>
      <c r="G34" s="16"/>
      <c r="H34" s="18"/>
      <c r="I34" s="19">
        <f t="shared" si="64"/>
        <v>0</v>
      </c>
      <c r="J34" s="16"/>
      <c r="K34" s="18">
        <v>4</v>
      </c>
      <c r="L34" s="19">
        <f t="shared" si="65"/>
        <v>0.69720000000000004</v>
      </c>
      <c r="M34" s="16"/>
      <c r="N34" s="18"/>
      <c r="O34" s="19">
        <f t="shared" si="66"/>
        <v>0</v>
      </c>
      <c r="P34" s="16"/>
      <c r="Q34" s="18"/>
      <c r="R34" s="19">
        <f t="shared" si="67"/>
        <v>0</v>
      </c>
      <c r="S34" s="20">
        <f t="shared" si="68"/>
        <v>4</v>
      </c>
      <c r="T34" s="19">
        <f t="shared" si="69"/>
        <v>0.69720000000000004</v>
      </c>
      <c r="U34" s="21">
        <f t="shared" si="70"/>
        <v>-4</v>
      </c>
      <c r="V34" s="19">
        <f t="shared" si="71"/>
        <v>-0.69720000000000004</v>
      </c>
      <c r="X34" s="29"/>
    </row>
    <row r="35" spans="1:24">
      <c r="A35" s="36"/>
      <c r="B35" s="36" t="s">
        <v>139</v>
      </c>
      <c r="C35" s="36"/>
      <c r="D35" s="38"/>
      <c r="E35" s="31">
        <f t="shared" ref="E35:F35" si="72">SUM(E32:E34)</f>
        <v>20</v>
      </c>
      <c r="F35" s="38">
        <f t="shared" si="72"/>
        <v>3.6520000000000006</v>
      </c>
      <c r="G35" s="16"/>
      <c r="H35" s="31">
        <f t="shared" ref="H35" si="73">SUM(H32:H34)</f>
        <v>16</v>
      </c>
      <c r="I35" s="38">
        <f t="shared" ref="I35" si="74">SUM(I32:I34)</f>
        <v>2.9216000000000002</v>
      </c>
      <c r="J35" s="16"/>
      <c r="K35" s="31">
        <f t="shared" ref="K35" si="75">SUM(K32:K34)</f>
        <v>5</v>
      </c>
      <c r="L35" s="38">
        <f t="shared" ref="L35" si="76">SUM(L32:L34)</f>
        <v>0.88644000000000012</v>
      </c>
      <c r="M35" s="16"/>
      <c r="N35" s="31">
        <f t="shared" ref="N35" si="77">SUM(N32:N34)</f>
        <v>0</v>
      </c>
      <c r="O35" s="38">
        <f t="shared" ref="O35" si="78">SUM(O32:O34)</f>
        <v>0</v>
      </c>
      <c r="P35" s="16"/>
      <c r="Q35" s="31">
        <f t="shared" ref="Q35" si="79">SUM(Q32:Q34)</f>
        <v>0</v>
      </c>
      <c r="R35" s="38">
        <f t="shared" ref="R35" si="80">SUM(R32:R34)</f>
        <v>0</v>
      </c>
      <c r="S35" s="31">
        <f t="shared" ref="S35" si="81">SUM(S32:S34)</f>
        <v>21</v>
      </c>
      <c r="T35" s="38">
        <f t="shared" ref="T35" si="82">SUM(T32:T34)</f>
        <v>3.8080400000000001</v>
      </c>
      <c r="U35" s="31">
        <f t="shared" ref="U35" si="83">SUM(U32:U34)</f>
        <v>-1</v>
      </c>
      <c r="V35" s="38">
        <f t="shared" ref="V35" si="84">SUM(V32:V34)</f>
        <v>-0.15603999999999973</v>
      </c>
      <c r="X35" s="29"/>
    </row>
    <row r="36" spans="1:24">
      <c r="A36" s="26" t="s">
        <v>13</v>
      </c>
      <c r="B36" s="26" t="s">
        <v>32</v>
      </c>
      <c r="C36" s="26">
        <v>11.8</v>
      </c>
      <c r="D36" s="27">
        <v>10.1</v>
      </c>
      <c r="E36" s="28">
        <v>104</v>
      </c>
      <c r="F36" s="16">
        <f>(C36*D36*E36/1000)</f>
        <v>12.394720000000001</v>
      </c>
      <c r="G36" s="16" t="s">
        <v>93</v>
      </c>
      <c r="H36" s="18">
        <v>51</v>
      </c>
      <c r="I36" s="19">
        <f>(C36*D36*H36/1000)</f>
        <v>6.0781800000000006</v>
      </c>
      <c r="J36" s="16" t="s">
        <v>88</v>
      </c>
      <c r="K36" s="18">
        <v>30</v>
      </c>
      <c r="L36" s="19">
        <f>(C36*D36*K36/1000)</f>
        <v>3.5754000000000001</v>
      </c>
      <c r="M36" s="16" t="s">
        <v>88</v>
      </c>
      <c r="N36" s="18">
        <v>18</v>
      </c>
      <c r="O36" s="19">
        <f>(C36*D36*N36/1000)</f>
        <v>2.1452400000000003</v>
      </c>
      <c r="P36" s="16"/>
      <c r="Q36" s="18"/>
      <c r="R36" s="19">
        <f>(C36*D36*Q36/1000)</f>
        <v>0</v>
      </c>
      <c r="S36" s="20">
        <f>+H36+K36+Q36+N36</f>
        <v>99</v>
      </c>
      <c r="T36" s="19">
        <f>+I36+L36+R36+O36</f>
        <v>11.798820000000003</v>
      </c>
      <c r="U36" s="21">
        <f>E36-S36</f>
        <v>5</v>
      </c>
      <c r="V36" s="19">
        <f>F36-T36</f>
        <v>0.59589999999999854</v>
      </c>
      <c r="X36" s="29"/>
    </row>
    <row r="37" spans="1:24">
      <c r="A37" s="26" t="s">
        <v>13</v>
      </c>
      <c r="B37" s="26" t="s">
        <v>32</v>
      </c>
      <c r="C37" s="26">
        <v>11.8</v>
      </c>
      <c r="D37" s="27">
        <v>9.9</v>
      </c>
      <c r="E37" s="28"/>
      <c r="F37" s="16">
        <f t="shared" ref="F37:F40" si="85">(C37*D37*E37/1000)</f>
        <v>0</v>
      </c>
      <c r="G37" s="16" t="s">
        <v>170</v>
      </c>
      <c r="H37" s="18"/>
      <c r="I37" s="19">
        <f t="shared" ref="I37:I40" si="86">(C37*D37*H37/1000)</f>
        <v>0</v>
      </c>
      <c r="J37" s="16" t="s">
        <v>170</v>
      </c>
      <c r="K37" s="18"/>
      <c r="L37" s="19">
        <f t="shared" ref="L37:L40" si="87">(C37*D37*K37/1000)</f>
        <v>0</v>
      </c>
      <c r="M37" s="16" t="s">
        <v>175</v>
      </c>
      <c r="N37" s="18">
        <v>1</v>
      </c>
      <c r="O37" s="19">
        <f t="shared" ref="O37:O40" si="88">(C37*D37*N37/1000)</f>
        <v>0.11682000000000001</v>
      </c>
      <c r="P37" s="16"/>
      <c r="Q37" s="18"/>
      <c r="R37" s="19">
        <f t="shared" ref="R37:R40" si="89">(C37*D37*Q37/1000)</f>
        <v>0</v>
      </c>
      <c r="S37" s="20">
        <f t="shared" ref="S37:S40" si="90">+H37+K37+Q37+N37</f>
        <v>1</v>
      </c>
      <c r="T37" s="19">
        <f t="shared" ref="T37:T40" si="91">+I37+L37+R37+O37</f>
        <v>0.11682000000000001</v>
      </c>
      <c r="U37" s="21">
        <f t="shared" ref="U37:U40" si="92">E37-S37</f>
        <v>-1</v>
      </c>
      <c r="V37" s="19">
        <f t="shared" ref="V37:V40" si="93">F37-T37</f>
        <v>-0.11682000000000001</v>
      </c>
      <c r="X37" s="29"/>
    </row>
    <row r="38" spans="1:24">
      <c r="A38" s="26" t="s">
        <v>13</v>
      </c>
      <c r="B38" s="26" t="s">
        <v>32</v>
      </c>
      <c r="C38" s="26">
        <v>11.8</v>
      </c>
      <c r="D38" s="27">
        <v>9.6999999999999993</v>
      </c>
      <c r="E38" s="28"/>
      <c r="F38" s="16">
        <f t="shared" si="85"/>
        <v>0</v>
      </c>
      <c r="G38" s="16"/>
      <c r="H38" s="18"/>
      <c r="I38" s="19">
        <f t="shared" si="86"/>
        <v>0</v>
      </c>
      <c r="J38" s="16"/>
      <c r="K38" s="18"/>
      <c r="L38" s="19">
        <f t="shared" si="87"/>
        <v>0</v>
      </c>
      <c r="M38" s="16"/>
      <c r="N38" s="18">
        <v>2</v>
      </c>
      <c r="O38" s="19">
        <f t="shared" si="88"/>
        <v>0.22891999999999998</v>
      </c>
      <c r="P38" s="16"/>
      <c r="Q38" s="18"/>
      <c r="R38" s="19">
        <f t="shared" si="89"/>
        <v>0</v>
      </c>
      <c r="S38" s="20">
        <f t="shared" si="90"/>
        <v>2</v>
      </c>
      <c r="T38" s="19">
        <f t="shared" si="91"/>
        <v>0.22891999999999998</v>
      </c>
      <c r="U38" s="21">
        <f t="shared" si="92"/>
        <v>-2</v>
      </c>
      <c r="V38" s="19">
        <f t="shared" si="93"/>
        <v>-0.22891999999999998</v>
      </c>
      <c r="X38" s="29"/>
    </row>
    <row r="39" spans="1:24">
      <c r="A39" s="26" t="s">
        <v>13</v>
      </c>
      <c r="B39" s="26" t="s">
        <v>32</v>
      </c>
      <c r="C39" s="26">
        <v>11.8</v>
      </c>
      <c r="D39" s="27">
        <v>10</v>
      </c>
      <c r="E39" s="28"/>
      <c r="F39" s="16">
        <f t="shared" si="85"/>
        <v>0</v>
      </c>
      <c r="G39" s="16"/>
      <c r="H39" s="18"/>
      <c r="I39" s="19">
        <f t="shared" si="86"/>
        <v>0</v>
      </c>
      <c r="J39" s="16"/>
      <c r="K39" s="18"/>
      <c r="L39" s="19">
        <f t="shared" si="87"/>
        <v>0</v>
      </c>
      <c r="M39" s="16"/>
      <c r="N39" s="18">
        <v>3</v>
      </c>
      <c r="O39" s="19">
        <f t="shared" si="88"/>
        <v>0.35399999999999998</v>
      </c>
      <c r="P39" s="16"/>
      <c r="Q39" s="18"/>
      <c r="R39" s="19">
        <f t="shared" si="89"/>
        <v>0</v>
      </c>
      <c r="S39" s="20">
        <f t="shared" si="90"/>
        <v>3</v>
      </c>
      <c r="T39" s="19">
        <f t="shared" si="91"/>
        <v>0.35399999999999998</v>
      </c>
      <c r="U39" s="21">
        <f t="shared" si="92"/>
        <v>-3</v>
      </c>
      <c r="V39" s="19">
        <f t="shared" si="93"/>
        <v>-0.35399999999999998</v>
      </c>
      <c r="X39" s="29"/>
    </row>
    <row r="40" spans="1:24">
      <c r="A40" s="26" t="s">
        <v>13</v>
      </c>
      <c r="B40" s="26" t="s">
        <v>32</v>
      </c>
      <c r="C40" s="26">
        <v>11.8</v>
      </c>
      <c r="D40" s="27"/>
      <c r="E40" s="28"/>
      <c r="F40" s="16">
        <f t="shared" si="85"/>
        <v>0</v>
      </c>
      <c r="G40" s="16"/>
      <c r="H40" s="18"/>
      <c r="I40" s="19">
        <f t="shared" si="86"/>
        <v>0</v>
      </c>
      <c r="J40" s="16"/>
      <c r="K40" s="18"/>
      <c r="L40" s="19">
        <f t="shared" si="87"/>
        <v>0</v>
      </c>
      <c r="M40" s="16"/>
      <c r="N40" s="18"/>
      <c r="O40" s="19">
        <f t="shared" si="88"/>
        <v>0</v>
      </c>
      <c r="P40" s="16"/>
      <c r="Q40" s="18"/>
      <c r="R40" s="19">
        <f t="shared" si="89"/>
        <v>0</v>
      </c>
      <c r="S40" s="20">
        <f t="shared" si="90"/>
        <v>0</v>
      </c>
      <c r="T40" s="19">
        <f t="shared" si="91"/>
        <v>0</v>
      </c>
      <c r="U40" s="21">
        <f t="shared" si="92"/>
        <v>0</v>
      </c>
      <c r="V40" s="19">
        <f t="shared" si="93"/>
        <v>0</v>
      </c>
      <c r="X40" s="29"/>
    </row>
    <row r="41" spans="1:24">
      <c r="A41" s="36"/>
      <c r="B41" s="36" t="s">
        <v>139</v>
      </c>
      <c r="C41" s="36"/>
      <c r="D41" s="38"/>
      <c r="E41" s="31">
        <f t="shared" ref="E41:F41" si="94">SUM(E36:E40)</f>
        <v>104</v>
      </c>
      <c r="F41" s="38">
        <f t="shared" si="94"/>
        <v>12.394720000000001</v>
      </c>
      <c r="G41" s="16"/>
      <c r="H41" s="31">
        <f t="shared" ref="H41" si="95">SUM(H36:H40)</f>
        <v>51</v>
      </c>
      <c r="I41" s="38">
        <f t="shared" ref="I41" si="96">SUM(I36:I40)</f>
        <v>6.0781800000000006</v>
      </c>
      <c r="J41" s="16"/>
      <c r="K41" s="31">
        <f t="shared" ref="K41" si="97">SUM(K36:K40)</f>
        <v>30</v>
      </c>
      <c r="L41" s="38">
        <f t="shared" ref="L41" si="98">SUM(L36:L40)</f>
        <v>3.5754000000000001</v>
      </c>
      <c r="M41" s="16"/>
      <c r="N41" s="31">
        <f t="shared" ref="N41" si="99">SUM(N36:N40)</f>
        <v>24</v>
      </c>
      <c r="O41" s="38">
        <f t="shared" ref="O41" si="100">SUM(O36:O40)</f>
        <v>2.8449800000000005</v>
      </c>
      <c r="P41" s="16"/>
      <c r="Q41" s="31">
        <f t="shared" ref="Q41" si="101">SUM(Q36:Q40)</f>
        <v>0</v>
      </c>
      <c r="R41" s="38">
        <f t="shared" ref="R41" si="102">SUM(R36:R40)</f>
        <v>0</v>
      </c>
      <c r="S41" s="31">
        <f t="shared" ref="S41" si="103">SUM(S36:S40)</f>
        <v>105</v>
      </c>
      <c r="T41" s="38">
        <f t="shared" ref="T41" si="104">SUM(T36:T40)</f>
        <v>12.498560000000003</v>
      </c>
      <c r="U41" s="31">
        <f t="shared" ref="U41" si="105">SUM(U36:U40)</f>
        <v>-1</v>
      </c>
      <c r="V41" s="38">
        <f t="shared" ref="V41" si="106">SUM(V36:V40)</f>
        <v>-0.10384000000000149</v>
      </c>
      <c r="X41" s="29"/>
    </row>
    <row r="42" spans="1:24">
      <c r="A42" s="26" t="s">
        <v>13</v>
      </c>
      <c r="B42" s="26" t="s">
        <v>25</v>
      </c>
      <c r="C42" s="26">
        <v>13.4</v>
      </c>
      <c r="D42" s="27">
        <v>8.3000000000000007</v>
      </c>
      <c r="E42" s="28">
        <v>16</v>
      </c>
      <c r="F42" s="16">
        <f t="shared" ref="F42:F55" si="107">(C42*D42*E42/1000)</f>
        <v>1.7795200000000002</v>
      </c>
      <c r="G42" s="17" t="s">
        <v>89</v>
      </c>
      <c r="H42" s="18"/>
      <c r="I42" s="19">
        <f t="shared" ref="I42:I55" si="108">(C42*D42*H42/1000)</f>
        <v>0</v>
      </c>
      <c r="J42" s="16" t="s">
        <v>88</v>
      </c>
      <c r="K42" s="18">
        <v>9</v>
      </c>
      <c r="L42" s="19">
        <f t="shared" ref="L42:L55" si="109">(C42*D42*K42/1000)</f>
        <v>1.0009800000000002</v>
      </c>
      <c r="M42" s="16" t="s">
        <v>88</v>
      </c>
      <c r="N42" s="18"/>
      <c r="O42" s="19">
        <f t="shared" ref="O42:O55" si="110">(C42*D42*N42/1000)</f>
        <v>0</v>
      </c>
      <c r="P42" s="16" t="s">
        <v>89</v>
      </c>
      <c r="Q42" s="18"/>
      <c r="R42" s="19">
        <f t="shared" ref="R42:R55" si="111">(C42*D42*Q42/1000)</f>
        <v>0</v>
      </c>
      <c r="S42" s="20">
        <f t="shared" ref="S42:S55" si="112">+H42+K42+Q42+N42</f>
        <v>9</v>
      </c>
      <c r="T42" s="19">
        <f t="shared" ref="T42:T55" si="113">+I42+L42+R42+O42</f>
        <v>1.0009800000000002</v>
      </c>
      <c r="U42" s="21">
        <f t="shared" ref="U42:U55" si="114">E42-S42</f>
        <v>7</v>
      </c>
      <c r="V42" s="19">
        <f t="shared" ref="V42:V55" si="115">F42-T42</f>
        <v>0.77854000000000001</v>
      </c>
      <c r="X42" s="29"/>
    </row>
    <row r="43" spans="1:24">
      <c r="A43" s="26" t="s">
        <v>13</v>
      </c>
      <c r="B43" s="26" t="s">
        <v>25</v>
      </c>
      <c r="C43" s="26">
        <v>13.4</v>
      </c>
      <c r="D43" s="27">
        <v>11</v>
      </c>
      <c r="E43" s="28">
        <v>208</v>
      </c>
      <c r="F43" s="16">
        <f t="shared" si="107"/>
        <v>30.659200000000002</v>
      </c>
      <c r="G43" s="17" t="s">
        <v>169</v>
      </c>
      <c r="H43" s="18">
        <v>95</v>
      </c>
      <c r="I43" s="19">
        <f t="shared" si="108"/>
        <v>14.003</v>
      </c>
      <c r="J43" s="16" t="s">
        <v>169</v>
      </c>
      <c r="K43" s="18">
        <v>83</v>
      </c>
      <c r="L43" s="19">
        <f t="shared" si="109"/>
        <v>12.234200000000001</v>
      </c>
      <c r="M43" s="16" t="s">
        <v>170</v>
      </c>
      <c r="N43" s="18">
        <v>27</v>
      </c>
      <c r="O43" s="19">
        <f t="shared" si="110"/>
        <v>3.9798</v>
      </c>
      <c r="P43" s="16" t="s">
        <v>195</v>
      </c>
      <c r="Q43" s="18"/>
      <c r="R43" s="19">
        <f t="shared" si="111"/>
        <v>0</v>
      </c>
      <c r="S43" s="20">
        <f t="shared" si="112"/>
        <v>205</v>
      </c>
      <c r="T43" s="19">
        <f t="shared" si="113"/>
        <v>30.217000000000002</v>
      </c>
      <c r="U43" s="21">
        <f t="shared" si="114"/>
        <v>3</v>
      </c>
      <c r="V43" s="19">
        <f t="shared" si="115"/>
        <v>0.4421999999999997</v>
      </c>
      <c r="X43" s="29"/>
    </row>
    <row r="44" spans="1:24">
      <c r="A44" s="26" t="s">
        <v>13</v>
      </c>
      <c r="B44" s="26" t="s">
        <v>25</v>
      </c>
      <c r="C44" s="26">
        <v>13.4</v>
      </c>
      <c r="D44" s="27">
        <v>12</v>
      </c>
      <c r="E44" s="28">
        <v>1</v>
      </c>
      <c r="F44" s="16">
        <f t="shared" ref="F44:F54" si="116">(C44*D44*E44/1000)</f>
        <v>0.1608</v>
      </c>
      <c r="G44" s="17"/>
      <c r="H44" s="18"/>
      <c r="I44" s="19">
        <f t="shared" ref="I44:I54" si="117">(C44*D44*H44/1000)</f>
        <v>0</v>
      </c>
      <c r="J44" s="16"/>
      <c r="K44" s="18">
        <v>1</v>
      </c>
      <c r="L44" s="19">
        <f t="shared" ref="L44:L54" si="118">(C44*D44*K44/1000)</f>
        <v>0.1608</v>
      </c>
      <c r="M44" s="16"/>
      <c r="N44" s="18"/>
      <c r="O44" s="19">
        <f t="shared" ref="O44:O54" si="119">(C44*D44*N44/1000)</f>
        <v>0</v>
      </c>
      <c r="P44" s="16"/>
      <c r="Q44" s="18"/>
      <c r="R44" s="19">
        <f t="shared" ref="R44:R54" si="120">(C44*D44*Q44/1000)</f>
        <v>0</v>
      </c>
      <c r="S44" s="20">
        <f t="shared" ref="S44:S54" si="121">+H44+K44+Q44+N44</f>
        <v>1</v>
      </c>
      <c r="T44" s="19">
        <f t="shared" ref="T44:T54" si="122">+I44+L44+R44+O44</f>
        <v>0.1608</v>
      </c>
      <c r="U44" s="21">
        <f t="shared" ref="U44:U54" si="123">E44-S44</f>
        <v>0</v>
      </c>
      <c r="V44" s="19">
        <f t="shared" ref="V44:V54" si="124">F44-T44</f>
        <v>0</v>
      </c>
      <c r="X44" s="29"/>
    </row>
    <row r="45" spans="1:24">
      <c r="A45" s="26" t="s">
        <v>13</v>
      </c>
      <c r="B45" s="26" t="s">
        <v>25</v>
      </c>
      <c r="C45" s="26">
        <v>13.4</v>
      </c>
      <c r="D45" s="27">
        <v>6.1</v>
      </c>
      <c r="E45" s="28"/>
      <c r="F45" s="16">
        <f t="shared" si="116"/>
        <v>0</v>
      </c>
      <c r="G45" s="17"/>
      <c r="H45" s="18"/>
      <c r="I45" s="19">
        <f t="shared" si="117"/>
        <v>0</v>
      </c>
      <c r="J45" s="16"/>
      <c r="K45" s="18"/>
      <c r="L45" s="19">
        <f t="shared" si="118"/>
        <v>0</v>
      </c>
      <c r="M45" s="16"/>
      <c r="N45" s="18"/>
      <c r="O45" s="19">
        <f t="shared" si="119"/>
        <v>0</v>
      </c>
      <c r="P45" s="16"/>
      <c r="Q45" s="18">
        <v>1</v>
      </c>
      <c r="R45" s="19">
        <f t="shared" si="120"/>
        <v>8.1739999999999993E-2</v>
      </c>
      <c r="S45" s="20">
        <f t="shared" si="121"/>
        <v>1</v>
      </c>
      <c r="T45" s="19">
        <f t="shared" si="122"/>
        <v>8.1739999999999993E-2</v>
      </c>
      <c r="U45" s="21">
        <f t="shared" si="123"/>
        <v>-1</v>
      </c>
      <c r="V45" s="19">
        <f t="shared" si="124"/>
        <v>-8.1739999999999993E-2</v>
      </c>
      <c r="X45" s="29"/>
    </row>
    <row r="46" spans="1:24">
      <c r="A46" s="26" t="s">
        <v>13</v>
      </c>
      <c r="B46" s="26" t="s">
        <v>25</v>
      </c>
      <c r="C46" s="26">
        <v>13.4</v>
      </c>
      <c r="D46" s="27">
        <v>9.1</v>
      </c>
      <c r="E46" s="28"/>
      <c r="F46" s="16">
        <f t="shared" si="116"/>
        <v>0</v>
      </c>
      <c r="G46" s="17"/>
      <c r="H46" s="18"/>
      <c r="I46" s="19">
        <f t="shared" si="117"/>
        <v>0</v>
      </c>
      <c r="J46" s="16"/>
      <c r="K46" s="18"/>
      <c r="L46" s="19">
        <f t="shared" si="118"/>
        <v>0</v>
      </c>
      <c r="M46" s="16"/>
      <c r="N46" s="18"/>
      <c r="O46" s="19">
        <f t="shared" si="119"/>
        <v>0</v>
      </c>
      <c r="P46" s="16"/>
      <c r="Q46" s="18">
        <v>3</v>
      </c>
      <c r="R46" s="19">
        <f t="shared" si="120"/>
        <v>0.36581999999999998</v>
      </c>
      <c r="S46" s="20">
        <f t="shared" si="121"/>
        <v>3</v>
      </c>
      <c r="T46" s="19">
        <f t="shared" si="122"/>
        <v>0.36581999999999998</v>
      </c>
      <c r="U46" s="21">
        <f t="shared" si="123"/>
        <v>-3</v>
      </c>
      <c r="V46" s="19">
        <f t="shared" si="124"/>
        <v>-0.36581999999999998</v>
      </c>
      <c r="X46" s="29"/>
    </row>
    <row r="47" spans="1:24">
      <c r="A47" s="26" t="s">
        <v>13</v>
      </c>
      <c r="B47" s="26" t="s">
        <v>25</v>
      </c>
      <c r="C47" s="26">
        <v>13.4</v>
      </c>
      <c r="D47" s="27">
        <v>10.1</v>
      </c>
      <c r="E47" s="28"/>
      <c r="F47" s="16">
        <f t="shared" si="116"/>
        <v>0</v>
      </c>
      <c r="G47" s="17"/>
      <c r="H47" s="18"/>
      <c r="I47" s="19">
        <f t="shared" si="117"/>
        <v>0</v>
      </c>
      <c r="J47" s="16"/>
      <c r="K47" s="18"/>
      <c r="L47" s="19">
        <f t="shared" si="118"/>
        <v>0</v>
      </c>
      <c r="M47" s="16"/>
      <c r="N47" s="18"/>
      <c r="O47" s="19">
        <f t="shared" si="119"/>
        <v>0</v>
      </c>
      <c r="P47" s="16"/>
      <c r="Q47" s="18">
        <v>1</v>
      </c>
      <c r="R47" s="19">
        <f t="shared" si="120"/>
        <v>0.13534000000000002</v>
      </c>
      <c r="S47" s="20">
        <f t="shared" si="121"/>
        <v>1</v>
      </c>
      <c r="T47" s="19">
        <f t="shared" si="122"/>
        <v>0.13534000000000002</v>
      </c>
      <c r="U47" s="21">
        <f t="shared" si="123"/>
        <v>-1</v>
      </c>
      <c r="V47" s="19">
        <f t="shared" si="124"/>
        <v>-0.13534000000000002</v>
      </c>
      <c r="X47" s="29"/>
    </row>
    <row r="48" spans="1:24">
      <c r="A48" s="26" t="s">
        <v>13</v>
      </c>
      <c r="B48" s="26" t="s">
        <v>25</v>
      </c>
      <c r="C48" s="26">
        <v>13.4</v>
      </c>
      <c r="D48" s="27">
        <v>10.7</v>
      </c>
      <c r="E48" s="28"/>
      <c r="F48" s="16">
        <f t="shared" si="116"/>
        <v>0</v>
      </c>
      <c r="G48" s="17"/>
      <c r="H48" s="18"/>
      <c r="I48" s="19">
        <f t="shared" si="117"/>
        <v>0</v>
      </c>
      <c r="J48" s="16"/>
      <c r="K48" s="18"/>
      <c r="L48" s="19">
        <f t="shared" si="118"/>
        <v>0</v>
      </c>
      <c r="M48" s="16"/>
      <c r="N48" s="18"/>
      <c r="O48" s="19">
        <f t="shared" si="119"/>
        <v>0</v>
      </c>
      <c r="P48" s="16"/>
      <c r="Q48" s="18">
        <v>1</v>
      </c>
      <c r="R48" s="19">
        <f t="shared" si="120"/>
        <v>0.14338000000000001</v>
      </c>
      <c r="S48" s="20">
        <f t="shared" si="121"/>
        <v>1</v>
      </c>
      <c r="T48" s="19">
        <f t="shared" si="122"/>
        <v>0.14338000000000001</v>
      </c>
      <c r="U48" s="21">
        <f t="shared" si="123"/>
        <v>-1</v>
      </c>
      <c r="V48" s="19">
        <f t="shared" si="124"/>
        <v>-0.14338000000000001</v>
      </c>
      <c r="X48" s="29"/>
    </row>
    <row r="49" spans="1:24">
      <c r="A49" s="26" t="s">
        <v>13</v>
      </c>
      <c r="B49" s="26" t="s">
        <v>25</v>
      </c>
      <c r="C49" s="26">
        <v>13.4</v>
      </c>
      <c r="D49" s="27">
        <v>10.9</v>
      </c>
      <c r="E49" s="28"/>
      <c r="F49" s="16">
        <f t="shared" si="116"/>
        <v>0</v>
      </c>
      <c r="G49" s="17"/>
      <c r="H49" s="18"/>
      <c r="I49" s="19">
        <f t="shared" si="117"/>
        <v>0</v>
      </c>
      <c r="J49" s="16"/>
      <c r="K49" s="18"/>
      <c r="L49" s="19">
        <f t="shared" si="118"/>
        <v>0</v>
      </c>
      <c r="M49" s="16"/>
      <c r="N49" s="18"/>
      <c r="O49" s="19">
        <f t="shared" si="119"/>
        <v>0</v>
      </c>
      <c r="P49" s="16"/>
      <c r="Q49" s="18">
        <v>1</v>
      </c>
      <c r="R49" s="19">
        <f t="shared" si="120"/>
        <v>0.14606</v>
      </c>
      <c r="S49" s="20">
        <f t="shared" si="121"/>
        <v>1</v>
      </c>
      <c r="T49" s="19">
        <f t="shared" si="122"/>
        <v>0.14606</v>
      </c>
      <c r="U49" s="21">
        <f t="shared" si="123"/>
        <v>-1</v>
      </c>
      <c r="V49" s="19">
        <f t="shared" si="124"/>
        <v>-0.14606</v>
      </c>
      <c r="X49" s="29"/>
    </row>
    <row r="50" spans="1:24">
      <c r="A50" s="26" t="s">
        <v>13</v>
      </c>
      <c r="B50" s="26" t="s">
        <v>25</v>
      </c>
      <c r="C50" s="26">
        <v>13.4</v>
      </c>
      <c r="D50" s="27">
        <v>6.25</v>
      </c>
      <c r="E50" s="28"/>
      <c r="F50" s="16">
        <f t="shared" si="116"/>
        <v>0</v>
      </c>
      <c r="G50" s="17"/>
      <c r="H50" s="18"/>
      <c r="I50" s="19">
        <f t="shared" si="117"/>
        <v>0</v>
      </c>
      <c r="J50" s="16"/>
      <c r="K50" s="18"/>
      <c r="L50" s="19">
        <f t="shared" si="118"/>
        <v>0</v>
      </c>
      <c r="M50" s="16"/>
      <c r="N50" s="18"/>
      <c r="O50" s="19">
        <f t="shared" si="119"/>
        <v>0</v>
      </c>
      <c r="P50" s="16"/>
      <c r="Q50" s="18">
        <v>2</v>
      </c>
      <c r="R50" s="19">
        <f t="shared" si="120"/>
        <v>0.16750000000000001</v>
      </c>
      <c r="S50" s="20">
        <f t="shared" si="121"/>
        <v>2</v>
      </c>
      <c r="T50" s="19">
        <f t="shared" si="122"/>
        <v>0.16750000000000001</v>
      </c>
      <c r="U50" s="21">
        <f t="shared" si="123"/>
        <v>-2</v>
      </c>
      <c r="V50" s="19">
        <f t="shared" si="124"/>
        <v>-0.16750000000000001</v>
      </c>
      <c r="X50" s="29"/>
    </row>
    <row r="51" spans="1:24">
      <c r="A51" s="26" t="s">
        <v>13</v>
      </c>
      <c r="B51" s="26" t="s">
        <v>25</v>
      </c>
      <c r="C51" s="26">
        <v>13.4</v>
      </c>
      <c r="D51" s="27">
        <v>6.5</v>
      </c>
      <c r="E51" s="28"/>
      <c r="F51" s="16">
        <f t="shared" si="116"/>
        <v>0</v>
      </c>
      <c r="G51" s="17"/>
      <c r="H51" s="18"/>
      <c r="I51" s="19">
        <f t="shared" si="117"/>
        <v>0</v>
      </c>
      <c r="J51" s="16"/>
      <c r="K51" s="18"/>
      <c r="L51" s="19">
        <f t="shared" si="118"/>
        <v>0</v>
      </c>
      <c r="M51" s="16"/>
      <c r="N51" s="18"/>
      <c r="O51" s="19">
        <f t="shared" si="119"/>
        <v>0</v>
      </c>
      <c r="P51" s="16"/>
      <c r="Q51" s="18">
        <v>1</v>
      </c>
      <c r="R51" s="19">
        <f t="shared" si="120"/>
        <v>8.7100000000000011E-2</v>
      </c>
      <c r="S51" s="20">
        <f t="shared" si="121"/>
        <v>1</v>
      </c>
      <c r="T51" s="19">
        <f t="shared" si="122"/>
        <v>8.7100000000000011E-2</v>
      </c>
      <c r="U51" s="21">
        <f t="shared" si="123"/>
        <v>-1</v>
      </c>
      <c r="V51" s="19">
        <f t="shared" si="124"/>
        <v>-8.7100000000000011E-2</v>
      </c>
      <c r="X51" s="29"/>
    </row>
    <row r="52" spans="1:24">
      <c r="A52" s="26" t="s">
        <v>13</v>
      </c>
      <c r="B52" s="26" t="s">
        <v>25</v>
      </c>
      <c r="C52" s="26">
        <v>13.4</v>
      </c>
      <c r="D52" s="27">
        <v>7.4</v>
      </c>
      <c r="E52" s="28"/>
      <c r="F52" s="16">
        <f t="shared" si="116"/>
        <v>0</v>
      </c>
      <c r="G52" s="17"/>
      <c r="H52" s="18"/>
      <c r="I52" s="19">
        <f t="shared" si="117"/>
        <v>0</v>
      </c>
      <c r="J52" s="16"/>
      <c r="K52" s="18"/>
      <c r="L52" s="19">
        <f t="shared" si="118"/>
        <v>0</v>
      </c>
      <c r="M52" s="16"/>
      <c r="N52" s="18"/>
      <c r="O52" s="19">
        <f t="shared" si="119"/>
        <v>0</v>
      </c>
      <c r="P52" s="16"/>
      <c r="Q52" s="18">
        <v>2</v>
      </c>
      <c r="R52" s="19">
        <f t="shared" si="120"/>
        <v>0.19832000000000002</v>
      </c>
      <c r="S52" s="20">
        <f t="shared" si="121"/>
        <v>2</v>
      </c>
      <c r="T52" s="19">
        <f t="shared" si="122"/>
        <v>0.19832000000000002</v>
      </c>
      <c r="U52" s="21">
        <f t="shared" si="123"/>
        <v>-2</v>
      </c>
      <c r="V52" s="19">
        <f t="shared" si="124"/>
        <v>-0.19832000000000002</v>
      </c>
      <c r="X52" s="29"/>
    </row>
    <row r="53" spans="1:24">
      <c r="A53" s="26" t="s">
        <v>13</v>
      </c>
      <c r="B53" s="26" t="s">
        <v>25</v>
      </c>
      <c r="C53" s="26">
        <v>13.4</v>
      </c>
      <c r="D53" s="27"/>
      <c r="E53" s="28"/>
      <c r="F53" s="16">
        <f t="shared" si="116"/>
        <v>0</v>
      </c>
      <c r="G53" s="17"/>
      <c r="H53" s="18"/>
      <c r="I53" s="19">
        <f t="shared" si="117"/>
        <v>0</v>
      </c>
      <c r="J53" s="16"/>
      <c r="K53" s="18"/>
      <c r="L53" s="19">
        <f t="shared" si="118"/>
        <v>0</v>
      </c>
      <c r="M53" s="16"/>
      <c r="N53" s="18"/>
      <c r="O53" s="19">
        <f t="shared" si="119"/>
        <v>0</v>
      </c>
      <c r="P53" s="16"/>
      <c r="Q53" s="18"/>
      <c r="R53" s="19">
        <f t="shared" si="120"/>
        <v>0</v>
      </c>
      <c r="S53" s="20">
        <f t="shared" si="121"/>
        <v>0</v>
      </c>
      <c r="T53" s="19">
        <f t="shared" si="122"/>
        <v>0</v>
      </c>
      <c r="U53" s="21">
        <f t="shared" si="123"/>
        <v>0</v>
      </c>
      <c r="V53" s="19">
        <f t="shared" si="124"/>
        <v>0</v>
      </c>
      <c r="X53" s="29"/>
    </row>
    <row r="54" spans="1:24">
      <c r="A54" s="26" t="s">
        <v>13</v>
      </c>
      <c r="B54" s="26" t="s">
        <v>25</v>
      </c>
      <c r="C54" s="26">
        <v>13.4</v>
      </c>
      <c r="D54" s="27"/>
      <c r="E54" s="28"/>
      <c r="F54" s="16">
        <f t="shared" si="116"/>
        <v>0</v>
      </c>
      <c r="G54" s="17"/>
      <c r="H54" s="18"/>
      <c r="I54" s="19">
        <f t="shared" si="117"/>
        <v>0</v>
      </c>
      <c r="J54" s="16"/>
      <c r="K54" s="18"/>
      <c r="L54" s="19">
        <f t="shared" si="118"/>
        <v>0</v>
      </c>
      <c r="M54" s="16"/>
      <c r="N54" s="18"/>
      <c r="O54" s="19">
        <f t="shared" si="119"/>
        <v>0</v>
      </c>
      <c r="P54" s="16"/>
      <c r="Q54" s="18"/>
      <c r="R54" s="19">
        <f t="shared" si="120"/>
        <v>0</v>
      </c>
      <c r="S54" s="20">
        <f t="shared" si="121"/>
        <v>0</v>
      </c>
      <c r="T54" s="19">
        <f t="shared" si="122"/>
        <v>0</v>
      </c>
      <c r="U54" s="21">
        <f t="shared" si="123"/>
        <v>0</v>
      </c>
      <c r="V54" s="19">
        <f t="shared" si="124"/>
        <v>0</v>
      </c>
      <c r="X54" s="29"/>
    </row>
    <row r="55" spans="1:24">
      <c r="A55" s="26" t="s">
        <v>13</v>
      </c>
      <c r="B55" s="26" t="s">
        <v>25</v>
      </c>
      <c r="C55" s="26">
        <v>13.4</v>
      </c>
      <c r="D55" s="27"/>
      <c r="E55" s="28"/>
      <c r="F55" s="16">
        <f t="shared" si="107"/>
        <v>0</v>
      </c>
      <c r="G55" s="17"/>
      <c r="H55" s="18"/>
      <c r="I55" s="19">
        <f t="shared" si="108"/>
        <v>0</v>
      </c>
      <c r="J55" s="16"/>
      <c r="K55" s="18"/>
      <c r="L55" s="19">
        <f t="shared" si="109"/>
        <v>0</v>
      </c>
      <c r="M55" s="16"/>
      <c r="N55" s="18"/>
      <c r="O55" s="19">
        <f t="shared" si="110"/>
        <v>0</v>
      </c>
      <c r="P55" s="16"/>
      <c r="Q55" s="18"/>
      <c r="R55" s="19">
        <f t="shared" si="111"/>
        <v>0</v>
      </c>
      <c r="S55" s="20">
        <f t="shared" si="112"/>
        <v>0</v>
      </c>
      <c r="T55" s="19">
        <f t="shared" si="113"/>
        <v>0</v>
      </c>
      <c r="U55" s="21">
        <f t="shared" si="114"/>
        <v>0</v>
      </c>
      <c r="V55" s="19">
        <f t="shared" si="115"/>
        <v>0</v>
      </c>
      <c r="X55" s="29"/>
    </row>
    <row r="56" spans="1:24">
      <c r="A56" s="36"/>
      <c r="B56" s="36" t="s">
        <v>139</v>
      </c>
      <c r="C56" s="36"/>
      <c r="D56" s="38"/>
      <c r="E56" s="31">
        <f t="shared" ref="E56" si="125">SUM(E42:E55)</f>
        <v>225</v>
      </c>
      <c r="F56" s="38">
        <f>SUM(F42:F55)</f>
        <v>32.599520000000005</v>
      </c>
      <c r="G56" s="17"/>
      <c r="H56" s="31">
        <f t="shared" ref="H56" si="126">SUM(H42:H55)</f>
        <v>95</v>
      </c>
      <c r="I56" s="38">
        <f>SUM(I42:I55)</f>
        <v>14.003</v>
      </c>
      <c r="J56" s="16"/>
      <c r="K56" s="31">
        <f>SUM(K42:K55)</f>
        <v>93</v>
      </c>
      <c r="L56" s="38">
        <f>SUM(L42:L55)</f>
        <v>13.395980000000002</v>
      </c>
      <c r="M56" s="16"/>
      <c r="N56" s="31">
        <f>SUM(N42:N55)</f>
        <v>27</v>
      </c>
      <c r="O56" s="38">
        <f>SUM(O42:O55)</f>
        <v>3.9798</v>
      </c>
      <c r="P56" s="16"/>
      <c r="Q56" s="31">
        <f t="shared" ref="Q56" si="127">SUM(Q42:Q55)</f>
        <v>12</v>
      </c>
      <c r="R56" s="38">
        <f t="shared" ref="R56" si="128">SUM(R42:R55)</f>
        <v>1.3252600000000001</v>
      </c>
      <c r="S56" s="31">
        <f>SUM(S42:S55)</f>
        <v>227</v>
      </c>
      <c r="T56" s="38">
        <f>SUM(T42:T55)</f>
        <v>32.704039999999999</v>
      </c>
      <c r="U56" s="31">
        <f>SUM(U42:U55)</f>
        <v>-2</v>
      </c>
      <c r="V56" s="38">
        <f>SUM(V42:V55)</f>
        <v>-0.10452000000000033</v>
      </c>
      <c r="X56" s="29"/>
    </row>
    <row r="57" spans="1:24">
      <c r="A57" s="26" t="s">
        <v>13</v>
      </c>
      <c r="B57" s="26" t="s">
        <v>33</v>
      </c>
      <c r="C57" s="26">
        <v>15</v>
      </c>
      <c r="D57" s="27">
        <v>10.101000000000001</v>
      </c>
      <c r="E57" s="28">
        <v>208</v>
      </c>
      <c r="F57" s="16">
        <f t="shared" ref="F57:F58" si="129">(C57*D57*E57/1000)</f>
        <v>31.515120000000003</v>
      </c>
      <c r="G57" s="16" t="s">
        <v>93</v>
      </c>
      <c r="H57" s="18">
        <v>107</v>
      </c>
      <c r="I57" s="19">
        <f t="shared" ref="I57:I58" si="130">(C57*D57*H57/1000)</f>
        <v>16.212105000000001</v>
      </c>
      <c r="J57" s="17" t="s">
        <v>89</v>
      </c>
      <c r="K57" s="18">
        <f>25+76</f>
        <v>101</v>
      </c>
      <c r="L57" s="19">
        <f t="shared" ref="L57:L58" si="131">(C57*D57*K57/1000)</f>
        <v>15.303015000000002</v>
      </c>
      <c r="M57" s="16"/>
      <c r="N57" s="18"/>
      <c r="O57" s="19">
        <f t="shared" ref="O57:O58" si="132">(C57*D57*N57/1000)</f>
        <v>0</v>
      </c>
      <c r="P57" s="16"/>
      <c r="Q57" s="18"/>
      <c r="R57" s="19">
        <f t="shared" ref="R57:R58" si="133">(C57*D57*Q57/1000)</f>
        <v>0</v>
      </c>
      <c r="S57" s="20">
        <f t="shared" ref="S57:S58" si="134">+H57+K57+Q57+N57</f>
        <v>208</v>
      </c>
      <c r="T57" s="19">
        <f t="shared" ref="T57:T58" si="135">+I57+L57+R57+O57</f>
        <v>31.515120000000003</v>
      </c>
      <c r="U57" s="21">
        <f t="shared" ref="U57:U58" si="136">E57-S57</f>
        <v>0</v>
      </c>
      <c r="V57" s="19">
        <f t="shared" ref="V57:V58" si="137">F57-T57</f>
        <v>0</v>
      </c>
      <c r="X57" s="29"/>
    </row>
    <row r="58" spans="1:24">
      <c r="A58" s="26" t="s">
        <v>13</v>
      </c>
      <c r="B58" s="26" t="s">
        <v>33</v>
      </c>
      <c r="C58" s="26">
        <v>15</v>
      </c>
      <c r="D58" s="27">
        <v>11.4</v>
      </c>
      <c r="E58" s="28">
        <v>8</v>
      </c>
      <c r="F58" s="16">
        <f t="shared" si="129"/>
        <v>1.3680000000000001</v>
      </c>
      <c r="G58" s="16" t="s">
        <v>169</v>
      </c>
      <c r="H58" s="18"/>
      <c r="I58" s="19">
        <f t="shared" si="130"/>
        <v>0</v>
      </c>
      <c r="J58" s="17" t="s">
        <v>169</v>
      </c>
      <c r="K58" s="18">
        <v>8</v>
      </c>
      <c r="L58" s="19">
        <f t="shared" si="131"/>
        <v>1.3680000000000001</v>
      </c>
      <c r="M58" s="16"/>
      <c r="N58" s="18"/>
      <c r="O58" s="19">
        <f t="shared" si="132"/>
        <v>0</v>
      </c>
      <c r="P58" s="16"/>
      <c r="Q58" s="18"/>
      <c r="R58" s="19">
        <f t="shared" si="133"/>
        <v>0</v>
      </c>
      <c r="S58" s="20">
        <f t="shared" si="134"/>
        <v>8</v>
      </c>
      <c r="T58" s="19">
        <f t="shared" si="135"/>
        <v>1.3680000000000001</v>
      </c>
      <c r="U58" s="21">
        <f t="shared" si="136"/>
        <v>0</v>
      </c>
      <c r="V58" s="19">
        <f t="shared" si="137"/>
        <v>0</v>
      </c>
      <c r="X58" s="29"/>
    </row>
    <row r="59" spans="1:24">
      <c r="A59" s="36"/>
      <c r="B59" s="36" t="s">
        <v>139</v>
      </c>
      <c r="C59" s="36"/>
      <c r="D59" s="38"/>
      <c r="E59" s="31">
        <f t="shared" ref="E59:F59" si="138">SUM(E57:E58)</f>
        <v>216</v>
      </c>
      <c r="F59" s="38">
        <f t="shared" si="138"/>
        <v>32.883120000000005</v>
      </c>
      <c r="G59" s="17"/>
      <c r="H59" s="31">
        <f t="shared" ref="H59" si="139">SUM(H57:H58)</f>
        <v>107</v>
      </c>
      <c r="I59" s="38">
        <f t="shared" ref="I59" si="140">SUM(I57:I58)</f>
        <v>16.212105000000001</v>
      </c>
      <c r="J59" s="16"/>
      <c r="K59" s="31">
        <f t="shared" ref="K59" si="141">SUM(K57:K58)</f>
        <v>109</v>
      </c>
      <c r="L59" s="38">
        <f>SUM(L57:L58)</f>
        <v>16.671015000000001</v>
      </c>
      <c r="M59" s="16"/>
      <c r="N59" s="31">
        <f t="shared" ref="N59" si="142">SUM(N57:N58)</f>
        <v>0</v>
      </c>
      <c r="O59" s="38">
        <f t="shared" ref="O59" si="143">SUM(O57:O58)</f>
        <v>0</v>
      </c>
      <c r="P59" s="16"/>
      <c r="Q59" s="31">
        <f t="shared" ref="Q59" si="144">SUM(Q57:Q58)</f>
        <v>0</v>
      </c>
      <c r="R59" s="38">
        <f t="shared" ref="R59" si="145">SUM(R57:R58)</f>
        <v>0</v>
      </c>
      <c r="S59" s="31">
        <f t="shared" ref="S59" si="146">SUM(S57:S58)</f>
        <v>216</v>
      </c>
      <c r="T59" s="38">
        <f t="shared" ref="T59" si="147">SUM(T57:T58)</f>
        <v>32.883120000000005</v>
      </c>
      <c r="U59" s="31">
        <f t="shared" ref="U59" si="148">SUM(U57:U58)</f>
        <v>0</v>
      </c>
      <c r="V59" s="38">
        <f t="shared" ref="V59" si="149">SUM(V57:V58)</f>
        <v>0</v>
      </c>
      <c r="X59" s="29"/>
    </row>
    <row r="60" spans="1:24">
      <c r="A60" s="26" t="s">
        <v>13</v>
      </c>
      <c r="B60" s="26" t="s">
        <v>49</v>
      </c>
      <c r="C60" s="26">
        <v>14.7</v>
      </c>
      <c r="D60" s="27">
        <v>6.25</v>
      </c>
      <c r="E60" s="28">
        <v>32</v>
      </c>
      <c r="F60" s="16">
        <f t="shared" ref="F60" si="150">(C60*D60*E60/1000)</f>
        <v>2.94</v>
      </c>
      <c r="G60" s="16" t="s">
        <v>93</v>
      </c>
      <c r="H60" s="18">
        <v>30</v>
      </c>
      <c r="I60" s="19">
        <f t="shared" ref="I60" si="151">(C60*D60*H60/1000)</f>
        <v>2.7562500000000001</v>
      </c>
      <c r="J60" s="16"/>
      <c r="K60" s="18"/>
      <c r="L60" s="19">
        <f t="shared" ref="L60" si="152">(C60*D60*K60/1000)</f>
        <v>0</v>
      </c>
      <c r="M60" s="16"/>
      <c r="N60" s="18"/>
      <c r="O60" s="19">
        <f t="shared" ref="O60" si="153">(C60*D60*N60/1000)</f>
        <v>0</v>
      </c>
      <c r="P60" s="16"/>
      <c r="Q60" s="18"/>
      <c r="R60" s="19">
        <f>(C60*D60*Q60/1000)</f>
        <v>0</v>
      </c>
      <c r="S60" s="20">
        <f>+H60+K60+Q60+N60</f>
        <v>30</v>
      </c>
      <c r="T60" s="19">
        <f>+I60+L60+R60+O60</f>
        <v>2.7562500000000001</v>
      </c>
      <c r="U60" s="21">
        <f>E60-S60</f>
        <v>2</v>
      </c>
      <c r="V60" s="19">
        <f>F60-T60</f>
        <v>0.18374999999999986</v>
      </c>
      <c r="X60" s="29"/>
    </row>
    <row r="61" spans="1:24">
      <c r="A61" s="26" t="s">
        <v>13</v>
      </c>
      <c r="B61" s="26" t="s">
        <v>49</v>
      </c>
      <c r="C61" s="26">
        <v>14.7</v>
      </c>
      <c r="D61" s="27">
        <v>7.3</v>
      </c>
      <c r="E61" s="28"/>
      <c r="F61" s="16">
        <f t="shared" ref="F61" si="154">(C61*D61*E61/1000)</f>
        <v>0</v>
      </c>
      <c r="G61" s="16" t="s">
        <v>176</v>
      </c>
      <c r="H61" s="18">
        <v>2</v>
      </c>
      <c r="I61" s="19">
        <f t="shared" ref="I61" si="155">(C61*D61*H61/1000)</f>
        <v>0.21461999999999998</v>
      </c>
      <c r="J61" s="16"/>
      <c r="K61" s="18"/>
      <c r="L61" s="19">
        <f t="shared" ref="L61" si="156">(C61*D61*K61/1000)</f>
        <v>0</v>
      </c>
      <c r="M61" s="16"/>
      <c r="N61" s="18"/>
      <c r="O61" s="19">
        <f t="shared" ref="O61" si="157">(C61*D61*N61/1000)</f>
        <v>0</v>
      </c>
      <c r="P61" s="16"/>
      <c r="Q61" s="18"/>
      <c r="R61" s="19">
        <f>(C61*D61*Q61/1000)</f>
        <v>0</v>
      </c>
      <c r="S61" s="20">
        <f>+H61+K61+Q61+N61</f>
        <v>2</v>
      </c>
      <c r="T61" s="19">
        <f>+I61+L61+R61+O61</f>
        <v>0.21461999999999998</v>
      </c>
      <c r="U61" s="21">
        <f>E61-S61</f>
        <v>-2</v>
      </c>
      <c r="V61" s="19">
        <f>F61-T61</f>
        <v>-0.21461999999999998</v>
      </c>
      <c r="X61" s="29"/>
    </row>
    <row r="62" spans="1:24">
      <c r="A62" s="36"/>
      <c r="B62" s="36" t="s">
        <v>139</v>
      </c>
      <c r="C62" s="36"/>
      <c r="D62" s="38"/>
      <c r="E62" s="31">
        <f t="shared" ref="E62:F62" si="158">SUM(E60:E61)</f>
        <v>32</v>
      </c>
      <c r="F62" s="38">
        <f t="shared" si="158"/>
        <v>2.94</v>
      </c>
      <c r="G62" s="16"/>
      <c r="H62" s="31">
        <f t="shared" ref="H62" si="159">SUM(H60:H61)</f>
        <v>32</v>
      </c>
      <c r="I62" s="38">
        <f t="shared" ref="I62" si="160">SUM(I60:I61)</f>
        <v>2.9708700000000001</v>
      </c>
      <c r="J62" s="16"/>
      <c r="K62" s="31">
        <f t="shared" ref="K62" si="161">SUM(K60:K61)</f>
        <v>0</v>
      </c>
      <c r="L62" s="38">
        <f t="shared" ref="L62" si="162">SUM(L60:L61)</f>
        <v>0</v>
      </c>
      <c r="M62" s="16"/>
      <c r="N62" s="31">
        <f t="shared" ref="N62" si="163">SUM(N60:N61)</f>
        <v>0</v>
      </c>
      <c r="O62" s="38">
        <f t="shared" ref="O62" si="164">SUM(O60:O61)</f>
        <v>0</v>
      </c>
      <c r="P62" s="16"/>
      <c r="Q62" s="31">
        <f t="shared" ref="Q62" si="165">SUM(Q60:Q61)</f>
        <v>0</v>
      </c>
      <c r="R62" s="38">
        <f t="shared" ref="R62" si="166">SUM(R60:R61)</f>
        <v>0</v>
      </c>
      <c r="S62" s="31">
        <f t="shared" ref="S62" si="167">SUM(S60:S61)</f>
        <v>32</v>
      </c>
      <c r="T62" s="38">
        <f t="shared" ref="T62" si="168">SUM(T60:T61)</f>
        <v>2.9708700000000001</v>
      </c>
      <c r="U62" s="31">
        <f t="shared" ref="U62" si="169">SUM(U60:U61)</f>
        <v>0</v>
      </c>
      <c r="V62" s="38">
        <f t="shared" ref="V62" si="170">SUM(V60:V61)</f>
        <v>-3.087000000000012E-2</v>
      </c>
      <c r="X62" s="29"/>
    </row>
    <row r="63" spans="1:24">
      <c r="A63" s="26" t="s">
        <v>13</v>
      </c>
      <c r="B63" s="26" t="s">
        <v>50</v>
      </c>
      <c r="C63" s="26">
        <v>16.5</v>
      </c>
      <c r="D63" s="27">
        <v>6.15</v>
      </c>
      <c r="E63" s="28">
        <v>132</v>
      </c>
      <c r="F63" s="16">
        <f t="shared" ref="F63:F78" si="171">(C63*D63*E63/1000)</f>
        <v>13.3947</v>
      </c>
      <c r="G63" s="17" t="s">
        <v>89</v>
      </c>
      <c r="H63" s="18">
        <v>50</v>
      </c>
      <c r="I63" s="19">
        <f t="shared" ref="I63:I78" si="172">(C63*D63*H63/1000)</f>
        <v>5.0737500000000004</v>
      </c>
      <c r="J63" s="17" t="s">
        <v>88</v>
      </c>
      <c r="K63" s="18">
        <v>30</v>
      </c>
      <c r="L63" s="19">
        <f t="shared" ref="L63:L78" si="173">(C63*D63*K63/1000)</f>
        <v>3.0442500000000003</v>
      </c>
      <c r="M63" s="16" t="s">
        <v>88</v>
      </c>
      <c r="N63" s="18">
        <v>38</v>
      </c>
      <c r="O63" s="19">
        <f t="shared" ref="O63:O78" si="174">(C63*D63*N63/1000)</f>
        <v>3.8560500000000002</v>
      </c>
      <c r="P63" s="16" t="s">
        <v>89</v>
      </c>
      <c r="Q63" s="18"/>
      <c r="R63" s="19">
        <f t="shared" ref="R63:R78" si="175">(C63*D63*Q63/1000)</f>
        <v>0</v>
      </c>
      <c r="S63" s="20">
        <f>+H63+K63+Q63+N63</f>
        <v>118</v>
      </c>
      <c r="T63" s="19">
        <f>+I63+L63+R63+O63</f>
        <v>11.97405</v>
      </c>
      <c r="U63" s="21">
        <f t="shared" ref="U63:U78" si="176">E63-S63</f>
        <v>14</v>
      </c>
      <c r="V63" s="19">
        <f t="shared" ref="V63:V78" si="177">F63-T63</f>
        <v>1.4206500000000002</v>
      </c>
      <c r="X63" s="29"/>
    </row>
    <row r="64" spans="1:24">
      <c r="A64" s="26" t="s">
        <v>13</v>
      </c>
      <c r="B64" s="26" t="s">
        <v>50</v>
      </c>
      <c r="C64" s="26">
        <v>16.5</v>
      </c>
      <c r="D64" s="27">
        <v>8.9</v>
      </c>
      <c r="E64" s="28">
        <f>112+16</f>
        <v>128</v>
      </c>
      <c r="F64" s="16">
        <f t="shared" si="171"/>
        <v>18.796799999999998</v>
      </c>
      <c r="G64" s="17" t="s">
        <v>170</v>
      </c>
      <c r="H64" s="18">
        <v>45</v>
      </c>
      <c r="I64" s="19">
        <f t="shared" si="172"/>
        <v>6.60825</v>
      </c>
      <c r="J64" s="17" t="s">
        <v>172</v>
      </c>
      <c r="K64" s="18">
        <f>30+17</f>
        <v>47</v>
      </c>
      <c r="L64" s="19">
        <f t="shared" si="173"/>
        <v>6.9019500000000003</v>
      </c>
      <c r="M64" s="16" t="s">
        <v>175</v>
      </c>
      <c r="N64" s="18"/>
      <c r="O64" s="19">
        <f t="shared" si="174"/>
        <v>0</v>
      </c>
      <c r="P64" s="16" t="s">
        <v>183</v>
      </c>
      <c r="Q64" s="18"/>
      <c r="R64" s="19">
        <f t="shared" si="175"/>
        <v>0</v>
      </c>
      <c r="S64" s="20">
        <f t="shared" ref="S64:S78" si="178">+H64+K64+Q64+N64</f>
        <v>92</v>
      </c>
      <c r="T64" s="19">
        <f t="shared" ref="T64:T78" si="179">+I64+L64+R64+O64</f>
        <v>13.510200000000001</v>
      </c>
      <c r="U64" s="21">
        <f t="shared" si="176"/>
        <v>36</v>
      </c>
      <c r="V64" s="19">
        <f t="shared" si="177"/>
        <v>5.2865999999999964</v>
      </c>
      <c r="X64" s="29"/>
    </row>
    <row r="65" spans="1:24">
      <c r="A65" s="26" t="s">
        <v>13</v>
      </c>
      <c r="B65" s="26" t="s">
        <v>50</v>
      </c>
      <c r="C65" s="26">
        <v>16.5</v>
      </c>
      <c r="D65" s="27">
        <v>9.1999999999999993</v>
      </c>
      <c r="E65" s="28">
        <v>60</v>
      </c>
      <c r="F65" s="16">
        <f t="shared" si="171"/>
        <v>9.1079999999999988</v>
      </c>
      <c r="G65" s="17"/>
      <c r="H65" s="18">
        <v>44</v>
      </c>
      <c r="I65" s="19">
        <f t="shared" si="172"/>
        <v>6.6791999999999989</v>
      </c>
      <c r="J65" s="16"/>
      <c r="K65" s="18">
        <v>33</v>
      </c>
      <c r="L65" s="19">
        <f t="shared" si="173"/>
        <v>5.0093999999999994</v>
      </c>
      <c r="M65" s="16" t="s">
        <v>93</v>
      </c>
      <c r="N65" s="18"/>
      <c r="O65" s="19">
        <f t="shared" si="174"/>
        <v>0</v>
      </c>
      <c r="P65" s="16"/>
      <c r="Q65" s="18"/>
      <c r="R65" s="19">
        <f t="shared" si="175"/>
        <v>0</v>
      </c>
      <c r="S65" s="20">
        <f t="shared" si="178"/>
        <v>77</v>
      </c>
      <c r="T65" s="19">
        <f t="shared" si="179"/>
        <v>11.688599999999997</v>
      </c>
      <c r="U65" s="21">
        <f t="shared" si="176"/>
        <v>-17</v>
      </c>
      <c r="V65" s="19">
        <f t="shared" si="177"/>
        <v>-2.5805999999999987</v>
      </c>
      <c r="X65" s="29"/>
    </row>
    <row r="66" spans="1:24">
      <c r="A66" s="26" t="s">
        <v>13</v>
      </c>
      <c r="B66" s="26" t="s">
        <v>50</v>
      </c>
      <c r="C66" s="26">
        <v>16.5</v>
      </c>
      <c r="D66" s="27">
        <v>12</v>
      </c>
      <c r="E66" s="28">
        <v>58</v>
      </c>
      <c r="F66" s="16">
        <f t="shared" ref="F66:F77" si="180">(C66*D66*E66/1000)</f>
        <v>11.484</v>
      </c>
      <c r="G66" s="17"/>
      <c r="H66" s="18">
        <v>28</v>
      </c>
      <c r="I66" s="19">
        <f t="shared" ref="I66:I77" si="181">(C66*D66*H66/1000)</f>
        <v>5.5439999999999996</v>
      </c>
      <c r="J66" s="16"/>
      <c r="K66" s="18">
        <v>30</v>
      </c>
      <c r="L66" s="19">
        <f t="shared" ref="L66:L77" si="182">(C66*D66*K66/1000)</f>
        <v>5.94</v>
      </c>
      <c r="M66" s="16" t="s">
        <v>176</v>
      </c>
      <c r="N66" s="18"/>
      <c r="O66" s="19">
        <f t="shared" ref="O66:O77" si="183">(C66*D66*N66/1000)</f>
        <v>0</v>
      </c>
      <c r="P66" s="16"/>
      <c r="Q66" s="18"/>
      <c r="R66" s="19">
        <f t="shared" ref="R66:R77" si="184">(C66*D66*Q66/1000)</f>
        <v>0</v>
      </c>
      <c r="S66" s="20">
        <f t="shared" si="178"/>
        <v>58</v>
      </c>
      <c r="T66" s="19">
        <f t="shared" si="179"/>
        <v>11.484</v>
      </c>
      <c r="U66" s="21">
        <f t="shared" ref="U66:U77" si="185">E66-S66</f>
        <v>0</v>
      </c>
      <c r="V66" s="19">
        <f t="shared" ref="V66:V77" si="186">F66-T66</f>
        <v>0</v>
      </c>
      <c r="X66" s="29"/>
    </row>
    <row r="67" spans="1:24">
      <c r="A67" s="26" t="s">
        <v>13</v>
      </c>
      <c r="B67" s="26" t="s">
        <v>50</v>
      </c>
      <c r="C67" s="26">
        <v>16.5</v>
      </c>
      <c r="D67" s="27">
        <v>8</v>
      </c>
      <c r="E67" s="28"/>
      <c r="F67" s="16">
        <f t="shared" ref="F67:F69" si="187">(C67*D67*E67/1000)</f>
        <v>0</v>
      </c>
      <c r="G67" s="17"/>
      <c r="H67" s="18"/>
      <c r="I67" s="19">
        <f t="shared" ref="I67:I69" si="188">(C67*D67*H67/1000)</f>
        <v>0</v>
      </c>
      <c r="J67" s="16"/>
      <c r="K67" s="18"/>
      <c r="L67" s="19">
        <f t="shared" ref="L67:L69" si="189">(C67*D67*K67/1000)</f>
        <v>0</v>
      </c>
      <c r="M67" s="16"/>
      <c r="N67" s="18">
        <v>5</v>
      </c>
      <c r="O67" s="19">
        <f t="shared" ref="O67:O69" si="190">(C67*D67*N67/1000)</f>
        <v>0.66</v>
      </c>
      <c r="P67" s="16"/>
      <c r="Q67" s="18"/>
      <c r="R67" s="19">
        <f t="shared" ref="R67:R69" si="191">(C67*D67*Q67/1000)</f>
        <v>0</v>
      </c>
      <c r="S67" s="20">
        <f t="shared" si="178"/>
        <v>5</v>
      </c>
      <c r="T67" s="19">
        <f t="shared" si="179"/>
        <v>0.66</v>
      </c>
      <c r="U67" s="21">
        <f t="shared" ref="U67:U69" si="192">E67-S67</f>
        <v>-5</v>
      </c>
      <c r="V67" s="19">
        <f t="shared" ref="V67:V69" si="193">F67-T67</f>
        <v>-0.66</v>
      </c>
      <c r="X67" s="29"/>
    </row>
    <row r="68" spans="1:24">
      <c r="A68" s="26" t="s">
        <v>13</v>
      </c>
      <c r="B68" s="26" t="s">
        <v>50</v>
      </c>
      <c r="C68" s="26">
        <v>16.5</v>
      </c>
      <c r="D68" s="27">
        <v>6.5</v>
      </c>
      <c r="E68" s="28"/>
      <c r="F68" s="16">
        <f t="shared" si="187"/>
        <v>0</v>
      </c>
      <c r="G68" s="17"/>
      <c r="H68" s="18"/>
      <c r="I68" s="19">
        <f t="shared" si="188"/>
        <v>0</v>
      </c>
      <c r="J68" s="16"/>
      <c r="K68" s="18"/>
      <c r="L68" s="19">
        <f t="shared" si="189"/>
        <v>0</v>
      </c>
      <c r="M68" s="16"/>
      <c r="N68" s="18">
        <v>3</v>
      </c>
      <c r="O68" s="19">
        <f t="shared" si="190"/>
        <v>0.32174999999999998</v>
      </c>
      <c r="P68" s="16"/>
      <c r="Q68" s="18"/>
      <c r="R68" s="19">
        <f t="shared" si="191"/>
        <v>0</v>
      </c>
      <c r="S68" s="20">
        <f t="shared" si="178"/>
        <v>3</v>
      </c>
      <c r="T68" s="19">
        <f t="shared" si="179"/>
        <v>0.32174999999999998</v>
      </c>
      <c r="U68" s="21">
        <f t="shared" si="192"/>
        <v>-3</v>
      </c>
      <c r="V68" s="19">
        <f t="shared" si="193"/>
        <v>-0.32174999999999998</v>
      </c>
      <c r="X68" s="29"/>
    </row>
    <row r="69" spans="1:24">
      <c r="A69" s="26" t="s">
        <v>13</v>
      </c>
      <c r="B69" s="26" t="s">
        <v>50</v>
      </c>
      <c r="C69" s="26">
        <v>16.5</v>
      </c>
      <c r="D69" s="27">
        <v>11.5</v>
      </c>
      <c r="E69" s="28"/>
      <c r="F69" s="16">
        <f t="shared" si="187"/>
        <v>0</v>
      </c>
      <c r="G69" s="17"/>
      <c r="H69" s="18"/>
      <c r="I69" s="19">
        <f t="shared" si="188"/>
        <v>0</v>
      </c>
      <c r="J69" s="16"/>
      <c r="K69" s="18"/>
      <c r="L69" s="19">
        <f t="shared" si="189"/>
        <v>0</v>
      </c>
      <c r="M69" s="16"/>
      <c r="N69" s="18">
        <v>2</v>
      </c>
      <c r="O69" s="19">
        <f t="shared" si="190"/>
        <v>0.3795</v>
      </c>
      <c r="P69" s="16"/>
      <c r="Q69" s="18"/>
      <c r="R69" s="19">
        <f t="shared" si="191"/>
        <v>0</v>
      </c>
      <c r="S69" s="20">
        <f t="shared" si="178"/>
        <v>2</v>
      </c>
      <c r="T69" s="19">
        <f t="shared" si="179"/>
        <v>0.3795</v>
      </c>
      <c r="U69" s="21">
        <f t="shared" si="192"/>
        <v>-2</v>
      </c>
      <c r="V69" s="19">
        <f t="shared" si="193"/>
        <v>-0.3795</v>
      </c>
      <c r="X69" s="29"/>
    </row>
    <row r="70" spans="1:24">
      <c r="A70" s="26" t="s">
        <v>13</v>
      </c>
      <c r="B70" s="26" t="s">
        <v>50</v>
      </c>
      <c r="C70" s="26">
        <v>16.5</v>
      </c>
      <c r="D70" s="27">
        <v>8.1</v>
      </c>
      <c r="E70" s="28"/>
      <c r="F70" s="16">
        <f t="shared" si="180"/>
        <v>0</v>
      </c>
      <c r="G70" s="17"/>
      <c r="H70" s="18"/>
      <c r="I70" s="19">
        <f t="shared" si="181"/>
        <v>0</v>
      </c>
      <c r="J70" s="16"/>
      <c r="K70" s="18"/>
      <c r="L70" s="19">
        <f t="shared" si="182"/>
        <v>0</v>
      </c>
      <c r="M70" s="16"/>
      <c r="N70" s="18">
        <v>1</v>
      </c>
      <c r="O70" s="19">
        <f t="shared" si="183"/>
        <v>0.13365000000000002</v>
      </c>
      <c r="P70" s="16"/>
      <c r="Q70" s="18"/>
      <c r="R70" s="19">
        <f t="shared" si="184"/>
        <v>0</v>
      </c>
      <c r="S70" s="20">
        <f t="shared" si="178"/>
        <v>1</v>
      </c>
      <c r="T70" s="19">
        <f t="shared" si="179"/>
        <v>0.13365000000000002</v>
      </c>
      <c r="U70" s="21">
        <f t="shared" si="185"/>
        <v>-1</v>
      </c>
      <c r="V70" s="19">
        <f t="shared" si="186"/>
        <v>-0.13365000000000002</v>
      </c>
      <c r="X70" s="29"/>
    </row>
    <row r="71" spans="1:24">
      <c r="A71" s="26" t="s">
        <v>13</v>
      </c>
      <c r="B71" s="26" t="s">
        <v>50</v>
      </c>
      <c r="C71" s="26">
        <v>16.5</v>
      </c>
      <c r="D71" s="27">
        <v>11.8</v>
      </c>
      <c r="E71" s="28"/>
      <c r="F71" s="16">
        <f t="shared" si="180"/>
        <v>0</v>
      </c>
      <c r="G71" s="17"/>
      <c r="H71" s="18"/>
      <c r="I71" s="19">
        <f t="shared" si="181"/>
        <v>0</v>
      </c>
      <c r="J71" s="16"/>
      <c r="K71" s="18"/>
      <c r="L71" s="19">
        <f t="shared" si="182"/>
        <v>0</v>
      </c>
      <c r="M71" s="16"/>
      <c r="N71" s="18">
        <v>2</v>
      </c>
      <c r="O71" s="19">
        <f t="shared" si="183"/>
        <v>0.38940000000000002</v>
      </c>
      <c r="P71" s="16"/>
      <c r="Q71" s="18"/>
      <c r="R71" s="19">
        <f t="shared" si="184"/>
        <v>0</v>
      </c>
      <c r="S71" s="20">
        <f t="shared" si="178"/>
        <v>2</v>
      </c>
      <c r="T71" s="19">
        <f t="shared" si="179"/>
        <v>0.38940000000000002</v>
      </c>
      <c r="U71" s="21">
        <f t="shared" si="185"/>
        <v>-2</v>
      </c>
      <c r="V71" s="19">
        <f t="shared" si="186"/>
        <v>-0.38940000000000002</v>
      </c>
      <c r="X71" s="29"/>
    </row>
    <row r="72" spans="1:24">
      <c r="A72" s="26" t="s">
        <v>13</v>
      </c>
      <c r="B72" s="26" t="s">
        <v>50</v>
      </c>
      <c r="C72" s="26">
        <v>16.5</v>
      </c>
      <c r="D72" s="27">
        <v>6</v>
      </c>
      <c r="E72" s="28"/>
      <c r="F72" s="16">
        <f t="shared" si="180"/>
        <v>0</v>
      </c>
      <c r="G72" s="17"/>
      <c r="H72" s="18"/>
      <c r="I72" s="19">
        <f t="shared" si="181"/>
        <v>0</v>
      </c>
      <c r="J72" s="16"/>
      <c r="K72" s="18"/>
      <c r="L72" s="19">
        <f t="shared" si="182"/>
        <v>0</v>
      </c>
      <c r="M72" s="16"/>
      <c r="N72" s="18">
        <v>1</v>
      </c>
      <c r="O72" s="19">
        <f t="shared" si="183"/>
        <v>9.9000000000000005E-2</v>
      </c>
      <c r="P72" s="16"/>
      <c r="Q72" s="18"/>
      <c r="R72" s="19">
        <f t="shared" si="184"/>
        <v>0</v>
      </c>
      <c r="S72" s="20">
        <f t="shared" si="178"/>
        <v>1</v>
      </c>
      <c r="T72" s="19">
        <f t="shared" si="179"/>
        <v>9.9000000000000005E-2</v>
      </c>
      <c r="U72" s="21">
        <f t="shared" si="185"/>
        <v>-1</v>
      </c>
      <c r="V72" s="19">
        <f t="shared" si="186"/>
        <v>-9.9000000000000005E-2</v>
      </c>
      <c r="X72" s="29"/>
    </row>
    <row r="73" spans="1:24">
      <c r="A73" s="26" t="s">
        <v>13</v>
      </c>
      <c r="B73" s="26" t="s">
        <v>50</v>
      </c>
      <c r="C73" s="26">
        <v>16.5</v>
      </c>
      <c r="D73" s="27">
        <v>8.5</v>
      </c>
      <c r="E73" s="28"/>
      <c r="F73" s="16">
        <f t="shared" si="180"/>
        <v>0</v>
      </c>
      <c r="G73" s="17"/>
      <c r="H73" s="18"/>
      <c r="I73" s="19">
        <f t="shared" si="181"/>
        <v>0</v>
      </c>
      <c r="J73" s="16"/>
      <c r="K73" s="18"/>
      <c r="L73" s="19">
        <f t="shared" si="182"/>
        <v>0</v>
      </c>
      <c r="M73" s="16"/>
      <c r="N73" s="18">
        <v>3</v>
      </c>
      <c r="O73" s="19">
        <f t="shared" si="183"/>
        <v>0.42075000000000001</v>
      </c>
      <c r="P73" s="16"/>
      <c r="Q73" s="18">
        <v>1</v>
      </c>
      <c r="R73" s="19">
        <f t="shared" si="184"/>
        <v>0.14025000000000001</v>
      </c>
      <c r="S73" s="20">
        <f t="shared" si="178"/>
        <v>4</v>
      </c>
      <c r="T73" s="19">
        <f t="shared" si="179"/>
        <v>0.56100000000000005</v>
      </c>
      <c r="U73" s="21">
        <f t="shared" si="185"/>
        <v>-4</v>
      </c>
      <c r="V73" s="19">
        <f t="shared" si="186"/>
        <v>-0.56100000000000005</v>
      </c>
      <c r="X73" s="29"/>
    </row>
    <row r="74" spans="1:24">
      <c r="A74" s="26" t="s">
        <v>13</v>
      </c>
      <c r="B74" s="26" t="s">
        <v>50</v>
      </c>
      <c r="C74" s="26">
        <v>16.5</v>
      </c>
      <c r="D74" s="27">
        <v>5.8</v>
      </c>
      <c r="E74" s="28"/>
      <c r="F74" s="16">
        <f t="shared" si="180"/>
        <v>0</v>
      </c>
      <c r="G74" s="17"/>
      <c r="H74" s="18"/>
      <c r="I74" s="19">
        <f t="shared" si="181"/>
        <v>0</v>
      </c>
      <c r="J74" s="16"/>
      <c r="K74" s="18"/>
      <c r="L74" s="19">
        <f t="shared" si="182"/>
        <v>0</v>
      </c>
      <c r="M74" s="16"/>
      <c r="N74" s="18">
        <v>1</v>
      </c>
      <c r="O74" s="19">
        <f t="shared" si="183"/>
        <v>9.5700000000000007E-2</v>
      </c>
      <c r="P74" s="16"/>
      <c r="Q74" s="18"/>
      <c r="R74" s="19">
        <f t="shared" si="184"/>
        <v>0</v>
      </c>
      <c r="S74" s="20">
        <f t="shared" si="178"/>
        <v>1</v>
      </c>
      <c r="T74" s="19">
        <f t="shared" si="179"/>
        <v>9.5700000000000007E-2</v>
      </c>
      <c r="U74" s="21">
        <f t="shared" si="185"/>
        <v>-1</v>
      </c>
      <c r="V74" s="19">
        <f t="shared" si="186"/>
        <v>-9.5700000000000007E-2</v>
      </c>
      <c r="X74" s="29"/>
    </row>
    <row r="75" spans="1:24">
      <c r="A75" s="26" t="s">
        <v>13</v>
      </c>
      <c r="B75" s="26" t="s">
        <v>50</v>
      </c>
      <c r="C75" s="26">
        <v>16.5</v>
      </c>
      <c r="D75" s="27">
        <v>8.25</v>
      </c>
      <c r="E75" s="28"/>
      <c r="F75" s="16">
        <f t="shared" si="180"/>
        <v>0</v>
      </c>
      <c r="G75" s="17"/>
      <c r="H75" s="18"/>
      <c r="I75" s="19">
        <f t="shared" si="181"/>
        <v>0</v>
      </c>
      <c r="J75" s="16"/>
      <c r="K75" s="18"/>
      <c r="L75" s="19">
        <f t="shared" si="182"/>
        <v>0</v>
      </c>
      <c r="M75" s="16"/>
      <c r="N75" s="18">
        <v>1</v>
      </c>
      <c r="O75" s="19">
        <f t="shared" si="183"/>
        <v>0.136125</v>
      </c>
      <c r="P75" s="16"/>
      <c r="Q75" s="18"/>
      <c r="R75" s="19">
        <f t="shared" si="184"/>
        <v>0</v>
      </c>
      <c r="S75" s="20">
        <f t="shared" si="178"/>
        <v>1</v>
      </c>
      <c r="T75" s="19">
        <f t="shared" si="179"/>
        <v>0.136125</v>
      </c>
      <c r="U75" s="21">
        <f t="shared" si="185"/>
        <v>-1</v>
      </c>
      <c r="V75" s="19">
        <f t="shared" si="186"/>
        <v>-0.136125</v>
      </c>
      <c r="X75" s="29"/>
    </row>
    <row r="76" spans="1:24">
      <c r="A76" s="26" t="s">
        <v>13</v>
      </c>
      <c r="B76" s="26" t="s">
        <v>50</v>
      </c>
      <c r="C76" s="26">
        <v>16.5</v>
      </c>
      <c r="D76" s="27">
        <v>8.6999999999999993</v>
      </c>
      <c r="E76" s="28"/>
      <c r="F76" s="16">
        <f t="shared" si="180"/>
        <v>0</v>
      </c>
      <c r="G76" s="17"/>
      <c r="H76" s="18"/>
      <c r="I76" s="19">
        <f t="shared" si="181"/>
        <v>0</v>
      </c>
      <c r="J76" s="16"/>
      <c r="K76" s="18"/>
      <c r="L76" s="19">
        <f t="shared" si="182"/>
        <v>0</v>
      </c>
      <c r="M76" s="16"/>
      <c r="N76" s="18"/>
      <c r="O76" s="19">
        <f t="shared" si="183"/>
        <v>0</v>
      </c>
      <c r="P76" s="16"/>
      <c r="Q76" s="18">
        <v>3</v>
      </c>
      <c r="R76" s="19">
        <f t="shared" si="184"/>
        <v>0.43064999999999998</v>
      </c>
      <c r="S76" s="20">
        <f t="shared" si="178"/>
        <v>3</v>
      </c>
      <c r="T76" s="19">
        <f t="shared" si="179"/>
        <v>0.43064999999999998</v>
      </c>
      <c r="U76" s="21">
        <f t="shared" si="185"/>
        <v>-3</v>
      </c>
      <c r="V76" s="19">
        <f t="shared" si="186"/>
        <v>-0.43064999999999998</v>
      </c>
      <c r="X76" s="29"/>
    </row>
    <row r="77" spans="1:24">
      <c r="A77" s="26" t="s">
        <v>13</v>
      </c>
      <c r="B77" s="26" t="s">
        <v>50</v>
      </c>
      <c r="C77" s="26">
        <v>16.5</v>
      </c>
      <c r="D77" s="27">
        <v>9</v>
      </c>
      <c r="E77" s="28"/>
      <c r="F77" s="16">
        <f t="shared" si="180"/>
        <v>0</v>
      </c>
      <c r="G77" s="17"/>
      <c r="H77" s="18"/>
      <c r="I77" s="19">
        <f t="shared" si="181"/>
        <v>0</v>
      </c>
      <c r="J77" s="16"/>
      <c r="K77" s="18"/>
      <c r="L77" s="19">
        <f t="shared" si="182"/>
        <v>0</v>
      </c>
      <c r="M77" s="16"/>
      <c r="N77" s="18"/>
      <c r="O77" s="19">
        <f t="shared" si="183"/>
        <v>0</v>
      </c>
      <c r="P77" s="16"/>
      <c r="Q77" s="18">
        <v>1</v>
      </c>
      <c r="R77" s="19">
        <f t="shared" si="184"/>
        <v>0.14849999999999999</v>
      </c>
      <c r="S77" s="20">
        <f t="shared" si="178"/>
        <v>1</v>
      </c>
      <c r="T77" s="19">
        <f t="shared" si="179"/>
        <v>0.14849999999999999</v>
      </c>
      <c r="U77" s="21">
        <f t="shared" si="185"/>
        <v>-1</v>
      </c>
      <c r="V77" s="19">
        <f t="shared" si="186"/>
        <v>-0.14849999999999999</v>
      </c>
      <c r="X77" s="29"/>
    </row>
    <row r="78" spans="1:24">
      <c r="A78" s="26" t="s">
        <v>13</v>
      </c>
      <c r="B78" s="26" t="s">
        <v>50</v>
      </c>
      <c r="C78" s="26">
        <v>16.5</v>
      </c>
      <c r="D78" s="27">
        <v>11.75</v>
      </c>
      <c r="E78" s="28"/>
      <c r="F78" s="16">
        <f t="shared" si="171"/>
        <v>0</v>
      </c>
      <c r="G78" s="17"/>
      <c r="H78" s="18"/>
      <c r="I78" s="19">
        <f t="shared" si="172"/>
        <v>0</v>
      </c>
      <c r="J78" s="16"/>
      <c r="K78" s="18"/>
      <c r="L78" s="19">
        <f t="shared" si="173"/>
        <v>0</v>
      </c>
      <c r="M78" s="16"/>
      <c r="N78" s="18"/>
      <c r="O78" s="19">
        <f t="shared" si="174"/>
        <v>0</v>
      </c>
      <c r="P78" s="16"/>
      <c r="Q78" s="18">
        <v>1</v>
      </c>
      <c r="R78" s="19">
        <f t="shared" si="175"/>
        <v>0.19387499999999999</v>
      </c>
      <c r="S78" s="20">
        <f t="shared" si="178"/>
        <v>1</v>
      </c>
      <c r="T78" s="19">
        <f t="shared" si="179"/>
        <v>0.19387499999999999</v>
      </c>
      <c r="U78" s="21">
        <f t="shared" si="176"/>
        <v>-1</v>
      </c>
      <c r="V78" s="19">
        <f t="shared" si="177"/>
        <v>-0.19387499999999999</v>
      </c>
      <c r="X78" s="29"/>
    </row>
    <row r="79" spans="1:24">
      <c r="A79" s="36"/>
      <c r="B79" s="36" t="s">
        <v>139</v>
      </c>
      <c r="C79" s="36"/>
      <c r="D79" s="38"/>
      <c r="E79" s="31">
        <f>SUM(E63:E78)</f>
        <v>378</v>
      </c>
      <c r="F79" s="38">
        <f>SUM(F63:F78)</f>
        <v>52.783499999999997</v>
      </c>
      <c r="G79" s="17"/>
      <c r="H79" s="31">
        <f>SUM(H63:H78)</f>
        <v>167</v>
      </c>
      <c r="I79" s="38">
        <f>SUM(I63:I78)</f>
        <v>23.905200000000001</v>
      </c>
      <c r="J79" s="16"/>
      <c r="K79" s="31">
        <f>SUM(K63:K78)</f>
        <v>140</v>
      </c>
      <c r="L79" s="38">
        <f>SUM(L63:L78)</f>
        <v>20.895600000000002</v>
      </c>
      <c r="M79" s="16"/>
      <c r="N79" s="31">
        <f>SUM(N63:N78)</f>
        <v>57</v>
      </c>
      <c r="O79" s="38">
        <f>SUM(O63:O78)</f>
        <v>6.4919250000000002</v>
      </c>
      <c r="P79" s="16"/>
      <c r="Q79" s="31">
        <f t="shared" ref="Q79:V79" si="194">SUM(Q63:Q78)</f>
        <v>6</v>
      </c>
      <c r="R79" s="38">
        <f t="shared" si="194"/>
        <v>0.91327499999999995</v>
      </c>
      <c r="S79" s="31">
        <f t="shared" si="194"/>
        <v>370</v>
      </c>
      <c r="T79" s="38">
        <f t="shared" si="194"/>
        <v>52.205999999999996</v>
      </c>
      <c r="U79" s="31">
        <f t="shared" si="194"/>
        <v>8</v>
      </c>
      <c r="V79" s="38">
        <f t="shared" si="194"/>
        <v>0.57749999999999779</v>
      </c>
      <c r="X79" s="29"/>
    </row>
    <row r="80" spans="1:24">
      <c r="A80" s="26" t="s">
        <v>13</v>
      </c>
      <c r="B80" s="26" t="s">
        <v>51</v>
      </c>
      <c r="C80" s="26">
        <v>19.8</v>
      </c>
      <c r="D80" s="27">
        <v>9.8000000000000007</v>
      </c>
      <c r="E80" s="28">
        <v>14</v>
      </c>
      <c r="F80" s="16">
        <f t="shared" ref="F80:F84" si="195">(C80*D80*E80/1000)</f>
        <v>2.7165600000000003</v>
      </c>
      <c r="G80" s="17" t="s">
        <v>89</v>
      </c>
      <c r="H80" s="18">
        <v>11</v>
      </c>
      <c r="I80" s="19">
        <f t="shared" ref="I80:I84" si="196">(C80*D80*H80/1000)</f>
        <v>2.1344400000000001</v>
      </c>
      <c r="J80" s="16"/>
      <c r="K80" s="18"/>
      <c r="L80" s="19">
        <f t="shared" ref="L80:L84" si="197">(C80*D80*K80/1000)</f>
        <v>0</v>
      </c>
      <c r="M80" s="16"/>
      <c r="N80" s="18"/>
      <c r="O80" s="19">
        <f t="shared" ref="O80:O84" si="198">(C80*D80*N80/1000)</f>
        <v>0</v>
      </c>
      <c r="P80" s="16"/>
      <c r="Q80" s="18"/>
      <c r="R80" s="19">
        <f t="shared" ref="R80:R84" si="199">(C80*D80*Q80/1000)</f>
        <v>0</v>
      </c>
      <c r="S80" s="20">
        <f t="shared" ref="S80:S84" si="200">+H80+K80+Q80+N80</f>
        <v>11</v>
      </c>
      <c r="T80" s="19">
        <f t="shared" ref="T80:T84" si="201">+I80+L80+R80+O80</f>
        <v>2.1344400000000001</v>
      </c>
      <c r="U80" s="21">
        <f t="shared" ref="U80:U84" si="202">E80-S80</f>
        <v>3</v>
      </c>
      <c r="V80" s="19">
        <f t="shared" ref="V80:V84" si="203">F80-T80</f>
        <v>0.58212000000000019</v>
      </c>
      <c r="X80" s="29"/>
    </row>
    <row r="81" spans="1:24">
      <c r="A81" s="26" t="s">
        <v>13</v>
      </c>
      <c r="B81" s="26" t="s">
        <v>51</v>
      </c>
      <c r="C81" s="26">
        <v>19.8</v>
      </c>
      <c r="D81" s="27">
        <v>12</v>
      </c>
      <c r="E81" s="28">
        <v>21</v>
      </c>
      <c r="F81" s="16">
        <f t="shared" ref="F81:F83" si="204">(C81*D81*E81/1000)</f>
        <v>4.9896000000000003</v>
      </c>
      <c r="G81" s="17" t="s">
        <v>167</v>
      </c>
      <c r="H81" s="18">
        <v>21</v>
      </c>
      <c r="I81" s="19">
        <f t="shared" ref="I81:I83" si="205">(C81*D81*H81/1000)</f>
        <v>4.9896000000000003</v>
      </c>
      <c r="J81" s="16"/>
      <c r="K81" s="18"/>
      <c r="L81" s="19">
        <f t="shared" ref="L81:L83" si="206">(C81*D81*K81/1000)</f>
        <v>0</v>
      </c>
      <c r="M81" s="16"/>
      <c r="N81" s="18"/>
      <c r="O81" s="19">
        <f t="shared" ref="O81:O83" si="207">(C81*D81*N81/1000)</f>
        <v>0</v>
      </c>
      <c r="P81" s="16"/>
      <c r="Q81" s="18"/>
      <c r="R81" s="19">
        <f t="shared" ref="R81:R83" si="208">(C81*D81*Q81/1000)</f>
        <v>0</v>
      </c>
      <c r="S81" s="20">
        <f t="shared" ref="S81:S83" si="209">+H81+K81+Q81+N81</f>
        <v>21</v>
      </c>
      <c r="T81" s="19">
        <f t="shared" ref="T81:T83" si="210">+I81+L81+R81+O81</f>
        <v>4.9896000000000003</v>
      </c>
      <c r="U81" s="21">
        <f t="shared" ref="U81:U83" si="211">E81-S81</f>
        <v>0</v>
      </c>
      <c r="V81" s="19">
        <f t="shared" ref="V81:V83" si="212">F81-T81</f>
        <v>0</v>
      </c>
      <c r="X81" s="29"/>
    </row>
    <row r="82" spans="1:24">
      <c r="A82" s="26" t="s">
        <v>13</v>
      </c>
      <c r="B82" s="26" t="s">
        <v>51</v>
      </c>
      <c r="C82" s="26">
        <v>19.8</v>
      </c>
      <c r="D82" s="27">
        <v>8</v>
      </c>
      <c r="E82" s="28"/>
      <c r="F82" s="16">
        <f t="shared" si="204"/>
        <v>0</v>
      </c>
      <c r="G82" s="17"/>
      <c r="H82" s="18">
        <v>3</v>
      </c>
      <c r="I82" s="19">
        <f t="shared" si="205"/>
        <v>0.47520000000000007</v>
      </c>
      <c r="J82" s="16"/>
      <c r="K82" s="18"/>
      <c r="L82" s="19">
        <f t="shared" si="206"/>
        <v>0</v>
      </c>
      <c r="M82" s="16"/>
      <c r="N82" s="18"/>
      <c r="O82" s="19">
        <f t="shared" si="207"/>
        <v>0</v>
      </c>
      <c r="P82" s="16"/>
      <c r="Q82" s="18"/>
      <c r="R82" s="19">
        <f t="shared" si="208"/>
        <v>0</v>
      </c>
      <c r="S82" s="20">
        <f t="shared" si="209"/>
        <v>3</v>
      </c>
      <c r="T82" s="19">
        <f t="shared" si="210"/>
        <v>0.47520000000000007</v>
      </c>
      <c r="U82" s="21">
        <f t="shared" si="211"/>
        <v>-3</v>
      </c>
      <c r="V82" s="19">
        <f t="shared" si="212"/>
        <v>-0.47520000000000007</v>
      </c>
      <c r="X82" s="29"/>
    </row>
    <row r="83" spans="1:24">
      <c r="A83" s="26" t="s">
        <v>13</v>
      </c>
      <c r="B83" s="26" t="s">
        <v>51</v>
      </c>
      <c r="C83" s="26">
        <v>19.8</v>
      </c>
      <c r="D83" s="27">
        <v>11.8</v>
      </c>
      <c r="E83" s="28"/>
      <c r="F83" s="16">
        <f t="shared" si="204"/>
        <v>0</v>
      </c>
      <c r="G83" s="17"/>
      <c r="H83" s="18">
        <v>1</v>
      </c>
      <c r="I83" s="19">
        <f t="shared" si="205"/>
        <v>0.23364000000000001</v>
      </c>
      <c r="J83" s="16"/>
      <c r="K83" s="18"/>
      <c r="L83" s="19">
        <f t="shared" si="206"/>
        <v>0</v>
      </c>
      <c r="M83" s="16"/>
      <c r="N83" s="18"/>
      <c r="O83" s="19">
        <f t="shared" si="207"/>
        <v>0</v>
      </c>
      <c r="P83" s="16"/>
      <c r="Q83" s="18"/>
      <c r="R83" s="19">
        <f t="shared" si="208"/>
        <v>0</v>
      </c>
      <c r="S83" s="20">
        <f t="shared" si="209"/>
        <v>1</v>
      </c>
      <c r="T83" s="19">
        <f t="shared" si="210"/>
        <v>0.23364000000000001</v>
      </c>
      <c r="U83" s="21">
        <f t="shared" si="211"/>
        <v>-1</v>
      </c>
      <c r="V83" s="19">
        <f t="shared" si="212"/>
        <v>-0.23364000000000001</v>
      </c>
      <c r="X83" s="29"/>
    </row>
    <row r="84" spans="1:24">
      <c r="A84" s="26" t="s">
        <v>13</v>
      </c>
      <c r="B84" s="26" t="s">
        <v>51</v>
      </c>
      <c r="C84" s="26">
        <v>19.8</v>
      </c>
      <c r="D84" s="27"/>
      <c r="E84" s="28"/>
      <c r="F84" s="16">
        <f t="shared" si="195"/>
        <v>0</v>
      </c>
      <c r="G84" s="17"/>
      <c r="H84" s="18"/>
      <c r="I84" s="19">
        <f t="shared" si="196"/>
        <v>0</v>
      </c>
      <c r="J84" s="16"/>
      <c r="K84" s="18"/>
      <c r="L84" s="19">
        <f t="shared" si="197"/>
        <v>0</v>
      </c>
      <c r="M84" s="16"/>
      <c r="N84" s="18"/>
      <c r="O84" s="19">
        <f t="shared" si="198"/>
        <v>0</v>
      </c>
      <c r="P84" s="16"/>
      <c r="Q84" s="18"/>
      <c r="R84" s="19">
        <f t="shared" si="199"/>
        <v>0</v>
      </c>
      <c r="S84" s="20">
        <f t="shared" si="200"/>
        <v>0</v>
      </c>
      <c r="T84" s="19">
        <f t="shared" si="201"/>
        <v>0</v>
      </c>
      <c r="U84" s="21">
        <f t="shared" si="202"/>
        <v>0</v>
      </c>
      <c r="V84" s="19">
        <f t="shared" si="203"/>
        <v>0</v>
      </c>
      <c r="X84" s="29"/>
    </row>
    <row r="85" spans="1:24">
      <c r="A85" s="36"/>
      <c r="B85" s="36" t="s">
        <v>139</v>
      </c>
      <c r="C85" s="36"/>
      <c r="D85" s="38"/>
      <c r="E85" s="31">
        <f>SUM(E80:E84)</f>
        <v>35</v>
      </c>
      <c r="F85" s="38">
        <f>SUM(F80:F84)</f>
        <v>7.7061600000000006</v>
      </c>
      <c r="G85" s="17"/>
      <c r="H85" s="31">
        <f>SUM(H80:H84)</f>
        <v>36</v>
      </c>
      <c r="I85" s="38">
        <f>SUM(I80:I84)</f>
        <v>7.8328800000000012</v>
      </c>
      <c r="J85" s="16"/>
      <c r="K85" s="31">
        <f>SUM(K80:K84)</f>
        <v>0</v>
      </c>
      <c r="L85" s="38">
        <f>SUM(L80:L84)</f>
        <v>0</v>
      </c>
      <c r="M85" s="16"/>
      <c r="N85" s="31">
        <f>SUM(N80:N84)</f>
        <v>0</v>
      </c>
      <c r="O85" s="38">
        <f>SUM(O80:O84)</f>
        <v>0</v>
      </c>
      <c r="P85" s="16"/>
      <c r="Q85" s="31">
        <f t="shared" ref="Q85:V85" si="213">SUM(Q80:Q84)</f>
        <v>0</v>
      </c>
      <c r="R85" s="38">
        <f t="shared" si="213"/>
        <v>0</v>
      </c>
      <c r="S85" s="31">
        <f t="shared" si="213"/>
        <v>36</v>
      </c>
      <c r="T85" s="38">
        <f t="shared" si="213"/>
        <v>7.8328800000000012</v>
      </c>
      <c r="U85" s="31">
        <f t="shared" si="213"/>
        <v>-1</v>
      </c>
      <c r="V85" s="38">
        <f t="shared" si="213"/>
        <v>-0.12671999999999989</v>
      </c>
      <c r="X85" s="29"/>
    </row>
    <row r="86" spans="1:24">
      <c r="A86" s="26" t="s">
        <v>13</v>
      </c>
      <c r="B86" s="26" t="s">
        <v>53</v>
      </c>
      <c r="C86" s="26">
        <v>23.6</v>
      </c>
      <c r="D86" s="27">
        <v>9.6</v>
      </c>
      <c r="E86" s="28">
        <v>14</v>
      </c>
      <c r="F86" s="16">
        <f t="shared" ref="F86:F97" si="214">(C86*D86*E86/1000)</f>
        <v>3.17184</v>
      </c>
      <c r="G86" s="17" t="s">
        <v>89</v>
      </c>
      <c r="H86" s="18">
        <v>14</v>
      </c>
      <c r="I86" s="19">
        <f t="shared" ref="I86:I97" si="215">(C86*D86*H86/1000)</f>
        <v>3.17184</v>
      </c>
      <c r="J86" s="16" t="s">
        <v>93</v>
      </c>
      <c r="K86" s="18"/>
      <c r="L86" s="19">
        <f t="shared" ref="L86:L97" si="216">(C86*D86*K86/1000)</f>
        <v>0</v>
      </c>
      <c r="M86" s="16"/>
      <c r="N86" s="18"/>
      <c r="O86" s="19">
        <f t="shared" ref="O86:O97" si="217">(C86*D86*N86/1000)</f>
        <v>0</v>
      </c>
      <c r="P86" s="16"/>
      <c r="Q86" s="18"/>
      <c r="R86" s="19">
        <f t="shared" ref="R86:R97" si="218">(C86*D86*Q86/1000)</f>
        <v>0</v>
      </c>
      <c r="S86" s="20">
        <f t="shared" ref="S86:S97" si="219">+H86+K86+Q86+N86</f>
        <v>14</v>
      </c>
      <c r="T86" s="19">
        <f t="shared" ref="T86:T97" si="220">+I86+L86+R86+O86</f>
        <v>3.17184</v>
      </c>
      <c r="U86" s="21">
        <f t="shared" ref="U86:U97" si="221">E86-S86</f>
        <v>0</v>
      </c>
      <c r="V86" s="19">
        <f t="shared" ref="V86:V97" si="222">F86-T86</f>
        <v>0</v>
      </c>
      <c r="X86" s="29"/>
    </row>
    <row r="87" spans="1:24">
      <c r="A87" s="26" t="s">
        <v>13</v>
      </c>
      <c r="B87" s="26" t="s">
        <v>53</v>
      </c>
      <c r="C87" s="26">
        <v>23.6</v>
      </c>
      <c r="D87" s="27">
        <v>10.199999999999999</v>
      </c>
      <c r="E87" s="28">
        <v>8</v>
      </c>
      <c r="F87" s="16">
        <f t="shared" ref="F87:F96" si="223">(C87*D87*E87/1000)</f>
        <v>1.9257599999999999</v>
      </c>
      <c r="G87" s="17" t="s">
        <v>167</v>
      </c>
      <c r="H87" s="18">
        <v>1</v>
      </c>
      <c r="I87" s="19">
        <f t="shared" ref="I87:I96" si="224">(C87*D87*H87/1000)</f>
        <v>0.24071999999999999</v>
      </c>
      <c r="J87" s="16" t="s">
        <v>176</v>
      </c>
      <c r="K87" s="18"/>
      <c r="L87" s="19">
        <f t="shared" ref="L87:L96" si="225">(C87*D87*K87/1000)</f>
        <v>0</v>
      </c>
      <c r="M87" s="16"/>
      <c r="N87" s="18"/>
      <c r="O87" s="19">
        <f t="shared" ref="O87:O96" si="226">(C87*D87*N87/1000)</f>
        <v>0</v>
      </c>
      <c r="P87" s="16"/>
      <c r="Q87" s="18"/>
      <c r="R87" s="19">
        <f t="shared" ref="R87:R96" si="227">(C87*D87*Q87/1000)</f>
        <v>0</v>
      </c>
      <c r="S87" s="20">
        <f t="shared" ref="S87:S96" si="228">+H87+K87+Q87+N87</f>
        <v>1</v>
      </c>
      <c r="T87" s="19">
        <f t="shared" ref="T87:T96" si="229">+I87+L87+R87+O87</f>
        <v>0.24071999999999999</v>
      </c>
      <c r="U87" s="21">
        <f t="shared" ref="U87:U96" si="230">E87-S87</f>
        <v>7</v>
      </c>
      <c r="V87" s="19">
        <f t="shared" ref="V87:V96" si="231">F87-T87</f>
        <v>1.6850399999999999</v>
      </c>
      <c r="X87" s="29"/>
    </row>
    <row r="88" spans="1:24">
      <c r="A88" s="26" t="s">
        <v>13</v>
      </c>
      <c r="B88" s="26" t="s">
        <v>53</v>
      </c>
      <c r="C88" s="26">
        <v>23.6</v>
      </c>
      <c r="D88" s="27">
        <v>10</v>
      </c>
      <c r="E88" s="28"/>
      <c r="F88" s="16">
        <f t="shared" si="223"/>
        <v>0</v>
      </c>
      <c r="G88" s="17"/>
      <c r="H88" s="18"/>
      <c r="I88" s="19">
        <f t="shared" si="224"/>
        <v>0</v>
      </c>
      <c r="J88" s="16"/>
      <c r="K88" s="18">
        <v>1</v>
      </c>
      <c r="L88" s="19">
        <f t="shared" si="225"/>
        <v>0.23599999999999999</v>
      </c>
      <c r="M88" s="16"/>
      <c r="N88" s="18"/>
      <c r="O88" s="19">
        <f t="shared" si="226"/>
        <v>0</v>
      </c>
      <c r="P88" s="16"/>
      <c r="Q88" s="18"/>
      <c r="R88" s="19">
        <f t="shared" si="227"/>
        <v>0</v>
      </c>
      <c r="S88" s="20">
        <f t="shared" si="228"/>
        <v>1</v>
      </c>
      <c r="T88" s="19">
        <f t="shared" si="229"/>
        <v>0.23599999999999999</v>
      </c>
      <c r="U88" s="21">
        <f t="shared" si="230"/>
        <v>-1</v>
      </c>
      <c r="V88" s="19">
        <f t="shared" si="231"/>
        <v>-0.23599999999999999</v>
      </c>
      <c r="X88" s="29"/>
    </row>
    <row r="89" spans="1:24">
      <c r="A89" s="26" t="s">
        <v>13</v>
      </c>
      <c r="B89" s="26" t="s">
        <v>53</v>
      </c>
      <c r="C89" s="26">
        <v>23.6</v>
      </c>
      <c r="D89" s="27">
        <v>9.6</v>
      </c>
      <c r="E89" s="28"/>
      <c r="F89" s="16">
        <f t="shared" si="223"/>
        <v>0</v>
      </c>
      <c r="G89" s="17"/>
      <c r="H89" s="18"/>
      <c r="I89" s="19">
        <f t="shared" si="224"/>
        <v>0</v>
      </c>
      <c r="J89" s="16"/>
      <c r="K89" s="18">
        <v>1</v>
      </c>
      <c r="L89" s="19">
        <f t="shared" si="225"/>
        <v>0.22656000000000001</v>
      </c>
      <c r="M89" s="16"/>
      <c r="N89" s="18"/>
      <c r="O89" s="19">
        <f t="shared" si="226"/>
        <v>0</v>
      </c>
      <c r="P89" s="16"/>
      <c r="Q89" s="18"/>
      <c r="R89" s="19">
        <f t="shared" si="227"/>
        <v>0</v>
      </c>
      <c r="S89" s="20">
        <f t="shared" si="228"/>
        <v>1</v>
      </c>
      <c r="T89" s="19">
        <f t="shared" si="229"/>
        <v>0.22656000000000001</v>
      </c>
      <c r="U89" s="21">
        <f t="shared" si="230"/>
        <v>-1</v>
      </c>
      <c r="V89" s="19">
        <f t="shared" si="231"/>
        <v>-0.22656000000000001</v>
      </c>
      <c r="X89" s="29"/>
    </row>
    <row r="90" spans="1:24">
      <c r="A90" s="26" t="s">
        <v>13</v>
      </c>
      <c r="B90" s="26" t="s">
        <v>53</v>
      </c>
      <c r="C90" s="26">
        <v>23.6</v>
      </c>
      <c r="D90" s="27">
        <v>8.8000000000000007</v>
      </c>
      <c r="E90" s="28"/>
      <c r="F90" s="16">
        <f t="shared" si="223"/>
        <v>0</v>
      </c>
      <c r="G90" s="17"/>
      <c r="H90" s="18"/>
      <c r="I90" s="19">
        <f t="shared" si="224"/>
        <v>0</v>
      </c>
      <c r="J90" s="16"/>
      <c r="K90" s="18">
        <v>1</v>
      </c>
      <c r="L90" s="19">
        <f t="shared" si="225"/>
        <v>0.20768000000000003</v>
      </c>
      <c r="M90" s="16"/>
      <c r="N90" s="18"/>
      <c r="O90" s="19">
        <f t="shared" si="226"/>
        <v>0</v>
      </c>
      <c r="P90" s="16"/>
      <c r="Q90" s="18"/>
      <c r="R90" s="19">
        <f t="shared" si="227"/>
        <v>0</v>
      </c>
      <c r="S90" s="20">
        <f t="shared" si="228"/>
        <v>1</v>
      </c>
      <c r="T90" s="19">
        <f t="shared" si="229"/>
        <v>0.20768000000000003</v>
      </c>
      <c r="U90" s="21">
        <f t="shared" si="230"/>
        <v>-1</v>
      </c>
      <c r="V90" s="19">
        <f t="shared" si="231"/>
        <v>-0.20768000000000003</v>
      </c>
      <c r="X90" s="29"/>
    </row>
    <row r="91" spans="1:24">
      <c r="A91" s="26" t="s">
        <v>13</v>
      </c>
      <c r="B91" s="26" t="s">
        <v>53</v>
      </c>
      <c r="C91" s="26">
        <v>23.6</v>
      </c>
      <c r="D91" s="27">
        <v>8.6999999999999993</v>
      </c>
      <c r="E91" s="28"/>
      <c r="F91" s="16">
        <f t="shared" si="223"/>
        <v>0</v>
      </c>
      <c r="G91" s="17"/>
      <c r="H91" s="18"/>
      <c r="I91" s="19">
        <f t="shared" si="224"/>
        <v>0</v>
      </c>
      <c r="J91" s="16"/>
      <c r="K91" s="18">
        <v>2</v>
      </c>
      <c r="L91" s="19">
        <f t="shared" si="225"/>
        <v>0.41064000000000001</v>
      </c>
      <c r="M91" s="16"/>
      <c r="N91" s="18"/>
      <c r="O91" s="19">
        <f t="shared" si="226"/>
        <v>0</v>
      </c>
      <c r="P91" s="16"/>
      <c r="Q91" s="18"/>
      <c r="R91" s="19">
        <f t="shared" si="227"/>
        <v>0</v>
      </c>
      <c r="S91" s="20">
        <f t="shared" si="228"/>
        <v>2</v>
      </c>
      <c r="T91" s="19">
        <f t="shared" si="229"/>
        <v>0.41064000000000001</v>
      </c>
      <c r="U91" s="21">
        <f t="shared" si="230"/>
        <v>-2</v>
      </c>
      <c r="V91" s="19">
        <f t="shared" si="231"/>
        <v>-0.41064000000000001</v>
      </c>
      <c r="X91" s="29"/>
    </row>
    <row r="92" spans="1:24">
      <c r="A92" s="26" t="s">
        <v>13</v>
      </c>
      <c r="B92" s="26" t="s">
        <v>53</v>
      </c>
      <c r="C92" s="26">
        <v>23.6</v>
      </c>
      <c r="D92" s="27">
        <v>8.5</v>
      </c>
      <c r="E92" s="28"/>
      <c r="F92" s="16">
        <f t="shared" si="223"/>
        <v>0</v>
      </c>
      <c r="G92" s="17"/>
      <c r="H92" s="18"/>
      <c r="I92" s="19">
        <f t="shared" si="224"/>
        <v>0</v>
      </c>
      <c r="J92" s="16"/>
      <c r="K92" s="18">
        <v>1</v>
      </c>
      <c r="L92" s="19">
        <f t="shared" si="225"/>
        <v>0.20060000000000003</v>
      </c>
      <c r="M92" s="16"/>
      <c r="N92" s="18"/>
      <c r="O92" s="19">
        <f t="shared" si="226"/>
        <v>0</v>
      </c>
      <c r="P92" s="16"/>
      <c r="Q92" s="18"/>
      <c r="R92" s="19">
        <f t="shared" si="227"/>
        <v>0</v>
      </c>
      <c r="S92" s="20">
        <f t="shared" si="228"/>
        <v>1</v>
      </c>
      <c r="T92" s="19">
        <f t="shared" si="229"/>
        <v>0.20060000000000003</v>
      </c>
      <c r="U92" s="21">
        <f t="shared" si="230"/>
        <v>-1</v>
      </c>
      <c r="V92" s="19">
        <f t="shared" si="231"/>
        <v>-0.20060000000000003</v>
      </c>
      <c r="X92" s="29"/>
    </row>
    <row r="93" spans="1:24">
      <c r="A93" s="26" t="s">
        <v>13</v>
      </c>
      <c r="B93" s="26" t="s">
        <v>53</v>
      </c>
      <c r="C93" s="26">
        <v>23.6</v>
      </c>
      <c r="D93" s="27">
        <v>7.7</v>
      </c>
      <c r="E93" s="28"/>
      <c r="F93" s="16">
        <f t="shared" si="223"/>
        <v>0</v>
      </c>
      <c r="G93" s="17"/>
      <c r="H93" s="18"/>
      <c r="I93" s="19">
        <f t="shared" si="224"/>
        <v>0</v>
      </c>
      <c r="J93" s="16"/>
      <c r="K93" s="18">
        <v>1</v>
      </c>
      <c r="L93" s="19">
        <f t="shared" si="225"/>
        <v>0.18172000000000002</v>
      </c>
      <c r="M93" s="16"/>
      <c r="N93" s="18"/>
      <c r="O93" s="19">
        <f t="shared" si="226"/>
        <v>0</v>
      </c>
      <c r="P93" s="16"/>
      <c r="Q93" s="18"/>
      <c r="R93" s="19">
        <f t="shared" si="227"/>
        <v>0</v>
      </c>
      <c r="S93" s="20">
        <f t="shared" si="228"/>
        <v>1</v>
      </c>
      <c r="T93" s="19">
        <f t="shared" si="229"/>
        <v>0.18172000000000002</v>
      </c>
      <c r="U93" s="21">
        <f t="shared" si="230"/>
        <v>-1</v>
      </c>
      <c r="V93" s="19">
        <f t="shared" si="231"/>
        <v>-0.18172000000000002</v>
      </c>
      <c r="X93" s="29"/>
    </row>
    <row r="94" spans="1:24">
      <c r="A94" s="26" t="s">
        <v>13</v>
      </c>
      <c r="B94" s="26" t="s">
        <v>53</v>
      </c>
      <c r="C94" s="26">
        <v>23.6</v>
      </c>
      <c r="D94" s="27">
        <v>7.4</v>
      </c>
      <c r="E94" s="28"/>
      <c r="F94" s="16">
        <f t="shared" si="223"/>
        <v>0</v>
      </c>
      <c r="G94" s="17"/>
      <c r="H94" s="18"/>
      <c r="I94" s="19">
        <f t="shared" si="224"/>
        <v>0</v>
      </c>
      <c r="J94" s="16"/>
      <c r="K94" s="18">
        <v>1</v>
      </c>
      <c r="L94" s="19">
        <f t="shared" si="225"/>
        <v>0.17464000000000002</v>
      </c>
      <c r="M94" s="16"/>
      <c r="N94" s="18"/>
      <c r="O94" s="19">
        <f t="shared" si="226"/>
        <v>0</v>
      </c>
      <c r="P94" s="16"/>
      <c r="Q94" s="18"/>
      <c r="R94" s="19">
        <f t="shared" si="227"/>
        <v>0</v>
      </c>
      <c r="S94" s="20">
        <f t="shared" si="228"/>
        <v>1</v>
      </c>
      <c r="T94" s="19">
        <f t="shared" si="229"/>
        <v>0.17464000000000002</v>
      </c>
      <c r="U94" s="21">
        <f t="shared" si="230"/>
        <v>-1</v>
      </c>
      <c r="V94" s="19">
        <f t="shared" si="231"/>
        <v>-0.17464000000000002</v>
      </c>
      <c r="X94" s="29"/>
    </row>
    <row r="95" spans="1:24">
      <c r="A95" s="26" t="s">
        <v>13</v>
      </c>
      <c r="B95" s="26" t="s">
        <v>53</v>
      </c>
      <c r="C95" s="26">
        <v>23.6</v>
      </c>
      <c r="D95" s="27">
        <v>6.9</v>
      </c>
      <c r="E95" s="28"/>
      <c r="F95" s="16">
        <f t="shared" si="223"/>
        <v>0</v>
      </c>
      <c r="G95" s="17"/>
      <c r="H95" s="18"/>
      <c r="I95" s="19">
        <f t="shared" si="224"/>
        <v>0</v>
      </c>
      <c r="J95" s="16"/>
      <c r="K95" s="18">
        <v>1</v>
      </c>
      <c r="L95" s="19">
        <f t="shared" si="225"/>
        <v>0.16284000000000004</v>
      </c>
      <c r="M95" s="16"/>
      <c r="N95" s="18"/>
      <c r="O95" s="19">
        <f t="shared" si="226"/>
        <v>0</v>
      </c>
      <c r="P95" s="16"/>
      <c r="Q95" s="18"/>
      <c r="R95" s="19">
        <f t="shared" si="227"/>
        <v>0</v>
      </c>
      <c r="S95" s="20">
        <f t="shared" si="228"/>
        <v>1</v>
      </c>
      <c r="T95" s="19">
        <f t="shared" si="229"/>
        <v>0.16284000000000004</v>
      </c>
      <c r="U95" s="21">
        <f t="shared" si="230"/>
        <v>-1</v>
      </c>
      <c r="V95" s="19">
        <f t="shared" si="231"/>
        <v>-0.16284000000000004</v>
      </c>
      <c r="X95" s="29"/>
    </row>
    <row r="96" spans="1:24">
      <c r="A96" s="26" t="s">
        <v>13</v>
      </c>
      <c r="B96" s="26" t="s">
        <v>53</v>
      </c>
      <c r="C96" s="26">
        <v>23.6</v>
      </c>
      <c r="D96" s="27"/>
      <c r="E96" s="28"/>
      <c r="F96" s="16">
        <f t="shared" si="223"/>
        <v>0</v>
      </c>
      <c r="G96" s="17"/>
      <c r="H96" s="18"/>
      <c r="I96" s="19">
        <f t="shared" si="224"/>
        <v>0</v>
      </c>
      <c r="J96" s="16"/>
      <c r="K96" s="18"/>
      <c r="L96" s="19">
        <f t="shared" si="225"/>
        <v>0</v>
      </c>
      <c r="M96" s="16"/>
      <c r="N96" s="18"/>
      <c r="O96" s="19">
        <f t="shared" si="226"/>
        <v>0</v>
      </c>
      <c r="P96" s="16"/>
      <c r="Q96" s="18"/>
      <c r="R96" s="19">
        <f t="shared" si="227"/>
        <v>0</v>
      </c>
      <c r="S96" s="20">
        <f t="shared" si="228"/>
        <v>0</v>
      </c>
      <c r="T96" s="19">
        <f t="shared" si="229"/>
        <v>0</v>
      </c>
      <c r="U96" s="21">
        <f t="shared" si="230"/>
        <v>0</v>
      </c>
      <c r="V96" s="19">
        <f t="shared" si="231"/>
        <v>0</v>
      </c>
      <c r="X96" s="29"/>
    </row>
    <row r="97" spans="1:24">
      <c r="A97" s="26" t="s">
        <v>13</v>
      </c>
      <c r="B97" s="26" t="s">
        <v>53</v>
      </c>
      <c r="C97" s="26">
        <v>23.6</v>
      </c>
      <c r="D97" s="27"/>
      <c r="E97" s="28"/>
      <c r="F97" s="16">
        <f t="shared" si="214"/>
        <v>0</v>
      </c>
      <c r="G97" s="17"/>
      <c r="H97" s="18"/>
      <c r="I97" s="19">
        <f t="shared" si="215"/>
        <v>0</v>
      </c>
      <c r="J97" s="16"/>
      <c r="K97" s="18"/>
      <c r="L97" s="19">
        <f t="shared" si="216"/>
        <v>0</v>
      </c>
      <c r="M97" s="16"/>
      <c r="N97" s="18"/>
      <c r="O97" s="19">
        <f t="shared" si="217"/>
        <v>0</v>
      </c>
      <c r="P97" s="16"/>
      <c r="Q97" s="18"/>
      <c r="R97" s="19">
        <f t="shared" si="218"/>
        <v>0</v>
      </c>
      <c r="S97" s="20">
        <f t="shared" si="219"/>
        <v>0</v>
      </c>
      <c r="T97" s="19">
        <f t="shared" si="220"/>
        <v>0</v>
      </c>
      <c r="U97" s="21">
        <f t="shared" si="221"/>
        <v>0</v>
      </c>
      <c r="V97" s="19">
        <f t="shared" si="222"/>
        <v>0</v>
      </c>
      <c r="X97" s="29"/>
    </row>
    <row r="98" spans="1:24">
      <c r="A98" s="36"/>
      <c r="B98" s="36" t="s">
        <v>139</v>
      </c>
      <c r="C98" s="36"/>
      <c r="D98" s="38"/>
      <c r="E98" s="31">
        <f>SUM(E86:E97)</f>
        <v>22</v>
      </c>
      <c r="F98" s="38">
        <f>SUM(F86:F97)</f>
        <v>5.0975999999999999</v>
      </c>
      <c r="G98" s="17"/>
      <c r="H98" s="31">
        <f>SUM(H86:H97)</f>
        <v>15</v>
      </c>
      <c r="I98" s="38">
        <f>SUM(I86:I97)</f>
        <v>3.41256</v>
      </c>
      <c r="J98" s="16"/>
      <c r="K98" s="31">
        <f>SUM(K86:K97)</f>
        <v>9</v>
      </c>
      <c r="L98" s="38">
        <f>SUM(L86:L97)</f>
        <v>1.8006800000000003</v>
      </c>
      <c r="M98" s="16"/>
      <c r="N98" s="31">
        <f>SUM(N86:N97)</f>
        <v>0</v>
      </c>
      <c r="O98" s="38">
        <f>SUM(O86:O97)</f>
        <v>0</v>
      </c>
      <c r="P98" s="16"/>
      <c r="Q98" s="31">
        <f t="shared" ref="Q98:V98" si="232">SUM(Q86:Q97)</f>
        <v>0</v>
      </c>
      <c r="R98" s="38">
        <f t="shared" si="232"/>
        <v>0</v>
      </c>
      <c r="S98" s="31">
        <f t="shared" si="232"/>
        <v>24</v>
      </c>
      <c r="T98" s="38">
        <f t="shared" si="232"/>
        <v>5.2132399999999999</v>
      </c>
      <c r="U98" s="31">
        <f t="shared" si="232"/>
        <v>-2</v>
      </c>
      <c r="V98" s="38">
        <f t="shared" si="232"/>
        <v>-0.11564000000000038</v>
      </c>
      <c r="X98" s="29"/>
    </row>
    <row r="99" spans="1:24">
      <c r="A99" s="26" t="s">
        <v>13</v>
      </c>
      <c r="B99" s="26" t="s">
        <v>125</v>
      </c>
      <c r="C99" s="26">
        <v>27.3</v>
      </c>
      <c r="D99" s="27">
        <v>7.4</v>
      </c>
      <c r="E99" s="28">
        <v>16</v>
      </c>
      <c r="F99" s="16">
        <f t="shared" ref="F99:F107" si="233">(C99*D99*E99/1000)</f>
        <v>3.2323200000000001</v>
      </c>
      <c r="G99" s="17" t="s">
        <v>89</v>
      </c>
      <c r="H99" s="18">
        <v>10</v>
      </c>
      <c r="I99" s="19">
        <f t="shared" ref="I99:I107" si="234">(C99*D99*H99/1000)</f>
        <v>2.0202</v>
      </c>
      <c r="J99" s="16" t="s">
        <v>89</v>
      </c>
      <c r="K99" s="18"/>
      <c r="L99" s="19">
        <f t="shared" ref="L99:L107" si="235">(C99*D99*K99/1000)</f>
        <v>0</v>
      </c>
      <c r="M99" s="16"/>
      <c r="N99" s="18"/>
      <c r="O99" s="19">
        <f t="shared" ref="O99:O107" si="236">(C99*D99*N99/1000)</f>
        <v>0</v>
      </c>
      <c r="P99" s="16"/>
      <c r="Q99" s="18"/>
      <c r="R99" s="19">
        <f t="shared" ref="R99:R107" si="237">(C99*D99*Q99/1000)</f>
        <v>0</v>
      </c>
      <c r="S99" s="20">
        <f t="shared" ref="S99:S107" si="238">+H99+K99+Q99+N99</f>
        <v>10</v>
      </c>
      <c r="T99" s="19">
        <f t="shared" ref="T99:T107" si="239">+I99+L99+R99+O99</f>
        <v>2.0202</v>
      </c>
      <c r="U99" s="21">
        <f t="shared" ref="U99:U107" si="240">E99-S99</f>
        <v>6</v>
      </c>
      <c r="V99" s="19">
        <f t="shared" ref="V99:V107" si="241">F99-T99</f>
        <v>1.2121200000000001</v>
      </c>
      <c r="X99" s="29"/>
    </row>
    <row r="100" spans="1:24">
      <c r="A100" s="26" t="s">
        <v>13</v>
      </c>
      <c r="B100" s="26" t="s">
        <v>125</v>
      </c>
      <c r="C100" s="26">
        <v>27.3</v>
      </c>
      <c r="D100" s="27">
        <v>8.5</v>
      </c>
      <c r="E100" s="28">
        <v>8</v>
      </c>
      <c r="F100" s="16">
        <f t="shared" si="233"/>
        <v>1.8564000000000001</v>
      </c>
      <c r="G100" s="17" t="s">
        <v>182</v>
      </c>
      <c r="H100" s="18">
        <v>5</v>
      </c>
      <c r="I100" s="19">
        <f t="shared" si="234"/>
        <v>1.16025</v>
      </c>
      <c r="J100" s="16" t="s">
        <v>183</v>
      </c>
      <c r="K100" s="18"/>
      <c r="L100" s="19">
        <f t="shared" si="235"/>
        <v>0</v>
      </c>
      <c r="M100" s="16"/>
      <c r="N100" s="18"/>
      <c r="O100" s="19">
        <f t="shared" si="236"/>
        <v>0</v>
      </c>
      <c r="P100" s="16"/>
      <c r="Q100" s="18"/>
      <c r="R100" s="19">
        <f t="shared" si="237"/>
        <v>0</v>
      </c>
      <c r="S100" s="20">
        <f t="shared" si="238"/>
        <v>5</v>
      </c>
      <c r="T100" s="19">
        <f t="shared" si="239"/>
        <v>1.16025</v>
      </c>
      <c r="U100" s="21">
        <f t="shared" si="240"/>
        <v>3</v>
      </c>
      <c r="V100" s="19">
        <f t="shared" si="241"/>
        <v>0.69615000000000005</v>
      </c>
      <c r="X100" s="29"/>
    </row>
    <row r="101" spans="1:24">
      <c r="A101" s="26" t="s">
        <v>13</v>
      </c>
      <c r="B101" s="26" t="s">
        <v>125</v>
      </c>
      <c r="C101" s="26">
        <v>27.3</v>
      </c>
      <c r="D101" s="27">
        <v>11.5</v>
      </c>
      <c r="E101" s="28">
        <v>8</v>
      </c>
      <c r="F101" s="16">
        <f t="shared" ref="F101:F106" si="242">(C101*D101*E101/1000)</f>
        <v>2.5116000000000001</v>
      </c>
      <c r="G101" s="17"/>
      <c r="H101" s="18">
        <v>4</v>
      </c>
      <c r="I101" s="19">
        <f t="shared" ref="I101:I106" si="243">(C101*D101*H101/1000)</f>
        <v>1.2558</v>
      </c>
      <c r="J101" s="16"/>
      <c r="K101" s="18"/>
      <c r="L101" s="19">
        <f t="shared" ref="L101:L106" si="244">(C101*D101*K101/1000)</f>
        <v>0</v>
      </c>
      <c r="M101" s="16"/>
      <c r="N101" s="18"/>
      <c r="O101" s="19">
        <f t="shared" ref="O101:O106" si="245">(C101*D101*N101/1000)</f>
        <v>0</v>
      </c>
      <c r="P101" s="16"/>
      <c r="Q101" s="18"/>
      <c r="R101" s="19">
        <f t="shared" ref="R101:R106" si="246">(C101*D101*Q101/1000)</f>
        <v>0</v>
      </c>
      <c r="S101" s="20">
        <f t="shared" ref="S101:S106" si="247">+H101+K101+Q101+N101</f>
        <v>4</v>
      </c>
      <c r="T101" s="19">
        <f t="shared" ref="T101:T106" si="248">+I101+L101+R101+O101</f>
        <v>1.2558</v>
      </c>
      <c r="U101" s="21">
        <f t="shared" ref="U101:U106" si="249">E101-S101</f>
        <v>4</v>
      </c>
      <c r="V101" s="19">
        <f t="shared" ref="V101:V106" si="250">F101-T101</f>
        <v>1.2558</v>
      </c>
      <c r="X101" s="29"/>
    </row>
    <row r="102" spans="1:24">
      <c r="A102" s="26" t="s">
        <v>13</v>
      </c>
      <c r="B102" s="26" t="s">
        <v>125</v>
      </c>
      <c r="C102" s="26">
        <v>27.3</v>
      </c>
      <c r="D102" s="27">
        <v>8.1</v>
      </c>
      <c r="E102" s="28"/>
      <c r="F102" s="16">
        <f t="shared" si="242"/>
        <v>0</v>
      </c>
      <c r="G102" s="17"/>
      <c r="H102" s="18"/>
      <c r="I102" s="19">
        <f t="shared" si="243"/>
        <v>0</v>
      </c>
      <c r="J102" s="16"/>
      <c r="K102" s="18">
        <v>2</v>
      </c>
      <c r="L102" s="19">
        <f t="shared" si="244"/>
        <v>0.44225999999999999</v>
      </c>
      <c r="M102" s="16"/>
      <c r="N102" s="18"/>
      <c r="O102" s="19">
        <f t="shared" si="245"/>
        <v>0</v>
      </c>
      <c r="P102" s="16"/>
      <c r="Q102" s="18"/>
      <c r="R102" s="19">
        <f t="shared" si="246"/>
        <v>0</v>
      </c>
      <c r="S102" s="20">
        <f t="shared" si="247"/>
        <v>2</v>
      </c>
      <c r="T102" s="19">
        <f t="shared" si="248"/>
        <v>0.44225999999999999</v>
      </c>
      <c r="U102" s="21">
        <f t="shared" si="249"/>
        <v>-2</v>
      </c>
      <c r="V102" s="19">
        <f t="shared" si="250"/>
        <v>-0.44225999999999999</v>
      </c>
      <c r="X102" s="29"/>
    </row>
    <row r="103" spans="1:24">
      <c r="A103" s="26" t="s">
        <v>13</v>
      </c>
      <c r="B103" s="26" t="s">
        <v>125</v>
      </c>
      <c r="C103" s="26">
        <v>27.3</v>
      </c>
      <c r="D103" s="27">
        <v>7.7</v>
      </c>
      <c r="E103" s="28"/>
      <c r="F103" s="16">
        <f t="shared" si="242"/>
        <v>0</v>
      </c>
      <c r="G103" s="17"/>
      <c r="H103" s="18"/>
      <c r="I103" s="19">
        <f t="shared" si="243"/>
        <v>0</v>
      </c>
      <c r="J103" s="16"/>
      <c r="K103" s="18">
        <v>1</v>
      </c>
      <c r="L103" s="19">
        <f t="shared" si="244"/>
        <v>0.21021000000000001</v>
      </c>
      <c r="M103" s="16"/>
      <c r="N103" s="18"/>
      <c r="O103" s="19">
        <f t="shared" si="245"/>
        <v>0</v>
      </c>
      <c r="P103" s="16"/>
      <c r="Q103" s="18"/>
      <c r="R103" s="19">
        <f t="shared" si="246"/>
        <v>0</v>
      </c>
      <c r="S103" s="20">
        <f t="shared" si="247"/>
        <v>1</v>
      </c>
      <c r="T103" s="19">
        <f t="shared" si="248"/>
        <v>0.21021000000000001</v>
      </c>
      <c r="U103" s="21">
        <f t="shared" si="249"/>
        <v>-1</v>
      </c>
      <c r="V103" s="19">
        <f t="shared" si="250"/>
        <v>-0.21021000000000001</v>
      </c>
      <c r="X103" s="29"/>
    </row>
    <row r="104" spans="1:24">
      <c r="A104" s="26" t="s">
        <v>13</v>
      </c>
      <c r="B104" s="26" t="s">
        <v>125</v>
      </c>
      <c r="C104" s="26">
        <v>27.3</v>
      </c>
      <c r="D104" s="27">
        <v>7.5</v>
      </c>
      <c r="E104" s="28"/>
      <c r="F104" s="16">
        <f t="shared" si="242"/>
        <v>0</v>
      </c>
      <c r="G104" s="17"/>
      <c r="H104" s="18"/>
      <c r="I104" s="19">
        <f t="shared" si="243"/>
        <v>0</v>
      </c>
      <c r="J104" s="16"/>
      <c r="K104" s="18">
        <v>2</v>
      </c>
      <c r="L104" s="19">
        <f t="shared" si="244"/>
        <v>0.40949999999999998</v>
      </c>
      <c r="M104" s="16"/>
      <c r="N104" s="18"/>
      <c r="O104" s="19">
        <f t="shared" si="245"/>
        <v>0</v>
      </c>
      <c r="P104" s="16"/>
      <c r="Q104" s="18"/>
      <c r="R104" s="19">
        <f t="shared" si="246"/>
        <v>0</v>
      </c>
      <c r="S104" s="20">
        <f t="shared" si="247"/>
        <v>2</v>
      </c>
      <c r="T104" s="19">
        <f t="shared" si="248"/>
        <v>0.40949999999999998</v>
      </c>
      <c r="U104" s="21">
        <f t="shared" si="249"/>
        <v>-2</v>
      </c>
      <c r="V104" s="19">
        <f t="shared" si="250"/>
        <v>-0.40949999999999998</v>
      </c>
      <c r="X104" s="29"/>
    </row>
    <row r="105" spans="1:24">
      <c r="A105" s="26" t="s">
        <v>13</v>
      </c>
      <c r="B105" s="26" t="s">
        <v>125</v>
      </c>
      <c r="C105" s="26">
        <v>27.3</v>
      </c>
      <c r="D105" s="27">
        <v>11.5</v>
      </c>
      <c r="E105" s="28"/>
      <c r="F105" s="16">
        <f t="shared" si="242"/>
        <v>0</v>
      </c>
      <c r="G105" s="17"/>
      <c r="H105" s="18"/>
      <c r="I105" s="19">
        <f t="shared" si="243"/>
        <v>0</v>
      </c>
      <c r="J105" s="16"/>
      <c r="K105" s="18">
        <v>5</v>
      </c>
      <c r="L105" s="19">
        <f t="shared" si="244"/>
        <v>1.56975</v>
      </c>
      <c r="M105" s="16"/>
      <c r="N105" s="18"/>
      <c r="O105" s="19">
        <f t="shared" si="245"/>
        <v>0</v>
      </c>
      <c r="P105" s="16"/>
      <c r="Q105" s="18"/>
      <c r="R105" s="19">
        <f t="shared" si="246"/>
        <v>0</v>
      </c>
      <c r="S105" s="20">
        <f t="shared" si="247"/>
        <v>5</v>
      </c>
      <c r="T105" s="19">
        <f t="shared" si="248"/>
        <v>1.56975</v>
      </c>
      <c r="U105" s="21">
        <f t="shared" si="249"/>
        <v>-5</v>
      </c>
      <c r="V105" s="19">
        <f t="shared" si="250"/>
        <v>-1.56975</v>
      </c>
      <c r="X105" s="29"/>
    </row>
    <row r="106" spans="1:24">
      <c r="A106" s="26" t="s">
        <v>13</v>
      </c>
      <c r="B106" s="26" t="s">
        <v>125</v>
      </c>
      <c r="C106" s="26">
        <v>27.3</v>
      </c>
      <c r="D106" s="27">
        <v>10.7</v>
      </c>
      <c r="E106" s="28"/>
      <c r="F106" s="16">
        <f t="shared" si="242"/>
        <v>0</v>
      </c>
      <c r="G106" s="17"/>
      <c r="H106" s="18"/>
      <c r="I106" s="19">
        <f t="shared" si="243"/>
        <v>0</v>
      </c>
      <c r="J106" s="16"/>
      <c r="K106" s="18">
        <v>2</v>
      </c>
      <c r="L106" s="19">
        <f t="shared" si="244"/>
        <v>0.58422000000000007</v>
      </c>
      <c r="M106" s="16"/>
      <c r="N106" s="18"/>
      <c r="O106" s="19">
        <f t="shared" si="245"/>
        <v>0</v>
      </c>
      <c r="P106" s="16"/>
      <c r="Q106" s="18"/>
      <c r="R106" s="19">
        <f t="shared" si="246"/>
        <v>0</v>
      </c>
      <c r="S106" s="20">
        <f t="shared" si="247"/>
        <v>2</v>
      </c>
      <c r="T106" s="19">
        <f t="shared" si="248"/>
        <v>0.58422000000000007</v>
      </c>
      <c r="U106" s="21">
        <f t="shared" si="249"/>
        <v>-2</v>
      </c>
      <c r="V106" s="19">
        <f t="shared" si="250"/>
        <v>-0.58422000000000007</v>
      </c>
      <c r="X106" s="29"/>
    </row>
    <row r="107" spans="1:24">
      <c r="A107" s="26" t="s">
        <v>13</v>
      </c>
      <c r="B107" s="26" t="s">
        <v>125</v>
      </c>
      <c r="C107" s="26">
        <v>27.3</v>
      </c>
      <c r="D107" s="27">
        <v>7.8</v>
      </c>
      <c r="E107" s="28"/>
      <c r="F107" s="16">
        <f t="shared" si="233"/>
        <v>0</v>
      </c>
      <c r="G107" s="17"/>
      <c r="H107" s="18"/>
      <c r="I107" s="19">
        <f t="shared" si="234"/>
        <v>0</v>
      </c>
      <c r="J107" s="16"/>
      <c r="K107" s="18">
        <v>1</v>
      </c>
      <c r="L107" s="19">
        <f t="shared" si="235"/>
        <v>0.21293999999999999</v>
      </c>
      <c r="M107" s="16"/>
      <c r="N107" s="18"/>
      <c r="O107" s="19">
        <f t="shared" si="236"/>
        <v>0</v>
      </c>
      <c r="P107" s="16"/>
      <c r="Q107" s="18"/>
      <c r="R107" s="19">
        <f t="shared" si="237"/>
        <v>0</v>
      </c>
      <c r="S107" s="20">
        <f t="shared" si="238"/>
        <v>1</v>
      </c>
      <c r="T107" s="19">
        <f t="shared" si="239"/>
        <v>0.21293999999999999</v>
      </c>
      <c r="U107" s="21">
        <f t="shared" si="240"/>
        <v>-1</v>
      </c>
      <c r="V107" s="19">
        <f t="shared" si="241"/>
        <v>-0.21293999999999999</v>
      </c>
      <c r="X107" s="29"/>
    </row>
    <row r="108" spans="1:24">
      <c r="A108" s="36"/>
      <c r="B108" s="36" t="s">
        <v>139</v>
      </c>
      <c r="C108" s="36"/>
      <c r="D108" s="38"/>
      <c r="E108" s="31">
        <f>SUM(E99:E107)</f>
        <v>32</v>
      </c>
      <c r="F108" s="38">
        <f>SUM(F99:F107)</f>
        <v>7.60032</v>
      </c>
      <c r="G108" s="17"/>
      <c r="H108" s="31">
        <f>SUM(H99:H107)</f>
        <v>19</v>
      </c>
      <c r="I108" s="38">
        <f>SUM(I99:I107)</f>
        <v>4.4362500000000002</v>
      </c>
      <c r="J108" s="16"/>
      <c r="K108" s="31">
        <f>SUM(K99:K107)</f>
        <v>13</v>
      </c>
      <c r="L108" s="38">
        <f>SUM(L99:L107)</f>
        <v>3.4288800000000004</v>
      </c>
      <c r="M108" s="16"/>
      <c r="N108" s="31">
        <f>SUM(N99:N107)</f>
        <v>0</v>
      </c>
      <c r="O108" s="38">
        <f>SUM(O99:O107)</f>
        <v>0</v>
      </c>
      <c r="P108" s="16"/>
      <c r="Q108" s="31">
        <f t="shared" ref="Q108:V108" si="251">SUM(Q99:Q107)</f>
        <v>0</v>
      </c>
      <c r="R108" s="38">
        <f t="shared" si="251"/>
        <v>0</v>
      </c>
      <c r="S108" s="31">
        <f t="shared" si="251"/>
        <v>32</v>
      </c>
      <c r="T108" s="38">
        <f t="shared" si="251"/>
        <v>7.8651299999999997</v>
      </c>
      <c r="U108" s="31">
        <f t="shared" si="251"/>
        <v>0</v>
      </c>
      <c r="V108" s="38">
        <f t="shared" si="251"/>
        <v>-0.26480999999999999</v>
      </c>
      <c r="X108" s="29"/>
    </row>
    <row r="109" spans="1:24">
      <c r="A109" s="26" t="s">
        <v>13</v>
      </c>
      <c r="B109" s="26" t="s">
        <v>75</v>
      </c>
      <c r="C109" s="26">
        <v>31.6</v>
      </c>
      <c r="D109" s="27">
        <v>9</v>
      </c>
      <c r="E109" s="28">
        <v>8</v>
      </c>
      <c r="F109" s="16">
        <f>(C109*D109*E109/1000)</f>
        <v>2.2752000000000003</v>
      </c>
      <c r="G109" s="16" t="s">
        <v>89</v>
      </c>
      <c r="H109" s="18">
        <v>8</v>
      </c>
      <c r="I109" s="19">
        <f>(C109*D109*H109/1000)</f>
        <v>2.2752000000000003</v>
      </c>
      <c r="J109" s="16"/>
      <c r="K109" s="18"/>
      <c r="L109" s="19">
        <f>(C109*D109*K109/1000)</f>
        <v>0</v>
      </c>
      <c r="M109" s="16"/>
      <c r="N109" s="18"/>
      <c r="O109" s="19">
        <f>(C109*D109*N109/1000)</f>
        <v>0</v>
      </c>
      <c r="P109" s="16"/>
      <c r="Q109" s="18"/>
      <c r="R109" s="19">
        <f>(C109*D109*Q109/1000)</f>
        <v>0</v>
      </c>
      <c r="S109" s="20">
        <f>+H109+K109+Q109+N109</f>
        <v>8</v>
      </c>
      <c r="T109" s="19">
        <f>+I109+L109+R109+O109</f>
        <v>2.2752000000000003</v>
      </c>
      <c r="U109" s="21">
        <f>E109-S109</f>
        <v>0</v>
      </c>
      <c r="V109" s="19">
        <f>F109-T109</f>
        <v>0</v>
      </c>
      <c r="X109" s="29"/>
    </row>
    <row r="110" spans="1:24">
      <c r="A110" s="36"/>
      <c r="B110" s="36" t="s">
        <v>139</v>
      </c>
      <c r="C110" s="36"/>
      <c r="D110" s="38"/>
      <c r="E110" s="31">
        <f t="shared" ref="E110:F110" si="252">SUM(E109)</f>
        <v>8</v>
      </c>
      <c r="F110" s="38">
        <f t="shared" si="252"/>
        <v>2.2752000000000003</v>
      </c>
      <c r="G110" s="16" t="s">
        <v>183</v>
      </c>
      <c r="H110" s="31">
        <f t="shared" ref="H110" si="253">SUM(H109)</f>
        <v>8</v>
      </c>
      <c r="I110" s="38">
        <f t="shared" ref="I110" si="254">SUM(I109)</f>
        <v>2.2752000000000003</v>
      </c>
      <c r="J110" s="16"/>
      <c r="K110" s="31">
        <f t="shared" ref="K110" si="255">SUM(K109)</f>
        <v>0</v>
      </c>
      <c r="L110" s="38">
        <f t="shared" ref="L110" si="256">SUM(L109)</f>
        <v>0</v>
      </c>
      <c r="M110" s="16"/>
      <c r="N110" s="31">
        <f t="shared" ref="N110" si="257">SUM(N109)</f>
        <v>0</v>
      </c>
      <c r="O110" s="38">
        <f t="shared" ref="O110" si="258">SUM(O109)</f>
        <v>0</v>
      </c>
      <c r="P110" s="16"/>
      <c r="Q110" s="31">
        <f t="shared" ref="Q110" si="259">SUM(Q109)</f>
        <v>0</v>
      </c>
      <c r="R110" s="38">
        <f t="shared" ref="R110" si="260">SUM(R109)</f>
        <v>0</v>
      </c>
      <c r="S110" s="31">
        <f t="shared" ref="S110" si="261">SUM(S109)</f>
        <v>8</v>
      </c>
      <c r="T110" s="38">
        <f t="shared" ref="T110" si="262">SUM(T109)</f>
        <v>2.2752000000000003</v>
      </c>
      <c r="U110" s="31">
        <f t="shared" ref="U110" si="263">SUM(U109)</f>
        <v>0</v>
      </c>
      <c r="V110" s="38">
        <f t="shared" ref="V110" si="264">SUM(V109)</f>
        <v>0</v>
      </c>
      <c r="X110" s="29"/>
    </row>
    <row r="111" spans="1:24">
      <c r="A111" s="26" t="s">
        <v>13</v>
      </c>
      <c r="B111" s="26" t="s">
        <v>126</v>
      </c>
      <c r="C111" s="26">
        <v>33.799999999999997</v>
      </c>
      <c r="D111" s="27">
        <v>9.6999999999999993</v>
      </c>
      <c r="E111" s="28">
        <v>8</v>
      </c>
      <c r="F111" s="16">
        <f t="shared" ref="F111:F123" si="265">(C111*D111*E111/1000)</f>
        <v>2.6228799999999994</v>
      </c>
      <c r="G111" s="16" t="s">
        <v>89</v>
      </c>
      <c r="H111" s="18">
        <v>2</v>
      </c>
      <c r="I111" s="19">
        <f t="shared" ref="I111:I123" si="266">(C111*D111*H111/1000)</f>
        <v>0.65571999999999986</v>
      </c>
      <c r="J111" s="16"/>
      <c r="K111" s="18"/>
      <c r="L111" s="19">
        <f t="shared" ref="L111:L123" si="267">(C111*D111*K111/1000)</f>
        <v>0</v>
      </c>
      <c r="M111" s="16"/>
      <c r="N111" s="18"/>
      <c r="O111" s="19">
        <f t="shared" ref="O111:O123" si="268">(C111*D111*N111/1000)</f>
        <v>0</v>
      </c>
      <c r="P111" s="16"/>
      <c r="Q111" s="18"/>
      <c r="R111" s="19">
        <f t="shared" ref="R111:R123" si="269">(C111*D111*Q111/1000)</f>
        <v>0</v>
      </c>
      <c r="S111" s="20">
        <f t="shared" ref="S111:S123" si="270">+H111+K111+Q111+N111</f>
        <v>2</v>
      </c>
      <c r="T111" s="19">
        <f t="shared" ref="T111:T123" si="271">+I111+L111+R111+O111</f>
        <v>0.65571999999999986</v>
      </c>
      <c r="U111" s="21">
        <f t="shared" ref="U111:U123" si="272">E111-S111</f>
        <v>6</v>
      </c>
      <c r="V111" s="19">
        <f t="shared" ref="V111:V123" si="273">F111-T111</f>
        <v>1.9671599999999996</v>
      </c>
      <c r="X111" s="29"/>
    </row>
    <row r="112" spans="1:24">
      <c r="A112" s="26" t="s">
        <v>13</v>
      </c>
      <c r="B112" s="26" t="s">
        <v>126</v>
      </c>
      <c r="C112" s="26">
        <v>33.799999999999997</v>
      </c>
      <c r="D112" s="27">
        <v>11</v>
      </c>
      <c r="E112" s="28">
        <v>16</v>
      </c>
      <c r="F112" s="16">
        <f t="shared" ref="F112:F122" si="274">(C112*D112*E112/1000)</f>
        <v>5.9487999999999994</v>
      </c>
      <c r="G112" s="16" t="s">
        <v>183</v>
      </c>
      <c r="H112" s="18">
        <v>10</v>
      </c>
      <c r="I112" s="19">
        <f t="shared" ref="I112:I122" si="275">(C112*D112*H112/1000)</f>
        <v>3.7179999999999995</v>
      </c>
      <c r="J112" s="16"/>
      <c r="K112" s="18"/>
      <c r="L112" s="19">
        <f t="shared" ref="L112:L122" si="276">(C112*D112*K112/1000)</f>
        <v>0</v>
      </c>
      <c r="M112" s="16"/>
      <c r="N112" s="18"/>
      <c r="O112" s="19">
        <f t="shared" ref="O112:O122" si="277">(C112*D112*N112/1000)</f>
        <v>0</v>
      </c>
      <c r="P112" s="16"/>
      <c r="Q112" s="18"/>
      <c r="R112" s="19">
        <f t="shared" ref="R112:R122" si="278">(C112*D112*Q112/1000)</f>
        <v>0</v>
      </c>
      <c r="S112" s="20">
        <f t="shared" ref="S112:S122" si="279">+H112+K112+Q112+N112</f>
        <v>10</v>
      </c>
      <c r="T112" s="19">
        <f t="shared" ref="T112:T122" si="280">+I112+L112+R112+O112</f>
        <v>3.7179999999999995</v>
      </c>
      <c r="U112" s="21">
        <f t="shared" ref="U112:U122" si="281">E112-S112</f>
        <v>6</v>
      </c>
      <c r="V112" s="19">
        <f t="shared" ref="V112:V122" si="282">F112-T112</f>
        <v>2.2307999999999999</v>
      </c>
      <c r="X112" s="29"/>
    </row>
    <row r="113" spans="1:24">
      <c r="A113" s="26" t="s">
        <v>13</v>
      </c>
      <c r="B113" s="26" t="s">
        <v>126</v>
      </c>
      <c r="C113" s="26">
        <v>33.799999999999997</v>
      </c>
      <c r="D113" s="27">
        <v>11.1</v>
      </c>
      <c r="E113" s="28"/>
      <c r="F113" s="16">
        <f t="shared" si="274"/>
        <v>0</v>
      </c>
      <c r="G113" s="16"/>
      <c r="H113" s="18">
        <v>3</v>
      </c>
      <c r="I113" s="19">
        <f t="shared" si="275"/>
        <v>1.12554</v>
      </c>
      <c r="J113" s="16"/>
      <c r="K113" s="18"/>
      <c r="L113" s="19">
        <f t="shared" si="276"/>
        <v>0</v>
      </c>
      <c r="M113" s="16"/>
      <c r="N113" s="18"/>
      <c r="O113" s="19">
        <f t="shared" si="277"/>
        <v>0</v>
      </c>
      <c r="P113" s="16"/>
      <c r="Q113" s="18"/>
      <c r="R113" s="19">
        <f t="shared" si="278"/>
        <v>0</v>
      </c>
      <c r="S113" s="20">
        <f t="shared" si="279"/>
        <v>3</v>
      </c>
      <c r="T113" s="19">
        <f t="shared" si="280"/>
        <v>1.12554</v>
      </c>
      <c r="U113" s="21">
        <f t="shared" si="281"/>
        <v>-3</v>
      </c>
      <c r="V113" s="19">
        <f t="shared" si="282"/>
        <v>-1.12554</v>
      </c>
      <c r="X113" s="29"/>
    </row>
    <row r="114" spans="1:24">
      <c r="A114" s="26" t="s">
        <v>13</v>
      </c>
      <c r="B114" s="26" t="s">
        <v>126</v>
      </c>
      <c r="C114" s="26">
        <v>33.799999999999997</v>
      </c>
      <c r="D114" s="27">
        <v>11.2</v>
      </c>
      <c r="E114" s="28"/>
      <c r="F114" s="16">
        <f t="shared" si="274"/>
        <v>0</v>
      </c>
      <c r="G114" s="16"/>
      <c r="H114" s="18">
        <v>1</v>
      </c>
      <c r="I114" s="19">
        <f t="shared" si="275"/>
        <v>0.37855999999999995</v>
      </c>
      <c r="J114" s="16"/>
      <c r="K114" s="18"/>
      <c r="L114" s="19">
        <f t="shared" si="276"/>
        <v>0</v>
      </c>
      <c r="M114" s="16"/>
      <c r="N114" s="18"/>
      <c r="O114" s="19">
        <f t="shared" si="277"/>
        <v>0</v>
      </c>
      <c r="P114" s="16"/>
      <c r="Q114" s="18"/>
      <c r="R114" s="19">
        <f t="shared" si="278"/>
        <v>0</v>
      </c>
      <c r="S114" s="20">
        <f t="shared" si="279"/>
        <v>1</v>
      </c>
      <c r="T114" s="19">
        <f t="shared" si="280"/>
        <v>0.37855999999999995</v>
      </c>
      <c r="U114" s="21">
        <f t="shared" si="281"/>
        <v>-1</v>
      </c>
      <c r="V114" s="19">
        <f t="shared" si="282"/>
        <v>-0.37855999999999995</v>
      </c>
      <c r="X114" s="29"/>
    </row>
    <row r="115" spans="1:24">
      <c r="A115" s="26" t="s">
        <v>13</v>
      </c>
      <c r="B115" s="26" t="s">
        <v>126</v>
      </c>
      <c r="C115" s="26">
        <v>33.799999999999997</v>
      </c>
      <c r="D115" s="27">
        <v>11.3</v>
      </c>
      <c r="E115" s="28"/>
      <c r="F115" s="16">
        <f t="shared" si="274"/>
        <v>0</v>
      </c>
      <c r="G115" s="16"/>
      <c r="H115" s="18">
        <v>1</v>
      </c>
      <c r="I115" s="19">
        <f t="shared" si="275"/>
        <v>0.38194</v>
      </c>
      <c r="J115" s="16"/>
      <c r="K115" s="18"/>
      <c r="L115" s="19">
        <f t="shared" si="276"/>
        <v>0</v>
      </c>
      <c r="M115" s="16"/>
      <c r="N115" s="18"/>
      <c r="O115" s="19">
        <f t="shared" si="277"/>
        <v>0</v>
      </c>
      <c r="P115" s="16"/>
      <c r="Q115" s="18"/>
      <c r="R115" s="19">
        <f t="shared" si="278"/>
        <v>0</v>
      </c>
      <c r="S115" s="20">
        <f t="shared" si="279"/>
        <v>1</v>
      </c>
      <c r="T115" s="19">
        <f t="shared" si="280"/>
        <v>0.38194</v>
      </c>
      <c r="U115" s="21">
        <f t="shared" si="281"/>
        <v>-1</v>
      </c>
      <c r="V115" s="19">
        <f t="shared" si="282"/>
        <v>-0.38194</v>
      </c>
      <c r="X115" s="29"/>
    </row>
    <row r="116" spans="1:24">
      <c r="A116" s="26" t="s">
        <v>13</v>
      </c>
      <c r="B116" s="26" t="s">
        <v>126</v>
      </c>
      <c r="C116" s="26">
        <v>33.799999999999997</v>
      </c>
      <c r="D116" s="27">
        <v>11.4</v>
      </c>
      <c r="E116" s="28"/>
      <c r="F116" s="16">
        <f t="shared" si="274"/>
        <v>0</v>
      </c>
      <c r="G116" s="16"/>
      <c r="H116" s="18">
        <v>1</v>
      </c>
      <c r="I116" s="19">
        <f t="shared" si="275"/>
        <v>0.38532</v>
      </c>
      <c r="J116" s="16"/>
      <c r="K116" s="18"/>
      <c r="L116" s="19">
        <f t="shared" si="276"/>
        <v>0</v>
      </c>
      <c r="M116" s="16"/>
      <c r="N116" s="18"/>
      <c r="O116" s="19">
        <f t="shared" si="277"/>
        <v>0</v>
      </c>
      <c r="P116" s="16"/>
      <c r="Q116" s="18"/>
      <c r="R116" s="19">
        <f t="shared" si="278"/>
        <v>0</v>
      </c>
      <c r="S116" s="20">
        <f t="shared" si="279"/>
        <v>1</v>
      </c>
      <c r="T116" s="19">
        <f t="shared" si="280"/>
        <v>0.38532</v>
      </c>
      <c r="U116" s="21">
        <f t="shared" si="281"/>
        <v>-1</v>
      </c>
      <c r="V116" s="19">
        <f t="shared" si="282"/>
        <v>-0.38532</v>
      </c>
      <c r="X116" s="29"/>
    </row>
    <row r="117" spans="1:24">
      <c r="A117" s="26" t="s">
        <v>13</v>
      </c>
      <c r="B117" s="26" t="s">
        <v>126</v>
      </c>
      <c r="C117" s="26">
        <v>33.799999999999997</v>
      </c>
      <c r="D117" s="27">
        <v>9.5</v>
      </c>
      <c r="E117" s="28"/>
      <c r="F117" s="16">
        <f t="shared" si="274"/>
        <v>0</v>
      </c>
      <c r="G117" s="16"/>
      <c r="H117" s="18">
        <v>1</v>
      </c>
      <c r="I117" s="19">
        <f t="shared" si="275"/>
        <v>0.32109999999999994</v>
      </c>
      <c r="J117" s="16"/>
      <c r="K117" s="18"/>
      <c r="L117" s="19">
        <f t="shared" si="276"/>
        <v>0</v>
      </c>
      <c r="M117" s="16"/>
      <c r="N117" s="18"/>
      <c r="O117" s="19">
        <f t="shared" si="277"/>
        <v>0</v>
      </c>
      <c r="P117" s="16"/>
      <c r="Q117" s="18"/>
      <c r="R117" s="19">
        <f t="shared" si="278"/>
        <v>0</v>
      </c>
      <c r="S117" s="20">
        <f t="shared" si="279"/>
        <v>1</v>
      </c>
      <c r="T117" s="19">
        <f t="shared" si="280"/>
        <v>0.32109999999999994</v>
      </c>
      <c r="U117" s="21">
        <f t="shared" si="281"/>
        <v>-1</v>
      </c>
      <c r="V117" s="19">
        <f t="shared" si="282"/>
        <v>-0.32109999999999994</v>
      </c>
      <c r="X117" s="29"/>
    </row>
    <row r="118" spans="1:24">
      <c r="A118" s="26" t="s">
        <v>13</v>
      </c>
      <c r="B118" s="26" t="s">
        <v>126</v>
      </c>
      <c r="C118" s="26">
        <v>33.799999999999997</v>
      </c>
      <c r="D118" s="27">
        <v>10.9</v>
      </c>
      <c r="E118" s="28"/>
      <c r="F118" s="16">
        <f t="shared" si="274"/>
        <v>0</v>
      </c>
      <c r="G118" s="16"/>
      <c r="H118" s="18">
        <v>1</v>
      </c>
      <c r="I118" s="19">
        <f t="shared" si="275"/>
        <v>0.36841999999999997</v>
      </c>
      <c r="J118" s="16"/>
      <c r="K118" s="18"/>
      <c r="L118" s="19">
        <f t="shared" si="276"/>
        <v>0</v>
      </c>
      <c r="M118" s="16"/>
      <c r="N118" s="18"/>
      <c r="O118" s="19">
        <f t="shared" si="277"/>
        <v>0</v>
      </c>
      <c r="P118" s="16"/>
      <c r="Q118" s="18"/>
      <c r="R118" s="19">
        <f t="shared" si="278"/>
        <v>0</v>
      </c>
      <c r="S118" s="20">
        <f t="shared" si="279"/>
        <v>1</v>
      </c>
      <c r="T118" s="19">
        <f t="shared" si="280"/>
        <v>0.36841999999999997</v>
      </c>
      <c r="U118" s="21">
        <f t="shared" si="281"/>
        <v>-1</v>
      </c>
      <c r="V118" s="19">
        <f t="shared" si="282"/>
        <v>-0.36841999999999997</v>
      </c>
      <c r="X118" s="29"/>
    </row>
    <row r="119" spans="1:24">
      <c r="A119" s="26" t="s">
        <v>13</v>
      </c>
      <c r="B119" s="26" t="s">
        <v>126</v>
      </c>
      <c r="C119" s="26">
        <v>33.799999999999997</v>
      </c>
      <c r="D119" s="27">
        <v>10.199999999999999</v>
      </c>
      <c r="E119" s="28"/>
      <c r="F119" s="16">
        <f t="shared" si="274"/>
        <v>0</v>
      </c>
      <c r="G119" s="16"/>
      <c r="H119" s="18">
        <v>1</v>
      </c>
      <c r="I119" s="19">
        <f t="shared" si="275"/>
        <v>0.34475999999999996</v>
      </c>
      <c r="J119" s="16"/>
      <c r="K119" s="18"/>
      <c r="L119" s="19">
        <f t="shared" si="276"/>
        <v>0</v>
      </c>
      <c r="M119" s="16"/>
      <c r="N119" s="18"/>
      <c r="O119" s="19">
        <f t="shared" si="277"/>
        <v>0</v>
      </c>
      <c r="P119" s="16"/>
      <c r="Q119" s="18"/>
      <c r="R119" s="19">
        <f t="shared" si="278"/>
        <v>0</v>
      </c>
      <c r="S119" s="20">
        <f t="shared" si="279"/>
        <v>1</v>
      </c>
      <c r="T119" s="19">
        <f t="shared" si="280"/>
        <v>0.34475999999999996</v>
      </c>
      <c r="U119" s="21">
        <f t="shared" si="281"/>
        <v>-1</v>
      </c>
      <c r="V119" s="19">
        <f t="shared" si="282"/>
        <v>-0.34475999999999996</v>
      </c>
      <c r="X119" s="29"/>
    </row>
    <row r="120" spans="1:24">
      <c r="A120" s="26" t="s">
        <v>13</v>
      </c>
      <c r="B120" s="26" t="s">
        <v>126</v>
      </c>
      <c r="C120" s="26">
        <v>33.799999999999997</v>
      </c>
      <c r="D120" s="27">
        <v>6.3</v>
      </c>
      <c r="E120" s="28"/>
      <c r="F120" s="16">
        <f t="shared" si="274"/>
        <v>0</v>
      </c>
      <c r="G120" s="16"/>
      <c r="H120" s="18">
        <v>2</v>
      </c>
      <c r="I120" s="19">
        <f t="shared" si="275"/>
        <v>0.42587999999999993</v>
      </c>
      <c r="J120" s="16"/>
      <c r="K120" s="18"/>
      <c r="L120" s="19">
        <f t="shared" si="276"/>
        <v>0</v>
      </c>
      <c r="M120" s="16"/>
      <c r="N120" s="18"/>
      <c r="O120" s="19">
        <f t="shared" si="277"/>
        <v>0</v>
      </c>
      <c r="P120" s="16"/>
      <c r="Q120" s="18"/>
      <c r="R120" s="19">
        <f t="shared" si="278"/>
        <v>0</v>
      </c>
      <c r="S120" s="20">
        <f t="shared" si="279"/>
        <v>2</v>
      </c>
      <c r="T120" s="19">
        <f t="shared" si="280"/>
        <v>0.42587999999999993</v>
      </c>
      <c r="U120" s="21">
        <f t="shared" si="281"/>
        <v>-2</v>
      </c>
      <c r="V120" s="19">
        <f t="shared" si="282"/>
        <v>-0.42587999999999993</v>
      </c>
      <c r="X120" s="29"/>
    </row>
    <row r="121" spans="1:24">
      <c r="A121" s="26" t="s">
        <v>13</v>
      </c>
      <c r="B121" s="26" t="s">
        <v>126</v>
      </c>
      <c r="C121" s="26">
        <v>33.799999999999997</v>
      </c>
      <c r="D121" s="27">
        <v>6.7</v>
      </c>
      <c r="E121" s="28"/>
      <c r="F121" s="16">
        <f t="shared" si="274"/>
        <v>0</v>
      </c>
      <c r="G121" s="16"/>
      <c r="H121" s="18">
        <v>3</v>
      </c>
      <c r="I121" s="19">
        <f t="shared" si="275"/>
        <v>0.67937999999999987</v>
      </c>
      <c r="J121" s="16"/>
      <c r="K121" s="18"/>
      <c r="L121" s="19">
        <f t="shared" si="276"/>
        <v>0</v>
      </c>
      <c r="M121" s="16"/>
      <c r="N121" s="18"/>
      <c r="O121" s="19">
        <f t="shared" si="277"/>
        <v>0</v>
      </c>
      <c r="P121" s="16"/>
      <c r="Q121" s="18"/>
      <c r="R121" s="19">
        <f t="shared" si="278"/>
        <v>0</v>
      </c>
      <c r="S121" s="20">
        <f t="shared" si="279"/>
        <v>3</v>
      </c>
      <c r="T121" s="19">
        <f t="shared" si="280"/>
        <v>0.67937999999999987</v>
      </c>
      <c r="U121" s="21">
        <f t="shared" si="281"/>
        <v>-3</v>
      </c>
      <c r="V121" s="19">
        <f t="shared" si="282"/>
        <v>-0.67937999999999987</v>
      </c>
      <c r="X121" s="29"/>
    </row>
    <row r="122" spans="1:24">
      <c r="A122" s="26" t="s">
        <v>13</v>
      </c>
      <c r="B122" s="26" t="s">
        <v>126</v>
      </c>
      <c r="C122" s="26">
        <v>33.799999999999997</v>
      </c>
      <c r="D122" s="27"/>
      <c r="E122" s="28"/>
      <c r="F122" s="16">
        <f t="shared" si="274"/>
        <v>0</v>
      </c>
      <c r="G122" s="16"/>
      <c r="H122" s="18"/>
      <c r="I122" s="19">
        <f t="shared" si="275"/>
        <v>0</v>
      </c>
      <c r="J122" s="16"/>
      <c r="K122" s="18"/>
      <c r="L122" s="19">
        <f t="shared" si="276"/>
        <v>0</v>
      </c>
      <c r="M122" s="16"/>
      <c r="N122" s="18"/>
      <c r="O122" s="19">
        <f t="shared" si="277"/>
        <v>0</v>
      </c>
      <c r="P122" s="16"/>
      <c r="Q122" s="18"/>
      <c r="R122" s="19">
        <f t="shared" si="278"/>
        <v>0</v>
      </c>
      <c r="S122" s="20">
        <f t="shared" si="279"/>
        <v>0</v>
      </c>
      <c r="T122" s="19">
        <f t="shared" si="280"/>
        <v>0</v>
      </c>
      <c r="U122" s="21">
        <f t="shared" si="281"/>
        <v>0</v>
      </c>
      <c r="V122" s="19">
        <f t="shared" si="282"/>
        <v>0</v>
      </c>
      <c r="X122" s="29"/>
    </row>
    <row r="123" spans="1:24">
      <c r="A123" s="26" t="s">
        <v>13</v>
      </c>
      <c r="B123" s="26" t="s">
        <v>126</v>
      </c>
      <c r="C123" s="26">
        <v>33.799999999999997</v>
      </c>
      <c r="D123" s="27"/>
      <c r="E123" s="28"/>
      <c r="F123" s="16">
        <f t="shared" si="265"/>
        <v>0</v>
      </c>
      <c r="G123" s="16"/>
      <c r="H123" s="18"/>
      <c r="I123" s="19">
        <f t="shared" si="266"/>
        <v>0</v>
      </c>
      <c r="J123" s="16"/>
      <c r="K123" s="18"/>
      <c r="L123" s="19">
        <f t="shared" si="267"/>
        <v>0</v>
      </c>
      <c r="M123" s="16"/>
      <c r="N123" s="18"/>
      <c r="O123" s="19">
        <f t="shared" si="268"/>
        <v>0</v>
      </c>
      <c r="P123" s="16"/>
      <c r="Q123" s="18"/>
      <c r="R123" s="19">
        <f t="shared" si="269"/>
        <v>0</v>
      </c>
      <c r="S123" s="20">
        <f t="shared" si="270"/>
        <v>0</v>
      </c>
      <c r="T123" s="19">
        <f t="shared" si="271"/>
        <v>0</v>
      </c>
      <c r="U123" s="21">
        <f t="shared" si="272"/>
        <v>0</v>
      </c>
      <c r="V123" s="19">
        <f t="shared" si="273"/>
        <v>0</v>
      </c>
      <c r="X123" s="29"/>
    </row>
    <row r="124" spans="1:24">
      <c r="A124" s="36"/>
      <c r="B124" s="36" t="s">
        <v>139</v>
      </c>
      <c r="C124" s="36"/>
      <c r="D124" s="38"/>
      <c r="E124" s="31">
        <f>SUM(E111:E123)</f>
        <v>24</v>
      </c>
      <c r="F124" s="38">
        <f>SUM(F111:F123)</f>
        <v>8.5716799999999989</v>
      </c>
      <c r="G124" s="17"/>
      <c r="H124" s="31">
        <f>SUM(H111:H123)</f>
        <v>26</v>
      </c>
      <c r="I124" s="38">
        <f>SUM(I111:I123)</f>
        <v>8.7846200000000003</v>
      </c>
      <c r="J124" s="16"/>
      <c r="K124" s="31">
        <f>SUM(K111:K123)</f>
        <v>0</v>
      </c>
      <c r="L124" s="38">
        <f>SUM(L111:L123)</f>
        <v>0</v>
      </c>
      <c r="M124" s="16"/>
      <c r="N124" s="31">
        <f>SUM(N111:N123)</f>
        <v>0</v>
      </c>
      <c r="O124" s="38">
        <f>SUM(O111:O123)</f>
        <v>0</v>
      </c>
      <c r="P124" s="16"/>
      <c r="Q124" s="31">
        <f t="shared" ref="Q124:V124" si="283">SUM(Q111:Q123)</f>
        <v>0</v>
      </c>
      <c r="R124" s="38">
        <f t="shared" si="283"/>
        <v>0</v>
      </c>
      <c r="S124" s="31">
        <f t="shared" si="283"/>
        <v>26</v>
      </c>
      <c r="T124" s="38">
        <f t="shared" si="283"/>
        <v>8.7846200000000003</v>
      </c>
      <c r="U124" s="31">
        <f t="shared" si="283"/>
        <v>-2</v>
      </c>
      <c r="V124" s="38">
        <f t="shared" si="283"/>
        <v>-0.21294000000000046</v>
      </c>
      <c r="X124" s="29"/>
    </row>
    <row r="125" spans="1:24">
      <c r="A125" s="26" t="s">
        <v>13</v>
      </c>
      <c r="B125" s="26" t="s">
        <v>34</v>
      </c>
      <c r="C125" s="26">
        <v>5.76</v>
      </c>
      <c r="D125" s="27">
        <v>10</v>
      </c>
      <c r="E125" s="28">
        <v>4</v>
      </c>
      <c r="F125" s="16">
        <f t="shared" ref="F125:F128" si="284">(C125*D125*E125/1000)</f>
        <v>0.23039999999999997</v>
      </c>
      <c r="G125" s="16" t="s">
        <v>93</v>
      </c>
      <c r="H125" s="18">
        <v>3</v>
      </c>
      <c r="I125" s="19">
        <f t="shared" ref="I125:I128" si="285">(C125*D125*H125/1000)</f>
        <v>0.17279999999999998</v>
      </c>
      <c r="J125" s="16"/>
      <c r="K125" s="18"/>
      <c r="L125" s="19">
        <f t="shared" ref="L125:L128" si="286">(C125*D125*K125/1000)</f>
        <v>0</v>
      </c>
      <c r="M125" s="16"/>
      <c r="N125" s="18"/>
      <c r="O125" s="19">
        <f t="shared" ref="O125:O128" si="287">(C125*D125*N125/1000)</f>
        <v>0</v>
      </c>
      <c r="P125" s="16"/>
      <c r="Q125" s="18"/>
      <c r="R125" s="19">
        <f t="shared" ref="R125:R128" si="288">(C125*D125*Q125/1000)</f>
        <v>0</v>
      </c>
      <c r="S125" s="20">
        <f t="shared" ref="S125:S128" si="289">+H125+K125+Q125+N125</f>
        <v>3</v>
      </c>
      <c r="T125" s="19">
        <f t="shared" ref="T125:T128" si="290">+I125+L125+R125+O125</f>
        <v>0.17279999999999998</v>
      </c>
      <c r="U125" s="21">
        <f t="shared" ref="U125:U128" si="291">E125-S125</f>
        <v>1</v>
      </c>
      <c r="V125" s="19">
        <f t="shared" ref="V125:V128" si="292">F125-T125</f>
        <v>5.7599999999999985E-2</v>
      </c>
      <c r="X125" s="29"/>
    </row>
    <row r="126" spans="1:24">
      <c r="A126" s="26" t="s">
        <v>13</v>
      </c>
      <c r="B126" s="26" t="s">
        <v>34</v>
      </c>
      <c r="C126" s="26">
        <v>5.76</v>
      </c>
      <c r="D126" s="27">
        <v>10.5</v>
      </c>
      <c r="E126" s="28">
        <v>4</v>
      </c>
      <c r="F126" s="16">
        <f t="shared" ref="F126:F127" si="293">(C126*D126*E126/1000)</f>
        <v>0.24192</v>
      </c>
      <c r="G126" s="16" t="s">
        <v>169</v>
      </c>
      <c r="H126" s="18">
        <v>4</v>
      </c>
      <c r="I126" s="19">
        <f t="shared" ref="I126:I127" si="294">(C126*D126*H126/1000)</f>
        <v>0.24192</v>
      </c>
      <c r="J126" s="16"/>
      <c r="K126" s="18"/>
      <c r="L126" s="19">
        <f t="shared" ref="L126:L127" si="295">(C126*D126*K126/1000)</f>
        <v>0</v>
      </c>
      <c r="M126" s="16"/>
      <c r="N126" s="18"/>
      <c r="O126" s="19">
        <f t="shared" ref="O126:O127" si="296">(C126*D126*N126/1000)</f>
        <v>0</v>
      </c>
      <c r="P126" s="16"/>
      <c r="Q126" s="18"/>
      <c r="R126" s="19">
        <f t="shared" ref="R126:R127" si="297">(C126*D126*Q126/1000)</f>
        <v>0</v>
      </c>
      <c r="S126" s="20">
        <f t="shared" ref="S126:S127" si="298">+H126+K126+Q126+N126</f>
        <v>4</v>
      </c>
      <c r="T126" s="19">
        <f t="shared" ref="T126:T127" si="299">+I126+L126+R126+O126</f>
        <v>0.24192</v>
      </c>
      <c r="U126" s="21">
        <f t="shared" ref="U126:U127" si="300">E126-S126</f>
        <v>0</v>
      </c>
      <c r="V126" s="19">
        <f t="shared" ref="V126:V127" si="301">F126-T126</f>
        <v>0</v>
      </c>
      <c r="X126" s="29"/>
    </row>
    <row r="127" spans="1:24">
      <c r="A127" s="26" t="s">
        <v>13</v>
      </c>
      <c r="B127" s="26" t="s">
        <v>34</v>
      </c>
      <c r="C127" s="26">
        <v>5.76</v>
      </c>
      <c r="D127" s="27">
        <v>12</v>
      </c>
      <c r="E127" s="28">
        <v>31</v>
      </c>
      <c r="F127" s="16">
        <f t="shared" si="293"/>
        <v>2.1427200000000002</v>
      </c>
      <c r="G127" s="17"/>
      <c r="H127" s="18">
        <v>31</v>
      </c>
      <c r="I127" s="19">
        <f t="shared" si="294"/>
        <v>2.1427200000000002</v>
      </c>
      <c r="J127" s="16"/>
      <c r="K127" s="18"/>
      <c r="L127" s="19">
        <f t="shared" si="295"/>
        <v>0</v>
      </c>
      <c r="M127" s="16"/>
      <c r="N127" s="18"/>
      <c r="O127" s="19">
        <f t="shared" si="296"/>
        <v>0</v>
      </c>
      <c r="P127" s="16"/>
      <c r="Q127" s="18"/>
      <c r="R127" s="19">
        <f t="shared" si="297"/>
        <v>0</v>
      </c>
      <c r="S127" s="20">
        <f t="shared" si="298"/>
        <v>31</v>
      </c>
      <c r="T127" s="19">
        <f t="shared" si="299"/>
        <v>2.1427200000000002</v>
      </c>
      <c r="U127" s="21">
        <f t="shared" si="300"/>
        <v>0</v>
      </c>
      <c r="V127" s="19">
        <f t="shared" si="301"/>
        <v>0</v>
      </c>
      <c r="X127" s="29"/>
    </row>
    <row r="128" spans="1:24">
      <c r="A128" s="26" t="s">
        <v>13</v>
      </c>
      <c r="B128" s="26" t="s">
        <v>34</v>
      </c>
      <c r="C128" s="26">
        <v>5.76</v>
      </c>
      <c r="D128" s="27">
        <v>9.9</v>
      </c>
      <c r="E128" s="28"/>
      <c r="F128" s="16">
        <f t="shared" si="284"/>
        <v>0</v>
      </c>
      <c r="G128" s="17"/>
      <c r="H128" s="18">
        <v>1</v>
      </c>
      <c r="I128" s="19">
        <f t="shared" si="285"/>
        <v>5.7023999999999998E-2</v>
      </c>
      <c r="J128" s="16"/>
      <c r="K128" s="18"/>
      <c r="L128" s="19">
        <f t="shared" si="286"/>
        <v>0</v>
      </c>
      <c r="M128" s="16"/>
      <c r="N128" s="18"/>
      <c r="O128" s="19">
        <f t="shared" si="287"/>
        <v>0</v>
      </c>
      <c r="P128" s="16"/>
      <c r="Q128" s="18"/>
      <c r="R128" s="19">
        <f t="shared" si="288"/>
        <v>0</v>
      </c>
      <c r="S128" s="20">
        <f t="shared" si="289"/>
        <v>1</v>
      </c>
      <c r="T128" s="19">
        <f t="shared" si="290"/>
        <v>5.7023999999999998E-2</v>
      </c>
      <c r="U128" s="21">
        <f t="shared" si="291"/>
        <v>-1</v>
      </c>
      <c r="V128" s="19">
        <f t="shared" si="292"/>
        <v>-5.7023999999999998E-2</v>
      </c>
      <c r="X128" s="29"/>
    </row>
    <row r="129" spans="1:24">
      <c r="A129" s="36"/>
      <c r="B129" s="36" t="s">
        <v>139</v>
      </c>
      <c r="C129" s="36"/>
      <c r="D129" s="38"/>
      <c r="E129" s="31">
        <f t="shared" ref="E129:F129" si="302">SUM(E125:E128)</f>
        <v>39</v>
      </c>
      <c r="F129" s="38">
        <f t="shared" si="302"/>
        <v>2.61504</v>
      </c>
      <c r="G129" s="17"/>
      <c r="H129" s="31">
        <f t="shared" ref="H129" si="303">SUM(H125:H128)</f>
        <v>39</v>
      </c>
      <c r="I129" s="38">
        <f t="shared" ref="I129" si="304">SUM(I125:I128)</f>
        <v>2.6144640000000003</v>
      </c>
      <c r="J129" s="16"/>
      <c r="K129" s="31">
        <f t="shared" ref="K129" si="305">SUM(K125:K128)</f>
        <v>0</v>
      </c>
      <c r="L129" s="38">
        <f t="shared" ref="L129" si="306">SUM(L125:L128)</f>
        <v>0</v>
      </c>
      <c r="M129" s="16"/>
      <c r="N129" s="31">
        <f t="shared" ref="N129" si="307">SUM(N125:N128)</f>
        <v>0</v>
      </c>
      <c r="O129" s="38">
        <f t="shared" ref="O129" si="308">SUM(O125:O128)</f>
        <v>0</v>
      </c>
      <c r="P129" s="16"/>
      <c r="Q129" s="31">
        <f t="shared" ref="Q129" si="309">SUM(Q125:Q128)</f>
        <v>0</v>
      </c>
      <c r="R129" s="38">
        <f t="shared" ref="R129" si="310">SUM(R125:R128)</f>
        <v>0</v>
      </c>
      <c r="S129" s="31">
        <f t="shared" ref="S129" si="311">SUM(S125:S128)</f>
        <v>39</v>
      </c>
      <c r="T129" s="38">
        <f t="shared" ref="T129" si="312">SUM(T125:T128)</f>
        <v>2.6144640000000003</v>
      </c>
      <c r="U129" s="31">
        <f t="shared" ref="U129" si="313">SUM(U125:U128)</f>
        <v>0</v>
      </c>
      <c r="V129" s="38">
        <f t="shared" ref="V129" si="314">SUM(V125:V128)</f>
        <v>5.7599999999998625E-4</v>
      </c>
      <c r="X129" s="29"/>
    </row>
    <row r="130" spans="1:24">
      <c r="A130" s="26" t="s">
        <v>13</v>
      </c>
      <c r="B130" s="26" t="s">
        <v>35</v>
      </c>
      <c r="C130" s="26">
        <v>6.85</v>
      </c>
      <c r="D130" s="27">
        <v>9.6</v>
      </c>
      <c r="E130" s="28">
        <v>18</v>
      </c>
      <c r="F130" s="16">
        <f t="shared" ref="F130:F131" si="315">(C130*D130*E130/1000)</f>
        <v>1.1836799999999998</v>
      </c>
      <c r="G130" s="16" t="s">
        <v>93</v>
      </c>
      <c r="H130" s="18">
        <v>8</v>
      </c>
      <c r="I130" s="19">
        <f t="shared" ref="I130:I131" si="316">(C130*D130*H130/1000)</f>
        <v>0.52607999999999988</v>
      </c>
      <c r="J130" s="16" t="s">
        <v>93</v>
      </c>
      <c r="K130" s="18">
        <v>10</v>
      </c>
      <c r="L130" s="19">
        <f t="shared" ref="L130:L131" si="317">(C130*D130*K130/1000)</f>
        <v>0.65759999999999996</v>
      </c>
      <c r="M130" s="16"/>
      <c r="N130" s="18"/>
      <c r="O130" s="19">
        <f t="shared" ref="O130:O131" si="318">(C130*D130*N130/1000)</f>
        <v>0</v>
      </c>
      <c r="P130" s="16"/>
      <c r="Q130" s="18"/>
      <c r="R130" s="19">
        <f t="shared" ref="R130:R131" si="319">(C130*D130*Q130/1000)</f>
        <v>0</v>
      </c>
      <c r="S130" s="20">
        <f t="shared" ref="S130:S131" si="320">+H130+K130+Q130+N130</f>
        <v>18</v>
      </c>
      <c r="T130" s="19">
        <f t="shared" ref="T130:T131" si="321">+I130+L130+R130+O130</f>
        <v>1.1836799999999998</v>
      </c>
      <c r="U130" s="21">
        <f t="shared" ref="U130:U131" si="322">E130-S130</f>
        <v>0</v>
      </c>
      <c r="V130" s="19">
        <f t="shared" ref="V130:V131" si="323">F130-T130</f>
        <v>0</v>
      </c>
      <c r="X130" s="29"/>
    </row>
    <row r="131" spans="1:24">
      <c r="A131" s="26" t="s">
        <v>13</v>
      </c>
      <c r="B131" s="26" t="s">
        <v>35</v>
      </c>
      <c r="C131" s="26">
        <v>6.85</v>
      </c>
      <c r="D131" s="27">
        <v>12</v>
      </c>
      <c r="E131" s="28">
        <v>17</v>
      </c>
      <c r="F131" s="16">
        <f t="shared" si="315"/>
        <v>1.3973999999999998</v>
      </c>
      <c r="G131" s="16" t="s">
        <v>168</v>
      </c>
      <c r="H131" s="18">
        <v>17</v>
      </c>
      <c r="I131" s="19">
        <f t="shared" si="316"/>
        <v>1.3973999999999998</v>
      </c>
      <c r="J131" s="16" t="s">
        <v>169</v>
      </c>
      <c r="K131" s="18"/>
      <c r="L131" s="19">
        <f t="shared" si="317"/>
        <v>0</v>
      </c>
      <c r="M131" s="16"/>
      <c r="N131" s="18"/>
      <c r="O131" s="19">
        <f t="shared" si="318"/>
        <v>0</v>
      </c>
      <c r="P131" s="16"/>
      <c r="Q131" s="18"/>
      <c r="R131" s="19">
        <f t="shared" si="319"/>
        <v>0</v>
      </c>
      <c r="S131" s="20">
        <f t="shared" si="320"/>
        <v>17</v>
      </c>
      <c r="T131" s="19">
        <f t="shared" si="321"/>
        <v>1.3973999999999998</v>
      </c>
      <c r="U131" s="21">
        <f t="shared" si="322"/>
        <v>0</v>
      </c>
      <c r="V131" s="19">
        <f t="shared" si="323"/>
        <v>0</v>
      </c>
      <c r="X131" s="29"/>
    </row>
    <row r="132" spans="1:24">
      <c r="A132" s="36"/>
      <c r="B132" s="36" t="s">
        <v>139</v>
      </c>
      <c r="C132" s="36"/>
      <c r="D132" s="38"/>
      <c r="E132" s="31">
        <f t="shared" ref="E132:F132" si="324">SUM(E130:E131)</f>
        <v>35</v>
      </c>
      <c r="F132" s="38">
        <f t="shared" si="324"/>
        <v>2.5810799999999996</v>
      </c>
      <c r="G132" s="17"/>
      <c r="H132" s="31">
        <f>SUM(H130:H131)</f>
        <v>25</v>
      </c>
      <c r="I132" s="38">
        <f>SUM(I130:I131)</f>
        <v>1.9234799999999996</v>
      </c>
      <c r="J132" s="16"/>
      <c r="K132" s="31">
        <f t="shared" ref="K132" si="325">SUM(K130:K131)</f>
        <v>10</v>
      </c>
      <c r="L132" s="38">
        <f t="shared" ref="L132" si="326">SUM(L130:L131)</f>
        <v>0.65759999999999996</v>
      </c>
      <c r="M132" s="16"/>
      <c r="N132" s="31">
        <f t="shared" ref="N132" si="327">SUM(N130:N131)</f>
        <v>0</v>
      </c>
      <c r="O132" s="38">
        <f t="shared" ref="O132" si="328">SUM(O130:O131)</f>
        <v>0</v>
      </c>
      <c r="P132" s="16"/>
      <c r="Q132" s="31">
        <f t="shared" ref="Q132" si="329">SUM(Q130:Q131)</f>
        <v>0</v>
      </c>
      <c r="R132" s="38">
        <f t="shared" ref="R132" si="330">SUM(R130:R131)</f>
        <v>0</v>
      </c>
      <c r="S132" s="31">
        <f t="shared" ref="S132" si="331">SUM(S130:S131)</f>
        <v>35</v>
      </c>
      <c r="T132" s="38">
        <f t="shared" ref="T132" si="332">SUM(T130:T131)</f>
        <v>2.5810799999999996</v>
      </c>
      <c r="U132" s="31">
        <f t="shared" ref="U132" si="333">SUM(U130:U131)</f>
        <v>0</v>
      </c>
      <c r="V132" s="38">
        <f t="shared" ref="V132" si="334">SUM(V130:V131)</f>
        <v>0</v>
      </c>
      <c r="X132" s="29"/>
    </row>
    <row r="133" spans="1:24">
      <c r="A133" s="26" t="s">
        <v>13</v>
      </c>
      <c r="B133" s="26" t="s">
        <v>57</v>
      </c>
      <c r="C133" s="26">
        <v>6.17</v>
      </c>
      <c r="D133" s="27">
        <v>10.85</v>
      </c>
      <c r="E133" s="28">
        <v>33</v>
      </c>
      <c r="F133" s="16">
        <f t="shared" ref="F133:F134" si="335">(C133*D133*E133/1000)</f>
        <v>2.2091684999999996</v>
      </c>
      <c r="G133" s="17" t="s">
        <v>89</v>
      </c>
      <c r="H133" s="18">
        <v>33</v>
      </c>
      <c r="I133" s="19">
        <f t="shared" ref="I133:I134" si="336">(C133*D133*H133/1000)</f>
        <v>2.2091684999999996</v>
      </c>
      <c r="J133" s="16"/>
      <c r="K133" s="18"/>
      <c r="L133" s="19">
        <f t="shared" ref="L133:L134" si="337">(C133*D133*K133/1000)</f>
        <v>0</v>
      </c>
      <c r="M133" s="16"/>
      <c r="N133" s="18"/>
      <c r="O133" s="19">
        <f t="shared" ref="O133:O134" si="338">(C133*D133*N133/1000)</f>
        <v>0</v>
      </c>
      <c r="P133" s="16"/>
      <c r="Q133" s="18"/>
      <c r="R133" s="19">
        <f t="shared" ref="R133:R134" si="339">(C133*D133*Q133/1000)</f>
        <v>0</v>
      </c>
      <c r="S133" s="20">
        <f t="shared" ref="S133:S134" si="340">+H133+K133+Q133+N133</f>
        <v>33</v>
      </c>
      <c r="T133" s="19">
        <f t="shared" ref="T133:T134" si="341">+I133+L133+R133+O133</f>
        <v>2.2091684999999996</v>
      </c>
      <c r="U133" s="21">
        <f t="shared" ref="U133:U134" si="342">E133-S133</f>
        <v>0</v>
      </c>
      <c r="V133" s="19">
        <f t="shared" ref="V133:V134" si="343">F133-T133</f>
        <v>0</v>
      </c>
      <c r="X133" s="29"/>
    </row>
    <row r="134" spans="1:24">
      <c r="A134" s="26" t="s">
        <v>13</v>
      </c>
      <c r="B134" s="26" t="s">
        <v>57</v>
      </c>
      <c r="C134" s="26">
        <v>6.17</v>
      </c>
      <c r="D134" s="27">
        <v>11.85</v>
      </c>
      <c r="E134" s="28">
        <v>17</v>
      </c>
      <c r="F134" s="16">
        <f t="shared" si="335"/>
        <v>1.2429464999999997</v>
      </c>
      <c r="G134" s="17" t="s">
        <v>179</v>
      </c>
      <c r="H134" s="18">
        <v>17</v>
      </c>
      <c r="I134" s="19">
        <f t="shared" si="336"/>
        <v>1.2429464999999997</v>
      </c>
      <c r="J134" s="16"/>
      <c r="K134" s="18"/>
      <c r="L134" s="19">
        <f t="shared" si="337"/>
        <v>0</v>
      </c>
      <c r="M134" s="16"/>
      <c r="N134" s="18"/>
      <c r="O134" s="19">
        <f t="shared" si="338"/>
        <v>0</v>
      </c>
      <c r="P134" s="16"/>
      <c r="Q134" s="18"/>
      <c r="R134" s="19">
        <f t="shared" si="339"/>
        <v>0</v>
      </c>
      <c r="S134" s="20">
        <f t="shared" si="340"/>
        <v>17</v>
      </c>
      <c r="T134" s="19">
        <f t="shared" si="341"/>
        <v>1.2429464999999997</v>
      </c>
      <c r="U134" s="21">
        <f t="shared" si="342"/>
        <v>0</v>
      </c>
      <c r="V134" s="19">
        <f t="shared" si="343"/>
        <v>0</v>
      </c>
      <c r="X134" s="29"/>
    </row>
    <row r="135" spans="1:24">
      <c r="A135" s="36"/>
      <c r="B135" s="36" t="s">
        <v>139</v>
      </c>
      <c r="C135" s="36"/>
      <c r="D135" s="38"/>
      <c r="E135" s="31">
        <f t="shared" ref="E135:F135" si="344">SUM(E133:E134)</f>
        <v>50</v>
      </c>
      <c r="F135" s="38">
        <f t="shared" si="344"/>
        <v>3.4521149999999992</v>
      </c>
      <c r="G135" s="17"/>
      <c r="H135" s="31">
        <f t="shared" ref="H135" si="345">SUM(H133:H134)</f>
        <v>50</v>
      </c>
      <c r="I135" s="38">
        <f t="shared" ref="I135" si="346">SUM(I133:I134)</f>
        <v>3.4521149999999992</v>
      </c>
      <c r="J135" s="16"/>
      <c r="K135" s="31">
        <f t="shared" ref="K135" si="347">SUM(K133:K134)</f>
        <v>0</v>
      </c>
      <c r="L135" s="38">
        <f t="shared" ref="L135" si="348">SUM(L133:L134)</f>
        <v>0</v>
      </c>
      <c r="M135" s="16"/>
      <c r="N135" s="31">
        <f t="shared" ref="N135" si="349">SUM(N133:N134)</f>
        <v>0</v>
      </c>
      <c r="O135" s="38">
        <f t="shared" ref="O135" si="350">SUM(O133:O134)</f>
        <v>0</v>
      </c>
      <c r="P135" s="16"/>
      <c r="Q135" s="31">
        <f t="shared" ref="Q135" si="351">SUM(Q133:Q134)</f>
        <v>0</v>
      </c>
      <c r="R135" s="38">
        <f t="shared" ref="R135" si="352">SUM(R133:R134)</f>
        <v>0</v>
      </c>
      <c r="S135" s="31">
        <f t="shared" ref="S135" si="353">SUM(S133:S134)</f>
        <v>50</v>
      </c>
      <c r="T135" s="38">
        <f t="shared" ref="T135" si="354">SUM(T133:T134)</f>
        <v>3.4521149999999992</v>
      </c>
      <c r="U135" s="31">
        <f t="shared" ref="U135" si="355">SUM(U133:U134)</f>
        <v>0</v>
      </c>
      <c r="V135" s="38">
        <f t="shared" ref="V135" si="356">SUM(V133:V134)</f>
        <v>0</v>
      </c>
      <c r="X135" s="29"/>
    </row>
    <row r="136" spans="1:24">
      <c r="A136" s="26" t="s">
        <v>13</v>
      </c>
      <c r="B136" s="26" t="s">
        <v>58</v>
      </c>
      <c r="C136" s="26">
        <v>7.34</v>
      </c>
      <c r="D136" s="27">
        <v>10</v>
      </c>
      <c r="E136" s="28">
        <v>23</v>
      </c>
      <c r="F136" s="16">
        <f t="shared" ref="F136:F139" si="357">(C136*D136*E136/1000)</f>
        <v>1.6882000000000001</v>
      </c>
      <c r="G136" s="17" t="s">
        <v>111</v>
      </c>
      <c r="H136" s="18">
        <v>23</v>
      </c>
      <c r="I136" s="19">
        <f t="shared" ref="I136:I139" si="358">(C136*D136*H136/1000)</f>
        <v>1.6882000000000001</v>
      </c>
      <c r="J136" s="17" t="s">
        <v>89</v>
      </c>
      <c r="K136" s="18"/>
      <c r="L136" s="19">
        <f t="shared" ref="L136:L139" si="359">(C136*D136*K136/1000)</f>
        <v>0</v>
      </c>
      <c r="M136" s="16"/>
      <c r="N136" s="18"/>
      <c r="O136" s="19">
        <f t="shared" ref="O136:O139" si="360">(C136*D136*N136/1000)</f>
        <v>0</v>
      </c>
      <c r="P136" s="16"/>
      <c r="Q136" s="18"/>
      <c r="R136" s="19">
        <f t="shared" ref="R136:R139" si="361">(C136*D136*Q136/1000)</f>
        <v>0</v>
      </c>
      <c r="S136" s="20">
        <f t="shared" ref="S136:S139" si="362">+H136+K136+Q136+N136</f>
        <v>23</v>
      </c>
      <c r="T136" s="19">
        <f t="shared" ref="T136:T139" si="363">+I136+L136+R136+O136</f>
        <v>1.6882000000000001</v>
      </c>
      <c r="U136" s="21">
        <f t="shared" ref="U136:U139" si="364">E136-S136</f>
        <v>0</v>
      </c>
      <c r="V136" s="19">
        <f t="shared" ref="V136:V139" si="365">F136-T136</f>
        <v>0</v>
      </c>
      <c r="X136" s="29"/>
    </row>
    <row r="137" spans="1:24">
      <c r="A137" s="26" t="s">
        <v>13</v>
      </c>
      <c r="B137" s="26" t="s">
        <v>58</v>
      </c>
      <c r="C137" s="26">
        <v>7.34</v>
      </c>
      <c r="D137" s="27">
        <v>10.5</v>
      </c>
      <c r="E137" s="28">
        <v>13</v>
      </c>
      <c r="F137" s="16">
        <f t="shared" si="357"/>
        <v>1.0019099999999999</v>
      </c>
      <c r="G137" s="17" t="s">
        <v>178</v>
      </c>
      <c r="H137" s="18">
        <v>13</v>
      </c>
      <c r="I137" s="19">
        <f t="shared" si="358"/>
        <v>1.0019099999999999</v>
      </c>
      <c r="J137" s="17" t="s">
        <v>179</v>
      </c>
      <c r="K137" s="18"/>
      <c r="L137" s="19">
        <f t="shared" si="359"/>
        <v>0</v>
      </c>
      <c r="M137" s="16"/>
      <c r="N137" s="18"/>
      <c r="O137" s="19">
        <f t="shared" si="360"/>
        <v>0</v>
      </c>
      <c r="P137" s="16"/>
      <c r="Q137" s="18"/>
      <c r="R137" s="19">
        <f t="shared" si="361"/>
        <v>0</v>
      </c>
      <c r="S137" s="20">
        <f t="shared" si="362"/>
        <v>13</v>
      </c>
      <c r="T137" s="19">
        <f t="shared" si="363"/>
        <v>1.0019099999999999</v>
      </c>
      <c r="U137" s="21">
        <f t="shared" si="364"/>
        <v>0</v>
      </c>
      <c r="V137" s="19">
        <f t="shared" si="365"/>
        <v>0</v>
      </c>
      <c r="X137" s="29"/>
    </row>
    <row r="138" spans="1:24">
      <c r="A138" s="26" t="s">
        <v>13</v>
      </c>
      <c r="B138" s="26" t="s">
        <v>58</v>
      </c>
      <c r="C138" s="26">
        <v>7.34</v>
      </c>
      <c r="D138" s="27">
        <v>11.5</v>
      </c>
      <c r="E138" s="28">
        <v>49</v>
      </c>
      <c r="F138" s="16">
        <f t="shared" si="357"/>
        <v>4.1360900000000003</v>
      </c>
      <c r="G138" s="17"/>
      <c r="H138" s="18"/>
      <c r="I138" s="19">
        <f t="shared" si="358"/>
        <v>0</v>
      </c>
      <c r="J138" s="16"/>
      <c r="K138" s="18">
        <v>49</v>
      </c>
      <c r="L138" s="19">
        <f t="shared" si="359"/>
        <v>4.1360900000000003</v>
      </c>
      <c r="M138" s="16"/>
      <c r="N138" s="18"/>
      <c r="O138" s="19">
        <f t="shared" si="360"/>
        <v>0</v>
      </c>
      <c r="P138" s="16"/>
      <c r="Q138" s="18"/>
      <c r="R138" s="19">
        <f t="shared" si="361"/>
        <v>0</v>
      </c>
      <c r="S138" s="20">
        <f t="shared" si="362"/>
        <v>49</v>
      </c>
      <c r="T138" s="19">
        <f t="shared" si="363"/>
        <v>4.1360900000000003</v>
      </c>
      <c r="U138" s="21">
        <f t="shared" si="364"/>
        <v>0</v>
      </c>
      <c r="V138" s="19">
        <f t="shared" si="365"/>
        <v>0</v>
      </c>
      <c r="X138" s="29"/>
    </row>
    <row r="139" spans="1:24">
      <c r="A139" s="26" t="s">
        <v>13</v>
      </c>
      <c r="B139" s="26" t="s">
        <v>58</v>
      </c>
      <c r="C139" s="26">
        <v>7.34</v>
      </c>
      <c r="D139" s="27">
        <v>12</v>
      </c>
      <c r="E139" s="28">
        <v>96</v>
      </c>
      <c r="F139" s="16">
        <f t="shared" si="357"/>
        <v>8.455680000000001</v>
      </c>
      <c r="G139" s="17"/>
      <c r="H139" s="18">
        <v>96</v>
      </c>
      <c r="I139" s="19">
        <f t="shared" si="358"/>
        <v>8.455680000000001</v>
      </c>
      <c r="J139" s="16"/>
      <c r="K139" s="18"/>
      <c r="L139" s="19">
        <f t="shared" si="359"/>
        <v>0</v>
      </c>
      <c r="M139" s="16"/>
      <c r="N139" s="18"/>
      <c r="O139" s="19">
        <f t="shared" si="360"/>
        <v>0</v>
      </c>
      <c r="P139" s="16"/>
      <c r="Q139" s="18"/>
      <c r="R139" s="19">
        <f t="shared" si="361"/>
        <v>0</v>
      </c>
      <c r="S139" s="20">
        <f t="shared" si="362"/>
        <v>96</v>
      </c>
      <c r="T139" s="19">
        <f t="shared" si="363"/>
        <v>8.455680000000001</v>
      </c>
      <c r="U139" s="21">
        <f t="shared" si="364"/>
        <v>0</v>
      </c>
      <c r="V139" s="19">
        <f t="shared" si="365"/>
        <v>0</v>
      </c>
      <c r="X139" s="29"/>
    </row>
    <row r="140" spans="1:24">
      <c r="A140" s="36"/>
      <c r="B140" s="36" t="s">
        <v>139</v>
      </c>
      <c r="C140" s="36"/>
      <c r="D140" s="38"/>
      <c r="E140" s="31">
        <f t="shared" ref="E140:F140" si="366">SUM(E136:E139)</f>
        <v>181</v>
      </c>
      <c r="F140" s="38">
        <f t="shared" si="366"/>
        <v>15.281880000000001</v>
      </c>
      <c r="G140" s="17"/>
      <c r="H140" s="31">
        <f t="shared" ref="H140" si="367">SUM(H136:H139)</f>
        <v>132</v>
      </c>
      <c r="I140" s="38">
        <f t="shared" ref="I140" si="368">SUM(I136:I139)</f>
        <v>11.145790000000002</v>
      </c>
      <c r="J140" s="16"/>
      <c r="K140" s="31">
        <f t="shared" ref="K140" si="369">SUM(K136:K139)</f>
        <v>49</v>
      </c>
      <c r="L140" s="38">
        <f t="shared" ref="L140" si="370">SUM(L136:L139)</f>
        <v>4.1360900000000003</v>
      </c>
      <c r="M140" s="16"/>
      <c r="N140" s="31">
        <f t="shared" ref="N140" si="371">SUM(N136:N139)</f>
        <v>0</v>
      </c>
      <c r="O140" s="38">
        <f t="shared" ref="O140" si="372">SUM(O136:O139)</f>
        <v>0</v>
      </c>
      <c r="P140" s="16"/>
      <c r="Q140" s="31">
        <f t="shared" ref="Q140" si="373">SUM(Q136:Q139)</f>
        <v>0</v>
      </c>
      <c r="R140" s="38">
        <f t="shared" ref="R140" si="374">SUM(R136:R139)</f>
        <v>0</v>
      </c>
      <c r="S140" s="31">
        <f t="shared" ref="S140" si="375">SUM(S136:S139)</f>
        <v>181</v>
      </c>
      <c r="T140" s="38">
        <f t="shared" ref="T140" si="376">SUM(T136:T139)</f>
        <v>15.281880000000001</v>
      </c>
      <c r="U140" s="31">
        <f t="shared" ref="U140" si="377">SUM(U136:U139)</f>
        <v>0</v>
      </c>
      <c r="V140" s="38">
        <f t="shared" ref="V140" si="378">SUM(V136:V139)</f>
        <v>0</v>
      </c>
      <c r="X140" s="29"/>
    </row>
    <row r="141" spans="1:24">
      <c r="A141" s="26" t="s">
        <v>13</v>
      </c>
      <c r="B141" s="26" t="s">
        <v>26</v>
      </c>
      <c r="C141" s="30">
        <v>8.3000000000000007</v>
      </c>
      <c r="D141" s="27">
        <v>9.1999999999999993</v>
      </c>
      <c r="E141" s="28">
        <v>104</v>
      </c>
      <c r="F141" s="16">
        <f t="shared" ref="F141:F147" si="379">(C141*D141*E141/1000)</f>
        <v>7.9414399999999992</v>
      </c>
      <c r="G141" s="17" t="s">
        <v>88</v>
      </c>
      <c r="H141" s="18">
        <v>74</v>
      </c>
      <c r="I141" s="19">
        <f t="shared" ref="I141:I147" si="380">(C141*D141*H141/1000)</f>
        <v>5.6506400000000001</v>
      </c>
      <c r="J141" s="16" t="s">
        <v>88</v>
      </c>
      <c r="K141" s="18">
        <v>7</v>
      </c>
      <c r="L141" s="19">
        <f t="shared" ref="L141:L147" si="381">(C141*D141*K141/1000)</f>
        <v>0.53452</v>
      </c>
      <c r="M141" s="16" t="s">
        <v>93</v>
      </c>
      <c r="N141" s="18"/>
      <c r="O141" s="19">
        <f t="shared" ref="O141:O147" si="382">(C141*D141*N141/1000)</f>
        <v>0</v>
      </c>
      <c r="P141" s="16"/>
      <c r="Q141" s="18"/>
      <c r="R141" s="19">
        <f t="shared" ref="R141:R147" si="383">(C141*D141*Q141/1000)</f>
        <v>0</v>
      </c>
      <c r="S141" s="20">
        <f t="shared" ref="S141:S147" si="384">+H141+K141+Q141+N141</f>
        <v>81</v>
      </c>
      <c r="T141" s="19">
        <f t="shared" ref="T141:T147" si="385">+I141+L141+R141+O141</f>
        <v>6.1851599999999998</v>
      </c>
      <c r="U141" s="21">
        <f t="shared" ref="U141:U147" si="386">E141-S141</f>
        <v>23</v>
      </c>
      <c r="V141" s="19">
        <f t="shared" ref="V141:V147" si="387">F141-T141</f>
        <v>1.7562799999999994</v>
      </c>
      <c r="X141" s="29"/>
    </row>
    <row r="142" spans="1:24">
      <c r="A142" s="26" t="s">
        <v>13</v>
      </c>
      <c r="B142" s="26" t="s">
        <v>26</v>
      </c>
      <c r="C142" s="30">
        <v>8.3000000000000007</v>
      </c>
      <c r="D142" s="27">
        <v>10.5</v>
      </c>
      <c r="E142" s="28">
        <v>60</v>
      </c>
      <c r="F142" s="16">
        <f t="shared" si="379"/>
        <v>5.2290000000000001</v>
      </c>
      <c r="G142" s="17" t="s">
        <v>168</v>
      </c>
      <c r="H142" s="18"/>
      <c r="I142" s="19">
        <f t="shared" si="380"/>
        <v>0</v>
      </c>
      <c r="J142" s="16" t="s">
        <v>169</v>
      </c>
      <c r="K142" s="18">
        <v>21</v>
      </c>
      <c r="L142" s="19">
        <f t="shared" si="381"/>
        <v>1.8301500000000002</v>
      </c>
      <c r="M142" s="16" t="s">
        <v>170</v>
      </c>
      <c r="N142" s="18">
        <v>35</v>
      </c>
      <c r="O142" s="19">
        <f t="shared" si="382"/>
        <v>3.0502500000000001</v>
      </c>
      <c r="P142" s="16"/>
      <c r="Q142" s="18"/>
      <c r="R142" s="19">
        <f t="shared" si="383"/>
        <v>0</v>
      </c>
      <c r="S142" s="20">
        <f t="shared" si="384"/>
        <v>56</v>
      </c>
      <c r="T142" s="19">
        <f t="shared" si="385"/>
        <v>4.8803999999999998</v>
      </c>
      <c r="U142" s="21">
        <f t="shared" si="386"/>
        <v>4</v>
      </c>
      <c r="V142" s="19">
        <f t="shared" si="387"/>
        <v>0.34860000000000024</v>
      </c>
      <c r="X142" s="29"/>
    </row>
    <row r="143" spans="1:24">
      <c r="A143" s="26" t="s">
        <v>13</v>
      </c>
      <c r="B143" s="26" t="s">
        <v>26</v>
      </c>
      <c r="C143" s="30">
        <v>8.3000000000000007</v>
      </c>
      <c r="D143" s="27">
        <v>11</v>
      </c>
      <c r="E143" s="28">
        <v>40</v>
      </c>
      <c r="F143" s="16">
        <f t="shared" si="379"/>
        <v>3.6520000000000006</v>
      </c>
      <c r="G143" s="17"/>
      <c r="H143" s="18">
        <v>20</v>
      </c>
      <c r="I143" s="19">
        <f t="shared" si="380"/>
        <v>1.8260000000000003</v>
      </c>
      <c r="J143" s="16"/>
      <c r="K143" s="18"/>
      <c r="L143" s="19">
        <f t="shared" si="381"/>
        <v>0</v>
      </c>
      <c r="M143" s="16"/>
      <c r="N143" s="18">
        <v>19</v>
      </c>
      <c r="O143" s="19">
        <f t="shared" si="382"/>
        <v>1.7347000000000004</v>
      </c>
      <c r="P143" s="16"/>
      <c r="Q143" s="18"/>
      <c r="R143" s="19">
        <f t="shared" si="383"/>
        <v>0</v>
      </c>
      <c r="S143" s="20">
        <f t="shared" si="384"/>
        <v>39</v>
      </c>
      <c r="T143" s="19">
        <f t="shared" si="385"/>
        <v>3.5607000000000006</v>
      </c>
      <c r="U143" s="21">
        <f t="shared" si="386"/>
        <v>1</v>
      </c>
      <c r="V143" s="19">
        <f t="shared" si="387"/>
        <v>9.1299999999999937E-2</v>
      </c>
      <c r="X143" s="29"/>
    </row>
    <row r="144" spans="1:24">
      <c r="A144" s="26" t="s">
        <v>13</v>
      </c>
      <c r="B144" s="26" t="s">
        <v>26</v>
      </c>
      <c r="C144" s="30">
        <v>8.3000000000000007</v>
      </c>
      <c r="D144" s="27">
        <v>11.7</v>
      </c>
      <c r="E144" s="28">
        <v>32</v>
      </c>
      <c r="F144" s="16">
        <f t="shared" si="379"/>
        <v>3.1075200000000001</v>
      </c>
      <c r="G144" s="17"/>
      <c r="H144" s="18">
        <v>33</v>
      </c>
      <c r="I144" s="19">
        <f t="shared" si="380"/>
        <v>3.2046300000000003</v>
      </c>
      <c r="J144" s="16"/>
      <c r="K144" s="18"/>
      <c r="L144" s="19">
        <f t="shared" si="381"/>
        <v>0</v>
      </c>
      <c r="M144" s="16"/>
      <c r="N144" s="18"/>
      <c r="O144" s="19">
        <f t="shared" si="382"/>
        <v>0</v>
      </c>
      <c r="P144" s="16"/>
      <c r="Q144" s="18"/>
      <c r="R144" s="19">
        <f t="shared" si="383"/>
        <v>0</v>
      </c>
      <c r="S144" s="20">
        <f t="shared" si="384"/>
        <v>33</v>
      </c>
      <c r="T144" s="19">
        <f t="shared" si="385"/>
        <v>3.2046300000000003</v>
      </c>
      <c r="U144" s="21">
        <f t="shared" si="386"/>
        <v>-1</v>
      </c>
      <c r="V144" s="19">
        <f t="shared" si="387"/>
        <v>-9.7110000000000252E-2</v>
      </c>
      <c r="X144" s="29"/>
    </row>
    <row r="145" spans="1:24">
      <c r="A145" s="26" t="s">
        <v>13</v>
      </c>
      <c r="B145" s="26" t="s">
        <v>26</v>
      </c>
      <c r="C145" s="30">
        <v>8.3000000000000007</v>
      </c>
      <c r="D145" s="27">
        <v>12</v>
      </c>
      <c r="E145" s="28">
        <v>12</v>
      </c>
      <c r="F145" s="16">
        <f t="shared" ref="F145:F146" si="388">(C145*D145*E145/1000)</f>
        <v>1.1952</v>
      </c>
      <c r="G145" s="17"/>
      <c r="H145" s="18"/>
      <c r="I145" s="19">
        <f t="shared" ref="I145:I146" si="389">(C145*D145*H145/1000)</f>
        <v>0</v>
      </c>
      <c r="J145" s="16"/>
      <c r="K145" s="18"/>
      <c r="L145" s="19">
        <f t="shared" ref="L145:L146" si="390">(C145*D145*K145/1000)</f>
        <v>0</v>
      </c>
      <c r="M145" s="16"/>
      <c r="N145" s="18">
        <v>13</v>
      </c>
      <c r="O145" s="19">
        <f t="shared" ref="O145:O146" si="391">(C145*D145*N145/1000)</f>
        <v>1.2948000000000002</v>
      </c>
      <c r="P145" s="16"/>
      <c r="Q145" s="18"/>
      <c r="R145" s="19">
        <f t="shared" ref="R145:R146" si="392">(C145*D145*Q145/1000)</f>
        <v>0</v>
      </c>
      <c r="S145" s="20">
        <f t="shared" ref="S145:S146" si="393">+H145+K145+Q145+N145</f>
        <v>13</v>
      </c>
      <c r="T145" s="19">
        <f t="shared" ref="T145:T146" si="394">+I145+L145+R145+O145</f>
        <v>1.2948000000000002</v>
      </c>
      <c r="U145" s="21">
        <f t="shared" ref="U145:U146" si="395">E145-S145</f>
        <v>-1</v>
      </c>
      <c r="V145" s="19">
        <f t="shared" ref="V145:V146" si="396">F145-T145</f>
        <v>-9.9600000000000133E-2</v>
      </c>
      <c r="X145" s="29"/>
    </row>
    <row r="146" spans="1:24">
      <c r="A146" s="26" t="s">
        <v>13</v>
      </c>
      <c r="B146" s="26" t="s">
        <v>26</v>
      </c>
      <c r="C146" s="30">
        <v>8.3000000000000007</v>
      </c>
      <c r="D146" s="27">
        <v>10.1</v>
      </c>
      <c r="E146" s="28"/>
      <c r="F146" s="16">
        <f t="shared" si="388"/>
        <v>0</v>
      </c>
      <c r="G146" s="17"/>
      <c r="H146" s="18">
        <v>13</v>
      </c>
      <c r="I146" s="19">
        <f t="shared" si="389"/>
        <v>1.08979</v>
      </c>
      <c r="J146" s="16"/>
      <c r="K146" s="18"/>
      <c r="L146" s="19">
        <f t="shared" si="390"/>
        <v>0</v>
      </c>
      <c r="M146" s="16"/>
      <c r="N146" s="18"/>
      <c r="O146" s="19">
        <f t="shared" si="391"/>
        <v>0</v>
      </c>
      <c r="P146" s="16"/>
      <c r="Q146" s="18"/>
      <c r="R146" s="19">
        <f t="shared" si="392"/>
        <v>0</v>
      </c>
      <c r="S146" s="20">
        <f t="shared" si="393"/>
        <v>13</v>
      </c>
      <c r="T146" s="19">
        <f t="shared" si="394"/>
        <v>1.08979</v>
      </c>
      <c r="U146" s="21">
        <f t="shared" si="395"/>
        <v>-13</v>
      </c>
      <c r="V146" s="19">
        <f t="shared" si="396"/>
        <v>-1.08979</v>
      </c>
      <c r="X146" s="29"/>
    </row>
    <row r="147" spans="1:24">
      <c r="A147" s="26" t="s">
        <v>13</v>
      </c>
      <c r="B147" s="26" t="s">
        <v>26</v>
      </c>
      <c r="C147" s="30">
        <v>8.3000000000000007</v>
      </c>
      <c r="D147" s="27">
        <v>10.199999999999999</v>
      </c>
      <c r="E147" s="28"/>
      <c r="F147" s="16">
        <f t="shared" si="379"/>
        <v>0</v>
      </c>
      <c r="G147" s="17"/>
      <c r="H147" s="18"/>
      <c r="I147" s="19">
        <f t="shared" si="380"/>
        <v>0</v>
      </c>
      <c r="J147" s="16"/>
      <c r="K147" s="18"/>
      <c r="L147" s="19">
        <f t="shared" si="381"/>
        <v>0</v>
      </c>
      <c r="M147" s="16"/>
      <c r="N147" s="18">
        <v>11</v>
      </c>
      <c r="O147" s="19">
        <f t="shared" si="382"/>
        <v>0.93125999999999998</v>
      </c>
      <c r="P147" s="16"/>
      <c r="Q147" s="18"/>
      <c r="R147" s="19">
        <f t="shared" si="383"/>
        <v>0</v>
      </c>
      <c r="S147" s="20">
        <f t="shared" si="384"/>
        <v>11</v>
      </c>
      <c r="T147" s="19">
        <f t="shared" si="385"/>
        <v>0.93125999999999998</v>
      </c>
      <c r="U147" s="21">
        <f t="shared" si="386"/>
        <v>-11</v>
      </c>
      <c r="V147" s="19">
        <f t="shared" si="387"/>
        <v>-0.93125999999999998</v>
      </c>
      <c r="X147" s="29"/>
    </row>
    <row r="148" spans="1:24">
      <c r="A148" s="36"/>
      <c r="B148" s="36" t="s">
        <v>139</v>
      </c>
      <c r="C148" s="36"/>
      <c r="D148" s="38"/>
      <c r="E148" s="31">
        <f>SUM(E141:E147)</f>
        <v>248</v>
      </c>
      <c r="F148" s="38">
        <f>SUM(F141:F147)</f>
        <v>21.125160000000001</v>
      </c>
      <c r="G148" s="17"/>
      <c r="H148" s="31">
        <f>SUM(H141:H147)</f>
        <v>140</v>
      </c>
      <c r="I148" s="38">
        <f>SUM(I141:I147)</f>
        <v>11.771060000000002</v>
      </c>
      <c r="J148" s="16"/>
      <c r="K148" s="31">
        <f>SUM(K141:K147)</f>
        <v>28</v>
      </c>
      <c r="L148" s="38">
        <f>SUM(L141:L147)</f>
        <v>2.3646700000000003</v>
      </c>
      <c r="M148" s="16"/>
      <c r="N148" s="31">
        <f>SUM(N141:N147)</f>
        <v>78</v>
      </c>
      <c r="O148" s="38">
        <f>SUM(O141:O147)</f>
        <v>7.0110100000000006</v>
      </c>
      <c r="P148" s="16"/>
      <c r="Q148" s="31">
        <f t="shared" ref="Q148:V148" si="397">SUM(Q141:Q147)</f>
        <v>0</v>
      </c>
      <c r="R148" s="38">
        <f t="shared" si="397"/>
        <v>0</v>
      </c>
      <c r="S148" s="31">
        <f t="shared" si="397"/>
        <v>246</v>
      </c>
      <c r="T148" s="38">
        <f t="shared" si="397"/>
        <v>21.146740000000001</v>
      </c>
      <c r="U148" s="31">
        <f t="shared" si="397"/>
        <v>2</v>
      </c>
      <c r="V148" s="38">
        <f t="shared" si="397"/>
        <v>-2.1580000000000821E-2</v>
      </c>
      <c r="X148" s="29"/>
    </row>
    <row r="149" spans="1:24">
      <c r="A149" s="26" t="s">
        <v>13</v>
      </c>
      <c r="B149" s="26" t="s">
        <v>37</v>
      </c>
      <c r="C149" s="26">
        <v>9.61</v>
      </c>
      <c r="D149" s="27">
        <v>9.5</v>
      </c>
      <c r="E149" s="28">
        <v>30</v>
      </c>
      <c r="F149" s="16">
        <f t="shared" ref="F149" si="398">(C149*D149*E149/1000)</f>
        <v>2.7388499999999993</v>
      </c>
      <c r="G149" s="17" t="s">
        <v>89</v>
      </c>
      <c r="H149" s="18">
        <v>21</v>
      </c>
      <c r="I149" s="19">
        <f t="shared" ref="I149" si="399">(C149*D149*H149/1000)</f>
        <v>1.9171949999999998</v>
      </c>
      <c r="J149" s="16" t="s">
        <v>93</v>
      </c>
      <c r="K149" s="18">
        <v>4</v>
      </c>
      <c r="L149" s="19">
        <f t="shared" ref="L149" si="400">(C149*D149*K149/1000)</f>
        <v>0.36517999999999995</v>
      </c>
      <c r="M149" s="16"/>
      <c r="N149" s="18"/>
      <c r="O149" s="19">
        <f t="shared" ref="O149" si="401">(C149*D149*N149/1000)</f>
        <v>0</v>
      </c>
      <c r="P149" s="16"/>
      <c r="Q149" s="18"/>
      <c r="R149" s="19">
        <f>(C149*D149*Q149/1000)</f>
        <v>0</v>
      </c>
      <c r="S149" s="20">
        <f>+H149+K149+Q149+N149</f>
        <v>25</v>
      </c>
      <c r="T149" s="19">
        <f>+I149+L149+R149+O149</f>
        <v>2.2823749999999996</v>
      </c>
      <c r="U149" s="21">
        <f>E149-S149</f>
        <v>5</v>
      </c>
      <c r="V149" s="19">
        <f>F149-T149</f>
        <v>0.45647499999999974</v>
      </c>
      <c r="X149" s="29"/>
    </row>
    <row r="150" spans="1:24">
      <c r="A150" s="26" t="s">
        <v>13</v>
      </c>
      <c r="B150" s="26" t="s">
        <v>37</v>
      </c>
      <c r="C150" s="26">
        <v>9.61</v>
      </c>
      <c r="D150" s="27">
        <v>10</v>
      </c>
      <c r="E150" s="28"/>
      <c r="F150" s="16">
        <f t="shared" ref="F150" si="402">(C150*D150*E150/1000)</f>
        <v>0</v>
      </c>
      <c r="G150" s="17" t="s">
        <v>170</v>
      </c>
      <c r="H150" s="18"/>
      <c r="I150" s="19">
        <f t="shared" ref="I150" si="403">(C150*D150*H150/1000)</f>
        <v>0</v>
      </c>
      <c r="J150" s="16" t="s">
        <v>177</v>
      </c>
      <c r="K150" s="18">
        <v>5</v>
      </c>
      <c r="L150" s="19">
        <f t="shared" ref="L150" si="404">(C150*D150*K150/1000)</f>
        <v>0.48049999999999998</v>
      </c>
      <c r="M150" s="16"/>
      <c r="N150" s="18"/>
      <c r="O150" s="19">
        <f t="shared" ref="O150" si="405">(C150*D150*N150/1000)</f>
        <v>0</v>
      </c>
      <c r="P150" s="16"/>
      <c r="Q150" s="18"/>
      <c r="R150" s="19">
        <f>(C150*D150*Q150/1000)</f>
        <v>0</v>
      </c>
      <c r="S150" s="20">
        <f>+H150+K150+Q150+N150</f>
        <v>5</v>
      </c>
      <c r="T150" s="19">
        <f>+I150+L150+R150+O150</f>
        <v>0.48049999999999998</v>
      </c>
      <c r="U150" s="21">
        <f>E150-S150</f>
        <v>-5</v>
      </c>
      <c r="V150" s="19">
        <f>F150-T150</f>
        <v>-0.48049999999999998</v>
      </c>
      <c r="X150" s="29"/>
    </row>
    <row r="151" spans="1:24">
      <c r="A151" s="36"/>
      <c r="B151" s="36" t="s">
        <v>139</v>
      </c>
      <c r="C151" s="36"/>
      <c r="D151" s="38"/>
      <c r="E151" s="31">
        <f t="shared" ref="E151" si="406">SUM(E149:E150)</f>
        <v>30</v>
      </c>
      <c r="F151" s="38">
        <f>SUM(F149:F150)</f>
        <v>2.7388499999999993</v>
      </c>
      <c r="G151" s="17"/>
      <c r="H151" s="31">
        <f t="shared" ref="H151" si="407">SUM(H149:H150)</f>
        <v>21</v>
      </c>
      <c r="I151" s="38">
        <f>SUM(I149:I150)</f>
        <v>1.9171949999999998</v>
      </c>
      <c r="J151" s="16"/>
      <c r="K151" s="31">
        <f t="shared" ref="K151" si="408">SUM(K149:K150)</f>
        <v>9</v>
      </c>
      <c r="L151" s="38">
        <f>SUM(L149:L150)</f>
        <v>0.84567999999999999</v>
      </c>
      <c r="M151" s="16"/>
      <c r="N151" s="31">
        <f t="shared" ref="N151" si="409">SUM(N149:N150)</f>
        <v>0</v>
      </c>
      <c r="O151" s="38">
        <f>SUM(O149:O150)</f>
        <v>0</v>
      </c>
      <c r="P151" s="16"/>
      <c r="Q151" s="31">
        <f t="shared" ref="Q151" si="410">SUM(Q149:Q150)</f>
        <v>0</v>
      </c>
      <c r="R151" s="38">
        <f>SUM(R149:R150)</f>
        <v>0</v>
      </c>
      <c r="S151" s="31">
        <f t="shared" ref="S151" si="411">SUM(S149:S150)</f>
        <v>30</v>
      </c>
      <c r="T151" s="38">
        <f>SUM(T149:T150)</f>
        <v>2.7628749999999997</v>
      </c>
      <c r="U151" s="31">
        <f t="shared" ref="U151" si="412">SUM(U149:U150)</f>
        <v>0</v>
      </c>
      <c r="V151" s="38">
        <f>SUM(V149:V150)</f>
        <v>-2.4025000000000241E-2</v>
      </c>
      <c r="X151" s="29"/>
    </row>
    <row r="152" spans="1:24">
      <c r="A152" s="33"/>
      <c r="B152" s="33"/>
      <c r="C152" s="34"/>
      <c r="D152" s="34"/>
      <c r="E152" s="34">
        <f>SUM(E6:E151)/2</f>
        <v>2226</v>
      </c>
      <c r="F152" s="35">
        <f>SUM(F6:F151)/2</f>
        <v>277.733563</v>
      </c>
      <c r="G152" s="26"/>
      <c r="H152" s="34">
        <f>SUM(H6:H151)/2</f>
        <v>1285</v>
      </c>
      <c r="I152" s="35">
        <f>SUM(I6:I151)/2</f>
        <v>159.15619699999996</v>
      </c>
      <c r="J152" s="16"/>
      <c r="K152" s="34">
        <f>SUM(K6:K151)/2</f>
        <v>635</v>
      </c>
      <c r="L152" s="35">
        <f>SUM(L6:L151)/2</f>
        <v>85.656694999999999</v>
      </c>
      <c r="M152" s="26"/>
      <c r="N152" s="34">
        <f>SUM(N6:N151)/2</f>
        <v>240</v>
      </c>
      <c r="O152" s="35">
        <f>SUM(O6:O151)/2</f>
        <v>27.523495000000004</v>
      </c>
      <c r="P152" s="26"/>
      <c r="Q152" s="34">
        <f t="shared" ref="Q152:V152" si="413">SUM(Q6:Q151)/2</f>
        <v>56</v>
      </c>
      <c r="R152" s="35">
        <f t="shared" si="413"/>
        <v>6.2809949999999999</v>
      </c>
      <c r="S152" s="34">
        <f t="shared" si="413"/>
        <v>2216</v>
      </c>
      <c r="T152" s="35">
        <f t="shared" si="413"/>
        <v>278.61738199999996</v>
      </c>
      <c r="U152" s="34">
        <f t="shared" si="413"/>
        <v>10</v>
      </c>
      <c r="V152" s="35">
        <f t="shared" si="413"/>
        <v>-0.88381900000000346</v>
      </c>
    </row>
    <row r="167" spans="18:18">
      <c r="R167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6"/>
  <dimension ref="A1:X43"/>
  <sheetViews>
    <sheetView zoomScale="75" zoomScaleNormal="75" workbookViewId="0">
      <pane ySplit="5" topLeftCell="A15" activePane="bottomLeft" state="frozen"/>
      <selection pane="bottomLeft" activeCell="A2" sqref="A2:A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143</v>
      </c>
      <c r="H1" s="144"/>
      <c r="I1" s="145" t="s">
        <v>144</v>
      </c>
      <c r="J1" s="144"/>
      <c r="K1" s="3"/>
      <c r="L1" s="4"/>
      <c r="M1" s="4"/>
      <c r="N1" s="3"/>
      <c r="O1" s="4"/>
      <c r="P1" s="146" t="str">
        <f>+F2</f>
        <v>LOI-180  13.05.23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140</v>
      </c>
      <c r="B2" s="8"/>
      <c r="C2" s="9"/>
      <c r="D2" s="9"/>
      <c r="E2" s="10"/>
      <c r="F2" s="146" t="s">
        <v>142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LOI-180  13.05.23</v>
      </c>
      <c r="V2" s="146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25</v>
      </c>
      <c r="C6" s="26">
        <v>13.4</v>
      </c>
      <c r="D6" s="27">
        <v>8.5</v>
      </c>
      <c r="E6" s="28">
        <v>4</v>
      </c>
      <c r="F6" s="16">
        <f t="shared" ref="F6:F7" si="0">(C6*D6*E6/1000)</f>
        <v>0.4556</v>
      </c>
      <c r="G6" s="17" t="s">
        <v>150</v>
      </c>
      <c r="H6" s="18"/>
      <c r="I6" s="19">
        <f t="shared" ref="I6:I7" si="1">(C6*D6*H6/1000)</f>
        <v>0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8" si="4">(C6*D6*Q6/1000)</f>
        <v>0</v>
      </c>
      <c r="S6" s="20">
        <f t="shared" ref="S6:T8" si="5">+H6+K6+Q6+N6</f>
        <v>0</v>
      </c>
      <c r="T6" s="19">
        <f t="shared" si="5"/>
        <v>0</v>
      </c>
      <c r="U6" s="21">
        <f t="shared" ref="U6:V8" si="6">E6-S6</f>
        <v>4</v>
      </c>
      <c r="V6" s="19">
        <f t="shared" si="6"/>
        <v>0.4556</v>
      </c>
      <c r="X6" s="29"/>
    </row>
    <row r="7" spans="1:24">
      <c r="A7" s="26" t="s">
        <v>13</v>
      </c>
      <c r="B7" s="26" t="s">
        <v>25</v>
      </c>
      <c r="C7" s="26">
        <v>13.4</v>
      </c>
      <c r="D7" s="27">
        <v>9.5500000000000007</v>
      </c>
      <c r="E7" s="28"/>
      <c r="F7" s="16">
        <f t="shared" si="0"/>
        <v>0</v>
      </c>
      <c r="G7" s="17" t="s">
        <v>151</v>
      </c>
      <c r="H7" s="18">
        <v>2</v>
      </c>
      <c r="I7" s="19">
        <f t="shared" si="1"/>
        <v>0.25594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2</v>
      </c>
      <c r="T7" s="19">
        <f t="shared" si="5"/>
        <v>0.25594</v>
      </c>
      <c r="U7" s="21">
        <f t="shared" si="6"/>
        <v>-2</v>
      </c>
      <c r="V7" s="19">
        <f t="shared" si="6"/>
        <v>-0.25594</v>
      </c>
      <c r="X7" s="29"/>
    </row>
    <row r="8" spans="1:24">
      <c r="A8" s="26" t="s">
        <v>13</v>
      </c>
      <c r="B8" s="26" t="s">
        <v>25</v>
      </c>
      <c r="C8" s="26">
        <v>13.4</v>
      </c>
      <c r="D8" s="27">
        <v>10.35</v>
      </c>
      <c r="E8" s="28"/>
      <c r="F8" s="16">
        <f t="shared" ref="F8" si="7">(C8*D8*E8/1000)</f>
        <v>0</v>
      </c>
      <c r="G8" s="17"/>
      <c r="H8" s="18">
        <v>2</v>
      </c>
      <c r="I8" s="19">
        <f t="shared" ref="I8" si="8">(C8*D8*H8/1000)</f>
        <v>0.27738000000000002</v>
      </c>
      <c r="J8" s="16"/>
      <c r="K8" s="18"/>
      <c r="L8" s="19">
        <f t="shared" ref="L8" si="9">(C8*D8*K8/1000)</f>
        <v>0</v>
      </c>
      <c r="M8" s="16"/>
      <c r="N8" s="18"/>
      <c r="O8" s="19">
        <f t="shared" ref="O8" si="10">(C8*D8*N8/1000)</f>
        <v>0</v>
      </c>
      <c r="P8" s="16"/>
      <c r="Q8" s="18"/>
      <c r="R8" s="19">
        <f t="shared" si="4"/>
        <v>0</v>
      </c>
      <c r="S8" s="20">
        <f t="shared" si="5"/>
        <v>2</v>
      </c>
      <c r="T8" s="19">
        <f t="shared" si="5"/>
        <v>0.27738000000000002</v>
      </c>
      <c r="U8" s="21">
        <f t="shared" si="6"/>
        <v>-2</v>
      </c>
      <c r="V8" s="19">
        <f t="shared" si="6"/>
        <v>-0.27738000000000002</v>
      </c>
      <c r="X8" s="29"/>
    </row>
    <row r="9" spans="1:24">
      <c r="A9" s="36"/>
      <c r="B9" s="36" t="s">
        <v>145</v>
      </c>
      <c r="C9" s="36"/>
      <c r="D9" s="38"/>
      <c r="E9" s="31">
        <f>SUM(E6:E8)</f>
        <v>4</v>
      </c>
      <c r="F9" s="38">
        <f>SUM(F6:F8)</f>
        <v>0.4556</v>
      </c>
      <c r="G9" s="17"/>
      <c r="H9" s="31">
        <f>SUM(H6:H8)</f>
        <v>4</v>
      </c>
      <c r="I9" s="38">
        <f>SUM(I6:I8)</f>
        <v>0.53332000000000002</v>
      </c>
      <c r="J9" s="16"/>
      <c r="K9" s="31">
        <f>SUM(K6:K8)</f>
        <v>0</v>
      </c>
      <c r="L9" s="38">
        <f>SUM(L6:L8)</f>
        <v>0</v>
      </c>
      <c r="M9" s="16"/>
      <c r="N9" s="31">
        <f>SUM(N6:N8)</f>
        <v>0</v>
      </c>
      <c r="O9" s="38">
        <f>SUM(O6:O8)</f>
        <v>0</v>
      </c>
      <c r="P9" s="16"/>
      <c r="Q9" s="31">
        <f t="shared" ref="Q9:V9" si="11">SUM(Q6:Q8)</f>
        <v>0</v>
      </c>
      <c r="R9" s="38">
        <f t="shared" si="11"/>
        <v>0</v>
      </c>
      <c r="S9" s="31">
        <f t="shared" si="11"/>
        <v>4</v>
      </c>
      <c r="T9" s="38">
        <f t="shared" si="11"/>
        <v>0.53332000000000002</v>
      </c>
      <c r="U9" s="31">
        <f t="shared" si="11"/>
        <v>0</v>
      </c>
      <c r="V9" s="38">
        <f t="shared" si="11"/>
        <v>-7.7720000000000011E-2</v>
      </c>
      <c r="X9" s="29"/>
    </row>
    <row r="10" spans="1:24">
      <c r="A10" s="26" t="s">
        <v>13</v>
      </c>
      <c r="B10" s="26" t="s">
        <v>32</v>
      </c>
      <c r="C10" s="26">
        <v>11.8</v>
      </c>
      <c r="D10" s="27">
        <v>10.7</v>
      </c>
      <c r="E10" s="28">
        <v>10</v>
      </c>
      <c r="F10" s="16">
        <f t="shared" ref="F10" si="12">(C10*D10*E10/1000)</f>
        <v>1.2626000000000002</v>
      </c>
      <c r="G10" s="17"/>
      <c r="H10" s="18"/>
      <c r="I10" s="19">
        <f t="shared" ref="I10" si="13">(C10*D10*H10/1000)</f>
        <v>0</v>
      </c>
      <c r="J10" s="16"/>
      <c r="K10" s="18"/>
      <c r="L10" s="19">
        <f t="shared" ref="L10" si="14">(C10*D10*K10/1000)</f>
        <v>0</v>
      </c>
      <c r="M10" s="16"/>
      <c r="N10" s="18"/>
      <c r="O10" s="19">
        <f t="shared" ref="O10" si="15">(C10*D10*N10/1000)</f>
        <v>0</v>
      </c>
      <c r="P10" s="16"/>
      <c r="Q10" s="18"/>
      <c r="R10" s="19">
        <f t="shared" ref="R10:R18" si="16">(C10*D10*Q10/1000)</f>
        <v>0</v>
      </c>
      <c r="S10" s="20">
        <f t="shared" ref="S10:T18" si="17">+H10+K10+Q10+N10</f>
        <v>0</v>
      </c>
      <c r="T10" s="19">
        <f t="shared" si="17"/>
        <v>0</v>
      </c>
      <c r="U10" s="21">
        <f t="shared" ref="U10:V18" si="18">E10-S10</f>
        <v>10</v>
      </c>
      <c r="V10" s="19">
        <f t="shared" si="18"/>
        <v>1.2626000000000002</v>
      </c>
      <c r="X10" s="29"/>
    </row>
    <row r="11" spans="1:24">
      <c r="A11" s="26" t="s">
        <v>13</v>
      </c>
      <c r="B11" s="26" t="s">
        <v>32</v>
      </c>
      <c r="C11" s="26">
        <v>11.8</v>
      </c>
      <c r="D11" s="27">
        <v>11</v>
      </c>
      <c r="E11" s="28"/>
      <c r="F11" s="16">
        <f t="shared" ref="F11:F18" si="19">(C11*D11*E11/1000)</f>
        <v>0</v>
      </c>
      <c r="G11" s="17"/>
      <c r="H11" s="18">
        <v>1</v>
      </c>
      <c r="I11" s="19">
        <f t="shared" ref="I11:I18" si="20">(C11*D11*H11/1000)</f>
        <v>0.1298</v>
      </c>
      <c r="J11" s="16"/>
      <c r="K11" s="18"/>
      <c r="L11" s="19">
        <f t="shared" ref="L11:L18" si="21">(C11*D11*K11/1000)</f>
        <v>0</v>
      </c>
      <c r="M11" s="16"/>
      <c r="N11" s="18"/>
      <c r="O11" s="19">
        <f t="shared" ref="O11:O18" si="22">(C11*D11*N11/1000)</f>
        <v>0</v>
      </c>
      <c r="P11" s="16"/>
      <c r="Q11" s="18"/>
      <c r="R11" s="19">
        <f t="shared" si="16"/>
        <v>0</v>
      </c>
      <c r="S11" s="20">
        <f t="shared" si="17"/>
        <v>1</v>
      </c>
      <c r="T11" s="19">
        <f t="shared" si="17"/>
        <v>0.1298</v>
      </c>
      <c r="U11" s="21">
        <f t="shared" si="18"/>
        <v>-1</v>
      </c>
      <c r="V11" s="19">
        <f t="shared" si="18"/>
        <v>-0.1298</v>
      </c>
      <c r="X11" s="29"/>
    </row>
    <row r="12" spans="1:24">
      <c r="A12" s="26" t="s">
        <v>13</v>
      </c>
      <c r="B12" s="26" t="s">
        <v>32</v>
      </c>
      <c r="C12" s="26">
        <v>11.8</v>
      </c>
      <c r="D12" s="27">
        <v>7.5</v>
      </c>
      <c r="E12" s="28"/>
      <c r="F12" s="16">
        <f t="shared" ref="F12:F17" si="23">(C12*D12*E12/1000)</f>
        <v>0</v>
      </c>
      <c r="G12" s="17"/>
      <c r="H12" s="18">
        <v>1</v>
      </c>
      <c r="I12" s="19">
        <f t="shared" ref="I12:I17" si="24">(C12*D12*H12/1000)</f>
        <v>8.8499999999999995E-2</v>
      </c>
      <c r="J12" s="16"/>
      <c r="K12" s="18"/>
      <c r="L12" s="19">
        <f t="shared" ref="L12:L17" si="25">(C12*D12*K12/1000)</f>
        <v>0</v>
      </c>
      <c r="M12" s="16"/>
      <c r="N12" s="18"/>
      <c r="O12" s="19">
        <f t="shared" ref="O12:O17" si="26">(C12*D12*N12/1000)</f>
        <v>0</v>
      </c>
      <c r="P12" s="16"/>
      <c r="Q12" s="18"/>
      <c r="R12" s="19">
        <f t="shared" si="16"/>
        <v>0</v>
      </c>
      <c r="S12" s="20">
        <f t="shared" si="17"/>
        <v>1</v>
      </c>
      <c r="T12" s="19">
        <f t="shared" si="17"/>
        <v>8.8499999999999995E-2</v>
      </c>
      <c r="U12" s="21">
        <f t="shared" si="18"/>
        <v>-1</v>
      </c>
      <c r="V12" s="19">
        <f t="shared" si="18"/>
        <v>-8.8499999999999995E-2</v>
      </c>
      <c r="X12" s="29"/>
    </row>
    <row r="13" spans="1:24">
      <c r="A13" s="26" t="s">
        <v>13</v>
      </c>
      <c r="B13" s="26" t="s">
        <v>32</v>
      </c>
      <c r="C13" s="26">
        <v>11.8</v>
      </c>
      <c r="D13" s="27">
        <v>8</v>
      </c>
      <c r="E13" s="28"/>
      <c r="F13" s="16">
        <f t="shared" si="23"/>
        <v>0</v>
      </c>
      <c r="G13" s="17"/>
      <c r="H13" s="18">
        <v>2</v>
      </c>
      <c r="I13" s="19">
        <f t="shared" si="24"/>
        <v>0.18880000000000002</v>
      </c>
      <c r="J13" s="16"/>
      <c r="K13" s="18"/>
      <c r="L13" s="19">
        <f t="shared" si="25"/>
        <v>0</v>
      </c>
      <c r="M13" s="16"/>
      <c r="N13" s="18"/>
      <c r="O13" s="19">
        <f t="shared" si="26"/>
        <v>0</v>
      </c>
      <c r="P13" s="16"/>
      <c r="Q13" s="18"/>
      <c r="R13" s="19">
        <f t="shared" si="16"/>
        <v>0</v>
      </c>
      <c r="S13" s="20">
        <f t="shared" si="17"/>
        <v>2</v>
      </c>
      <c r="T13" s="19">
        <f t="shared" si="17"/>
        <v>0.18880000000000002</v>
      </c>
      <c r="U13" s="21">
        <f t="shared" si="18"/>
        <v>-2</v>
      </c>
      <c r="V13" s="19">
        <f t="shared" si="18"/>
        <v>-0.18880000000000002</v>
      </c>
      <c r="X13" s="29"/>
    </row>
    <row r="14" spans="1:24">
      <c r="A14" s="26" t="s">
        <v>13</v>
      </c>
      <c r="B14" s="26" t="s">
        <v>32</v>
      </c>
      <c r="C14" s="26">
        <v>11.8</v>
      </c>
      <c r="D14" s="27">
        <v>9</v>
      </c>
      <c r="E14" s="28"/>
      <c r="F14" s="16">
        <f t="shared" si="23"/>
        <v>0</v>
      </c>
      <c r="G14" s="17"/>
      <c r="H14" s="18">
        <v>1</v>
      </c>
      <c r="I14" s="19">
        <f t="shared" si="24"/>
        <v>0.1062</v>
      </c>
      <c r="J14" s="16"/>
      <c r="K14" s="18"/>
      <c r="L14" s="19">
        <f t="shared" si="25"/>
        <v>0</v>
      </c>
      <c r="M14" s="16"/>
      <c r="N14" s="18"/>
      <c r="O14" s="19">
        <f t="shared" si="26"/>
        <v>0</v>
      </c>
      <c r="P14" s="16"/>
      <c r="Q14" s="18"/>
      <c r="R14" s="19">
        <f t="shared" si="16"/>
        <v>0</v>
      </c>
      <c r="S14" s="20">
        <f t="shared" si="17"/>
        <v>1</v>
      </c>
      <c r="T14" s="19">
        <f t="shared" si="17"/>
        <v>0.1062</v>
      </c>
      <c r="U14" s="21">
        <f t="shared" si="18"/>
        <v>-1</v>
      </c>
      <c r="V14" s="19">
        <f t="shared" si="18"/>
        <v>-0.1062</v>
      </c>
      <c r="X14" s="29"/>
    </row>
    <row r="15" spans="1:24">
      <c r="A15" s="26" t="s">
        <v>13</v>
      </c>
      <c r="B15" s="26" t="s">
        <v>32</v>
      </c>
      <c r="C15" s="26">
        <v>11.8</v>
      </c>
      <c r="D15" s="27">
        <v>10</v>
      </c>
      <c r="E15" s="28"/>
      <c r="F15" s="16">
        <f t="shared" si="23"/>
        <v>0</v>
      </c>
      <c r="G15" s="17"/>
      <c r="H15" s="18">
        <v>1</v>
      </c>
      <c r="I15" s="19">
        <f t="shared" si="24"/>
        <v>0.11799999999999999</v>
      </c>
      <c r="J15" s="16"/>
      <c r="K15" s="18"/>
      <c r="L15" s="19">
        <f t="shared" si="25"/>
        <v>0</v>
      </c>
      <c r="M15" s="16"/>
      <c r="N15" s="18"/>
      <c r="O15" s="19">
        <f t="shared" si="26"/>
        <v>0</v>
      </c>
      <c r="P15" s="16"/>
      <c r="Q15" s="18"/>
      <c r="R15" s="19">
        <f t="shared" si="16"/>
        <v>0</v>
      </c>
      <c r="S15" s="20">
        <f t="shared" si="17"/>
        <v>1</v>
      </c>
      <c r="T15" s="19">
        <f t="shared" si="17"/>
        <v>0.11799999999999999</v>
      </c>
      <c r="U15" s="21">
        <f t="shared" si="18"/>
        <v>-1</v>
      </c>
      <c r="V15" s="19">
        <f t="shared" si="18"/>
        <v>-0.11799999999999999</v>
      </c>
      <c r="X15" s="29"/>
    </row>
    <row r="16" spans="1:24">
      <c r="A16" s="26" t="s">
        <v>13</v>
      </c>
      <c r="B16" s="26" t="s">
        <v>32</v>
      </c>
      <c r="C16" s="26">
        <v>11.8</v>
      </c>
      <c r="D16" s="27">
        <v>10.25</v>
      </c>
      <c r="E16" s="28"/>
      <c r="F16" s="16">
        <f t="shared" si="23"/>
        <v>0</v>
      </c>
      <c r="G16" s="17"/>
      <c r="H16" s="18">
        <v>5</v>
      </c>
      <c r="I16" s="19">
        <f t="shared" si="24"/>
        <v>0.60475000000000001</v>
      </c>
      <c r="J16" s="16"/>
      <c r="K16" s="18"/>
      <c r="L16" s="19">
        <f t="shared" si="25"/>
        <v>0</v>
      </c>
      <c r="M16" s="16"/>
      <c r="N16" s="18"/>
      <c r="O16" s="19">
        <f t="shared" si="26"/>
        <v>0</v>
      </c>
      <c r="P16" s="16"/>
      <c r="Q16" s="18"/>
      <c r="R16" s="19">
        <f t="shared" si="16"/>
        <v>0</v>
      </c>
      <c r="S16" s="20">
        <f t="shared" si="17"/>
        <v>5</v>
      </c>
      <c r="T16" s="19">
        <f t="shared" si="17"/>
        <v>0.60475000000000001</v>
      </c>
      <c r="U16" s="21">
        <f t="shared" si="18"/>
        <v>-5</v>
      </c>
      <c r="V16" s="19">
        <f t="shared" si="18"/>
        <v>-0.60475000000000001</v>
      </c>
      <c r="X16" s="29"/>
    </row>
    <row r="17" spans="1:24">
      <c r="A17" s="26" t="s">
        <v>13</v>
      </c>
      <c r="B17" s="26" t="s">
        <v>32</v>
      </c>
      <c r="C17" s="26">
        <v>11.8</v>
      </c>
      <c r="D17" s="27">
        <v>10.4</v>
      </c>
      <c r="E17" s="28"/>
      <c r="F17" s="16">
        <f t="shared" si="23"/>
        <v>0</v>
      </c>
      <c r="G17" s="17"/>
      <c r="H17" s="18">
        <v>1</v>
      </c>
      <c r="I17" s="19">
        <f t="shared" si="24"/>
        <v>0.12272000000000001</v>
      </c>
      <c r="J17" s="16"/>
      <c r="K17" s="18"/>
      <c r="L17" s="19">
        <f t="shared" si="25"/>
        <v>0</v>
      </c>
      <c r="M17" s="16"/>
      <c r="N17" s="18"/>
      <c r="O17" s="19">
        <f t="shared" si="26"/>
        <v>0</v>
      </c>
      <c r="P17" s="16"/>
      <c r="Q17" s="18"/>
      <c r="R17" s="19">
        <f t="shared" si="16"/>
        <v>0</v>
      </c>
      <c r="S17" s="20">
        <f t="shared" si="17"/>
        <v>1</v>
      </c>
      <c r="T17" s="19">
        <f t="shared" si="17"/>
        <v>0.12272000000000001</v>
      </c>
      <c r="U17" s="21">
        <f t="shared" si="18"/>
        <v>-1</v>
      </c>
      <c r="V17" s="19">
        <f t="shared" si="18"/>
        <v>-0.12272000000000001</v>
      </c>
      <c r="X17" s="29"/>
    </row>
    <row r="18" spans="1:24">
      <c r="A18" s="26" t="s">
        <v>13</v>
      </c>
      <c r="B18" s="26" t="s">
        <v>32</v>
      </c>
      <c r="C18" s="26">
        <v>11.8</v>
      </c>
      <c r="D18" s="27">
        <v>12</v>
      </c>
      <c r="E18" s="28"/>
      <c r="F18" s="16">
        <f t="shared" si="19"/>
        <v>0</v>
      </c>
      <c r="G18" s="17"/>
      <c r="H18" s="18">
        <v>1</v>
      </c>
      <c r="I18" s="19">
        <f t="shared" si="20"/>
        <v>0.14160000000000003</v>
      </c>
      <c r="J18" s="16"/>
      <c r="K18" s="18"/>
      <c r="L18" s="19">
        <f t="shared" si="21"/>
        <v>0</v>
      </c>
      <c r="M18" s="16"/>
      <c r="N18" s="18"/>
      <c r="O18" s="19">
        <f t="shared" si="22"/>
        <v>0</v>
      </c>
      <c r="P18" s="16"/>
      <c r="Q18" s="18"/>
      <c r="R18" s="19">
        <f t="shared" si="16"/>
        <v>0</v>
      </c>
      <c r="S18" s="20">
        <f t="shared" si="17"/>
        <v>1</v>
      </c>
      <c r="T18" s="19">
        <f t="shared" si="17"/>
        <v>0.14160000000000003</v>
      </c>
      <c r="U18" s="21">
        <f t="shared" si="18"/>
        <v>-1</v>
      </c>
      <c r="V18" s="19">
        <f t="shared" si="18"/>
        <v>-0.14160000000000003</v>
      </c>
      <c r="X18" s="29"/>
    </row>
    <row r="19" spans="1:24">
      <c r="A19" s="36"/>
      <c r="B19" s="36" t="s">
        <v>145</v>
      </c>
      <c r="C19" s="36"/>
      <c r="D19" s="38"/>
      <c r="E19" s="31">
        <f>SUM(E10:E18)</f>
        <v>10</v>
      </c>
      <c r="F19" s="38">
        <f>SUM(F10:F18)</f>
        <v>1.2626000000000002</v>
      </c>
      <c r="G19" s="17"/>
      <c r="H19" s="31">
        <f>SUM(H10:H18)</f>
        <v>13</v>
      </c>
      <c r="I19" s="38">
        <f>SUM(I10:I18)</f>
        <v>1.50037</v>
      </c>
      <c r="J19" s="16"/>
      <c r="K19" s="31">
        <f>SUM(K10:K18)</f>
        <v>0</v>
      </c>
      <c r="L19" s="38">
        <f>SUM(L10:L18)</f>
        <v>0</v>
      </c>
      <c r="M19" s="16"/>
      <c r="N19" s="31">
        <f>SUM(N10:N18)</f>
        <v>0</v>
      </c>
      <c r="O19" s="38">
        <f>SUM(O10:O18)</f>
        <v>0</v>
      </c>
      <c r="P19" s="16"/>
      <c r="Q19" s="31">
        <f t="shared" ref="Q19:V19" si="27">SUM(Q10:Q18)</f>
        <v>0</v>
      </c>
      <c r="R19" s="38">
        <f t="shared" si="27"/>
        <v>0</v>
      </c>
      <c r="S19" s="31">
        <f t="shared" si="27"/>
        <v>13</v>
      </c>
      <c r="T19" s="38">
        <f t="shared" si="27"/>
        <v>1.50037</v>
      </c>
      <c r="U19" s="31">
        <f t="shared" si="27"/>
        <v>-3</v>
      </c>
      <c r="V19" s="38">
        <f t="shared" si="27"/>
        <v>-0.23776999999999987</v>
      </c>
      <c r="X19" s="29"/>
    </row>
    <row r="20" spans="1:24">
      <c r="A20" s="26" t="s">
        <v>13</v>
      </c>
      <c r="B20" s="26" t="s">
        <v>58</v>
      </c>
      <c r="C20" s="26">
        <v>7.34</v>
      </c>
      <c r="D20" s="27">
        <v>11.5</v>
      </c>
      <c r="E20" s="28">
        <v>4</v>
      </c>
      <c r="F20" s="16">
        <f t="shared" ref="F20" si="28">(C20*D20*E20/1000)</f>
        <v>0.33764</v>
      </c>
      <c r="G20" s="17" t="s">
        <v>150</v>
      </c>
      <c r="H20" s="18"/>
      <c r="I20" s="19">
        <f t="shared" ref="I20" si="29">(C20*D20*H20/1000)</f>
        <v>0</v>
      </c>
      <c r="J20" s="16"/>
      <c r="K20" s="18"/>
      <c r="L20" s="19">
        <f t="shared" ref="L20" si="30">(C20*D20*K20/1000)</f>
        <v>0</v>
      </c>
      <c r="M20" s="16"/>
      <c r="N20" s="18"/>
      <c r="O20" s="19">
        <f t="shared" ref="O20" si="31">(C20*D20*N20/1000)</f>
        <v>0</v>
      </c>
      <c r="P20" s="16"/>
      <c r="Q20" s="18"/>
      <c r="R20" s="19">
        <f t="shared" ref="R20:R21" si="32">(C20*D20*Q20/1000)</f>
        <v>0</v>
      </c>
      <c r="S20" s="20">
        <f t="shared" ref="S20:T21" si="33">+H20+K20+Q20+N20</f>
        <v>0</v>
      </c>
      <c r="T20" s="19">
        <f t="shared" si="33"/>
        <v>0</v>
      </c>
      <c r="U20" s="21">
        <f t="shared" ref="U20:V21" si="34">E20-S20</f>
        <v>4</v>
      </c>
      <c r="V20" s="19">
        <f t="shared" si="34"/>
        <v>0.33764</v>
      </c>
      <c r="X20" s="29"/>
    </row>
    <row r="21" spans="1:24">
      <c r="A21" s="26" t="s">
        <v>13</v>
      </c>
      <c r="B21" s="26" t="s">
        <v>58</v>
      </c>
      <c r="C21" s="26">
        <v>7.34</v>
      </c>
      <c r="D21" s="27">
        <v>6</v>
      </c>
      <c r="E21" s="28"/>
      <c r="F21" s="16">
        <f t="shared" ref="F21" si="35">(C21*D21*E21/1000)</f>
        <v>0</v>
      </c>
      <c r="G21" s="17" t="s">
        <v>151</v>
      </c>
      <c r="H21" s="18">
        <v>8</v>
      </c>
      <c r="I21" s="19">
        <f t="shared" ref="I21" si="36">(C21*D21*H21/1000)</f>
        <v>0.35231999999999997</v>
      </c>
      <c r="J21" s="16"/>
      <c r="K21" s="18"/>
      <c r="L21" s="19">
        <f t="shared" ref="L21" si="37">(C21*D21*K21/1000)</f>
        <v>0</v>
      </c>
      <c r="M21" s="16"/>
      <c r="N21" s="18"/>
      <c r="O21" s="19">
        <f t="shared" ref="O21" si="38">(C21*D21*N21/1000)</f>
        <v>0</v>
      </c>
      <c r="P21" s="16"/>
      <c r="Q21" s="18"/>
      <c r="R21" s="19">
        <f t="shared" si="32"/>
        <v>0</v>
      </c>
      <c r="S21" s="20">
        <f t="shared" si="33"/>
        <v>8</v>
      </c>
      <c r="T21" s="19">
        <f t="shared" si="33"/>
        <v>0.35231999999999997</v>
      </c>
      <c r="U21" s="21">
        <f t="shared" si="34"/>
        <v>-8</v>
      </c>
      <c r="V21" s="19">
        <f t="shared" si="34"/>
        <v>-0.35231999999999997</v>
      </c>
      <c r="X21" s="29"/>
    </row>
    <row r="22" spans="1:24">
      <c r="A22" s="36"/>
      <c r="B22" s="36" t="s">
        <v>145</v>
      </c>
      <c r="C22" s="36"/>
      <c r="D22" s="38"/>
      <c r="E22" s="31">
        <f t="shared" ref="E22:F22" si="39">SUM(E20:E21)</f>
        <v>4</v>
      </c>
      <c r="F22" s="38">
        <f t="shared" si="39"/>
        <v>0.33764</v>
      </c>
      <c r="G22" s="17"/>
      <c r="H22" s="31">
        <f t="shared" ref="H22" si="40">SUM(H20:H21)</f>
        <v>8</v>
      </c>
      <c r="I22" s="38">
        <f t="shared" ref="I22" si="41">SUM(I20:I21)</f>
        <v>0.35231999999999997</v>
      </c>
      <c r="J22" s="16"/>
      <c r="K22" s="31">
        <f t="shared" ref="K22" si="42">SUM(K20:K21)</f>
        <v>0</v>
      </c>
      <c r="L22" s="38">
        <f t="shared" ref="L22" si="43">SUM(L20:L21)</f>
        <v>0</v>
      </c>
      <c r="M22" s="16"/>
      <c r="N22" s="31">
        <f t="shared" ref="N22" si="44">SUM(N20:N21)</f>
        <v>0</v>
      </c>
      <c r="O22" s="38">
        <f t="shared" ref="O22" si="45">SUM(O20:O21)</f>
        <v>0</v>
      </c>
      <c r="P22" s="16"/>
      <c r="Q22" s="31">
        <f t="shared" ref="Q22" si="46">SUM(Q20:Q21)</f>
        <v>0</v>
      </c>
      <c r="R22" s="38">
        <f t="shared" ref="R22" si="47">SUM(R20:R21)</f>
        <v>0</v>
      </c>
      <c r="S22" s="31">
        <f t="shared" ref="S22" si="48">SUM(S20:S21)</f>
        <v>8</v>
      </c>
      <c r="T22" s="38">
        <f t="shared" ref="T22" si="49">SUM(T20:T21)</f>
        <v>0.35231999999999997</v>
      </c>
      <c r="U22" s="31">
        <f t="shared" ref="U22" si="50">SUM(U20:U21)</f>
        <v>-4</v>
      </c>
      <c r="V22" s="38">
        <f t="shared" ref="V22" si="51">SUM(V20:V21)</f>
        <v>-1.4679999999999971E-2</v>
      </c>
      <c r="X22" s="29"/>
    </row>
    <row r="23" spans="1:24">
      <c r="A23" s="26" t="s">
        <v>13</v>
      </c>
      <c r="B23" s="26" t="s">
        <v>146</v>
      </c>
      <c r="C23" s="26">
        <v>38</v>
      </c>
      <c r="D23" s="27">
        <v>6.6</v>
      </c>
      <c r="E23" s="28">
        <v>4</v>
      </c>
      <c r="F23" s="16">
        <f t="shared" ref="F23:F26" si="52">(C23*D23*E23/1000)</f>
        <v>1.0031999999999999</v>
      </c>
      <c r="G23" s="17" t="s">
        <v>150</v>
      </c>
      <c r="H23" s="18"/>
      <c r="I23" s="19">
        <f t="shared" ref="I23:I26" si="53">(C23*D23*H23/1000)</f>
        <v>0</v>
      </c>
      <c r="J23" s="16"/>
      <c r="K23" s="18"/>
      <c r="L23" s="19">
        <f t="shared" ref="L23:L26" si="54">(C23*D23*K23/1000)</f>
        <v>0</v>
      </c>
      <c r="M23" s="16"/>
      <c r="N23" s="18"/>
      <c r="O23" s="19">
        <f t="shared" ref="O23:O26" si="55">(C23*D23*N23/1000)</f>
        <v>0</v>
      </c>
      <c r="P23" s="16"/>
      <c r="Q23" s="18"/>
      <c r="R23" s="19">
        <f t="shared" ref="R23:R26" si="56">(C23*D23*Q23/1000)</f>
        <v>0</v>
      </c>
      <c r="S23" s="20">
        <f t="shared" ref="S23:T26" si="57">+H23+K23+Q23+N23</f>
        <v>0</v>
      </c>
      <c r="T23" s="19">
        <f t="shared" si="57"/>
        <v>0</v>
      </c>
      <c r="U23" s="21">
        <f t="shared" ref="U23:V26" si="58">E23-S23</f>
        <v>4</v>
      </c>
      <c r="V23" s="19">
        <f t="shared" si="58"/>
        <v>1.0031999999999999</v>
      </c>
      <c r="X23" s="29"/>
    </row>
    <row r="24" spans="1:24">
      <c r="A24" s="26" t="s">
        <v>13</v>
      </c>
      <c r="B24" s="26" t="s">
        <v>146</v>
      </c>
      <c r="C24" s="26">
        <v>38</v>
      </c>
      <c r="D24" s="27">
        <v>9.5</v>
      </c>
      <c r="E24" s="28"/>
      <c r="F24" s="16">
        <f t="shared" si="52"/>
        <v>0</v>
      </c>
      <c r="G24" s="17" t="s">
        <v>151</v>
      </c>
      <c r="H24" s="18">
        <v>1</v>
      </c>
      <c r="I24" s="19">
        <f t="shared" si="53"/>
        <v>0.36099999999999999</v>
      </c>
      <c r="J24" s="16"/>
      <c r="K24" s="18"/>
      <c r="L24" s="19">
        <f t="shared" si="54"/>
        <v>0</v>
      </c>
      <c r="M24" s="16"/>
      <c r="N24" s="18"/>
      <c r="O24" s="19">
        <f t="shared" si="55"/>
        <v>0</v>
      </c>
      <c r="P24" s="16"/>
      <c r="Q24" s="18"/>
      <c r="R24" s="19">
        <f t="shared" si="56"/>
        <v>0</v>
      </c>
      <c r="S24" s="20">
        <f t="shared" si="57"/>
        <v>1</v>
      </c>
      <c r="T24" s="19">
        <f t="shared" si="57"/>
        <v>0.36099999999999999</v>
      </c>
      <c r="U24" s="21">
        <f t="shared" si="58"/>
        <v>-1</v>
      </c>
      <c r="V24" s="19">
        <f t="shared" si="58"/>
        <v>-0.36099999999999999</v>
      </c>
      <c r="X24" s="29"/>
    </row>
    <row r="25" spans="1:24">
      <c r="A25" s="26" t="s">
        <v>13</v>
      </c>
      <c r="B25" s="44" t="s">
        <v>149</v>
      </c>
      <c r="C25" s="26">
        <v>38</v>
      </c>
      <c r="D25" s="27"/>
      <c r="E25" s="28"/>
      <c r="F25" s="16">
        <f t="shared" si="52"/>
        <v>0</v>
      </c>
      <c r="G25" s="17"/>
      <c r="H25" s="18"/>
      <c r="I25" s="19">
        <f t="shared" si="53"/>
        <v>0</v>
      </c>
      <c r="J25" s="16"/>
      <c r="K25" s="18"/>
      <c r="L25" s="19">
        <f t="shared" si="54"/>
        <v>0</v>
      </c>
      <c r="M25" s="16"/>
      <c r="N25" s="18"/>
      <c r="O25" s="19">
        <f t="shared" si="55"/>
        <v>0</v>
      </c>
      <c r="P25" s="16"/>
      <c r="Q25" s="18"/>
      <c r="R25" s="19">
        <f t="shared" si="56"/>
        <v>0</v>
      </c>
      <c r="S25" s="20">
        <f t="shared" si="57"/>
        <v>0</v>
      </c>
      <c r="T25" s="19">
        <f t="shared" si="57"/>
        <v>0</v>
      </c>
      <c r="U25" s="21">
        <f t="shared" si="58"/>
        <v>0</v>
      </c>
      <c r="V25" s="19">
        <f t="shared" si="58"/>
        <v>0</v>
      </c>
      <c r="X25" s="29"/>
    </row>
    <row r="26" spans="1:24">
      <c r="A26" s="26" t="s">
        <v>13</v>
      </c>
      <c r="B26" s="26" t="s">
        <v>128</v>
      </c>
      <c r="C26" s="26">
        <v>40.01</v>
      </c>
      <c r="D26" s="27">
        <v>8.9</v>
      </c>
      <c r="E26" s="28"/>
      <c r="F26" s="16">
        <f t="shared" si="52"/>
        <v>0</v>
      </c>
      <c r="G26" s="17"/>
      <c r="H26" s="18">
        <v>3</v>
      </c>
      <c r="I26" s="19">
        <f t="shared" si="53"/>
        <v>1.0682670000000001</v>
      </c>
      <c r="J26" s="16"/>
      <c r="K26" s="18"/>
      <c r="L26" s="19">
        <f t="shared" si="54"/>
        <v>0</v>
      </c>
      <c r="M26" s="16"/>
      <c r="N26" s="18"/>
      <c r="O26" s="19">
        <f t="shared" si="55"/>
        <v>0</v>
      </c>
      <c r="P26" s="16"/>
      <c r="Q26" s="18"/>
      <c r="R26" s="19">
        <f t="shared" si="56"/>
        <v>0</v>
      </c>
      <c r="S26" s="20">
        <f t="shared" si="57"/>
        <v>3</v>
      </c>
      <c r="T26" s="19">
        <f t="shared" si="57"/>
        <v>1.0682670000000001</v>
      </c>
      <c r="U26" s="21">
        <f t="shared" si="58"/>
        <v>-3</v>
      </c>
      <c r="V26" s="19">
        <f t="shared" si="58"/>
        <v>-1.0682670000000001</v>
      </c>
      <c r="X26" s="29"/>
    </row>
    <row r="27" spans="1:24">
      <c r="A27" s="36"/>
      <c r="B27" s="36" t="s">
        <v>145</v>
      </c>
      <c r="C27" s="36"/>
      <c r="D27" s="38"/>
      <c r="E27" s="31">
        <f>SUM(E23:E26)</f>
        <v>4</v>
      </c>
      <c r="F27" s="38">
        <f>SUM(F23:F26)</f>
        <v>1.0031999999999999</v>
      </c>
      <c r="G27" s="17"/>
      <c r="H27" s="31">
        <f>SUM(H23:H26)</f>
        <v>4</v>
      </c>
      <c r="I27" s="38">
        <f>SUM(I23:I26)</f>
        <v>1.4292670000000001</v>
      </c>
      <c r="J27" s="16"/>
      <c r="K27" s="31">
        <f>SUM(K23:K26)</f>
        <v>0</v>
      </c>
      <c r="L27" s="38">
        <f>SUM(L23:L26)</f>
        <v>0</v>
      </c>
      <c r="M27" s="16"/>
      <c r="N27" s="31">
        <f>SUM(N23:N26)</f>
        <v>0</v>
      </c>
      <c r="O27" s="38">
        <f>SUM(O23:O26)</f>
        <v>0</v>
      </c>
      <c r="P27" s="16"/>
      <c r="Q27" s="31">
        <f t="shared" ref="Q27:V27" si="59">SUM(Q23:Q26)</f>
        <v>0</v>
      </c>
      <c r="R27" s="38">
        <f t="shared" si="59"/>
        <v>0</v>
      </c>
      <c r="S27" s="31">
        <f t="shared" si="59"/>
        <v>4</v>
      </c>
      <c r="T27" s="38">
        <f t="shared" si="59"/>
        <v>1.4292670000000001</v>
      </c>
      <c r="U27" s="31">
        <f t="shared" si="59"/>
        <v>0</v>
      </c>
      <c r="V27" s="38">
        <f t="shared" si="59"/>
        <v>-0.4260670000000002</v>
      </c>
      <c r="X27" s="29"/>
    </row>
    <row r="28" spans="1:24">
      <c r="A28" s="33"/>
      <c r="B28" s="33"/>
      <c r="C28" s="34"/>
      <c r="D28" s="34"/>
      <c r="E28" s="34">
        <f>SUM(E6:E27)/2</f>
        <v>22</v>
      </c>
      <c r="F28" s="35">
        <f>SUM(F6:F27)/2</f>
        <v>3.0590399999999995</v>
      </c>
      <c r="G28" s="26"/>
      <c r="H28" s="34">
        <f>SUM(H6:H27)/2</f>
        <v>29</v>
      </c>
      <c r="I28" s="35">
        <f>SUM(I6:I27)/2</f>
        <v>3.8152769999999996</v>
      </c>
      <c r="J28" s="26"/>
      <c r="K28" s="34">
        <f>SUM(K6:K27)/2</f>
        <v>0</v>
      </c>
      <c r="L28" s="35">
        <f>SUM(L6:L27)/2</f>
        <v>0</v>
      </c>
      <c r="M28" s="26"/>
      <c r="N28" s="34">
        <f>SUM(N6:N27)/2</f>
        <v>0</v>
      </c>
      <c r="O28" s="35">
        <f>SUM(O6:O27)/2</f>
        <v>0</v>
      </c>
      <c r="P28" s="26"/>
      <c r="Q28" s="34">
        <f t="shared" ref="Q28:V28" si="60">SUM(Q6:Q27)/2</f>
        <v>0</v>
      </c>
      <c r="R28" s="35">
        <f t="shared" si="60"/>
        <v>0</v>
      </c>
      <c r="S28" s="34">
        <f t="shared" si="60"/>
        <v>29</v>
      </c>
      <c r="T28" s="35">
        <f t="shared" si="60"/>
        <v>3.8152769999999996</v>
      </c>
      <c r="U28" s="34">
        <f t="shared" si="60"/>
        <v>-7</v>
      </c>
      <c r="V28" s="35">
        <f t="shared" si="60"/>
        <v>-0.75623700000000005</v>
      </c>
    </row>
    <row r="43" spans="18:18">
      <c r="R4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7"/>
  <dimension ref="A1:X33"/>
  <sheetViews>
    <sheetView zoomScale="75" zoomScaleNormal="75" workbookViewId="0">
      <pane ySplit="5" topLeftCell="A6" activePane="bottomLeft" state="frozen"/>
      <selection pane="bottomLeft" activeCell="G13" sqref="G13:G14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153</v>
      </c>
      <c r="H1" s="144"/>
      <c r="I1" s="145" t="s">
        <v>154</v>
      </c>
      <c r="J1" s="144"/>
      <c r="K1" s="3"/>
      <c r="L1" s="4"/>
      <c r="M1" s="4"/>
      <c r="N1" s="3"/>
      <c r="O1" s="4"/>
      <c r="P1" s="146" t="str">
        <f>+F2</f>
        <v>LOI-214  25.05.23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28</v>
      </c>
      <c r="B2" s="8"/>
      <c r="C2" s="9"/>
      <c r="D2" s="9"/>
      <c r="E2" s="10"/>
      <c r="F2" s="146" t="s">
        <v>152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LOI-214  25.05.23</v>
      </c>
      <c r="V2" s="146"/>
    </row>
    <row r="3" spans="1:24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26</v>
      </c>
      <c r="C6" s="26">
        <v>8.3000000000000007</v>
      </c>
      <c r="D6" s="27">
        <v>11.8</v>
      </c>
      <c r="E6" s="28">
        <v>12</v>
      </c>
      <c r="F6" s="16">
        <f t="shared" ref="F6" si="0">(C6*D6*E6/1000)</f>
        <v>1.1752800000000001</v>
      </c>
      <c r="G6" s="16" t="s">
        <v>93</v>
      </c>
      <c r="H6" s="18">
        <v>12</v>
      </c>
      <c r="I6" s="19">
        <f t="shared" ref="I6" si="1">(C6*D6*H6/1000)</f>
        <v>1.1752800000000001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16"/>
      <c r="Q6" s="18"/>
      <c r="R6" s="19">
        <f t="shared" ref="R6" si="4">(C6*D6*Q6/1000)</f>
        <v>0</v>
      </c>
      <c r="S6" s="20">
        <f t="shared" ref="S6:T6" si="5">+H6+K6+Q6+N6</f>
        <v>12</v>
      </c>
      <c r="T6" s="19">
        <f t="shared" si="5"/>
        <v>1.1752800000000001</v>
      </c>
      <c r="U6" s="21">
        <f t="shared" ref="U6:V6" si="6">E6-S6</f>
        <v>0</v>
      </c>
      <c r="V6" s="19">
        <f t="shared" si="6"/>
        <v>0</v>
      </c>
      <c r="X6" s="29"/>
    </row>
    <row r="7" spans="1:24">
      <c r="A7" s="36"/>
      <c r="B7" s="36"/>
      <c r="C7" s="36"/>
      <c r="D7" s="38"/>
      <c r="E7" s="31">
        <f>SUM(E6:E6)</f>
        <v>12</v>
      </c>
      <c r="F7" s="38">
        <f>SUM(F6:F6)</f>
        <v>1.1752800000000001</v>
      </c>
      <c r="G7" s="16" t="s">
        <v>170</v>
      </c>
      <c r="H7" s="31">
        <f>SUM(H6:H6)</f>
        <v>12</v>
      </c>
      <c r="I7" s="38">
        <f>SUM(I6:I6)</f>
        <v>1.1752800000000001</v>
      </c>
      <c r="J7" s="16"/>
      <c r="K7" s="31">
        <f>SUM(K6:K6)</f>
        <v>0</v>
      </c>
      <c r="L7" s="38">
        <f>SUM(L6:L6)</f>
        <v>0</v>
      </c>
      <c r="M7" s="16"/>
      <c r="N7" s="31">
        <f>SUM(N6:N6)</f>
        <v>0</v>
      </c>
      <c r="O7" s="38">
        <f>SUM(O6:O6)</f>
        <v>0</v>
      </c>
      <c r="P7" s="16"/>
      <c r="Q7" s="31">
        <f t="shared" ref="Q7:V7" si="7">SUM(Q6:Q6)</f>
        <v>0</v>
      </c>
      <c r="R7" s="38">
        <f t="shared" si="7"/>
        <v>0</v>
      </c>
      <c r="S7" s="31">
        <f t="shared" si="7"/>
        <v>12</v>
      </c>
      <c r="T7" s="38">
        <f t="shared" si="7"/>
        <v>1.1752800000000001</v>
      </c>
      <c r="U7" s="31">
        <f t="shared" si="7"/>
        <v>0</v>
      </c>
      <c r="V7" s="38">
        <f t="shared" si="7"/>
        <v>0</v>
      </c>
      <c r="X7" s="29"/>
    </row>
    <row r="8" spans="1:24">
      <c r="A8" s="26" t="s">
        <v>13</v>
      </c>
      <c r="B8" s="26" t="s">
        <v>37</v>
      </c>
      <c r="C8" s="26">
        <v>9.61</v>
      </c>
      <c r="D8" s="27">
        <v>10.1</v>
      </c>
      <c r="E8" s="28">
        <v>6</v>
      </c>
      <c r="F8" s="16">
        <f t="shared" ref="F8" si="8">(C8*D8*E8/1000)</f>
        <v>0.58236599999999994</v>
      </c>
      <c r="G8" s="17" t="s">
        <v>88</v>
      </c>
      <c r="H8" s="18"/>
      <c r="I8" s="19">
        <f t="shared" ref="I8" si="9">(C8*D8*H8/1000)</f>
        <v>0</v>
      </c>
      <c r="J8" s="16"/>
      <c r="K8" s="18"/>
      <c r="L8" s="19">
        <f t="shared" ref="L8" si="10">(C8*D8*K8/1000)</f>
        <v>0</v>
      </c>
      <c r="M8" s="16"/>
      <c r="N8" s="18"/>
      <c r="O8" s="19">
        <f t="shared" ref="O8" si="11">(C8*D8*N8/1000)</f>
        <v>0</v>
      </c>
      <c r="P8" s="16"/>
      <c r="Q8" s="18"/>
      <c r="R8" s="19">
        <f t="shared" ref="R8" si="12">(C8*D8*Q8/1000)</f>
        <v>0</v>
      </c>
      <c r="S8" s="20">
        <f t="shared" ref="S8" si="13">+H8+K8+Q8+N8</f>
        <v>0</v>
      </c>
      <c r="T8" s="19">
        <f t="shared" ref="T8" si="14">+I8+L8+R8+O8</f>
        <v>0</v>
      </c>
      <c r="U8" s="21">
        <f t="shared" ref="U8" si="15">E8-S8</f>
        <v>6</v>
      </c>
      <c r="V8" s="19">
        <f t="shared" ref="V8" si="16">F8-T8</f>
        <v>0.58236599999999994</v>
      </c>
      <c r="X8" s="29"/>
    </row>
    <row r="9" spans="1:24">
      <c r="A9" s="26" t="s">
        <v>13</v>
      </c>
      <c r="B9" s="26" t="s">
        <v>37</v>
      </c>
      <c r="C9" s="26">
        <v>9.61</v>
      </c>
      <c r="D9" s="27">
        <v>11</v>
      </c>
      <c r="E9" s="28"/>
      <c r="F9" s="16">
        <f t="shared" ref="F9:F11" si="17">(C9*D9*E9/1000)</f>
        <v>0</v>
      </c>
      <c r="G9" s="17" t="s">
        <v>172</v>
      </c>
      <c r="H9" s="18">
        <v>4</v>
      </c>
      <c r="I9" s="19">
        <f t="shared" ref="I9:I11" si="18">(C9*D9*H9/1000)</f>
        <v>0.42283999999999999</v>
      </c>
      <c r="J9" s="16"/>
      <c r="K9" s="18"/>
      <c r="L9" s="19">
        <f t="shared" ref="L9:L11" si="19">(C9*D9*K9/1000)</f>
        <v>0</v>
      </c>
      <c r="M9" s="16"/>
      <c r="N9" s="18"/>
      <c r="O9" s="19">
        <f t="shared" ref="O9:O11" si="20">(C9*D9*N9/1000)</f>
        <v>0</v>
      </c>
      <c r="P9" s="16"/>
      <c r="Q9" s="18"/>
      <c r="R9" s="19">
        <f t="shared" ref="R9:R11" si="21">(C9*D9*Q9/1000)</f>
        <v>0</v>
      </c>
      <c r="S9" s="20">
        <f t="shared" ref="S9:S11" si="22">+H9+K9+Q9+N9</f>
        <v>4</v>
      </c>
      <c r="T9" s="19">
        <f t="shared" ref="T9:T11" si="23">+I9+L9+R9+O9</f>
        <v>0.42283999999999999</v>
      </c>
      <c r="U9" s="21">
        <f t="shared" ref="U9:U11" si="24">E9-S9</f>
        <v>-4</v>
      </c>
      <c r="V9" s="19">
        <f t="shared" ref="V9:V11" si="25">F9-T9</f>
        <v>-0.42283999999999999</v>
      </c>
      <c r="X9" s="29"/>
    </row>
    <row r="10" spans="1:24">
      <c r="A10" s="26" t="s">
        <v>13</v>
      </c>
      <c r="B10" s="26" t="s">
        <v>37</v>
      </c>
      <c r="C10" s="26">
        <v>9.61</v>
      </c>
      <c r="D10" s="27">
        <v>9.5</v>
      </c>
      <c r="E10" s="28"/>
      <c r="F10" s="16">
        <f t="shared" si="17"/>
        <v>0</v>
      </c>
      <c r="G10" s="17"/>
      <c r="H10" s="18">
        <v>2</v>
      </c>
      <c r="I10" s="19">
        <f t="shared" si="18"/>
        <v>0.18258999999999997</v>
      </c>
      <c r="J10" s="16"/>
      <c r="K10" s="18"/>
      <c r="L10" s="19">
        <f t="shared" si="19"/>
        <v>0</v>
      </c>
      <c r="M10" s="16"/>
      <c r="N10" s="18"/>
      <c r="O10" s="19">
        <f t="shared" si="20"/>
        <v>0</v>
      </c>
      <c r="P10" s="16"/>
      <c r="Q10" s="18"/>
      <c r="R10" s="19">
        <f t="shared" si="21"/>
        <v>0</v>
      </c>
      <c r="S10" s="20">
        <f t="shared" si="22"/>
        <v>2</v>
      </c>
      <c r="T10" s="19">
        <f t="shared" si="23"/>
        <v>0.18258999999999997</v>
      </c>
      <c r="U10" s="21">
        <f t="shared" si="24"/>
        <v>-2</v>
      </c>
      <c r="V10" s="19">
        <f t="shared" si="25"/>
        <v>-0.18258999999999997</v>
      </c>
      <c r="X10" s="29"/>
    </row>
    <row r="11" spans="1:24">
      <c r="A11" s="26" t="s">
        <v>13</v>
      </c>
      <c r="B11" s="26" t="s">
        <v>37</v>
      </c>
      <c r="C11" s="26">
        <v>9.61</v>
      </c>
      <c r="D11" s="27">
        <v>9.6999999999999993</v>
      </c>
      <c r="E11" s="28"/>
      <c r="F11" s="16">
        <f t="shared" si="17"/>
        <v>0</v>
      </c>
      <c r="G11" s="17"/>
      <c r="H11" s="18">
        <v>1</v>
      </c>
      <c r="I11" s="19">
        <f t="shared" si="18"/>
        <v>9.321699999999998E-2</v>
      </c>
      <c r="J11" s="16"/>
      <c r="K11" s="18"/>
      <c r="L11" s="19">
        <f t="shared" si="19"/>
        <v>0</v>
      </c>
      <c r="M11" s="16"/>
      <c r="N11" s="18"/>
      <c r="O11" s="19">
        <f t="shared" si="20"/>
        <v>0</v>
      </c>
      <c r="P11" s="16"/>
      <c r="Q11" s="18"/>
      <c r="R11" s="19">
        <f t="shared" si="21"/>
        <v>0</v>
      </c>
      <c r="S11" s="20">
        <f t="shared" si="22"/>
        <v>1</v>
      </c>
      <c r="T11" s="19">
        <f t="shared" si="23"/>
        <v>9.321699999999998E-2</v>
      </c>
      <c r="U11" s="21">
        <f t="shared" si="24"/>
        <v>-1</v>
      </c>
      <c r="V11" s="19">
        <f t="shared" si="25"/>
        <v>-9.321699999999998E-2</v>
      </c>
      <c r="X11" s="29"/>
    </row>
    <row r="12" spans="1:24">
      <c r="A12" s="36"/>
      <c r="B12" s="36"/>
      <c r="C12" s="36"/>
      <c r="D12" s="38"/>
      <c r="E12" s="31">
        <f t="shared" ref="E12:F12" si="26">SUM(E8:E11)</f>
        <v>6</v>
      </c>
      <c r="F12" s="38">
        <f t="shared" si="26"/>
        <v>0.58236599999999994</v>
      </c>
      <c r="G12" s="17"/>
      <c r="H12" s="31">
        <f t="shared" ref="H12" si="27">SUM(H8:H11)</f>
        <v>7</v>
      </c>
      <c r="I12" s="38">
        <f t="shared" ref="I12" si="28">SUM(I8:I11)</f>
        <v>0.69864699999999991</v>
      </c>
      <c r="J12" s="16"/>
      <c r="K12" s="31">
        <f>SUM(K8:K8)</f>
        <v>0</v>
      </c>
      <c r="L12" s="38">
        <f>SUM(L8:L8)</f>
        <v>0</v>
      </c>
      <c r="M12" s="16"/>
      <c r="N12" s="31">
        <f>SUM(N8:N8)</f>
        <v>0</v>
      </c>
      <c r="O12" s="38">
        <f>SUM(O8:O8)</f>
        <v>0</v>
      </c>
      <c r="P12" s="16"/>
      <c r="Q12" s="31">
        <f t="shared" ref="Q12:V12" si="29">SUM(Q8:Q8)</f>
        <v>0</v>
      </c>
      <c r="R12" s="38">
        <f t="shared" si="29"/>
        <v>0</v>
      </c>
      <c r="S12" s="31">
        <f t="shared" si="29"/>
        <v>0</v>
      </c>
      <c r="T12" s="38">
        <f t="shared" si="29"/>
        <v>0</v>
      </c>
      <c r="U12" s="31">
        <f t="shared" si="29"/>
        <v>6</v>
      </c>
      <c r="V12" s="38">
        <f t="shared" si="29"/>
        <v>0.58236599999999994</v>
      </c>
      <c r="X12" s="29"/>
    </row>
    <row r="13" spans="1:24">
      <c r="A13" s="26" t="s">
        <v>13</v>
      </c>
      <c r="B13" s="26" t="s">
        <v>18</v>
      </c>
      <c r="C13" s="26">
        <v>16.600000000000001</v>
      </c>
      <c r="D13" s="27">
        <v>10.4</v>
      </c>
      <c r="E13" s="28">
        <v>1</v>
      </c>
      <c r="F13" s="16">
        <f t="shared" ref="F13:F14" si="30">(C13*D13*E13/1000)</f>
        <v>0.17264000000000002</v>
      </c>
      <c r="G13" s="16" t="s">
        <v>89</v>
      </c>
      <c r="H13" s="18"/>
      <c r="I13" s="19">
        <f t="shared" ref="I13:I14" si="31">(C13*D13*H13/1000)</f>
        <v>0</v>
      </c>
      <c r="J13" s="16"/>
      <c r="K13" s="18"/>
      <c r="L13" s="19">
        <f t="shared" ref="L13:L14" si="32">(C13*D13*K13/1000)</f>
        <v>0</v>
      </c>
      <c r="M13" s="16"/>
      <c r="N13" s="18"/>
      <c r="O13" s="19">
        <f t="shared" ref="O13:O14" si="33">(C13*D13*N13/1000)</f>
        <v>0</v>
      </c>
      <c r="P13" s="16"/>
      <c r="Q13" s="18"/>
      <c r="R13" s="19">
        <f t="shared" ref="R13:R14" si="34">(C13*D13*Q13/1000)</f>
        <v>0</v>
      </c>
      <c r="S13" s="20">
        <f t="shared" ref="S13:S14" si="35">+H13+K13+Q13+N13</f>
        <v>0</v>
      </c>
      <c r="T13" s="19">
        <f t="shared" ref="T13:T14" si="36">+I13+L13+R13+O13</f>
        <v>0</v>
      </c>
      <c r="U13" s="21">
        <f t="shared" ref="U13:U14" si="37">E13-S13</f>
        <v>1</v>
      </c>
      <c r="V13" s="19">
        <f t="shared" ref="V13:V14" si="38">F13-T13</f>
        <v>0.17264000000000002</v>
      </c>
      <c r="X13" s="29"/>
    </row>
    <row r="14" spans="1:24">
      <c r="A14" s="26" t="s">
        <v>13</v>
      </c>
      <c r="B14" s="26" t="s">
        <v>18</v>
      </c>
      <c r="C14" s="26">
        <v>16.600000000000001</v>
      </c>
      <c r="D14" s="27">
        <v>11.9</v>
      </c>
      <c r="E14" s="28"/>
      <c r="F14" s="16">
        <f t="shared" si="30"/>
        <v>0</v>
      </c>
      <c r="G14" s="16" t="s">
        <v>195</v>
      </c>
      <c r="H14" s="18">
        <v>1</v>
      </c>
      <c r="I14" s="19">
        <f t="shared" si="31"/>
        <v>0.19754000000000002</v>
      </c>
      <c r="J14" s="16"/>
      <c r="K14" s="18"/>
      <c r="L14" s="19">
        <f t="shared" si="32"/>
        <v>0</v>
      </c>
      <c r="M14" s="16"/>
      <c r="N14" s="18"/>
      <c r="O14" s="19">
        <f t="shared" si="33"/>
        <v>0</v>
      </c>
      <c r="P14" s="16"/>
      <c r="Q14" s="18"/>
      <c r="R14" s="19">
        <f t="shared" si="34"/>
        <v>0</v>
      </c>
      <c r="S14" s="20">
        <f t="shared" si="35"/>
        <v>1</v>
      </c>
      <c r="T14" s="19">
        <f t="shared" si="36"/>
        <v>0.19754000000000002</v>
      </c>
      <c r="U14" s="21">
        <f t="shared" si="37"/>
        <v>-1</v>
      </c>
      <c r="V14" s="19">
        <f t="shared" si="38"/>
        <v>-0.19754000000000002</v>
      </c>
      <c r="X14" s="29"/>
    </row>
    <row r="15" spans="1:24">
      <c r="A15" s="36"/>
      <c r="B15" s="36"/>
      <c r="C15" s="36"/>
      <c r="D15" s="38"/>
      <c r="E15" s="31">
        <f t="shared" ref="E15:F15" si="39">SUM(E13:E14)</f>
        <v>1</v>
      </c>
      <c r="F15" s="38">
        <f t="shared" si="39"/>
        <v>0.17264000000000002</v>
      </c>
      <c r="G15" s="17"/>
      <c r="H15" s="31">
        <f t="shared" ref="H15:I15" si="40">SUM(H13:H14)</f>
        <v>1</v>
      </c>
      <c r="I15" s="38">
        <f t="shared" si="40"/>
        <v>0.19754000000000002</v>
      </c>
      <c r="J15" s="16"/>
      <c r="K15" s="31">
        <f t="shared" ref="K15:L15" si="41">SUM(K13:K14)</f>
        <v>0</v>
      </c>
      <c r="L15" s="38">
        <f t="shared" si="41"/>
        <v>0</v>
      </c>
      <c r="M15" s="16"/>
      <c r="N15" s="31">
        <f t="shared" ref="N15:O15" si="42">SUM(N13:N14)</f>
        <v>0</v>
      </c>
      <c r="O15" s="38">
        <f t="shared" si="42"/>
        <v>0</v>
      </c>
      <c r="P15" s="16"/>
      <c r="Q15" s="31">
        <f t="shared" ref="Q15:V15" si="43">SUM(Q13:Q14)</f>
        <v>0</v>
      </c>
      <c r="R15" s="38">
        <f t="shared" si="43"/>
        <v>0</v>
      </c>
      <c r="S15" s="31">
        <f t="shared" si="43"/>
        <v>1</v>
      </c>
      <c r="T15" s="38">
        <f t="shared" si="43"/>
        <v>0.19754000000000002</v>
      </c>
      <c r="U15" s="31">
        <f t="shared" si="43"/>
        <v>0</v>
      </c>
      <c r="V15" s="38">
        <f t="shared" si="43"/>
        <v>-2.4900000000000005E-2</v>
      </c>
      <c r="X15" s="29"/>
    </row>
    <row r="16" spans="1:24">
      <c r="A16" s="26" t="s">
        <v>14</v>
      </c>
      <c r="B16" s="26" t="s">
        <v>37</v>
      </c>
      <c r="C16" s="26">
        <v>9.61</v>
      </c>
      <c r="D16" s="27">
        <v>10</v>
      </c>
      <c r="E16" s="28">
        <v>54</v>
      </c>
      <c r="F16" s="16">
        <f t="shared" ref="F16" si="44">(C16*D16*E16/1000)</f>
        <v>5.1894</v>
      </c>
      <c r="G16" s="17" t="s">
        <v>88</v>
      </c>
      <c r="H16" s="18">
        <v>29</v>
      </c>
      <c r="I16" s="19">
        <f t="shared" ref="I16" si="45">(C16*D16*H16/1000)</f>
        <v>2.7868999999999997</v>
      </c>
      <c r="J16" s="17" t="s">
        <v>89</v>
      </c>
      <c r="K16" s="18">
        <v>21</v>
      </c>
      <c r="L16" s="19">
        <f t="shared" ref="L16" si="46">(C16*D16*K16/1000)</f>
        <v>2.0181</v>
      </c>
      <c r="M16" s="16" t="s">
        <v>93</v>
      </c>
      <c r="N16" s="18">
        <v>4</v>
      </c>
      <c r="O16" s="19">
        <f t="shared" ref="O16" si="47">(C16*D16*N16/1000)</f>
        <v>0.38439999999999996</v>
      </c>
      <c r="P16" s="16"/>
      <c r="Q16" s="18"/>
      <c r="R16" s="19">
        <f t="shared" ref="R16" si="48">(C16*D16*Q16/1000)</f>
        <v>0</v>
      </c>
      <c r="S16" s="20">
        <f t="shared" ref="S16" si="49">+H16+K16+Q16+N16</f>
        <v>54</v>
      </c>
      <c r="T16" s="19">
        <f t="shared" ref="T16" si="50">+I16+L16+R16+O16</f>
        <v>5.1894</v>
      </c>
      <c r="U16" s="21">
        <f t="shared" ref="U16" si="51">E16-S16</f>
        <v>0</v>
      </c>
      <c r="V16" s="19">
        <f t="shared" ref="V16" si="52">F16-T16</f>
        <v>0</v>
      </c>
      <c r="X16" s="29"/>
    </row>
    <row r="17" spans="1:24">
      <c r="A17" s="36"/>
      <c r="B17" s="36"/>
      <c r="C17" s="36"/>
      <c r="D17" s="38"/>
      <c r="E17" s="31">
        <f>SUM(E16:E16)</f>
        <v>54</v>
      </c>
      <c r="F17" s="38">
        <f>SUM(F16:F16)</f>
        <v>5.1894</v>
      </c>
      <c r="G17" s="17" t="s">
        <v>170</v>
      </c>
      <c r="H17" s="31">
        <f>SUM(H16:H16)</f>
        <v>29</v>
      </c>
      <c r="I17" s="38">
        <f>SUM(I16:I16)</f>
        <v>2.7868999999999997</v>
      </c>
      <c r="J17" s="17" t="s">
        <v>170</v>
      </c>
      <c r="K17" s="31">
        <f>SUM(K16:K16)</f>
        <v>21</v>
      </c>
      <c r="L17" s="38">
        <f>SUM(L16:L16)</f>
        <v>2.0181</v>
      </c>
      <c r="M17" s="16" t="s">
        <v>177</v>
      </c>
      <c r="N17" s="31">
        <f>SUM(N16:N16)</f>
        <v>4</v>
      </c>
      <c r="O17" s="38">
        <f>SUM(O16:O16)</f>
        <v>0.38439999999999996</v>
      </c>
      <c r="P17" s="16"/>
      <c r="Q17" s="31">
        <f t="shared" ref="Q17:V17" si="53">SUM(Q16:Q16)</f>
        <v>0</v>
      </c>
      <c r="R17" s="38">
        <f t="shared" si="53"/>
        <v>0</v>
      </c>
      <c r="S17" s="31">
        <f t="shared" si="53"/>
        <v>54</v>
      </c>
      <c r="T17" s="38">
        <f t="shared" si="53"/>
        <v>5.1894</v>
      </c>
      <c r="U17" s="31">
        <f t="shared" si="53"/>
        <v>0</v>
      </c>
      <c r="V17" s="38">
        <f t="shared" si="53"/>
        <v>0</v>
      </c>
      <c r="X17" s="29"/>
    </row>
    <row r="18" spans="1:24">
      <c r="A18" s="33"/>
      <c r="B18" s="33"/>
      <c r="C18" s="34"/>
      <c r="D18" s="34"/>
      <c r="E18" s="34">
        <f>SUM(E6:E17)/2</f>
        <v>73</v>
      </c>
      <c r="F18" s="35">
        <f>SUM(F6:F17)/2</f>
        <v>7.1196859999999997</v>
      </c>
      <c r="G18" s="26"/>
      <c r="H18" s="34">
        <f>SUM(H6:H17)/2</f>
        <v>49</v>
      </c>
      <c r="I18" s="35">
        <f>SUM(I6:I17)/2</f>
        <v>4.8583669999999994</v>
      </c>
      <c r="J18" s="26"/>
      <c r="K18" s="34">
        <f>SUM(K6:K17)/2</f>
        <v>21</v>
      </c>
      <c r="L18" s="35">
        <f>SUM(L6:L17)/2</f>
        <v>2.0181</v>
      </c>
      <c r="M18" s="26"/>
      <c r="N18" s="34">
        <f>SUM(N6:N17)/2</f>
        <v>4</v>
      </c>
      <c r="O18" s="35">
        <f>SUM(O6:O17)/2</f>
        <v>0.38439999999999996</v>
      </c>
      <c r="P18" s="26"/>
      <c r="Q18" s="34">
        <f t="shared" ref="Q18:V18" si="54">SUM(Q6:Q17)/2</f>
        <v>0</v>
      </c>
      <c r="R18" s="35">
        <f t="shared" si="54"/>
        <v>0</v>
      </c>
      <c r="S18" s="34">
        <f t="shared" si="54"/>
        <v>70.5</v>
      </c>
      <c r="T18" s="35">
        <f t="shared" si="54"/>
        <v>6.9115435000000005</v>
      </c>
      <c r="U18" s="34">
        <f t="shared" si="54"/>
        <v>2.5</v>
      </c>
      <c r="V18" s="35">
        <f t="shared" si="54"/>
        <v>0.20814249999999995</v>
      </c>
    </row>
    <row r="33" spans="18:18">
      <c r="R3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8"/>
  <dimension ref="A1:X151"/>
  <sheetViews>
    <sheetView zoomScale="75" zoomScaleNormal="75" workbookViewId="0">
      <pane ySplit="5" topLeftCell="A42" activePane="bottomLeft" state="frozen"/>
      <selection pane="bottomLeft" activeCell="G44" sqref="G44:G4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155</v>
      </c>
      <c r="H1" s="144"/>
      <c r="I1" s="145" t="s">
        <v>154</v>
      </c>
      <c r="J1" s="144"/>
      <c r="K1" s="3"/>
      <c r="L1" s="4"/>
      <c r="M1" s="4"/>
      <c r="N1" s="3"/>
      <c r="O1" s="4"/>
      <c r="P1" s="146" t="str">
        <f>+F2</f>
        <v>LOI-215  25.05.23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140</v>
      </c>
      <c r="B2" s="8"/>
      <c r="C2" s="9"/>
      <c r="D2" s="9"/>
      <c r="E2" s="10"/>
      <c r="F2" s="146" t="s">
        <v>156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LOI-215  25.05.23</v>
      </c>
      <c r="V2" s="146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9.4</v>
      </c>
      <c r="E6" s="28">
        <v>13</v>
      </c>
      <c r="F6" s="16">
        <f t="shared" ref="F6:F20" si="0">(C6*D6*E6/1000)</f>
        <v>1.1315719999999998</v>
      </c>
      <c r="G6" s="17" t="s">
        <v>111</v>
      </c>
      <c r="H6" s="18"/>
      <c r="I6" s="19">
        <f t="shared" ref="I6:I20" si="1">(C6*D6*H6/1000)</f>
        <v>0</v>
      </c>
      <c r="J6" s="16"/>
      <c r="K6" s="18"/>
      <c r="L6" s="19">
        <f t="shared" ref="L6:L20" si="2">(C6*D6*K6/1000)</f>
        <v>0</v>
      </c>
      <c r="M6" s="16"/>
      <c r="N6" s="18"/>
      <c r="O6" s="19">
        <f t="shared" ref="O6:O20" si="3">(C6*D6*N6/1000)</f>
        <v>0</v>
      </c>
      <c r="P6" s="16"/>
      <c r="Q6" s="18"/>
      <c r="R6" s="19">
        <f t="shared" ref="R6:R20" si="4">(C6*D6*Q6/1000)</f>
        <v>0</v>
      </c>
      <c r="S6" s="20">
        <f t="shared" ref="S6:S20" si="5">+H6+K6+Q6</f>
        <v>0</v>
      </c>
      <c r="T6" s="19">
        <f t="shared" ref="T6:T20" si="6">+I6+L6+R6</f>
        <v>0</v>
      </c>
      <c r="U6" s="21">
        <f t="shared" ref="U6:U20" si="7">E6-S6</f>
        <v>13</v>
      </c>
      <c r="V6" s="19">
        <f t="shared" ref="V6:V20" si="8">F6-T6</f>
        <v>1.1315719999999998</v>
      </c>
      <c r="X6" s="29"/>
    </row>
    <row r="7" spans="1:24">
      <c r="A7" s="26" t="s">
        <v>13</v>
      </c>
      <c r="B7" s="26" t="s">
        <v>45</v>
      </c>
      <c r="C7" s="30">
        <v>9.26</v>
      </c>
      <c r="D7" s="27">
        <v>11</v>
      </c>
      <c r="E7" s="28">
        <v>4</v>
      </c>
      <c r="F7" s="16">
        <f t="shared" ref="F7:F19" si="9">(C7*D7*E7/1000)</f>
        <v>0.40744000000000002</v>
      </c>
      <c r="G7" s="17" t="s">
        <v>179</v>
      </c>
      <c r="H7" s="18"/>
      <c r="I7" s="19">
        <f t="shared" ref="I7:I19" si="10">(C7*D7*H7/1000)</f>
        <v>0</v>
      </c>
      <c r="J7" s="16"/>
      <c r="K7" s="18"/>
      <c r="L7" s="19">
        <f t="shared" ref="L7:L19" si="11">(C7*D7*K7/1000)</f>
        <v>0</v>
      </c>
      <c r="M7" s="16"/>
      <c r="N7" s="18"/>
      <c r="O7" s="19">
        <f t="shared" ref="O7:O19" si="12">(C7*D7*N7/1000)</f>
        <v>0</v>
      </c>
      <c r="P7" s="16"/>
      <c r="Q7" s="18"/>
      <c r="R7" s="19">
        <f t="shared" ref="R7:R19" si="13">(C7*D7*Q7/1000)</f>
        <v>0</v>
      </c>
      <c r="S7" s="20">
        <f t="shared" ref="S7:S19" si="14">+H7+K7+Q7</f>
        <v>0</v>
      </c>
      <c r="T7" s="19">
        <f t="shared" ref="T7:T19" si="15">+I7+L7+R7</f>
        <v>0</v>
      </c>
      <c r="U7" s="21">
        <f t="shared" ref="U7:U19" si="16">E7-S7</f>
        <v>4</v>
      </c>
      <c r="V7" s="19">
        <f t="shared" ref="V7:V19" si="17">F7-T7</f>
        <v>0.40744000000000002</v>
      </c>
      <c r="X7" s="29"/>
    </row>
    <row r="8" spans="1:24">
      <c r="A8" s="26" t="s">
        <v>13</v>
      </c>
      <c r="B8" s="26" t="s">
        <v>45</v>
      </c>
      <c r="C8" s="30">
        <v>9.26</v>
      </c>
      <c r="D8" s="27">
        <v>10.5</v>
      </c>
      <c r="E8" s="28"/>
      <c r="F8" s="16">
        <f t="shared" si="9"/>
        <v>0</v>
      </c>
      <c r="G8" s="17"/>
      <c r="H8" s="18">
        <v>1</v>
      </c>
      <c r="I8" s="19">
        <f t="shared" si="10"/>
        <v>9.7230000000000011E-2</v>
      </c>
      <c r="J8" s="16"/>
      <c r="K8" s="18"/>
      <c r="L8" s="19">
        <f t="shared" si="11"/>
        <v>0</v>
      </c>
      <c r="M8" s="16"/>
      <c r="N8" s="18"/>
      <c r="O8" s="19">
        <f t="shared" si="12"/>
        <v>0</v>
      </c>
      <c r="P8" s="16"/>
      <c r="Q8" s="18"/>
      <c r="R8" s="19">
        <f t="shared" si="13"/>
        <v>0</v>
      </c>
      <c r="S8" s="20">
        <f t="shared" si="14"/>
        <v>1</v>
      </c>
      <c r="T8" s="19">
        <f t="shared" si="15"/>
        <v>9.7230000000000011E-2</v>
      </c>
      <c r="U8" s="21">
        <f t="shared" si="16"/>
        <v>-1</v>
      </c>
      <c r="V8" s="19">
        <f t="shared" si="17"/>
        <v>-9.7230000000000011E-2</v>
      </c>
      <c r="X8" s="29"/>
    </row>
    <row r="9" spans="1:24">
      <c r="A9" s="26" t="s">
        <v>13</v>
      </c>
      <c r="B9" s="26" t="s">
        <v>45</v>
      </c>
      <c r="C9" s="30">
        <v>9.26</v>
      </c>
      <c r="D9" s="27">
        <v>9</v>
      </c>
      <c r="E9" s="28"/>
      <c r="F9" s="16">
        <f t="shared" si="9"/>
        <v>0</v>
      </c>
      <c r="G9" s="17"/>
      <c r="H9" s="18">
        <v>1</v>
      </c>
      <c r="I9" s="19">
        <f t="shared" si="10"/>
        <v>8.3339999999999997E-2</v>
      </c>
      <c r="J9" s="16"/>
      <c r="K9" s="18"/>
      <c r="L9" s="19">
        <f t="shared" si="11"/>
        <v>0</v>
      </c>
      <c r="M9" s="16"/>
      <c r="N9" s="18"/>
      <c r="O9" s="19">
        <f t="shared" si="12"/>
        <v>0</v>
      </c>
      <c r="P9" s="16"/>
      <c r="Q9" s="18"/>
      <c r="R9" s="19">
        <f t="shared" si="13"/>
        <v>0</v>
      </c>
      <c r="S9" s="20">
        <f t="shared" si="14"/>
        <v>1</v>
      </c>
      <c r="T9" s="19">
        <f t="shared" si="15"/>
        <v>8.3339999999999997E-2</v>
      </c>
      <c r="U9" s="21">
        <f t="shared" si="16"/>
        <v>-1</v>
      </c>
      <c r="V9" s="19">
        <f t="shared" si="17"/>
        <v>-8.3339999999999997E-2</v>
      </c>
      <c r="X9" s="29"/>
    </row>
    <row r="10" spans="1:24">
      <c r="A10" s="26" t="s">
        <v>13</v>
      </c>
      <c r="B10" s="26" t="s">
        <v>45</v>
      </c>
      <c r="C10" s="30">
        <v>9.26</v>
      </c>
      <c r="D10" s="27">
        <v>8.9</v>
      </c>
      <c r="E10" s="28"/>
      <c r="F10" s="16">
        <f t="shared" si="9"/>
        <v>0</v>
      </c>
      <c r="G10" s="17"/>
      <c r="H10" s="18">
        <v>2</v>
      </c>
      <c r="I10" s="19">
        <f t="shared" si="10"/>
        <v>0.164828</v>
      </c>
      <c r="J10" s="16"/>
      <c r="K10" s="18"/>
      <c r="L10" s="19">
        <f t="shared" si="11"/>
        <v>0</v>
      </c>
      <c r="M10" s="16"/>
      <c r="N10" s="18"/>
      <c r="O10" s="19">
        <f t="shared" si="12"/>
        <v>0</v>
      </c>
      <c r="P10" s="16"/>
      <c r="Q10" s="18"/>
      <c r="R10" s="19">
        <f t="shared" si="13"/>
        <v>0</v>
      </c>
      <c r="S10" s="20">
        <f t="shared" si="14"/>
        <v>2</v>
      </c>
      <c r="T10" s="19">
        <f t="shared" si="15"/>
        <v>0.164828</v>
      </c>
      <c r="U10" s="21">
        <f t="shared" si="16"/>
        <v>-2</v>
      </c>
      <c r="V10" s="19">
        <f t="shared" si="17"/>
        <v>-0.164828</v>
      </c>
      <c r="X10" s="29"/>
    </row>
    <row r="11" spans="1:24">
      <c r="A11" s="26" t="s">
        <v>13</v>
      </c>
      <c r="B11" s="26" t="s">
        <v>45</v>
      </c>
      <c r="C11" s="30">
        <v>9.26</v>
      </c>
      <c r="D11" s="27">
        <v>8.5</v>
      </c>
      <c r="E11" s="28"/>
      <c r="F11" s="16">
        <f t="shared" si="9"/>
        <v>0</v>
      </c>
      <c r="G11" s="17"/>
      <c r="H11" s="18">
        <v>2</v>
      </c>
      <c r="I11" s="19">
        <f t="shared" si="10"/>
        <v>0.15741999999999998</v>
      </c>
      <c r="J11" s="16"/>
      <c r="K11" s="18"/>
      <c r="L11" s="19">
        <f t="shared" si="11"/>
        <v>0</v>
      </c>
      <c r="M11" s="16"/>
      <c r="N11" s="18"/>
      <c r="O11" s="19">
        <f t="shared" si="12"/>
        <v>0</v>
      </c>
      <c r="P11" s="16"/>
      <c r="Q11" s="18"/>
      <c r="R11" s="19">
        <f t="shared" si="13"/>
        <v>0</v>
      </c>
      <c r="S11" s="20">
        <f t="shared" si="14"/>
        <v>2</v>
      </c>
      <c r="T11" s="19">
        <f t="shared" si="15"/>
        <v>0.15741999999999998</v>
      </c>
      <c r="U11" s="21">
        <f t="shared" si="16"/>
        <v>-2</v>
      </c>
      <c r="V11" s="19">
        <f t="shared" si="17"/>
        <v>-0.15741999999999998</v>
      </c>
      <c r="X11" s="29"/>
    </row>
    <row r="12" spans="1:24">
      <c r="A12" s="26" t="s">
        <v>13</v>
      </c>
      <c r="B12" s="26" t="s">
        <v>45</v>
      </c>
      <c r="C12" s="30">
        <v>9.26</v>
      </c>
      <c r="D12" s="27">
        <v>8.6999999999999993</v>
      </c>
      <c r="E12" s="28"/>
      <c r="F12" s="16">
        <f t="shared" si="9"/>
        <v>0</v>
      </c>
      <c r="G12" s="17"/>
      <c r="H12" s="18">
        <v>1</v>
      </c>
      <c r="I12" s="19">
        <f t="shared" si="10"/>
        <v>8.0561999999999995E-2</v>
      </c>
      <c r="J12" s="16"/>
      <c r="K12" s="18"/>
      <c r="L12" s="19">
        <f t="shared" si="11"/>
        <v>0</v>
      </c>
      <c r="M12" s="16"/>
      <c r="N12" s="18"/>
      <c r="O12" s="19">
        <f t="shared" si="12"/>
        <v>0</v>
      </c>
      <c r="P12" s="16"/>
      <c r="Q12" s="18"/>
      <c r="R12" s="19">
        <f t="shared" si="13"/>
        <v>0</v>
      </c>
      <c r="S12" s="20">
        <f t="shared" si="14"/>
        <v>1</v>
      </c>
      <c r="T12" s="19">
        <f t="shared" si="15"/>
        <v>8.0561999999999995E-2</v>
      </c>
      <c r="U12" s="21">
        <f t="shared" si="16"/>
        <v>-1</v>
      </c>
      <c r="V12" s="19">
        <f t="shared" si="17"/>
        <v>-8.0561999999999995E-2</v>
      </c>
      <c r="X12" s="29"/>
    </row>
    <row r="13" spans="1:24">
      <c r="A13" s="26" t="s">
        <v>13</v>
      </c>
      <c r="B13" s="26" t="s">
        <v>45</v>
      </c>
      <c r="C13" s="30">
        <v>9.26</v>
      </c>
      <c r="D13" s="27">
        <v>7.1</v>
      </c>
      <c r="E13" s="28"/>
      <c r="F13" s="16">
        <f t="shared" si="9"/>
        <v>0</v>
      </c>
      <c r="G13" s="17"/>
      <c r="H13" s="18">
        <v>3</v>
      </c>
      <c r="I13" s="19">
        <f t="shared" si="10"/>
        <v>0.197238</v>
      </c>
      <c r="J13" s="16"/>
      <c r="K13" s="18"/>
      <c r="L13" s="19">
        <f t="shared" si="11"/>
        <v>0</v>
      </c>
      <c r="M13" s="16"/>
      <c r="N13" s="18"/>
      <c r="O13" s="19">
        <f t="shared" si="12"/>
        <v>0</v>
      </c>
      <c r="P13" s="16"/>
      <c r="Q13" s="18"/>
      <c r="R13" s="19">
        <f t="shared" si="13"/>
        <v>0</v>
      </c>
      <c r="S13" s="20">
        <f t="shared" si="14"/>
        <v>3</v>
      </c>
      <c r="T13" s="19">
        <f t="shared" si="15"/>
        <v>0.197238</v>
      </c>
      <c r="U13" s="21">
        <f t="shared" si="16"/>
        <v>-3</v>
      </c>
      <c r="V13" s="19">
        <f t="shared" si="17"/>
        <v>-0.197238</v>
      </c>
      <c r="X13" s="29"/>
    </row>
    <row r="14" spans="1:24">
      <c r="A14" s="26" t="s">
        <v>13</v>
      </c>
      <c r="B14" s="26" t="s">
        <v>45</v>
      </c>
      <c r="C14" s="30">
        <v>9.26</v>
      </c>
      <c r="D14" s="27">
        <v>7</v>
      </c>
      <c r="E14" s="28"/>
      <c r="F14" s="16">
        <f t="shared" si="9"/>
        <v>0</v>
      </c>
      <c r="G14" s="17"/>
      <c r="H14" s="18">
        <v>4</v>
      </c>
      <c r="I14" s="19">
        <f t="shared" si="10"/>
        <v>0.25927999999999995</v>
      </c>
      <c r="J14" s="16"/>
      <c r="K14" s="18"/>
      <c r="L14" s="19">
        <f t="shared" si="11"/>
        <v>0</v>
      </c>
      <c r="M14" s="16"/>
      <c r="N14" s="18"/>
      <c r="O14" s="19">
        <f t="shared" si="12"/>
        <v>0</v>
      </c>
      <c r="P14" s="16"/>
      <c r="Q14" s="18"/>
      <c r="R14" s="19">
        <f t="shared" si="13"/>
        <v>0</v>
      </c>
      <c r="S14" s="20">
        <f t="shared" si="14"/>
        <v>4</v>
      </c>
      <c r="T14" s="19">
        <f t="shared" si="15"/>
        <v>0.25927999999999995</v>
      </c>
      <c r="U14" s="21">
        <f t="shared" si="16"/>
        <v>-4</v>
      </c>
      <c r="V14" s="19">
        <f t="shared" si="17"/>
        <v>-0.25927999999999995</v>
      </c>
      <c r="X14" s="29"/>
    </row>
    <row r="15" spans="1:24">
      <c r="A15" s="26" t="s">
        <v>13</v>
      </c>
      <c r="B15" s="26" t="s">
        <v>45</v>
      </c>
      <c r="C15" s="30">
        <v>9.26</v>
      </c>
      <c r="D15" s="27">
        <v>6.8</v>
      </c>
      <c r="E15" s="28"/>
      <c r="F15" s="16">
        <f t="shared" si="9"/>
        <v>0</v>
      </c>
      <c r="G15" s="17"/>
      <c r="H15" s="18">
        <v>1</v>
      </c>
      <c r="I15" s="19">
        <f t="shared" si="10"/>
        <v>6.2967999999999996E-2</v>
      </c>
      <c r="J15" s="16"/>
      <c r="K15" s="18"/>
      <c r="L15" s="19">
        <f t="shared" si="11"/>
        <v>0</v>
      </c>
      <c r="M15" s="16"/>
      <c r="N15" s="18"/>
      <c r="O15" s="19">
        <f t="shared" si="12"/>
        <v>0</v>
      </c>
      <c r="P15" s="16"/>
      <c r="Q15" s="18"/>
      <c r="R15" s="19">
        <f t="shared" si="13"/>
        <v>0</v>
      </c>
      <c r="S15" s="20">
        <f t="shared" si="14"/>
        <v>1</v>
      </c>
      <c r="T15" s="19">
        <f t="shared" si="15"/>
        <v>6.2967999999999996E-2</v>
      </c>
      <c r="U15" s="21">
        <f t="shared" si="16"/>
        <v>-1</v>
      </c>
      <c r="V15" s="19">
        <f t="shared" si="17"/>
        <v>-6.2967999999999996E-2</v>
      </c>
      <c r="X15" s="29"/>
    </row>
    <row r="16" spans="1:24">
      <c r="A16" s="26" t="s">
        <v>13</v>
      </c>
      <c r="B16" s="26" t="s">
        <v>45</v>
      </c>
      <c r="C16" s="30">
        <v>9.26</v>
      </c>
      <c r="D16" s="27">
        <v>6.7</v>
      </c>
      <c r="E16" s="28"/>
      <c r="F16" s="16">
        <f t="shared" si="9"/>
        <v>0</v>
      </c>
      <c r="G16" s="17"/>
      <c r="H16" s="18">
        <v>4</v>
      </c>
      <c r="I16" s="19">
        <f t="shared" si="10"/>
        <v>0.248168</v>
      </c>
      <c r="J16" s="16"/>
      <c r="K16" s="18"/>
      <c r="L16" s="19">
        <f t="shared" si="11"/>
        <v>0</v>
      </c>
      <c r="M16" s="16"/>
      <c r="N16" s="18"/>
      <c r="O16" s="19">
        <f t="shared" si="12"/>
        <v>0</v>
      </c>
      <c r="P16" s="16"/>
      <c r="Q16" s="18"/>
      <c r="R16" s="19">
        <f t="shared" si="13"/>
        <v>0</v>
      </c>
      <c r="S16" s="20">
        <f t="shared" si="14"/>
        <v>4</v>
      </c>
      <c r="T16" s="19">
        <f t="shared" si="15"/>
        <v>0.248168</v>
      </c>
      <c r="U16" s="21">
        <f t="shared" si="16"/>
        <v>-4</v>
      </c>
      <c r="V16" s="19">
        <f t="shared" si="17"/>
        <v>-0.248168</v>
      </c>
      <c r="X16" s="29"/>
    </row>
    <row r="17" spans="1:24">
      <c r="A17" s="26" t="s">
        <v>13</v>
      </c>
      <c r="B17" s="26" t="s">
        <v>45</v>
      </c>
      <c r="C17" s="30">
        <v>9.26</v>
      </c>
      <c r="D17" s="27">
        <v>6.6</v>
      </c>
      <c r="E17" s="28"/>
      <c r="F17" s="16">
        <f t="shared" si="9"/>
        <v>0</v>
      </c>
      <c r="G17" s="17"/>
      <c r="H17" s="18">
        <v>1</v>
      </c>
      <c r="I17" s="19">
        <f t="shared" si="10"/>
        <v>6.111599999999999E-2</v>
      </c>
      <c r="J17" s="16"/>
      <c r="K17" s="18"/>
      <c r="L17" s="19">
        <f t="shared" si="11"/>
        <v>0</v>
      </c>
      <c r="M17" s="16"/>
      <c r="N17" s="18"/>
      <c r="O17" s="19">
        <f t="shared" si="12"/>
        <v>0</v>
      </c>
      <c r="P17" s="16"/>
      <c r="Q17" s="18"/>
      <c r="R17" s="19">
        <f t="shared" si="13"/>
        <v>0</v>
      </c>
      <c r="S17" s="20">
        <f t="shared" si="14"/>
        <v>1</v>
      </c>
      <c r="T17" s="19">
        <f t="shared" si="15"/>
        <v>6.111599999999999E-2</v>
      </c>
      <c r="U17" s="21">
        <f t="shared" si="16"/>
        <v>-1</v>
      </c>
      <c r="V17" s="19">
        <f t="shared" si="17"/>
        <v>-6.111599999999999E-2</v>
      </c>
      <c r="X17" s="29"/>
    </row>
    <row r="18" spans="1:24">
      <c r="A18" s="26" t="s">
        <v>13</v>
      </c>
      <c r="B18" s="26" t="s">
        <v>45</v>
      </c>
      <c r="C18" s="30">
        <v>9.26</v>
      </c>
      <c r="D18" s="27">
        <v>6.5</v>
      </c>
      <c r="E18" s="28"/>
      <c r="F18" s="16">
        <f t="shared" si="9"/>
        <v>0</v>
      </c>
      <c r="G18" s="17"/>
      <c r="H18" s="18">
        <v>4</v>
      </c>
      <c r="I18" s="19">
        <f t="shared" si="10"/>
        <v>0.24076</v>
      </c>
      <c r="J18" s="16"/>
      <c r="K18" s="18"/>
      <c r="L18" s="19">
        <f t="shared" si="11"/>
        <v>0</v>
      </c>
      <c r="M18" s="16"/>
      <c r="N18" s="18"/>
      <c r="O18" s="19">
        <f t="shared" si="12"/>
        <v>0</v>
      </c>
      <c r="P18" s="16"/>
      <c r="Q18" s="18"/>
      <c r="R18" s="19">
        <f t="shared" si="13"/>
        <v>0</v>
      </c>
      <c r="S18" s="20">
        <f t="shared" si="14"/>
        <v>4</v>
      </c>
      <c r="T18" s="19">
        <f t="shared" si="15"/>
        <v>0.24076</v>
      </c>
      <c r="U18" s="21">
        <f t="shared" si="16"/>
        <v>-4</v>
      </c>
      <c r="V18" s="19">
        <f t="shared" si="17"/>
        <v>-0.24076</v>
      </c>
      <c r="X18" s="29"/>
    </row>
    <row r="19" spans="1:24">
      <c r="A19" s="26" t="s">
        <v>13</v>
      </c>
      <c r="B19" s="26" t="s">
        <v>45</v>
      </c>
      <c r="C19" s="30">
        <v>9.26</v>
      </c>
      <c r="D19" s="27">
        <v>6.3</v>
      </c>
      <c r="E19" s="28"/>
      <c r="F19" s="16">
        <f t="shared" si="9"/>
        <v>0</v>
      </c>
      <c r="G19" s="17"/>
      <c r="H19" s="18">
        <v>2</v>
      </c>
      <c r="I19" s="19">
        <f t="shared" si="10"/>
        <v>0.11667599999999999</v>
      </c>
      <c r="J19" s="16"/>
      <c r="K19" s="18"/>
      <c r="L19" s="19">
        <f t="shared" si="11"/>
        <v>0</v>
      </c>
      <c r="M19" s="16"/>
      <c r="N19" s="18"/>
      <c r="O19" s="19">
        <f t="shared" si="12"/>
        <v>0</v>
      </c>
      <c r="P19" s="16"/>
      <c r="Q19" s="18"/>
      <c r="R19" s="19">
        <f t="shared" si="13"/>
        <v>0</v>
      </c>
      <c r="S19" s="20">
        <f t="shared" si="14"/>
        <v>2</v>
      </c>
      <c r="T19" s="19">
        <f t="shared" si="15"/>
        <v>0.11667599999999999</v>
      </c>
      <c r="U19" s="21">
        <f t="shared" si="16"/>
        <v>-2</v>
      </c>
      <c r="V19" s="19">
        <f t="shared" si="17"/>
        <v>-0.11667599999999999</v>
      </c>
      <c r="X19" s="29"/>
    </row>
    <row r="20" spans="1:24">
      <c r="A20" s="26" t="s">
        <v>13</v>
      </c>
      <c r="B20" s="26" t="s">
        <v>45</v>
      </c>
      <c r="C20" s="30">
        <v>9.26</v>
      </c>
      <c r="D20" s="27"/>
      <c r="E20" s="28"/>
      <c r="F20" s="16">
        <f t="shared" si="0"/>
        <v>0</v>
      </c>
      <c r="G20" s="17"/>
      <c r="H20" s="18"/>
      <c r="I20" s="19">
        <f t="shared" si="1"/>
        <v>0</v>
      </c>
      <c r="J20" s="16"/>
      <c r="K20" s="18"/>
      <c r="L20" s="19">
        <f t="shared" si="2"/>
        <v>0</v>
      </c>
      <c r="M20" s="16"/>
      <c r="N20" s="18"/>
      <c r="O20" s="19">
        <f t="shared" si="3"/>
        <v>0</v>
      </c>
      <c r="P20" s="16"/>
      <c r="Q20" s="18"/>
      <c r="R20" s="19">
        <f t="shared" si="4"/>
        <v>0</v>
      </c>
      <c r="S20" s="20">
        <f t="shared" si="5"/>
        <v>0</v>
      </c>
      <c r="T20" s="19">
        <f t="shared" si="6"/>
        <v>0</v>
      </c>
      <c r="U20" s="21">
        <f t="shared" si="7"/>
        <v>0</v>
      </c>
      <c r="V20" s="19">
        <f t="shared" si="8"/>
        <v>0</v>
      </c>
      <c r="X20" s="29"/>
    </row>
    <row r="21" spans="1:24">
      <c r="A21" s="36"/>
      <c r="B21" s="36"/>
      <c r="C21" s="31"/>
      <c r="D21" s="38"/>
      <c r="E21" s="31">
        <f t="shared" ref="E21:F21" si="18">SUM(E6:E20)</f>
        <v>17</v>
      </c>
      <c r="F21" s="38">
        <f t="shared" si="18"/>
        <v>1.5390119999999998</v>
      </c>
      <c r="G21" s="17"/>
      <c r="H21" s="31">
        <f t="shared" ref="H21" si="19">SUM(H6:H20)</f>
        <v>26</v>
      </c>
      <c r="I21" s="38">
        <f t="shared" ref="I21" si="20">SUM(I6:I20)</f>
        <v>1.7695859999999999</v>
      </c>
      <c r="J21" s="16"/>
      <c r="K21" s="31">
        <f t="shared" ref="K21" si="21">SUM(K6:K20)</f>
        <v>0</v>
      </c>
      <c r="L21" s="38">
        <f t="shared" ref="L21" si="22">SUM(L6:L20)</f>
        <v>0</v>
      </c>
      <c r="M21" s="16"/>
      <c r="N21" s="31">
        <f t="shared" ref="N21" si="23">SUM(N6:N20)</f>
        <v>0</v>
      </c>
      <c r="O21" s="38">
        <f t="shared" ref="O21" si="24">SUM(O6:O20)</f>
        <v>0</v>
      </c>
      <c r="P21" s="16"/>
      <c r="Q21" s="31">
        <f t="shared" ref="Q21" si="25">SUM(Q6:Q20)</f>
        <v>0</v>
      </c>
      <c r="R21" s="38">
        <f t="shared" ref="R21" si="26">SUM(R6:R20)</f>
        <v>0</v>
      </c>
      <c r="S21" s="31">
        <f t="shared" ref="S21" si="27">SUM(S6:S20)</f>
        <v>26</v>
      </c>
      <c r="T21" s="38">
        <f t="shared" ref="T21" si="28">SUM(T6:T20)</f>
        <v>1.7695859999999999</v>
      </c>
      <c r="U21" s="31">
        <f t="shared" ref="U21" si="29">SUM(U6:U20)</f>
        <v>-9</v>
      </c>
      <c r="V21" s="38">
        <f t="shared" ref="V21" si="30">SUM(V6:V20)</f>
        <v>-0.23057399999999995</v>
      </c>
      <c r="X21" s="29"/>
    </row>
    <row r="22" spans="1:24">
      <c r="A22" s="26" t="s">
        <v>13</v>
      </c>
      <c r="B22" s="26" t="s">
        <v>46</v>
      </c>
      <c r="C22" s="30">
        <v>10.73</v>
      </c>
      <c r="D22" s="27">
        <v>7.5</v>
      </c>
      <c r="E22" s="28">
        <v>9</v>
      </c>
      <c r="F22" s="16">
        <f t="shared" ref="F22:F42" si="31">(C22*D22*E22/1000)</f>
        <v>0.72427500000000011</v>
      </c>
      <c r="G22" s="17" t="s">
        <v>111</v>
      </c>
      <c r="H22" s="18"/>
      <c r="I22" s="19">
        <f t="shared" ref="I22:I42" si="32">(C22*D22*H22/1000)</f>
        <v>0</v>
      </c>
      <c r="J22" s="16"/>
      <c r="K22" s="18"/>
      <c r="L22" s="19">
        <f t="shared" ref="L22:L42" si="33">(C22*D22*K22/1000)</f>
        <v>0</v>
      </c>
      <c r="M22" s="16"/>
      <c r="N22" s="18"/>
      <c r="O22" s="19">
        <f t="shared" ref="O22:O42" si="34">(C22*D22*N22/1000)</f>
        <v>0</v>
      </c>
      <c r="P22" s="16"/>
      <c r="Q22" s="18"/>
      <c r="R22" s="19">
        <f t="shared" ref="R22:R42" si="35">(C22*D22*Q22/1000)</f>
        <v>0</v>
      </c>
      <c r="S22" s="20">
        <f t="shared" ref="S22:S42" si="36">+H22+K22+Q22</f>
        <v>0</v>
      </c>
      <c r="T22" s="19">
        <f t="shared" ref="T22:T42" si="37">+I22+L22+R22</f>
        <v>0</v>
      </c>
      <c r="U22" s="21">
        <f t="shared" ref="U22:U42" si="38">E22-S22</f>
        <v>9</v>
      </c>
      <c r="V22" s="19">
        <f t="shared" ref="V22:V42" si="39">F22-T22</f>
        <v>0.72427500000000011</v>
      </c>
      <c r="X22" s="29"/>
    </row>
    <row r="23" spans="1:24">
      <c r="A23" s="26" t="s">
        <v>13</v>
      </c>
      <c r="B23" s="26" t="s">
        <v>46</v>
      </c>
      <c r="C23" s="30">
        <v>10.73</v>
      </c>
      <c r="D23" s="27">
        <v>11</v>
      </c>
      <c r="E23" s="28">
        <v>14</v>
      </c>
      <c r="F23" s="16">
        <f t="shared" si="31"/>
        <v>1.65242</v>
      </c>
      <c r="G23" s="17" t="s">
        <v>179</v>
      </c>
      <c r="H23" s="18"/>
      <c r="I23" s="19">
        <f t="shared" si="32"/>
        <v>0</v>
      </c>
      <c r="J23" s="16"/>
      <c r="K23" s="18"/>
      <c r="L23" s="19">
        <f t="shared" si="33"/>
        <v>0</v>
      </c>
      <c r="M23" s="16"/>
      <c r="N23" s="18"/>
      <c r="O23" s="19">
        <f t="shared" si="34"/>
        <v>0</v>
      </c>
      <c r="P23" s="16"/>
      <c r="Q23" s="18"/>
      <c r="R23" s="19">
        <f t="shared" si="35"/>
        <v>0</v>
      </c>
      <c r="S23" s="20">
        <f t="shared" si="36"/>
        <v>0</v>
      </c>
      <c r="T23" s="19">
        <f t="shared" si="37"/>
        <v>0</v>
      </c>
      <c r="U23" s="21">
        <f t="shared" si="38"/>
        <v>14</v>
      </c>
      <c r="V23" s="19">
        <f t="shared" si="39"/>
        <v>1.65242</v>
      </c>
      <c r="X23" s="29"/>
    </row>
    <row r="24" spans="1:24">
      <c r="A24" s="26" t="s">
        <v>13</v>
      </c>
      <c r="B24" s="26" t="s">
        <v>46</v>
      </c>
      <c r="C24" s="30">
        <v>10.73</v>
      </c>
      <c r="D24" s="27">
        <v>12</v>
      </c>
      <c r="E24" s="28">
        <v>8</v>
      </c>
      <c r="F24" s="16">
        <f t="shared" ref="F24:F41" si="40">(C24*D24*E24/1000)</f>
        <v>1.0300799999999999</v>
      </c>
      <c r="G24" s="17"/>
      <c r="H24" s="18">
        <v>3</v>
      </c>
      <c r="I24" s="19">
        <f t="shared" ref="I24:I41" si="41">(C24*D24*H24/1000)</f>
        <v>0.38627999999999996</v>
      </c>
      <c r="J24" s="16"/>
      <c r="K24" s="18"/>
      <c r="L24" s="19">
        <f t="shared" ref="L24:L41" si="42">(C24*D24*K24/1000)</f>
        <v>0</v>
      </c>
      <c r="M24" s="16"/>
      <c r="N24" s="18"/>
      <c r="O24" s="19">
        <f t="shared" ref="O24:O41" si="43">(C24*D24*N24/1000)</f>
        <v>0</v>
      </c>
      <c r="P24" s="16"/>
      <c r="Q24" s="18"/>
      <c r="R24" s="19">
        <f t="shared" ref="R24:R41" si="44">(C24*D24*Q24/1000)</f>
        <v>0</v>
      </c>
      <c r="S24" s="20">
        <f t="shared" ref="S24:S41" si="45">+H24+K24+Q24</f>
        <v>3</v>
      </c>
      <c r="T24" s="19">
        <f t="shared" ref="T24:T41" si="46">+I24+L24+R24</f>
        <v>0.38627999999999996</v>
      </c>
      <c r="U24" s="21">
        <f t="shared" ref="U24:U41" si="47">E24-S24</f>
        <v>5</v>
      </c>
      <c r="V24" s="19">
        <f t="shared" ref="V24:V41" si="48">F24-T24</f>
        <v>0.64379999999999993</v>
      </c>
      <c r="X24" s="29"/>
    </row>
    <row r="25" spans="1:24">
      <c r="A25" s="26" t="s">
        <v>13</v>
      </c>
      <c r="B25" s="26" t="s">
        <v>46</v>
      </c>
      <c r="C25" s="30">
        <v>10.73</v>
      </c>
      <c r="D25" s="27">
        <v>8.3000000000000007</v>
      </c>
      <c r="E25" s="28"/>
      <c r="F25" s="16">
        <f t="shared" si="40"/>
        <v>0</v>
      </c>
      <c r="G25" s="17"/>
      <c r="H25" s="18">
        <v>7</v>
      </c>
      <c r="I25" s="19">
        <f t="shared" si="41"/>
        <v>0.62341300000000011</v>
      </c>
      <c r="J25" s="16"/>
      <c r="K25" s="18"/>
      <c r="L25" s="19">
        <f t="shared" si="42"/>
        <v>0</v>
      </c>
      <c r="M25" s="16"/>
      <c r="N25" s="18"/>
      <c r="O25" s="19">
        <f t="shared" si="43"/>
        <v>0</v>
      </c>
      <c r="P25" s="16"/>
      <c r="Q25" s="18"/>
      <c r="R25" s="19">
        <f t="shared" si="44"/>
        <v>0</v>
      </c>
      <c r="S25" s="20">
        <f t="shared" si="45"/>
        <v>7</v>
      </c>
      <c r="T25" s="19">
        <f t="shared" si="46"/>
        <v>0.62341300000000011</v>
      </c>
      <c r="U25" s="21">
        <f t="shared" si="47"/>
        <v>-7</v>
      </c>
      <c r="V25" s="19">
        <f t="shared" si="48"/>
        <v>-0.62341300000000011</v>
      </c>
      <c r="X25" s="29"/>
    </row>
    <row r="26" spans="1:24">
      <c r="A26" s="26" t="s">
        <v>13</v>
      </c>
      <c r="B26" s="26" t="s">
        <v>46</v>
      </c>
      <c r="C26" s="30">
        <v>10.73</v>
      </c>
      <c r="D26" s="27">
        <v>8</v>
      </c>
      <c r="E26" s="28"/>
      <c r="F26" s="16">
        <f t="shared" si="40"/>
        <v>0</v>
      </c>
      <c r="G26" s="17"/>
      <c r="H26" s="18">
        <v>2</v>
      </c>
      <c r="I26" s="19">
        <f t="shared" si="41"/>
        <v>0.17168</v>
      </c>
      <c r="J26" s="16"/>
      <c r="K26" s="18"/>
      <c r="L26" s="19">
        <f t="shared" si="42"/>
        <v>0</v>
      </c>
      <c r="M26" s="16"/>
      <c r="N26" s="18"/>
      <c r="O26" s="19">
        <f t="shared" si="43"/>
        <v>0</v>
      </c>
      <c r="P26" s="16"/>
      <c r="Q26" s="18"/>
      <c r="R26" s="19">
        <f t="shared" si="44"/>
        <v>0</v>
      </c>
      <c r="S26" s="20">
        <f t="shared" si="45"/>
        <v>2</v>
      </c>
      <c r="T26" s="19">
        <f t="shared" si="46"/>
        <v>0.17168</v>
      </c>
      <c r="U26" s="21">
        <f t="shared" si="47"/>
        <v>-2</v>
      </c>
      <c r="V26" s="19">
        <f t="shared" si="48"/>
        <v>-0.17168</v>
      </c>
      <c r="X26" s="29"/>
    </row>
    <row r="27" spans="1:24">
      <c r="A27" s="26" t="s">
        <v>13</v>
      </c>
      <c r="B27" s="26" t="s">
        <v>46</v>
      </c>
      <c r="C27" s="30">
        <v>10.73</v>
      </c>
      <c r="D27" s="27">
        <v>7.6</v>
      </c>
      <c r="E27" s="28"/>
      <c r="F27" s="16">
        <f t="shared" si="40"/>
        <v>0</v>
      </c>
      <c r="G27" s="17"/>
      <c r="H27" s="18">
        <v>1</v>
      </c>
      <c r="I27" s="19">
        <f t="shared" si="41"/>
        <v>8.1547999999999995E-2</v>
      </c>
      <c r="J27" s="16"/>
      <c r="K27" s="18"/>
      <c r="L27" s="19">
        <f t="shared" si="42"/>
        <v>0</v>
      </c>
      <c r="M27" s="16"/>
      <c r="N27" s="18"/>
      <c r="O27" s="19">
        <f t="shared" si="43"/>
        <v>0</v>
      </c>
      <c r="P27" s="16"/>
      <c r="Q27" s="18"/>
      <c r="R27" s="19">
        <f t="shared" si="44"/>
        <v>0</v>
      </c>
      <c r="S27" s="20">
        <f t="shared" si="45"/>
        <v>1</v>
      </c>
      <c r="T27" s="19">
        <f t="shared" si="46"/>
        <v>8.1547999999999995E-2</v>
      </c>
      <c r="U27" s="21">
        <f t="shared" si="47"/>
        <v>-1</v>
      </c>
      <c r="V27" s="19">
        <f t="shared" si="48"/>
        <v>-8.1547999999999995E-2</v>
      </c>
      <c r="X27" s="29"/>
    </row>
    <row r="28" spans="1:24">
      <c r="A28" s="26" t="s">
        <v>13</v>
      </c>
      <c r="B28" s="26" t="s">
        <v>46</v>
      </c>
      <c r="C28" s="30">
        <v>10.73</v>
      </c>
      <c r="D28" s="27">
        <v>7</v>
      </c>
      <c r="E28" s="28"/>
      <c r="F28" s="16">
        <f t="shared" si="40"/>
        <v>0</v>
      </c>
      <c r="G28" s="17"/>
      <c r="H28" s="18">
        <v>2</v>
      </c>
      <c r="I28" s="19">
        <f t="shared" si="41"/>
        <v>0.15021999999999999</v>
      </c>
      <c r="J28" s="16"/>
      <c r="K28" s="18"/>
      <c r="L28" s="19">
        <f t="shared" si="42"/>
        <v>0</v>
      </c>
      <c r="M28" s="16"/>
      <c r="N28" s="18"/>
      <c r="O28" s="19">
        <f t="shared" si="43"/>
        <v>0</v>
      </c>
      <c r="P28" s="16"/>
      <c r="Q28" s="18"/>
      <c r="R28" s="19">
        <f t="shared" si="44"/>
        <v>0</v>
      </c>
      <c r="S28" s="20">
        <f t="shared" si="45"/>
        <v>2</v>
      </c>
      <c r="T28" s="19">
        <f t="shared" si="46"/>
        <v>0.15021999999999999</v>
      </c>
      <c r="U28" s="21">
        <f t="shared" si="47"/>
        <v>-2</v>
      </c>
      <c r="V28" s="19">
        <f t="shared" si="48"/>
        <v>-0.15021999999999999</v>
      </c>
      <c r="X28" s="29"/>
    </row>
    <row r="29" spans="1:24">
      <c r="A29" s="26" t="s">
        <v>13</v>
      </c>
      <c r="B29" s="26" t="s">
        <v>46</v>
      </c>
      <c r="C29" s="30">
        <v>10.73</v>
      </c>
      <c r="D29" s="27">
        <v>6.1</v>
      </c>
      <c r="E29" s="28"/>
      <c r="F29" s="16">
        <f t="shared" si="40"/>
        <v>0</v>
      </c>
      <c r="G29" s="17"/>
      <c r="H29" s="18">
        <v>2</v>
      </c>
      <c r="I29" s="19">
        <f t="shared" si="41"/>
        <v>0.13090599999999999</v>
      </c>
      <c r="J29" s="16"/>
      <c r="K29" s="18"/>
      <c r="L29" s="19">
        <f t="shared" si="42"/>
        <v>0</v>
      </c>
      <c r="M29" s="16"/>
      <c r="N29" s="18"/>
      <c r="O29" s="19">
        <f t="shared" si="43"/>
        <v>0</v>
      </c>
      <c r="P29" s="16"/>
      <c r="Q29" s="18"/>
      <c r="R29" s="19">
        <f t="shared" si="44"/>
        <v>0</v>
      </c>
      <c r="S29" s="20">
        <f t="shared" si="45"/>
        <v>2</v>
      </c>
      <c r="T29" s="19">
        <f t="shared" si="46"/>
        <v>0.13090599999999999</v>
      </c>
      <c r="U29" s="21">
        <f t="shared" si="47"/>
        <v>-2</v>
      </c>
      <c r="V29" s="19">
        <f t="shared" si="48"/>
        <v>-0.13090599999999999</v>
      </c>
      <c r="X29" s="29"/>
    </row>
    <row r="30" spans="1:24">
      <c r="A30" s="26" t="s">
        <v>13</v>
      </c>
      <c r="B30" s="26" t="s">
        <v>46</v>
      </c>
      <c r="C30" s="30">
        <v>10.73</v>
      </c>
      <c r="D30" s="27">
        <v>5.8</v>
      </c>
      <c r="E30" s="28"/>
      <c r="F30" s="16">
        <f t="shared" si="40"/>
        <v>0</v>
      </c>
      <c r="G30" s="17"/>
      <c r="H30" s="18">
        <v>1</v>
      </c>
      <c r="I30" s="19">
        <f t="shared" si="41"/>
        <v>6.2234000000000005E-2</v>
      </c>
      <c r="J30" s="16"/>
      <c r="K30" s="18"/>
      <c r="L30" s="19">
        <f t="shared" si="42"/>
        <v>0</v>
      </c>
      <c r="M30" s="16"/>
      <c r="N30" s="18"/>
      <c r="O30" s="19">
        <f t="shared" si="43"/>
        <v>0</v>
      </c>
      <c r="P30" s="16"/>
      <c r="Q30" s="18"/>
      <c r="R30" s="19">
        <f t="shared" si="44"/>
        <v>0</v>
      </c>
      <c r="S30" s="20">
        <f t="shared" si="45"/>
        <v>1</v>
      </c>
      <c r="T30" s="19">
        <f t="shared" si="46"/>
        <v>6.2234000000000005E-2</v>
      </c>
      <c r="U30" s="21">
        <f t="shared" si="47"/>
        <v>-1</v>
      </c>
      <c r="V30" s="19">
        <f t="shared" si="48"/>
        <v>-6.2234000000000005E-2</v>
      </c>
      <c r="X30" s="29"/>
    </row>
    <row r="31" spans="1:24">
      <c r="A31" s="26" t="s">
        <v>13</v>
      </c>
      <c r="B31" s="26" t="s">
        <v>46</v>
      </c>
      <c r="C31" s="30">
        <v>10.73</v>
      </c>
      <c r="D31" s="27">
        <v>11.7</v>
      </c>
      <c r="E31" s="28"/>
      <c r="F31" s="16">
        <f t="shared" si="40"/>
        <v>0</v>
      </c>
      <c r="G31" s="17"/>
      <c r="H31" s="18">
        <v>1</v>
      </c>
      <c r="I31" s="19">
        <f t="shared" si="41"/>
        <v>0.12554099999999999</v>
      </c>
      <c r="J31" s="16"/>
      <c r="K31" s="18"/>
      <c r="L31" s="19">
        <f t="shared" si="42"/>
        <v>0</v>
      </c>
      <c r="M31" s="16"/>
      <c r="N31" s="18"/>
      <c r="O31" s="19">
        <f t="shared" si="43"/>
        <v>0</v>
      </c>
      <c r="P31" s="16"/>
      <c r="Q31" s="18"/>
      <c r="R31" s="19">
        <f t="shared" si="44"/>
        <v>0</v>
      </c>
      <c r="S31" s="20">
        <f t="shared" si="45"/>
        <v>1</v>
      </c>
      <c r="T31" s="19">
        <f t="shared" si="46"/>
        <v>0.12554099999999999</v>
      </c>
      <c r="U31" s="21">
        <f t="shared" si="47"/>
        <v>-1</v>
      </c>
      <c r="V31" s="19">
        <f t="shared" si="48"/>
        <v>-0.12554099999999999</v>
      </c>
      <c r="X31" s="29"/>
    </row>
    <row r="32" spans="1:24">
      <c r="A32" s="26" t="s">
        <v>13</v>
      </c>
      <c r="B32" s="26" t="s">
        <v>46</v>
      </c>
      <c r="C32" s="30">
        <v>10.73</v>
      </c>
      <c r="D32" s="27">
        <v>11.1</v>
      </c>
      <c r="E32" s="28"/>
      <c r="F32" s="16">
        <f t="shared" si="40"/>
        <v>0</v>
      </c>
      <c r="G32" s="17"/>
      <c r="H32" s="18">
        <v>2</v>
      </c>
      <c r="I32" s="19">
        <f t="shared" si="41"/>
        <v>0.238206</v>
      </c>
      <c r="J32" s="16"/>
      <c r="K32" s="18"/>
      <c r="L32" s="19">
        <f t="shared" si="42"/>
        <v>0</v>
      </c>
      <c r="M32" s="16"/>
      <c r="N32" s="18"/>
      <c r="O32" s="19">
        <f t="shared" si="43"/>
        <v>0</v>
      </c>
      <c r="P32" s="16"/>
      <c r="Q32" s="18"/>
      <c r="R32" s="19">
        <f t="shared" si="44"/>
        <v>0</v>
      </c>
      <c r="S32" s="20">
        <f t="shared" si="45"/>
        <v>2</v>
      </c>
      <c r="T32" s="19">
        <f t="shared" si="46"/>
        <v>0.238206</v>
      </c>
      <c r="U32" s="21">
        <f t="shared" si="47"/>
        <v>-2</v>
      </c>
      <c r="V32" s="19">
        <f t="shared" si="48"/>
        <v>-0.238206</v>
      </c>
      <c r="X32" s="29"/>
    </row>
    <row r="33" spans="1:24">
      <c r="A33" s="26" t="s">
        <v>13</v>
      </c>
      <c r="B33" s="26" t="s">
        <v>46</v>
      </c>
      <c r="C33" s="30">
        <v>10.73</v>
      </c>
      <c r="D33" s="27">
        <v>10.9</v>
      </c>
      <c r="E33" s="28"/>
      <c r="F33" s="16">
        <f t="shared" si="40"/>
        <v>0</v>
      </c>
      <c r="G33" s="17"/>
      <c r="H33" s="18">
        <v>2</v>
      </c>
      <c r="I33" s="19">
        <f t="shared" si="41"/>
        <v>0.23391400000000001</v>
      </c>
      <c r="J33" s="16"/>
      <c r="K33" s="18"/>
      <c r="L33" s="19">
        <f t="shared" si="42"/>
        <v>0</v>
      </c>
      <c r="M33" s="16"/>
      <c r="N33" s="18"/>
      <c r="O33" s="19">
        <f t="shared" si="43"/>
        <v>0</v>
      </c>
      <c r="P33" s="16"/>
      <c r="Q33" s="18"/>
      <c r="R33" s="19">
        <f t="shared" si="44"/>
        <v>0</v>
      </c>
      <c r="S33" s="20">
        <f t="shared" si="45"/>
        <v>2</v>
      </c>
      <c r="T33" s="19">
        <f t="shared" si="46"/>
        <v>0.23391400000000001</v>
      </c>
      <c r="U33" s="21">
        <f t="shared" si="47"/>
        <v>-2</v>
      </c>
      <c r="V33" s="19">
        <f t="shared" si="48"/>
        <v>-0.23391400000000001</v>
      </c>
      <c r="X33" s="29"/>
    </row>
    <row r="34" spans="1:24">
      <c r="A34" s="26" t="s">
        <v>13</v>
      </c>
      <c r="B34" s="26" t="s">
        <v>46</v>
      </c>
      <c r="C34" s="30">
        <v>10.73</v>
      </c>
      <c r="D34" s="27">
        <v>10.4</v>
      </c>
      <c r="E34" s="28"/>
      <c r="F34" s="16">
        <f t="shared" si="40"/>
        <v>0</v>
      </c>
      <c r="G34" s="17"/>
      <c r="H34" s="18">
        <v>3</v>
      </c>
      <c r="I34" s="19">
        <f t="shared" si="41"/>
        <v>0.33477600000000007</v>
      </c>
      <c r="J34" s="16"/>
      <c r="K34" s="18"/>
      <c r="L34" s="19">
        <f t="shared" si="42"/>
        <v>0</v>
      </c>
      <c r="M34" s="16"/>
      <c r="N34" s="18"/>
      <c r="O34" s="19">
        <f t="shared" si="43"/>
        <v>0</v>
      </c>
      <c r="P34" s="16"/>
      <c r="Q34" s="18"/>
      <c r="R34" s="19">
        <f t="shared" si="44"/>
        <v>0</v>
      </c>
      <c r="S34" s="20">
        <f t="shared" si="45"/>
        <v>3</v>
      </c>
      <c r="T34" s="19">
        <f t="shared" si="46"/>
        <v>0.33477600000000007</v>
      </c>
      <c r="U34" s="21">
        <f t="shared" si="47"/>
        <v>-3</v>
      </c>
      <c r="V34" s="19">
        <f t="shared" si="48"/>
        <v>-0.33477600000000007</v>
      </c>
      <c r="X34" s="29"/>
    </row>
    <row r="35" spans="1:24">
      <c r="A35" s="26" t="s">
        <v>13</v>
      </c>
      <c r="B35" s="26" t="s">
        <v>46</v>
      </c>
      <c r="C35" s="30">
        <v>10.73</v>
      </c>
      <c r="D35" s="27">
        <v>9.9</v>
      </c>
      <c r="E35" s="28"/>
      <c r="F35" s="16">
        <f t="shared" si="40"/>
        <v>0</v>
      </c>
      <c r="G35" s="17"/>
      <c r="H35" s="18">
        <v>1</v>
      </c>
      <c r="I35" s="19">
        <f t="shared" si="41"/>
        <v>0.106227</v>
      </c>
      <c r="J35" s="16"/>
      <c r="K35" s="18"/>
      <c r="L35" s="19">
        <f t="shared" si="42"/>
        <v>0</v>
      </c>
      <c r="M35" s="16"/>
      <c r="N35" s="18"/>
      <c r="O35" s="19">
        <f t="shared" si="43"/>
        <v>0</v>
      </c>
      <c r="P35" s="16"/>
      <c r="Q35" s="18"/>
      <c r="R35" s="19">
        <f t="shared" si="44"/>
        <v>0</v>
      </c>
      <c r="S35" s="20">
        <f t="shared" si="45"/>
        <v>1</v>
      </c>
      <c r="T35" s="19">
        <f t="shared" si="46"/>
        <v>0.106227</v>
      </c>
      <c r="U35" s="21">
        <f t="shared" si="47"/>
        <v>-1</v>
      </c>
      <c r="V35" s="19">
        <f t="shared" si="48"/>
        <v>-0.106227</v>
      </c>
      <c r="X35" s="29"/>
    </row>
    <row r="36" spans="1:24">
      <c r="A36" s="26" t="s">
        <v>13</v>
      </c>
      <c r="B36" s="26" t="s">
        <v>46</v>
      </c>
      <c r="C36" s="30">
        <v>10.73</v>
      </c>
      <c r="D36" s="27">
        <v>9.6999999999999993</v>
      </c>
      <c r="E36" s="28"/>
      <c r="F36" s="16">
        <f t="shared" si="40"/>
        <v>0</v>
      </c>
      <c r="G36" s="17"/>
      <c r="H36" s="18">
        <v>4</v>
      </c>
      <c r="I36" s="19">
        <f t="shared" si="41"/>
        <v>0.41632400000000003</v>
      </c>
      <c r="J36" s="16"/>
      <c r="K36" s="18"/>
      <c r="L36" s="19">
        <f t="shared" si="42"/>
        <v>0</v>
      </c>
      <c r="M36" s="16"/>
      <c r="N36" s="18"/>
      <c r="O36" s="19">
        <f t="shared" si="43"/>
        <v>0</v>
      </c>
      <c r="P36" s="16"/>
      <c r="Q36" s="18"/>
      <c r="R36" s="19">
        <f t="shared" si="44"/>
        <v>0</v>
      </c>
      <c r="S36" s="20">
        <f t="shared" si="45"/>
        <v>4</v>
      </c>
      <c r="T36" s="19">
        <f t="shared" si="46"/>
        <v>0.41632400000000003</v>
      </c>
      <c r="U36" s="21">
        <f t="shared" si="47"/>
        <v>-4</v>
      </c>
      <c r="V36" s="19">
        <f t="shared" si="48"/>
        <v>-0.41632400000000003</v>
      </c>
      <c r="X36" s="29"/>
    </row>
    <row r="37" spans="1:24">
      <c r="A37" s="26" t="s">
        <v>13</v>
      </c>
      <c r="B37" s="26" t="s">
        <v>46</v>
      </c>
      <c r="C37" s="30">
        <v>10.73</v>
      </c>
      <c r="D37" s="27">
        <v>9.5</v>
      </c>
      <c r="E37" s="28"/>
      <c r="F37" s="16">
        <f t="shared" si="40"/>
        <v>0</v>
      </c>
      <c r="G37" s="17"/>
      <c r="H37" s="18">
        <v>2</v>
      </c>
      <c r="I37" s="19">
        <f t="shared" si="41"/>
        <v>0.20387</v>
      </c>
      <c r="J37" s="16"/>
      <c r="K37" s="18"/>
      <c r="L37" s="19">
        <f t="shared" si="42"/>
        <v>0</v>
      </c>
      <c r="M37" s="16"/>
      <c r="N37" s="18"/>
      <c r="O37" s="19">
        <f t="shared" si="43"/>
        <v>0</v>
      </c>
      <c r="P37" s="16"/>
      <c r="Q37" s="18"/>
      <c r="R37" s="19">
        <f t="shared" si="44"/>
        <v>0</v>
      </c>
      <c r="S37" s="20">
        <f t="shared" si="45"/>
        <v>2</v>
      </c>
      <c r="T37" s="19">
        <f t="shared" si="46"/>
        <v>0.20387</v>
      </c>
      <c r="U37" s="21">
        <f t="shared" si="47"/>
        <v>-2</v>
      </c>
      <c r="V37" s="19">
        <f t="shared" si="48"/>
        <v>-0.20387</v>
      </c>
      <c r="X37" s="29"/>
    </row>
    <row r="38" spans="1:24">
      <c r="A38" s="26" t="s">
        <v>13</v>
      </c>
      <c r="B38" s="26" t="s">
        <v>46</v>
      </c>
      <c r="C38" s="30">
        <v>10.73</v>
      </c>
      <c r="D38" s="27">
        <v>9.3000000000000007</v>
      </c>
      <c r="E38" s="28"/>
      <c r="F38" s="16">
        <f t="shared" si="40"/>
        <v>0</v>
      </c>
      <c r="G38" s="17"/>
      <c r="H38" s="18">
        <v>1</v>
      </c>
      <c r="I38" s="19">
        <f t="shared" si="41"/>
        <v>9.9789000000000017E-2</v>
      </c>
      <c r="J38" s="16"/>
      <c r="K38" s="18"/>
      <c r="L38" s="19">
        <f t="shared" si="42"/>
        <v>0</v>
      </c>
      <c r="M38" s="16"/>
      <c r="N38" s="18"/>
      <c r="O38" s="19">
        <f t="shared" si="43"/>
        <v>0</v>
      </c>
      <c r="P38" s="16"/>
      <c r="Q38" s="18"/>
      <c r="R38" s="19">
        <f t="shared" si="44"/>
        <v>0</v>
      </c>
      <c r="S38" s="20">
        <f t="shared" si="45"/>
        <v>1</v>
      </c>
      <c r="T38" s="19">
        <f t="shared" si="46"/>
        <v>9.9789000000000017E-2</v>
      </c>
      <c r="U38" s="21">
        <f t="shared" si="47"/>
        <v>-1</v>
      </c>
      <c r="V38" s="19">
        <f t="shared" si="48"/>
        <v>-9.9789000000000017E-2</v>
      </c>
      <c r="X38" s="29"/>
    </row>
    <row r="39" spans="1:24">
      <c r="A39" s="26" t="s">
        <v>13</v>
      </c>
      <c r="B39" s="26" t="s">
        <v>46</v>
      </c>
      <c r="C39" s="30">
        <v>10.73</v>
      </c>
      <c r="D39" s="27">
        <v>9</v>
      </c>
      <c r="E39" s="28"/>
      <c r="F39" s="16">
        <f t="shared" si="40"/>
        <v>0</v>
      </c>
      <c r="G39" s="17"/>
      <c r="H39" s="18">
        <v>1</v>
      </c>
      <c r="I39" s="19">
        <f t="shared" si="41"/>
        <v>9.6570000000000003E-2</v>
      </c>
      <c r="J39" s="16"/>
      <c r="K39" s="18"/>
      <c r="L39" s="19">
        <f t="shared" si="42"/>
        <v>0</v>
      </c>
      <c r="M39" s="16"/>
      <c r="N39" s="18"/>
      <c r="O39" s="19">
        <f t="shared" si="43"/>
        <v>0</v>
      </c>
      <c r="P39" s="16"/>
      <c r="Q39" s="18"/>
      <c r="R39" s="19">
        <f t="shared" si="44"/>
        <v>0</v>
      </c>
      <c r="S39" s="20">
        <f t="shared" si="45"/>
        <v>1</v>
      </c>
      <c r="T39" s="19">
        <f t="shared" si="46"/>
        <v>9.6570000000000003E-2</v>
      </c>
      <c r="U39" s="21">
        <f t="shared" si="47"/>
        <v>-1</v>
      </c>
      <c r="V39" s="19">
        <f t="shared" si="48"/>
        <v>-9.6570000000000003E-2</v>
      </c>
      <c r="X39" s="29"/>
    </row>
    <row r="40" spans="1:24">
      <c r="A40" s="26" t="s">
        <v>13</v>
      </c>
      <c r="B40" s="26" t="s">
        <v>46</v>
      </c>
      <c r="C40" s="30">
        <v>10.73</v>
      </c>
      <c r="D40" s="27"/>
      <c r="E40" s="28"/>
      <c r="F40" s="16">
        <f t="shared" si="40"/>
        <v>0</v>
      </c>
      <c r="G40" s="17"/>
      <c r="H40" s="18"/>
      <c r="I40" s="19">
        <f t="shared" si="41"/>
        <v>0</v>
      </c>
      <c r="J40" s="16"/>
      <c r="K40" s="18"/>
      <c r="L40" s="19">
        <f t="shared" si="42"/>
        <v>0</v>
      </c>
      <c r="M40" s="16"/>
      <c r="N40" s="18"/>
      <c r="O40" s="19">
        <f t="shared" si="43"/>
        <v>0</v>
      </c>
      <c r="P40" s="16"/>
      <c r="Q40" s="18"/>
      <c r="R40" s="19">
        <f t="shared" si="44"/>
        <v>0</v>
      </c>
      <c r="S40" s="20">
        <f t="shared" si="45"/>
        <v>0</v>
      </c>
      <c r="T40" s="19">
        <f t="shared" si="46"/>
        <v>0</v>
      </c>
      <c r="U40" s="21">
        <f t="shared" si="47"/>
        <v>0</v>
      </c>
      <c r="V40" s="19">
        <f t="shared" si="48"/>
        <v>0</v>
      </c>
      <c r="X40" s="29"/>
    </row>
    <row r="41" spans="1:24">
      <c r="A41" s="26" t="s">
        <v>13</v>
      </c>
      <c r="B41" s="26" t="s">
        <v>46</v>
      </c>
      <c r="C41" s="30">
        <v>10.73</v>
      </c>
      <c r="D41" s="27"/>
      <c r="E41" s="28"/>
      <c r="F41" s="16">
        <f t="shared" si="40"/>
        <v>0</v>
      </c>
      <c r="G41" s="17"/>
      <c r="H41" s="18"/>
      <c r="I41" s="19">
        <f t="shared" si="41"/>
        <v>0</v>
      </c>
      <c r="J41" s="16"/>
      <c r="K41" s="18"/>
      <c r="L41" s="19">
        <f t="shared" si="42"/>
        <v>0</v>
      </c>
      <c r="M41" s="16"/>
      <c r="N41" s="18"/>
      <c r="O41" s="19">
        <f t="shared" si="43"/>
        <v>0</v>
      </c>
      <c r="P41" s="16"/>
      <c r="Q41" s="18"/>
      <c r="R41" s="19">
        <f t="shared" si="44"/>
        <v>0</v>
      </c>
      <c r="S41" s="20">
        <f t="shared" si="45"/>
        <v>0</v>
      </c>
      <c r="T41" s="19">
        <f t="shared" si="46"/>
        <v>0</v>
      </c>
      <c r="U41" s="21">
        <f t="shared" si="47"/>
        <v>0</v>
      </c>
      <c r="V41" s="19">
        <f t="shared" si="48"/>
        <v>0</v>
      </c>
      <c r="X41" s="29"/>
    </row>
    <row r="42" spans="1:24">
      <c r="A42" s="26" t="s">
        <v>13</v>
      </c>
      <c r="B42" s="26" t="s">
        <v>46</v>
      </c>
      <c r="C42" s="30">
        <v>10.73</v>
      </c>
      <c r="D42" s="27"/>
      <c r="E42" s="28"/>
      <c r="F42" s="16">
        <f t="shared" si="31"/>
        <v>0</v>
      </c>
      <c r="G42" s="17"/>
      <c r="H42" s="18"/>
      <c r="I42" s="19">
        <f t="shared" si="32"/>
        <v>0</v>
      </c>
      <c r="J42" s="16"/>
      <c r="K42" s="18"/>
      <c r="L42" s="19">
        <f t="shared" si="33"/>
        <v>0</v>
      </c>
      <c r="M42" s="16"/>
      <c r="N42" s="18"/>
      <c r="O42" s="19">
        <f t="shared" si="34"/>
        <v>0</v>
      </c>
      <c r="P42" s="16"/>
      <c r="Q42" s="18"/>
      <c r="R42" s="19">
        <f t="shared" si="35"/>
        <v>0</v>
      </c>
      <c r="S42" s="20">
        <f t="shared" si="36"/>
        <v>0</v>
      </c>
      <c r="T42" s="19">
        <f t="shared" si="37"/>
        <v>0</v>
      </c>
      <c r="U42" s="21">
        <f t="shared" si="38"/>
        <v>0</v>
      </c>
      <c r="V42" s="19">
        <f t="shared" si="39"/>
        <v>0</v>
      </c>
      <c r="X42" s="29"/>
    </row>
    <row r="43" spans="1:24">
      <c r="A43" s="36"/>
      <c r="B43" s="36"/>
      <c r="C43" s="30"/>
      <c r="D43" s="38"/>
      <c r="E43" s="31">
        <f t="shared" ref="E43:F43" si="49">SUM(E22:E42)</f>
        <v>31</v>
      </c>
      <c r="F43" s="38">
        <f t="shared" si="49"/>
        <v>3.4067750000000001</v>
      </c>
      <c r="G43" s="17"/>
      <c r="H43" s="31">
        <f t="shared" ref="H43" si="50">SUM(H22:H42)</f>
        <v>35</v>
      </c>
      <c r="I43" s="38">
        <f t="shared" ref="I43" si="51">SUM(I22:I42)</f>
        <v>3.4614979999999993</v>
      </c>
      <c r="J43" s="16"/>
      <c r="K43" s="31">
        <f t="shared" ref="K43" si="52">SUM(K22:K42)</f>
        <v>0</v>
      </c>
      <c r="L43" s="38">
        <f t="shared" ref="L43" si="53">SUM(L22:L42)</f>
        <v>0</v>
      </c>
      <c r="M43" s="16"/>
      <c r="N43" s="31">
        <f t="shared" ref="N43" si="54">SUM(N22:N42)</f>
        <v>0</v>
      </c>
      <c r="O43" s="38">
        <f t="shared" ref="O43" si="55">SUM(O22:O42)</f>
        <v>0</v>
      </c>
      <c r="P43" s="16"/>
      <c r="Q43" s="31">
        <f t="shared" ref="Q43" si="56">SUM(Q22:Q42)</f>
        <v>0</v>
      </c>
      <c r="R43" s="38">
        <f t="shared" ref="R43" si="57">SUM(R22:R42)</f>
        <v>0</v>
      </c>
      <c r="S43" s="31">
        <f t="shared" ref="S43" si="58">SUM(S22:S42)</f>
        <v>35</v>
      </c>
      <c r="T43" s="38">
        <f t="shared" ref="T43" si="59">SUM(T22:T42)</f>
        <v>3.4614979999999993</v>
      </c>
      <c r="U43" s="31">
        <f t="shared" ref="U43" si="60">SUM(U22:U42)</f>
        <v>-4</v>
      </c>
      <c r="V43" s="38">
        <f t="shared" ref="V43" si="61">SUM(V22:V42)</f>
        <v>-5.4722999999999591E-2</v>
      </c>
      <c r="X43" s="29"/>
    </row>
    <row r="44" spans="1:24">
      <c r="A44" s="26" t="s">
        <v>13</v>
      </c>
      <c r="B44" s="26" t="s">
        <v>61</v>
      </c>
      <c r="C44" s="30">
        <v>12.18</v>
      </c>
      <c r="D44" s="27">
        <v>11.7</v>
      </c>
      <c r="E44" s="28">
        <v>10</v>
      </c>
      <c r="F44" s="16">
        <f>(C44*D44*E44/1000)</f>
        <v>1.42506</v>
      </c>
      <c r="G44" s="17" t="s">
        <v>111</v>
      </c>
      <c r="H44" s="18"/>
      <c r="I44" s="19">
        <f>(C44*D44*H44/1000)</f>
        <v>0</v>
      </c>
      <c r="J44" s="16"/>
      <c r="K44" s="18"/>
      <c r="L44" s="19">
        <f>(C44*D44*K44/1000)</f>
        <v>0</v>
      </c>
      <c r="M44" s="16"/>
      <c r="N44" s="18"/>
      <c r="O44" s="19">
        <f>(C44*D44*N44/1000)</f>
        <v>0</v>
      </c>
      <c r="P44" s="16"/>
      <c r="Q44" s="18"/>
      <c r="R44" s="19">
        <f>(C44*D44*Q44/1000)</f>
        <v>0</v>
      </c>
      <c r="S44" s="20">
        <f>+H44+K44+Q44</f>
        <v>0</v>
      </c>
      <c r="T44" s="19">
        <f>+I44+L44+R44</f>
        <v>0</v>
      </c>
      <c r="U44" s="21">
        <f>E44-S44</f>
        <v>10</v>
      </c>
      <c r="V44" s="19">
        <f>F44-T44</f>
        <v>1.42506</v>
      </c>
      <c r="X44" s="29"/>
    </row>
    <row r="45" spans="1:24">
      <c r="A45" s="26" t="s">
        <v>13</v>
      </c>
      <c r="B45" s="26" t="s">
        <v>61</v>
      </c>
      <c r="C45" s="30">
        <v>12.18</v>
      </c>
      <c r="D45" s="27">
        <v>7</v>
      </c>
      <c r="E45" s="28"/>
      <c r="F45" s="16">
        <f t="shared" ref="F45:F54" si="62">(C45*D45*E45/1000)</f>
        <v>0</v>
      </c>
      <c r="G45" s="17" t="s">
        <v>196</v>
      </c>
      <c r="H45" s="18">
        <v>3</v>
      </c>
      <c r="I45" s="19">
        <f t="shared" ref="I45:I54" si="63">(C45*D45*H45/1000)</f>
        <v>0.25577999999999995</v>
      </c>
      <c r="J45" s="16"/>
      <c r="K45" s="18"/>
      <c r="L45" s="19">
        <f t="shared" ref="L45:L54" si="64">(C45*D45*K45/1000)</f>
        <v>0</v>
      </c>
      <c r="M45" s="16"/>
      <c r="N45" s="18"/>
      <c r="O45" s="19">
        <f t="shared" ref="O45:O54" si="65">(C45*D45*N45/1000)</f>
        <v>0</v>
      </c>
      <c r="P45" s="16"/>
      <c r="Q45" s="18"/>
      <c r="R45" s="19">
        <f t="shared" ref="R45:R54" si="66">(C45*D45*Q45/1000)</f>
        <v>0</v>
      </c>
      <c r="S45" s="20">
        <f t="shared" ref="S45:S54" si="67">+H45+K45+Q45</f>
        <v>3</v>
      </c>
      <c r="T45" s="19">
        <f t="shared" ref="T45:T54" si="68">+I45+L45+R45</f>
        <v>0.25577999999999995</v>
      </c>
      <c r="U45" s="21">
        <f t="shared" ref="U45:U54" si="69">E45-S45</f>
        <v>-3</v>
      </c>
      <c r="V45" s="19">
        <f t="shared" ref="V45:V54" si="70">F45-T45</f>
        <v>-0.25577999999999995</v>
      </c>
      <c r="X45" s="29"/>
    </row>
    <row r="46" spans="1:24">
      <c r="A46" s="26" t="s">
        <v>13</v>
      </c>
      <c r="B46" s="26" t="s">
        <v>61</v>
      </c>
      <c r="C46" s="30">
        <v>12.18</v>
      </c>
      <c r="D46" s="27">
        <v>7.5</v>
      </c>
      <c r="E46" s="28"/>
      <c r="F46" s="16">
        <f t="shared" si="62"/>
        <v>0</v>
      </c>
      <c r="G46" s="17"/>
      <c r="H46" s="18">
        <v>2</v>
      </c>
      <c r="I46" s="19">
        <f t="shared" si="63"/>
        <v>0.1827</v>
      </c>
      <c r="J46" s="16"/>
      <c r="K46" s="18"/>
      <c r="L46" s="19">
        <f t="shared" si="64"/>
        <v>0</v>
      </c>
      <c r="M46" s="16"/>
      <c r="N46" s="18"/>
      <c r="O46" s="19">
        <f t="shared" si="65"/>
        <v>0</v>
      </c>
      <c r="P46" s="16"/>
      <c r="Q46" s="18"/>
      <c r="R46" s="19">
        <f t="shared" si="66"/>
        <v>0</v>
      </c>
      <c r="S46" s="20">
        <f t="shared" si="67"/>
        <v>2</v>
      </c>
      <c r="T46" s="19">
        <f t="shared" si="68"/>
        <v>0.1827</v>
      </c>
      <c r="U46" s="21">
        <f t="shared" si="69"/>
        <v>-2</v>
      </c>
      <c r="V46" s="19">
        <f t="shared" si="70"/>
        <v>-0.1827</v>
      </c>
      <c r="X46" s="29"/>
    </row>
    <row r="47" spans="1:24">
      <c r="A47" s="26" t="s">
        <v>13</v>
      </c>
      <c r="B47" s="26" t="s">
        <v>61</v>
      </c>
      <c r="C47" s="30">
        <v>12.18</v>
      </c>
      <c r="D47" s="27">
        <v>7.25</v>
      </c>
      <c r="E47" s="28"/>
      <c r="F47" s="16">
        <f t="shared" si="62"/>
        <v>0</v>
      </c>
      <c r="G47" s="17"/>
      <c r="H47" s="18">
        <v>1</v>
      </c>
      <c r="I47" s="19">
        <f t="shared" si="63"/>
        <v>8.8304999999999995E-2</v>
      </c>
      <c r="J47" s="16"/>
      <c r="K47" s="18"/>
      <c r="L47" s="19">
        <f t="shared" si="64"/>
        <v>0</v>
      </c>
      <c r="M47" s="16"/>
      <c r="N47" s="18"/>
      <c r="O47" s="19">
        <f t="shared" si="65"/>
        <v>0</v>
      </c>
      <c r="P47" s="16"/>
      <c r="Q47" s="18"/>
      <c r="R47" s="19">
        <f t="shared" si="66"/>
        <v>0</v>
      </c>
      <c r="S47" s="20">
        <f t="shared" si="67"/>
        <v>1</v>
      </c>
      <c r="T47" s="19">
        <f t="shared" si="68"/>
        <v>8.8304999999999995E-2</v>
      </c>
      <c r="U47" s="21">
        <f t="shared" si="69"/>
        <v>-1</v>
      </c>
      <c r="V47" s="19">
        <f t="shared" si="70"/>
        <v>-8.8304999999999995E-2</v>
      </c>
      <c r="X47" s="29"/>
    </row>
    <row r="48" spans="1:24">
      <c r="A48" s="26" t="s">
        <v>13</v>
      </c>
      <c r="B48" s="26" t="s">
        <v>61</v>
      </c>
      <c r="C48" s="30">
        <v>12.18</v>
      </c>
      <c r="D48" s="27">
        <v>8.1</v>
      </c>
      <c r="E48" s="28"/>
      <c r="F48" s="16">
        <f t="shared" si="62"/>
        <v>0</v>
      </c>
      <c r="G48" s="17"/>
      <c r="H48" s="18">
        <v>1</v>
      </c>
      <c r="I48" s="19">
        <f t="shared" si="63"/>
        <v>9.8657999999999982E-2</v>
      </c>
      <c r="J48" s="16"/>
      <c r="K48" s="18"/>
      <c r="L48" s="19">
        <f t="shared" si="64"/>
        <v>0</v>
      </c>
      <c r="M48" s="16"/>
      <c r="N48" s="18"/>
      <c r="O48" s="19">
        <f t="shared" si="65"/>
        <v>0</v>
      </c>
      <c r="P48" s="16"/>
      <c r="Q48" s="18"/>
      <c r="R48" s="19">
        <f t="shared" si="66"/>
        <v>0</v>
      </c>
      <c r="S48" s="20">
        <f t="shared" si="67"/>
        <v>1</v>
      </c>
      <c r="T48" s="19">
        <f t="shared" si="68"/>
        <v>9.8657999999999982E-2</v>
      </c>
      <c r="U48" s="21">
        <f t="shared" si="69"/>
        <v>-1</v>
      </c>
      <c r="V48" s="19">
        <f t="shared" si="70"/>
        <v>-9.8657999999999982E-2</v>
      </c>
      <c r="X48" s="29"/>
    </row>
    <row r="49" spans="1:24">
      <c r="A49" s="26" t="s">
        <v>13</v>
      </c>
      <c r="B49" s="26" t="s">
        <v>61</v>
      </c>
      <c r="C49" s="30">
        <v>12.18</v>
      </c>
      <c r="D49" s="27">
        <v>9.5</v>
      </c>
      <c r="E49" s="28"/>
      <c r="F49" s="16">
        <f t="shared" si="62"/>
        <v>0</v>
      </c>
      <c r="G49" s="17"/>
      <c r="H49" s="18">
        <v>1</v>
      </c>
      <c r="I49" s="19">
        <f t="shared" si="63"/>
        <v>0.11570999999999999</v>
      </c>
      <c r="J49" s="16"/>
      <c r="K49" s="18"/>
      <c r="L49" s="19">
        <f t="shared" si="64"/>
        <v>0</v>
      </c>
      <c r="M49" s="16"/>
      <c r="N49" s="18"/>
      <c r="O49" s="19">
        <f t="shared" si="65"/>
        <v>0</v>
      </c>
      <c r="P49" s="16"/>
      <c r="Q49" s="18"/>
      <c r="R49" s="19">
        <f t="shared" si="66"/>
        <v>0</v>
      </c>
      <c r="S49" s="20">
        <f t="shared" si="67"/>
        <v>1</v>
      </c>
      <c r="T49" s="19">
        <f t="shared" si="68"/>
        <v>0.11570999999999999</v>
      </c>
      <c r="U49" s="21">
        <f t="shared" si="69"/>
        <v>-1</v>
      </c>
      <c r="V49" s="19">
        <f t="shared" si="70"/>
        <v>-0.11570999999999999</v>
      </c>
      <c r="X49" s="29"/>
    </row>
    <row r="50" spans="1:24">
      <c r="A50" s="26" t="s">
        <v>13</v>
      </c>
      <c r="B50" s="26" t="s">
        <v>61</v>
      </c>
      <c r="C50" s="30">
        <v>12.18</v>
      </c>
      <c r="D50" s="27">
        <v>10.25</v>
      </c>
      <c r="E50" s="28"/>
      <c r="F50" s="16">
        <f t="shared" ref="F50:F53" si="71">(C50*D50*E50/1000)</f>
        <v>0</v>
      </c>
      <c r="G50" s="17"/>
      <c r="H50" s="18">
        <v>1</v>
      </c>
      <c r="I50" s="19">
        <f t="shared" ref="I50:I53" si="72">(C50*D50*H50/1000)</f>
        <v>0.124845</v>
      </c>
      <c r="J50" s="16"/>
      <c r="K50" s="18"/>
      <c r="L50" s="19">
        <f t="shared" ref="L50:L53" si="73">(C50*D50*K50/1000)</f>
        <v>0</v>
      </c>
      <c r="M50" s="16"/>
      <c r="N50" s="18"/>
      <c r="O50" s="19">
        <f t="shared" ref="O50:O53" si="74">(C50*D50*N50/1000)</f>
        <v>0</v>
      </c>
      <c r="P50" s="16"/>
      <c r="Q50" s="18"/>
      <c r="R50" s="19">
        <f t="shared" ref="R50:R53" si="75">(C50*D50*Q50/1000)</f>
        <v>0</v>
      </c>
      <c r="S50" s="20">
        <f t="shared" ref="S50:S53" si="76">+H50+K50+Q50</f>
        <v>1</v>
      </c>
      <c r="T50" s="19">
        <f t="shared" ref="T50:T53" si="77">+I50+L50+R50</f>
        <v>0.124845</v>
      </c>
      <c r="U50" s="21">
        <f t="shared" ref="U50:U53" si="78">E50-S50</f>
        <v>-1</v>
      </c>
      <c r="V50" s="19">
        <f t="shared" ref="V50:V53" si="79">F50-T50</f>
        <v>-0.124845</v>
      </c>
      <c r="X50" s="29"/>
    </row>
    <row r="51" spans="1:24">
      <c r="A51" s="26" t="s">
        <v>13</v>
      </c>
      <c r="B51" s="26" t="s">
        <v>61</v>
      </c>
      <c r="C51" s="30">
        <v>12.18</v>
      </c>
      <c r="D51" s="27">
        <v>9</v>
      </c>
      <c r="E51" s="28"/>
      <c r="F51" s="16">
        <f t="shared" si="71"/>
        <v>0</v>
      </c>
      <c r="G51" s="17"/>
      <c r="H51" s="18">
        <v>5</v>
      </c>
      <c r="I51" s="19">
        <f t="shared" si="72"/>
        <v>0.54810000000000003</v>
      </c>
      <c r="J51" s="16"/>
      <c r="K51" s="18"/>
      <c r="L51" s="19">
        <f t="shared" si="73"/>
        <v>0</v>
      </c>
      <c r="M51" s="16"/>
      <c r="N51" s="18"/>
      <c r="O51" s="19">
        <f t="shared" si="74"/>
        <v>0</v>
      </c>
      <c r="P51" s="16"/>
      <c r="Q51" s="18"/>
      <c r="R51" s="19">
        <f t="shared" si="75"/>
        <v>0</v>
      </c>
      <c r="S51" s="20">
        <f t="shared" si="76"/>
        <v>5</v>
      </c>
      <c r="T51" s="19">
        <f t="shared" si="77"/>
        <v>0.54810000000000003</v>
      </c>
      <c r="U51" s="21">
        <f t="shared" si="78"/>
        <v>-5</v>
      </c>
      <c r="V51" s="19">
        <f t="shared" si="79"/>
        <v>-0.54810000000000003</v>
      </c>
      <c r="X51" s="29"/>
    </row>
    <row r="52" spans="1:24">
      <c r="A52" s="26" t="s">
        <v>13</v>
      </c>
      <c r="B52" s="26" t="s">
        <v>61</v>
      </c>
      <c r="C52" s="30">
        <v>12.18</v>
      </c>
      <c r="D52" s="27">
        <v>7.9</v>
      </c>
      <c r="E52" s="28"/>
      <c r="F52" s="16">
        <f t="shared" si="71"/>
        <v>0</v>
      </c>
      <c r="G52" s="17"/>
      <c r="H52" s="18">
        <v>2</v>
      </c>
      <c r="I52" s="19">
        <f t="shared" si="72"/>
        <v>0.192444</v>
      </c>
      <c r="J52" s="16"/>
      <c r="K52" s="18"/>
      <c r="L52" s="19">
        <f t="shared" si="73"/>
        <v>0</v>
      </c>
      <c r="M52" s="16"/>
      <c r="N52" s="18"/>
      <c r="O52" s="19">
        <f t="shared" si="74"/>
        <v>0</v>
      </c>
      <c r="P52" s="16"/>
      <c r="Q52" s="18"/>
      <c r="R52" s="19">
        <f t="shared" si="75"/>
        <v>0</v>
      </c>
      <c r="S52" s="20">
        <f t="shared" si="76"/>
        <v>2</v>
      </c>
      <c r="T52" s="19">
        <f t="shared" si="77"/>
        <v>0.192444</v>
      </c>
      <c r="U52" s="21">
        <f t="shared" si="78"/>
        <v>-2</v>
      </c>
      <c r="V52" s="19">
        <f t="shared" si="79"/>
        <v>-0.192444</v>
      </c>
      <c r="X52" s="29"/>
    </row>
    <row r="53" spans="1:24">
      <c r="A53" s="26" t="s">
        <v>13</v>
      </c>
      <c r="B53" s="26" t="s">
        <v>61</v>
      </c>
      <c r="C53" s="30">
        <v>12.18</v>
      </c>
      <c r="D53" s="27">
        <v>7.8</v>
      </c>
      <c r="E53" s="28"/>
      <c r="F53" s="16">
        <f t="shared" si="71"/>
        <v>0</v>
      </c>
      <c r="G53" s="17"/>
      <c r="H53" s="18">
        <v>1</v>
      </c>
      <c r="I53" s="19">
        <f t="shared" si="72"/>
        <v>9.5003999999999991E-2</v>
      </c>
      <c r="J53" s="16"/>
      <c r="K53" s="18"/>
      <c r="L53" s="19">
        <f t="shared" si="73"/>
        <v>0</v>
      </c>
      <c r="M53" s="16"/>
      <c r="N53" s="18"/>
      <c r="O53" s="19">
        <f t="shared" si="74"/>
        <v>0</v>
      </c>
      <c r="P53" s="16"/>
      <c r="Q53" s="18"/>
      <c r="R53" s="19">
        <f t="shared" si="75"/>
        <v>0</v>
      </c>
      <c r="S53" s="20">
        <f t="shared" si="76"/>
        <v>1</v>
      </c>
      <c r="T53" s="19">
        <f t="shared" si="77"/>
        <v>9.5003999999999991E-2</v>
      </c>
      <c r="U53" s="21">
        <f t="shared" si="78"/>
        <v>-1</v>
      </c>
      <c r="V53" s="19">
        <f t="shared" si="79"/>
        <v>-9.5003999999999991E-2</v>
      </c>
      <c r="X53" s="29"/>
    </row>
    <row r="54" spans="1:24">
      <c r="A54" s="26" t="s">
        <v>13</v>
      </c>
      <c r="B54" s="26" t="s">
        <v>61</v>
      </c>
      <c r="C54" s="30">
        <v>12.18</v>
      </c>
      <c r="D54" s="27">
        <v>5.7</v>
      </c>
      <c r="E54" s="28"/>
      <c r="F54" s="16">
        <f t="shared" si="62"/>
        <v>0</v>
      </c>
      <c r="G54" s="17"/>
      <c r="H54" s="18">
        <v>1</v>
      </c>
      <c r="I54" s="19">
        <f t="shared" si="63"/>
        <v>6.9426000000000002E-2</v>
      </c>
      <c r="J54" s="16"/>
      <c r="K54" s="18"/>
      <c r="L54" s="19">
        <f t="shared" si="64"/>
        <v>0</v>
      </c>
      <c r="M54" s="16"/>
      <c r="N54" s="18"/>
      <c r="O54" s="19">
        <f t="shared" si="65"/>
        <v>0</v>
      </c>
      <c r="P54" s="16"/>
      <c r="Q54" s="18"/>
      <c r="R54" s="19">
        <f t="shared" si="66"/>
        <v>0</v>
      </c>
      <c r="S54" s="20">
        <f t="shared" si="67"/>
        <v>1</v>
      </c>
      <c r="T54" s="19">
        <f t="shared" si="68"/>
        <v>6.9426000000000002E-2</v>
      </c>
      <c r="U54" s="21">
        <f t="shared" si="69"/>
        <v>-1</v>
      </c>
      <c r="V54" s="19">
        <f t="shared" si="70"/>
        <v>-6.9426000000000002E-2</v>
      </c>
      <c r="X54" s="29"/>
    </row>
    <row r="55" spans="1:24">
      <c r="A55" s="36"/>
      <c r="B55" s="36"/>
      <c r="C55" s="30"/>
      <c r="D55" s="38"/>
      <c r="E55" s="31">
        <f t="shared" ref="E55:F55" si="80">SUM(E44:E54)</f>
        <v>10</v>
      </c>
      <c r="F55" s="38">
        <f t="shared" si="80"/>
        <v>1.42506</v>
      </c>
      <c r="G55" s="17"/>
      <c r="H55" s="31">
        <f t="shared" ref="H55" si="81">SUM(H44:H54)</f>
        <v>18</v>
      </c>
      <c r="I55" s="38">
        <f t="shared" ref="I55" si="82">SUM(I44:I54)</f>
        <v>1.7709720000000002</v>
      </c>
      <c r="J55" s="16"/>
      <c r="K55" s="31">
        <f t="shared" ref="K55" si="83">SUM(K44:K54)</f>
        <v>0</v>
      </c>
      <c r="L55" s="38">
        <f t="shared" ref="L55" si="84">SUM(L44:L54)</f>
        <v>0</v>
      </c>
      <c r="M55" s="16"/>
      <c r="N55" s="31">
        <f t="shared" ref="N55" si="85">SUM(N44:N54)</f>
        <v>0</v>
      </c>
      <c r="O55" s="38">
        <f t="shared" ref="O55" si="86">SUM(O44:O54)</f>
        <v>0</v>
      </c>
      <c r="P55" s="16"/>
      <c r="Q55" s="31">
        <f t="shared" ref="Q55" si="87">SUM(Q44:Q54)</f>
        <v>0</v>
      </c>
      <c r="R55" s="38">
        <f t="shared" ref="R55" si="88">SUM(R44:R54)</f>
        <v>0</v>
      </c>
      <c r="S55" s="31">
        <f t="shared" ref="S55" si="89">SUM(S44:S54)</f>
        <v>18</v>
      </c>
      <c r="T55" s="38">
        <f t="shared" ref="T55" si="90">SUM(T44:T54)</f>
        <v>1.7709720000000002</v>
      </c>
      <c r="U55" s="31">
        <f t="shared" ref="U55" si="91">SUM(U44:U54)</f>
        <v>-8</v>
      </c>
      <c r="V55" s="38">
        <f t="shared" ref="V55" si="92">SUM(V44:V54)</f>
        <v>-0.34591199999999983</v>
      </c>
      <c r="X55" s="29"/>
    </row>
    <row r="56" spans="1:24">
      <c r="A56" s="26" t="s">
        <v>13</v>
      </c>
      <c r="B56" s="26" t="s">
        <v>31</v>
      </c>
      <c r="C56" s="30">
        <v>10.199999999999999</v>
      </c>
      <c r="D56" s="27">
        <v>7.4</v>
      </c>
      <c r="E56" s="28">
        <v>4</v>
      </c>
      <c r="F56" s="16">
        <f>(C56*D56*E56/1000)</f>
        <v>0.30192000000000002</v>
      </c>
      <c r="G56" s="17" t="s">
        <v>111</v>
      </c>
      <c r="H56" s="18"/>
      <c r="I56" s="19">
        <f>(C56*D56*H56/1000)</f>
        <v>0</v>
      </c>
      <c r="J56" s="16"/>
      <c r="K56" s="18"/>
      <c r="L56" s="19">
        <f>(C56*D56*K56/1000)</f>
        <v>0</v>
      </c>
      <c r="M56" s="16"/>
      <c r="N56" s="18"/>
      <c r="O56" s="19">
        <f>(C56*D56*N56/1000)</f>
        <v>0</v>
      </c>
      <c r="P56" s="16"/>
      <c r="Q56" s="18"/>
      <c r="R56" s="19">
        <f>(C56*D56*Q56/1000)</f>
        <v>0</v>
      </c>
      <c r="S56" s="20">
        <f>+H56+K56+Q56</f>
        <v>0</v>
      </c>
      <c r="T56" s="19">
        <f>+I56+L56+R56</f>
        <v>0</v>
      </c>
      <c r="U56" s="21">
        <f>E56-S56</f>
        <v>4</v>
      </c>
      <c r="V56" s="19">
        <f>F56-T56</f>
        <v>0.30192000000000002</v>
      </c>
      <c r="X56" s="29"/>
    </row>
    <row r="57" spans="1:24">
      <c r="A57" s="26" t="s">
        <v>13</v>
      </c>
      <c r="B57" s="26" t="s">
        <v>31</v>
      </c>
      <c r="C57" s="30">
        <v>10.199999999999999</v>
      </c>
      <c r="D57" s="27">
        <v>9.5</v>
      </c>
      <c r="E57" s="28"/>
      <c r="F57" s="16">
        <f t="shared" ref="F57:F59" si="93">(C57*D57*E57/1000)</f>
        <v>0</v>
      </c>
      <c r="G57" s="17" t="s">
        <v>179</v>
      </c>
      <c r="H57" s="18">
        <v>1</v>
      </c>
      <c r="I57" s="19">
        <f t="shared" ref="I57:I59" si="94">(C57*D57*H57/1000)</f>
        <v>9.6899999999999986E-2</v>
      </c>
      <c r="J57" s="16"/>
      <c r="K57" s="18"/>
      <c r="L57" s="19">
        <f t="shared" ref="L57:L59" si="95">(C57*D57*K57/1000)</f>
        <v>0</v>
      </c>
      <c r="M57" s="16"/>
      <c r="N57" s="18"/>
      <c r="O57" s="19">
        <f t="shared" ref="O57:O59" si="96">(C57*D57*N57/1000)</f>
        <v>0</v>
      </c>
      <c r="P57" s="16"/>
      <c r="Q57" s="18"/>
      <c r="R57" s="19">
        <f t="shared" ref="R57:R59" si="97">(C57*D57*Q57/1000)</f>
        <v>0</v>
      </c>
      <c r="S57" s="20">
        <f t="shared" ref="S57:S59" si="98">+H57+K57+Q57</f>
        <v>1</v>
      </c>
      <c r="T57" s="19">
        <f t="shared" ref="T57:T59" si="99">+I57+L57+R57</f>
        <v>9.6899999999999986E-2</v>
      </c>
      <c r="U57" s="21">
        <f t="shared" ref="U57:U59" si="100">E57-S57</f>
        <v>-1</v>
      </c>
      <c r="V57" s="19">
        <f t="shared" ref="V57:V59" si="101">F57-T57</f>
        <v>-9.6899999999999986E-2</v>
      </c>
      <c r="X57" s="29"/>
    </row>
    <row r="58" spans="1:24">
      <c r="A58" s="26" t="s">
        <v>13</v>
      </c>
      <c r="B58" s="26" t="s">
        <v>31</v>
      </c>
      <c r="C58" s="30">
        <v>10.199999999999999</v>
      </c>
      <c r="D58" s="27">
        <v>10</v>
      </c>
      <c r="E58" s="28"/>
      <c r="F58" s="16">
        <f t="shared" si="93"/>
        <v>0</v>
      </c>
      <c r="G58" s="17"/>
      <c r="H58" s="18">
        <v>1</v>
      </c>
      <c r="I58" s="19">
        <f t="shared" si="94"/>
        <v>0.10199999999999999</v>
      </c>
      <c r="J58" s="16"/>
      <c r="K58" s="18"/>
      <c r="L58" s="19">
        <f t="shared" si="95"/>
        <v>0</v>
      </c>
      <c r="M58" s="16"/>
      <c r="N58" s="18"/>
      <c r="O58" s="19">
        <f t="shared" si="96"/>
        <v>0</v>
      </c>
      <c r="P58" s="16"/>
      <c r="Q58" s="18"/>
      <c r="R58" s="19">
        <f t="shared" si="97"/>
        <v>0</v>
      </c>
      <c r="S58" s="20">
        <f t="shared" si="98"/>
        <v>1</v>
      </c>
      <c r="T58" s="19">
        <f t="shared" si="99"/>
        <v>0.10199999999999999</v>
      </c>
      <c r="U58" s="21">
        <f t="shared" si="100"/>
        <v>-1</v>
      </c>
      <c r="V58" s="19">
        <f t="shared" si="101"/>
        <v>-0.10199999999999999</v>
      </c>
      <c r="X58" s="29"/>
    </row>
    <row r="59" spans="1:24">
      <c r="A59" s="26" t="s">
        <v>13</v>
      </c>
      <c r="B59" s="26" t="s">
        <v>31</v>
      </c>
      <c r="C59" s="30">
        <v>10.199999999999999</v>
      </c>
      <c r="D59" s="27">
        <v>10.15</v>
      </c>
      <c r="E59" s="28"/>
      <c r="F59" s="16">
        <f t="shared" si="93"/>
        <v>0</v>
      </c>
      <c r="G59" s="17"/>
      <c r="H59" s="18">
        <v>2</v>
      </c>
      <c r="I59" s="19">
        <f t="shared" si="94"/>
        <v>0.20705999999999999</v>
      </c>
      <c r="J59" s="16"/>
      <c r="K59" s="18"/>
      <c r="L59" s="19">
        <f t="shared" si="95"/>
        <v>0</v>
      </c>
      <c r="M59" s="16"/>
      <c r="N59" s="18"/>
      <c r="O59" s="19">
        <f t="shared" si="96"/>
        <v>0</v>
      </c>
      <c r="P59" s="16"/>
      <c r="Q59" s="18"/>
      <c r="R59" s="19">
        <f t="shared" si="97"/>
        <v>0</v>
      </c>
      <c r="S59" s="20">
        <f t="shared" si="98"/>
        <v>2</v>
      </c>
      <c r="T59" s="19">
        <f t="shared" si="99"/>
        <v>0.20705999999999999</v>
      </c>
      <c r="U59" s="21">
        <f t="shared" si="100"/>
        <v>-2</v>
      </c>
      <c r="V59" s="19">
        <f t="shared" si="101"/>
        <v>-0.20705999999999999</v>
      </c>
      <c r="X59" s="29"/>
    </row>
    <row r="60" spans="1:24">
      <c r="A60" s="36"/>
      <c r="B60" s="36"/>
      <c r="C60" s="30"/>
      <c r="D60" s="38"/>
      <c r="E60" s="31">
        <f t="shared" ref="E60:F60" si="102">SUM(E56:E59)</f>
        <v>4</v>
      </c>
      <c r="F60" s="38">
        <f t="shared" si="102"/>
        <v>0.30192000000000002</v>
      </c>
      <c r="G60" s="17"/>
      <c r="H60" s="31">
        <f t="shared" ref="H60" si="103">SUM(H56:H59)</f>
        <v>4</v>
      </c>
      <c r="I60" s="38">
        <f t="shared" ref="I60" si="104">SUM(I56:I59)</f>
        <v>0.40595999999999999</v>
      </c>
      <c r="J60" s="16"/>
      <c r="K60" s="31">
        <f t="shared" ref="K60" si="105">SUM(K56:K59)</f>
        <v>0</v>
      </c>
      <c r="L60" s="38">
        <f t="shared" ref="L60" si="106">SUM(L56:L59)</f>
        <v>0</v>
      </c>
      <c r="M60" s="16"/>
      <c r="N60" s="31">
        <f t="shared" ref="N60" si="107">SUM(N56:N59)</f>
        <v>0</v>
      </c>
      <c r="O60" s="38">
        <f t="shared" ref="O60" si="108">SUM(O56:O59)</f>
        <v>0</v>
      </c>
      <c r="P60" s="16"/>
      <c r="Q60" s="31">
        <f t="shared" ref="Q60" si="109">SUM(Q56:Q59)</f>
        <v>0</v>
      </c>
      <c r="R60" s="38">
        <f t="shared" ref="R60" si="110">SUM(R56:R59)</f>
        <v>0</v>
      </c>
      <c r="S60" s="31">
        <f t="shared" ref="S60" si="111">SUM(S56:S59)</f>
        <v>4</v>
      </c>
      <c r="T60" s="38">
        <f t="shared" ref="T60" si="112">SUM(T56:T59)</f>
        <v>0.40595999999999999</v>
      </c>
      <c r="U60" s="31">
        <f t="shared" ref="U60" si="113">SUM(U56:U59)</f>
        <v>0</v>
      </c>
      <c r="V60" s="38">
        <f t="shared" ref="V60" si="114">SUM(V56:V59)</f>
        <v>-0.10403999999999995</v>
      </c>
      <c r="X60" s="29"/>
    </row>
    <row r="61" spans="1:24">
      <c r="A61" s="26" t="s">
        <v>13</v>
      </c>
      <c r="B61" s="26" t="s">
        <v>32</v>
      </c>
      <c r="C61" s="30">
        <v>11.8</v>
      </c>
      <c r="D61" s="27">
        <v>11.2</v>
      </c>
      <c r="E61" s="28">
        <v>8</v>
      </c>
      <c r="F61" s="16">
        <f>(C61*D61*E61/1000)</f>
        <v>1.05728</v>
      </c>
      <c r="G61" s="17" t="s">
        <v>111</v>
      </c>
      <c r="H61" s="18"/>
      <c r="I61" s="19">
        <f>(C61*D61*H61/1000)</f>
        <v>0</v>
      </c>
      <c r="J61" s="16"/>
      <c r="K61" s="18"/>
      <c r="L61" s="19">
        <f>(C61*D61*K61/1000)</f>
        <v>0</v>
      </c>
      <c r="M61" s="16"/>
      <c r="N61" s="18"/>
      <c r="O61" s="19">
        <f>(C61*D61*N61/1000)</f>
        <v>0</v>
      </c>
      <c r="P61" s="16"/>
      <c r="Q61" s="18"/>
      <c r="R61" s="19">
        <f>(C61*D61*Q61/1000)</f>
        <v>0</v>
      </c>
      <c r="S61" s="20">
        <f>+H61+K61+Q61</f>
        <v>0</v>
      </c>
      <c r="T61" s="19">
        <f>+I61+L61+R61</f>
        <v>0</v>
      </c>
      <c r="U61" s="21">
        <f>E61-S61</f>
        <v>8</v>
      </c>
      <c r="V61" s="19">
        <f>F61-T61</f>
        <v>1.05728</v>
      </c>
      <c r="X61" s="29"/>
    </row>
    <row r="62" spans="1:24">
      <c r="A62" s="26" t="s">
        <v>13</v>
      </c>
      <c r="B62" s="26" t="s">
        <v>32</v>
      </c>
      <c r="C62" s="30">
        <v>11.8</v>
      </c>
      <c r="D62" s="27">
        <v>7.25</v>
      </c>
      <c r="E62" s="28"/>
      <c r="F62" s="16">
        <f t="shared" ref="F62:F65" si="115">(C62*D62*E62/1000)</f>
        <v>0</v>
      </c>
      <c r="G62" s="17" t="s">
        <v>179</v>
      </c>
      <c r="H62" s="18">
        <v>10</v>
      </c>
      <c r="I62" s="19">
        <f t="shared" ref="I62:I65" si="116">(C62*D62*H62/1000)</f>
        <v>0.85550000000000015</v>
      </c>
      <c r="J62" s="16"/>
      <c r="K62" s="18"/>
      <c r="L62" s="19">
        <f t="shared" ref="L62:L65" si="117">(C62*D62*K62/1000)</f>
        <v>0</v>
      </c>
      <c r="M62" s="16"/>
      <c r="N62" s="18"/>
      <c r="O62" s="19">
        <f t="shared" ref="O62:O65" si="118">(C62*D62*N62/1000)</f>
        <v>0</v>
      </c>
      <c r="P62" s="16"/>
      <c r="Q62" s="18"/>
      <c r="R62" s="19">
        <f t="shared" ref="R62:R65" si="119">(C62*D62*Q62/1000)</f>
        <v>0</v>
      </c>
      <c r="S62" s="20">
        <f t="shared" ref="S62:S65" si="120">+H62+K62+Q62</f>
        <v>10</v>
      </c>
      <c r="T62" s="19">
        <f t="shared" ref="T62:T65" si="121">+I62+L62+R62</f>
        <v>0.85550000000000015</v>
      </c>
      <c r="U62" s="21">
        <f t="shared" ref="U62:U65" si="122">E62-S62</f>
        <v>-10</v>
      </c>
      <c r="V62" s="19">
        <f t="shared" ref="V62:V65" si="123">F62-T62</f>
        <v>-0.85550000000000015</v>
      </c>
      <c r="X62" s="29"/>
    </row>
    <row r="63" spans="1:24">
      <c r="A63" s="26" t="s">
        <v>13</v>
      </c>
      <c r="B63" s="26" t="s">
        <v>32</v>
      </c>
      <c r="C63" s="30">
        <v>11.8</v>
      </c>
      <c r="D63" s="27">
        <v>12</v>
      </c>
      <c r="E63" s="28"/>
      <c r="F63" s="16">
        <f t="shared" si="115"/>
        <v>0</v>
      </c>
      <c r="G63" s="17"/>
      <c r="H63" s="18">
        <v>4</v>
      </c>
      <c r="I63" s="19">
        <f t="shared" si="116"/>
        <v>0.56640000000000013</v>
      </c>
      <c r="J63" s="16"/>
      <c r="K63" s="18"/>
      <c r="L63" s="19">
        <f t="shared" si="117"/>
        <v>0</v>
      </c>
      <c r="M63" s="16"/>
      <c r="N63" s="18"/>
      <c r="O63" s="19">
        <f t="shared" si="118"/>
        <v>0</v>
      </c>
      <c r="P63" s="16"/>
      <c r="Q63" s="18"/>
      <c r="R63" s="19">
        <f t="shared" si="119"/>
        <v>0</v>
      </c>
      <c r="S63" s="20">
        <f t="shared" si="120"/>
        <v>4</v>
      </c>
      <c r="T63" s="19">
        <f t="shared" si="121"/>
        <v>0.56640000000000013</v>
      </c>
      <c r="U63" s="21">
        <f t="shared" si="122"/>
        <v>-4</v>
      </c>
      <c r="V63" s="19">
        <f t="shared" si="123"/>
        <v>-0.56640000000000013</v>
      </c>
      <c r="X63" s="29"/>
    </row>
    <row r="64" spans="1:24">
      <c r="A64" s="26" t="s">
        <v>13</v>
      </c>
      <c r="B64" s="26" t="s">
        <v>32</v>
      </c>
      <c r="C64" s="30">
        <v>11.8</v>
      </c>
      <c r="D64" s="27"/>
      <c r="E64" s="28"/>
      <c r="F64" s="16">
        <f t="shared" si="115"/>
        <v>0</v>
      </c>
      <c r="G64" s="17"/>
      <c r="H64" s="18"/>
      <c r="I64" s="19">
        <f t="shared" si="116"/>
        <v>0</v>
      </c>
      <c r="J64" s="16"/>
      <c r="K64" s="18"/>
      <c r="L64" s="19">
        <f t="shared" si="117"/>
        <v>0</v>
      </c>
      <c r="M64" s="16"/>
      <c r="N64" s="18"/>
      <c r="O64" s="19">
        <f t="shared" si="118"/>
        <v>0</v>
      </c>
      <c r="P64" s="16"/>
      <c r="Q64" s="18"/>
      <c r="R64" s="19">
        <f t="shared" si="119"/>
        <v>0</v>
      </c>
      <c r="S64" s="20">
        <f t="shared" si="120"/>
        <v>0</v>
      </c>
      <c r="T64" s="19">
        <f t="shared" si="121"/>
        <v>0</v>
      </c>
      <c r="U64" s="21">
        <f t="shared" si="122"/>
        <v>0</v>
      </c>
      <c r="V64" s="19">
        <f t="shared" si="123"/>
        <v>0</v>
      </c>
      <c r="X64" s="29"/>
    </row>
    <row r="65" spans="1:24">
      <c r="A65" s="26" t="s">
        <v>13</v>
      </c>
      <c r="B65" s="26" t="s">
        <v>32</v>
      </c>
      <c r="C65" s="30">
        <v>11.8</v>
      </c>
      <c r="D65" s="27"/>
      <c r="E65" s="28"/>
      <c r="F65" s="16">
        <f t="shared" si="115"/>
        <v>0</v>
      </c>
      <c r="G65" s="17"/>
      <c r="H65" s="18"/>
      <c r="I65" s="19">
        <f t="shared" si="116"/>
        <v>0</v>
      </c>
      <c r="J65" s="16"/>
      <c r="K65" s="18"/>
      <c r="L65" s="19">
        <f t="shared" si="117"/>
        <v>0</v>
      </c>
      <c r="M65" s="16"/>
      <c r="N65" s="18"/>
      <c r="O65" s="19">
        <f t="shared" si="118"/>
        <v>0</v>
      </c>
      <c r="P65" s="16"/>
      <c r="Q65" s="18"/>
      <c r="R65" s="19">
        <f t="shared" si="119"/>
        <v>0</v>
      </c>
      <c r="S65" s="20">
        <f t="shared" si="120"/>
        <v>0</v>
      </c>
      <c r="T65" s="19">
        <f t="shared" si="121"/>
        <v>0</v>
      </c>
      <c r="U65" s="21">
        <f t="shared" si="122"/>
        <v>0</v>
      </c>
      <c r="V65" s="19">
        <f t="shared" si="123"/>
        <v>0</v>
      </c>
      <c r="X65" s="29"/>
    </row>
    <row r="66" spans="1:24">
      <c r="A66" s="36"/>
      <c r="B66" s="36"/>
      <c r="C66" s="30"/>
      <c r="D66" s="38"/>
      <c r="E66" s="31">
        <f t="shared" ref="E66:F66" si="124">SUM(E61:E65)</f>
        <v>8</v>
      </c>
      <c r="F66" s="38">
        <f t="shared" si="124"/>
        <v>1.05728</v>
      </c>
      <c r="G66" s="17"/>
      <c r="H66" s="31">
        <f t="shared" ref="H66" si="125">SUM(H61:H65)</f>
        <v>14</v>
      </c>
      <c r="I66" s="38">
        <f t="shared" ref="I66" si="126">SUM(I61:I65)</f>
        <v>1.4219000000000004</v>
      </c>
      <c r="J66" s="16"/>
      <c r="K66" s="31">
        <f t="shared" ref="K66" si="127">SUM(K61:K65)</f>
        <v>0</v>
      </c>
      <c r="L66" s="38">
        <f t="shared" ref="L66" si="128">SUM(L61:L65)</f>
        <v>0</v>
      </c>
      <c r="M66" s="16"/>
      <c r="N66" s="31">
        <f t="shared" ref="N66" si="129">SUM(N61:N65)</f>
        <v>0</v>
      </c>
      <c r="O66" s="38">
        <f t="shared" ref="O66" si="130">SUM(O61:O65)</f>
        <v>0</v>
      </c>
      <c r="P66" s="16"/>
      <c r="Q66" s="31">
        <f t="shared" ref="Q66" si="131">SUM(Q61:Q65)</f>
        <v>0</v>
      </c>
      <c r="R66" s="38">
        <f t="shared" ref="R66" si="132">SUM(R61:R65)</f>
        <v>0</v>
      </c>
      <c r="S66" s="31">
        <f t="shared" ref="S66" si="133">SUM(S61:S65)</f>
        <v>14</v>
      </c>
      <c r="T66" s="38">
        <f t="shared" ref="T66" si="134">SUM(T61:T65)</f>
        <v>1.4219000000000004</v>
      </c>
      <c r="U66" s="31">
        <f t="shared" ref="U66" si="135">SUM(U61:U65)</f>
        <v>-6</v>
      </c>
      <c r="V66" s="38">
        <f t="shared" ref="V66" si="136">SUM(V61:V65)</f>
        <v>-0.36462000000000028</v>
      </c>
      <c r="X66" s="29"/>
    </row>
    <row r="67" spans="1:24">
      <c r="A67" s="26" t="s">
        <v>13</v>
      </c>
      <c r="B67" s="26" t="s">
        <v>25</v>
      </c>
      <c r="C67" s="30">
        <v>13.4</v>
      </c>
      <c r="D67" s="27">
        <v>7.6</v>
      </c>
      <c r="E67" s="28">
        <v>22</v>
      </c>
      <c r="F67" s="16">
        <f t="shared" ref="F67:F71" si="137">(C67*D67*E67/1000)</f>
        <v>2.2404799999999998</v>
      </c>
      <c r="G67" s="17" t="s">
        <v>88</v>
      </c>
      <c r="H67" s="18">
        <v>13</v>
      </c>
      <c r="I67" s="19">
        <f t="shared" ref="I67:I71" si="138">(C67*D67*H67/1000)</f>
        <v>1.32392</v>
      </c>
      <c r="J67" s="17" t="s">
        <v>88</v>
      </c>
      <c r="K67" s="18"/>
      <c r="L67" s="19">
        <f t="shared" ref="L67:L71" si="139">(C67*D67*K67/1000)</f>
        <v>0</v>
      </c>
      <c r="M67" s="16" t="s">
        <v>89</v>
      </c>
      <c r="N67" s="18"/>
      <c r="O67" s="19">
        <f t="shared" ref="O67:O71" si="140">(C67*D67*N67/1000)</f>
        <v>0</v>
      </c>
      <c r="P67" s="16"/>
      <c r="Q67" s="18"/>
      <c r="R67" s="19">
        <f t="shared" ref="R67:R71" si="141">(C67*D67*Q67/1000)</f>
        <v>0</v>
      </c>
      <c r="S67" s="20">
        <f t="shared" ref="S67:S71" si="142">+H67+K67+Q67</f>
        <v>13</v>
      </c>
      <c r="T67" s="19">
        <f t="shared" ref="T67:T71" si="143">+I67+L67+R67</f>
        <v>1.32392</v>
      </c>
      <c r="U67" s="21">
        <f t="shared" ref="U67:U71" si="144">E67-S67</f>
        <v>9</v>
      </c>
      <c r="V67" s="19">
        <f t="shared" ref="V67:V71" si="145">F67-T67</f>
        <v>0.91655999999999982</v>
      </c>
      <c r="X67" s="29"/>
    </row>
    <row r="68" spans="1:24">
      <c r="A68" s="26" t="s">
        <v>13</v>
      </c>
      <c r="B68" s="26" t="s">
        <v>25</v>
      </c>
      <c r="C68" s="30">
        <v>13.4</v>
      </c>
      <c r="D68" s="27">
        <v>12</v>
      </c>
      <c r="E68" s="28">
        <v>16</v>
      </c>
      <c r="F68" s="16">
        <f t="shared" ref="F68:F70" si="146">(C68*D68*E68/1000)</f>
        <v>2.5728</v>
      </c>
      <c r="G68" s="17" t="s">
        <v>170</v>
      </c>
      <c r="H68" s="18">
        <v>9</v>
      </c>
      <c r="I68" s="19">
        <f t="shared" ref="I68:I70" si="147">(C68*D68*H68/1000)</f>
        <v>1.4472</v>
      </c>
      <c r="J68" s="17" t="s">
        <v>175</v>
      </c>
      <c r="K68" s="18">
        <v>5</v>
      </c>
      <c r="L68" s="19">
        <f t="shared" ref="L68:L70" si="148">(C68*D68*K68/1000)</f>
        <v>0.80400000000000005</v>
      </c>
      <c r="M68" s="16" t="s">
        <v>195</v>
      </c>
      <c r="N68" s="18"/>
      <c r="O68" s="19">
        <f t="shared" ref="O68:O70" si="149">(C68*D68*N68/1000)</f>
        <v>0</v>
      </c>
      <c r="P68" s="16"/>
      <c r="Q68" s="18"/>
      <c r="R68" s="19">
        <f t="shared" ref="R68:R70" si="150">(C68*D68*Q68/1000)</f>
        <v>0</v>
      </c>
      <c r="S68" s="20">
        <f t="shared" ref="S68:S70" si="151">+H68+K68+Q68</f>
        <v>14</v>
      </c>
      <c r="T68" s="19">
        <f t="shared" ref="T68:T70" si="152">+I68+L68+R68</f>
        <v>2.2511999999999999</v>
      </c>
      <c r="U68" s="21">
        <f t="shared" ref="U68:U70" si="153">E68-S68</f>
        <v>2</v>
      </c>
      <c r="V68" s="19">
        <f t="shared" ref="V68:V70" si="154">F68-T68</f>
        <v>0.32160000000000011</v>
      </c>
      <c r="X68" s="29"/>
    </row>
    <row r="69" spans="1:24">
      <c r="A69" s="26" t="s">
        <v>13</v>
      </c>
      <c r="B69" s="26" t="s">
        <v>25</v>
      </c>
      <c r="C69" s="30">
        <v>13.4</v>
      </c>
      <c r="D69" s="27">
        <v>7.4</v>
      </c>
      <c r="E69" s="28"/>
      <c r="F69" s="16">
        <f t="shared" ref="F69" si="155">(C69*D69*E69/1000)</f>
        <v>0</v>
      </c>
      <c r="G69" s="17"/>
      <c r="H69" s="18"/>
      <c r="I69" s="19">
        <f t="shared" ref="I69" si="156">(C69*D69*H69/1000)</f>
        <v>0</v>
      </c>
      <c r="J69" s="17"/>
      <c r="K69" s="18"/>
      <c r="L69" s="19">
        <f t="shared" ref="L69" si="157">(C69*D69*K69/1000)</f>
        <v>0</v>
      </c>
      <c r="M69" s="16"/>
      <c r="N69" s="18">
        <v>12</v>
      </c>
      <c r="O69" s="19">
        <f t="shared" ref="O69" si="158">(C69*D69*N69/1000)</f>
        <v>1.1899200000000001</v>
      </c>
      <c r="P69" s="16"/>
      <c r="Q69" s="18"/>
      <c r="R69" s="19">
        <f t="shared" ref="R69" si="159">(C69*D69*Q69/1000)</f>
        <v>0</v>
      </c>
      <c r="S69" s="20">
        <f t="shared" ref="S69" si="160">+H69+K69+Q69</f>
        <v>0</v>
      </c>
      <c r="T69" s="19">
        <f t="shared" ref="T69" si="161">+I69+L69+R69</f>
        <v>0</v>
      </c>
      <c r="U69" s="21">
        <f t="shared" ref="U69" si="162">E69-S69</f>
        <v>0</v>
      </c>
      <c r="V69" s="19">
        <f t="shared" ref="V69" si="163">F69-T69</f>
        <v>0</v>
      </c>
      <c r="X69" s="29"/>
    </row>
    <row r="70" spans="1:24">
      <c r="A70" s="26" t="s">
        <v>13</v>
      </c>
      <c r="B70" s="26" t="s">
        <v>25</v>
      </c>
      <c r="C70" s="30">
        <v>13.4</v>
      </c>
      <c r="D70" s="27">
        <v>9.6</v>
      </c>
      <c r="E70" s="28"/>
      <c r="F70" s="16">
        <f t="shared" si="146"/>
        <v>0</v>
      </c>
      <c r="G70" s="17"/>
      <c r="H70" s="18"/>
      <c r="I70" s="19">
        <f t="shared" si="147"/>
        <v>0</v>
      </c>
      <c r="J70" s="17"/>
      <c r="K70" s="18"/>
      <c r="L70" s="19">
        <f t="shared" si="148"/>
        <v>0</v>
      </c>
      <c r="M70" s="16"/>
      <c r="N70" s="18">
        <v>1</v>
      </c>
      <c r="O70" s="19">
        <f t="shared" si="149"/>
        <v>0.12863999999999998</v>
      </c>
      <c r="P70" s="16"/>
      <c r="Q70" s="18"/>
      <c r="R70" s="19">
        <f t="shared" si="150"/>
        <v>0</v>
      </c>
      <c r="S70" s="20">
        <f t="shared" si="151"/>
        <v>0</v>
      </c>
      <c r="T70" s="19">
        <f t="shared" si="152"/>
        <v>0</v>
      </c>
      <c r="U70" s="21">
        <f t="shared" si="153"/>
        <v>0</v>
      </c>
      <c r="V70" s="19">
        <f t="shared" si="154"/>
        <v>0</v>
      </c>
      <c r="X70" s="29"/>
    </row>
    <row r="71" spans="1:24">
      <c r="A71" s="26" t="s">
        <v>13</v>
      </c>
      <c r="B71" s="26" t="s">
        <v>25</v>
      </c>
      <c r="C71" s="30">
        <v>13.4</v>
      </c>
      <c r="D71" s="27">
        <v>9.9</v>
      </c>
      <c r="E71" s="28"/>
      <c r="F71" s="16">
        <f t="shared" si="137"/>
        <v>0</v>
      </c>
      <c r="G71" s="17"/>
      <c r="H71" s="18"/>
      <c r="I71" s="19">
        <f t="shared" si="138"/>
        <v>0</v>
      </c>
      <c r="J71" s="17"/>
      <c r="K71" s="18"/>
      <c r="L71" s="19">
        <f t="shared" si="139"/>
        <v>0</v>
      </c>
      <c r="M71" s="16"/>
      <c r="N71" s="18">
        <v>1</v>
      </c>
      <c r="O71" s="19">
        <f t="shared" si="140"/>
        <v>0.13266</v>
      </c>
      <c r="P71" s="16"/>
      <c r="Q71" s="18"/>
      <c r="R71" s="19">
        <f t="shared" si="141"/>
        <v>0</v>
      </c>
      <c r="S71" s="20">
        <f t="shared" si="142"/>
        <v>0</v>
      </c>
      <c r="T71" s="19">
        <f t="shared" si="143"/>
        <v>0</v>
      </c>
      <c r="U71" s="21">
        <f t="shared" si="144"/>
        <v>0</v>
      </c>
      <c r="V71" s="19">
        <f t="shared" si="145"/>
        <v>0</v>
      </c>
      <c r="X71" s="29"/>
    </row>
    <row r="72" spans="1:24">
      <c r="A72" s="36"/>
      <c r="B72" s="36"/>
      <c r="C72" s="30"/>
      <c r="D72" s="38"/>
      <c r="E72" s="31">
        <f t="shared" ref="E72:F72" si="164">SUM(E67:E71)</f>
        <v>38</v>
      </c>
      <c r="F72" s="38">
        <f t="shared" si="164"/>
        <v>4.8132799999999998</v>
      </c>
      <c r="G72" s="16" t="s">
        <v>89</v>
      </c>
      <c r="H72" s="31">
        <f t="shared" ref="H72" si="165">SUM(H67:H71)</f>
        <v>22</v>
      </c>
      <c r="I72" s="38">
        <f t="shared" ref="I72" si="166">SUM(I67:I71)</f>
        <v>2.7711199999999998</v>
      </c>
      <c r="J72" s="16"/>
      <c r="K72" s="31">
        <f t="shared" ref="K72" si="167">SUM(K67:K71)</f>
        <v>5</v>
      </c>
      <c r="L72" s="38">
        <f t="shared" ref="L72" si="168">SUM(L67:L71)</f>
        <v>0.80400000000000005</v>
      </c>
      <c r="M72" s="16"/>
      <c r="N72" s="31">
        <f t="shared" ref="N72" si="169">SUM(N67:N71)</f>
        <v>14</v>
      </c>
      <c r="O72" s="38">
        <f t="shared" ref="O72" si="170">SUM(O67:O71)</f>
        <v>1.4512200000000002</v>
      </c>
      <c r="P72" s="16"/>
      <c r="Q72" s="31">
        <f t="shared" ref="Q72" si="171">SUM(Q67:Q71)</f>
        <v>0</v>
      </c>
      <c r="R72" s="38">
        <f t="shared" ref="R72" si="172">SUM(R67:R71)</f>
        <v>0</v>
      </c>
      <c r="S72" s="31">
        <f t="shared" ref="S72" si="173">SUM(S67:S71)</f>
        <v>27</v>
      </c>
      <c r="T72" s="38">
        <f t="shared" ref="T72" si="174">SUM(T67:T71)</f>
        <v>3.5751200000000001</v>
      </c>
      <c r="U72" s="31">
        <f t="shared" ref="U72" si="175">SUM(U67:U71)</f>
        <v>11</v>
      </c>
      <c r="V72" s="38">
        <f t="shared" ref="V72" si="176">SUM(V67:V71)</f>
        <v>1.2381599999999999</v>
      </c>
      <c r="X72" s="29"/>
    </row>
    <row r="73" spans="1:24">
      <c r="A73" s="26" t="s">
        <v>13</v>
      </c>
      <c r="B73" s="26" t="s">
        <v>33</v>
      </c>
      <c r="C73" s="30">
        <v>15</v>
      </c>
      <c r="D73" s="27">
        <v>8.1999999999999993</v>
      </c>
      <c r="E73" s="28">
        <v>4</v>
      </c>
      <c r="F73" s="16">
        <f>(C73*D73*E73/1000)</f>
        <v>0.49199999999999994</v>
      </c>
      <c r="G73" s="16" t="s">
        <v>195</v>
      </c>
      <c r="H73" s="18"/>
      <c r="I73" s="19">
        <f>(C73*D73*H73/1000)</f>
        <v>0</v>
      </c>
      <c r="J73" s="16"/>
      <c r="K73" s="18"/>
      <c r="L73" s="19">
        <f>(C73*D73*K73/1000)</f>
        <v>0</v>
      </c>
      <c r="M73" s="16"/>
      <c r="N73" s="18"/>
      <c r="O73" s="19">
        <f>(C73*D73*N73/1000)</f>
        <v>0</v>
      </c>
      <c r="P73" s="16"/>
      <c r="Q73" s="18"/>
      <c r="R73" s="19">
        <f>(C73*D73*Q73/1000)</f>
        <v>0</v>
      </c>
      <c r="S73" s="20">
        <f>+H73+K73+Q73</f>
        <v>0</v>
      </c>
      <c r="T73" s="19">
        <f>+I73+L73+R73</f>
        <v>0</v>
      </c>
      <c r="U73" s="21">
        <f>E73-S73</f>
        <v>4</v>
      </c>
      <c r="V73" s="19">
        <f>F73-T73</f>
        <v>0.49199999999999994</v>
      </c>
      <c r="X73" s="29"/>
    </row>
    <row r="74" spans="1:24">
      <c r="A74" s="26" t="s">
        <v>13</v>
      </c>
      <c r="B74" s="26" t="s">
        <v>33</v>
      </c>
      <c r="C74" s="30">
        <v>15</v>
      </c>
      <c r="D74" s="27">
        <v>8.5</v>
      </c>
      <c r="E74" s="28"/>
      <c r="F74" s="16">
        <f>(C74*D74*E74/1000)</f>
        <v>0</v>
      </c>
      <c r="G74" s="17"/>
      <c r="H74" s="18">
        <v>4</v>
      </c>
      <c r="I74" s="19">
        <f>(C74*D74*H74/1000)</f>
        <v>0.51</v>
      </c>
      <c r="J74" s="16"/>
      <c r="K74" s="18"/>
      <c r="L74" s="19">
        <f>(C74*D74*K74/1000)</f>
        <v>0</v>
      </c>
      <c r="M74" s="16"/>
      <c r="N74" s="18"/>
      <c r="O74" s="19">
        <f>(C74*D74*N74/1000)</f>
        <v>0</v>
      </c>
      <c r="P74" s="16"/>
      <c r="Q74" s="18"/>
      <c r="R74" s="19">
        <f>(C74*D74*Q74/1000)</f>
        <v>0</v>
      </c>
      <c r="S74" s="20">
        <f>+H74+K74+Q74</f>
        <v>4</v>
      </c>
      <c r="T74" s="19">
        <f>+I74+L74+R74</f>
        <v>0.51</v>
      </c>
      <c r="U74" s="21">
        <f>E74-S74</f>
        <v>-4</v>
      </c>
      <c r="V74" s="19">
        <f>F74-T74</f>
        <v>-0.51</v>
      </c>
      <c r="X74" s="29"/>
    </row>
    <row r="75" spans="1:24">
      <c r="A75" s="36"/>
      <c r="B75" s="36"/>
      <c r="C75" s="30"/>
      <c r="D75" s="38"/>
      <c r="E75" s="31">
        <f t="shared" ref="E75:F75" si="177">SUM(E73:E74)</f>
        <v>4</v>
      </c>
      <c r="F75" s="38">
        <f t="shared" si="177"/>
        <v>0.49199999999999994</v>
      </c>
      <c r="G75" s="17"/>
      <c r="H75" s="31">
        <f t="shared" ref="H75" si="178">SUM(H73:H74)</f>
        <v>4</v>
      </c>
      <c r="I75" s="38">
        <f t="shared" ref="I75" si="179">SUM(I73:I74)</f>
        <v>0.51</v>
      </c>
      <c r="J75" s="16"/>
      <c r="K75" s="31">
        <f t="shared" ref="K75" si="180">SUM(K73:K74)</f>
        <v>0</v>
      </c>
      <c r="L75" s="38">
        <f t="shared" ref="L75" si="181">SUM(L73:L74)</f>
        <v>0</v>
      </c>
      <c r="M75" s="16"/>
      <c r="N75" s="31">
        <f t="shared" ref="N75" si="182">SUM(N73:N74)</f>
        <v>0</v>
      </c>
      <c r="O75" s="38">
        <f t="shared" ref="O75" si="183">SUM(O73:O74)</f>
        <v>0</v>
      </c>
      <c r="P75" s="16"/>
      <c r="Q75" s="31">
        <f t="shared" ref="Q75" si="184">SUM(Q73:Q74)</f>
        <v>0</v>
      </c>
      <c r="R75" s="38">
        <f t="shared" ref="R75" si="185">SUM(R73:R74)</f>
        <v>0</v>
      </c>
      <c r="S75" s="31">
        <f t="shared" ref="S75" si="186">SUM(S73:S74)</f>
        <v>4</v>
      </c>
      <c r="T75" s="38">
        <f t="shared" ref="T75" si="187">SUM(T73:T74)</f>
        <v>0.51</v>
      </c>
      <c r="U75" s="31">
        <f t="shared" ref="U75" si="188">SUM(U73:U74)</f>
        <v>0</v>
      </c>
      <c r="V75" s="38">
        <f t="shared" ref="V75" si="189">SUM(V73:V74)</f>
        <v>-1.8000000000000071E-2</v>
      </c>
      <c r="X75" s="29"/>
    </row>
    <row r="76" spans="1:24">
      <c r="A76" s="26" t="s">
        <v>13</v>
      </c>
      <c r="B76" s="26" t="s">
        <v>47</v>
      </c>
      <c r="C76" s="30">
        <v>18.149999999999999</v>
      </c>
      <c r="D76" s="27">
        <v>11.5</v>
      </c>
      <c r="E76" s="28">
        <v>14</v>
      </c>
      <c r="F76" s="16">
        <f>(C76*D76*E76/1000)</f>
        <v>2.9221500000000002</v>
      </c>
      <c r="G76" s="16" t="s">
        <v>89</v>
      </c>
      <c r="H76" s="18"/>
      <c r="I76" s="19">
        <f>(C76*D76*H76/1000)</f>
        <v>0</v>
      </c>
      <c r="J76" s="16"/>
      <c r="K76" s="18"/>
      <c r="L76" s="19">
        <f>(C76*D76*K76/1000)</f>
        <v>0</v>
      </c>
      <c r="M76" s="16"/>
      <c r="N76" s="18"/>
      <c r="O76" s="19">
        <f>(C76*D76*N76/1000)</f>
        <v>0</v>
      </c>
      <c r="P76" s="16"/>
      <c r="Q76" s="18"/>
      <c r="R76" s="19">
        <f>(C76*D76*Q76/1000)</f>
        <v>0</v>
      </c>
      <c r="S76" s="20">
        <f>+H76+K76+Q76</f>
        <v>0</v>
      </c>
      <c r="T76" s="19">
        <f>+I76+L76+R76</f>
        <v>0</v>
      </c>
      <c r="U76" s="21">
        <f>E76-S76</f>
        <v>14</v>
      </c>
      <c r="V76" s="19">
        <f>F76-T76</f>
        <v>2.9221500000000002</v>
      </c>
      <c r="X76" s="29"/>
    </row>
    <row r="77" spans="1:24">
      <c r="A77" s="26" t="s">
        <v>13</v>
      </c>
      <c r="B77" s="26" t="s">
        <v>47</v>
      </c>
      <c r="C77" s="30">
        <v>18.149999999999999</v>
      </c>
      <c r="D77" s="27">
        <v>11.8</v>
      </c>
      <c r="E77" s="28"/>
      <c r="F77" s="16">
        <f t="shared" ref="F77:F94" si="190">(C77*D77*E77/1000)</f>
        <v>0</v>
      </c>
      <c r="G77" s="16" t="s">
        <v>195</v>
      </c>
      <c r="H77" s="18">
        <v>1</v>
      </c>
      <c r="I77" s="19">
        <f t="shared" ref="I77:I94" si="191">(C77*D77*H77/1000)</f>
        <v>0.21417</v>
      </c>
      <c r="J77" s="16"/>
      <c r="K77" s="18"/>
      <c r="L77" s="19">
        <f t="shared" ref="L77:L94" si="192">(C77*D77*K77/1000)</f>
        <v>0</v>
      </c>
      <c r="M77" s="16"/>
      <c r="N77" s="18"/>
      <c r="O77" s="19">
        <f t="shared" ref="O77:O94" si="193">(C77*D77*N77/1000)</f>
        <v>0</v>
      </c>
      <c r="P77" s="16"/>
      <c r="Q77" s="18"/>
      <c r="R77" s="19">
        <f t="shared" ref="R77:R94" si="194">(C77*D77*Q77/1000)</f>
        <v>0</v>
      </c>
      <c r="S77" s="20">
        <f t="shared" ref="S77:S94" si="195">+H77+K77+Q77</f>
        <v>1</v>
      </c>
      <c r="T77" s="19">
        <f t="shared" ref="T77:T94" si="196">+I77+L77+R77</f>
        <v>0.21417</v>
      </c>
      <c r="U77" s="21">
        <f t="shared" ref="U77:U94" si="197">E77-S77</f>
        <v>-1</v>
      </c>
      <c r="V77" s="19">
        <f t="shared" ref="V77:V94" si="198">F77-T77</f>
        <v>-0.21417</v>
      </c>
      <c r="X77" s="29"/>
    </row>
    <row r="78" spans="1:24">
      <c r="A78" s="26" t="s">
        <v>13</v>
      </c>
      <c r="B78" s="26" t="s">
        <v>47</v>
      </c>
      <c r="C78" s="30">
        <v>18.149999999999999</v>
      </c>
      <c r="D78" s="27">
        <v>6.2</v>
      </c>
      <c r="E78" s="28"/>
      <c r="F78" s="16">
        <f t="shared" si="190"/>
        <v>0</v>
      </c>
      <c r="G78" s="16"/>
      <c r="H78" s="18">
        <v>1</v>
      </c>
      <c r="I78" s="19">
        <f t="shared" si="191"/>
        <v>0.11253000000000001</v>
      </c>
      <c r="J78" s="16"/>
      <c r="K78" s="18"/>
      <c r="L78" s="19">
        <f t="shared" si="192"/>
        <v>0</v>
      </c>
      <c r="M78" s="16"/>
      <c r="N78" s="18"/>
      <c r="O78" s="19">
        <f t="shared" si="193"/>
        <v>0</v>
      </c>
      <c r="P78" s="16"/>
      <c r="Q78" s="18"/>
      <c r="R78" s="19">
        <f t="shared" si="194"/>
        <v>0</v>
      </c>
      <c r="S78" s="20">
        <f t="shared" si="195"/>
        <v>1</v>
      </c>
      <c r="T78" s="19">
        <f t="shared" si="196"/>
        <v>0.11253000000000001</v>
      </c>
      <c r="U78" s="21">
        <f t="shared" si="197"/>
        <v>-1</v>
      </c>
      <c r="V78" s="19">
        <f t="shared" si="198"/>
        <v>-0.11253000000000001</v>
      </c>
      <c r="X78" s="29"/>
    </row>
    <row r="79" spans="1:24">
      <c r="A79" s="26" t="s">
        <v>13</v>
      </c>
      <c r="B79" s="26" t="s">
        <v>47</v>
      </c>
      <c r="C79" s="30">
        <v>18.149999999999999</v>
      </c>
      <c r="D79" s="27">
        <v>10</v>
      </c>
      <c r="E79" s="28"/>
      <c r="F79" s="16">
        <f t="shared" si="190"/>
        <v>0</v>
      </c>
      <c r="G79" s="16"/>
      <c r="H79" s="18">
        <v>1</v>
      </c>
      <c r="I79" s="19">
        <f t="shared" si="191"/>
        <v>0.18149999999999999</v>
      </c>
      <c r="J79" s="16"/>
      <c r="K79" s="18"/>
      <c r="L79" s="19">
        <f t="shared" si="192"/>
        <v>0</v>
      </c>
      <c r="M79" s="16"/>
      <c r="N79" s="18"/>
      <c r="O79" s="19">
        <f t="shared" si="193"/>
        <v>0</v>
      </c>
      <c r="P79" s="16"/>
      <c r="Q79" s="18"/>
      <c r="R79" s="19">
        <f t="shared" si="194"/>
        <v>0</v>
      </c>
      <c r="S79" s="20">
        <f t="shared" si="195"/>
        <v>1</v>
      </c>
      <c r="T79" s="19">
        <f t="shared" si="196"/>
        <v>0.18149999999999999</v>
      </c>
      <c r="U79" s="21">
        <f t="shared" si="197"/>
        <v>-1</v>
      </c>
      <c r="V79" s="19">
        <f t="shared" si="198"/>
        <v>-0.18149999999999999</v>
      </c>
      <c r="X79" s="29"/>
    </row>
    <row r="80" spans="1:24">
      <c r="A80" s="26" t="s">
        <v>13</v>
      </c>
      <c r="B80" s="26" t="s">
        <v>47</v>
      </c>
      <c r="C80" s="30">
        <v>18.149999999999999</v>
      </c>
      <c r="D80" s="27">
        <v>9.1999999999999993</v>
      </c>
      <c r="E80" s="28"/>
      <c r="F80" s="16">
        <f t="shared" si="190"/>
        <v>0</v>
      </c>
      <c r="G80" s="16"/>
      <c r="H80" s="18">
        <v>1</v>
      </c>
      <c r="I80" s="19">
        <f t="shared" si="191"/>
        <v>0.16697999999999996</v>
      </c>
      <c r="J80" s="16"/>
      <c r="K80" s="18"/>
      <c r="L80" s="19">
        <f t="shared" si="192"/>
        <v>0</v>
      </c>
      <c r="M80" s="16"/>
      <c r="N80" s="18"/>
      <c r="O80" s="19">
        <f t="shared" si="193"/>
        <v>0</v>
      </c>
      <c r="P80" s="16"/>
      <c r="Q80" s="18"/>
      <c r="R80" s="19">
        <f t="shared" si="194"/>
        <v>0</v>
      </c>
      <c r="S80" s="20">
        <f t="shared" si="195"/>
        <v>1</v>
      </c>
      <c r="T80" s="19">
        <f t="shared" si="196"/>
        <v>0.16697999999999996</v>
      </c>
      <c r="U80" s="21">
        <f t="shared" si="197"/>
        <v>-1</v>
      </c>
      <c r="V80" s="19">
        <f t="shared" si="198"/>
        <v>-0.16697999999999996</v>
      </c>
      <c r="X80" s="29"/>
    </row>
    <row r="81" spans="1:24">
      <c r="A81" s="26" t="s">
        <v>13</v>
      </c>
      <c r="B81" s="26" t="s">
        <v>47</v>
      </c>
      <c r="C81" s="30">
        <v>18.149999999999999</v>
      </c>
      <c r="D81" s="27">
        <v>11.8</v>
      </c>
      <c r="E81" s="28"/>
      <c r="F81" s="16">
        <f t="shared" si="190"/>
        <v>0</v>
      </c>
      <c r="G81" s="16"/>
      <c r="H81" s="18">
        <v>3</v>
      </c>
      <c r="I81" s="19">
        <f t="shared" si="191"/>
        <v>0.64251000000000003</v>
      </c>
      <c r="J81" s="16"/>
      <c r="K81" s="18"/>
      <c r="L81" s="19">
        <f t="shared" si="192"/>
        <v>0</v>
      </c>
      <c r="M81" s="16"/>
      <c r="N81" s="18"/>
      <c r="O81" s="19">
        <f t="shared" si="193"/>
        <v>0</v>
      </c>
      <c r="P81" s="16"/>
      <c r="Q81" s="18"/>
      <c r="R81" s="19">
        <f t="shared" si="194"/>
        <v>0</v>
      </c>
      <c r="S81" s="20">
        <f t="shared" si="195"/>
        <v>3</v>
      </c>
      <c r="T81" s="19">
        <f t="shared" si="196"/>
        <v>0.64251000000000003</v>
      </c>
      <c r="U81" s="21">
        <f t="shared" si="197"/>
        <v>-3</v>
      </c>
      <c r="V81" s="19">
        <f t="shared" si="198"/>
        <v>-0.64251000000000003</v>
      </c>
      <c r="X81" s="29"/>
    </row>
    <row r="82" spans="1:24">
      <c r="A82" s="26" t="s">
        <v>13</v>
      </c>
      <c r="B82" s="26" t="s">
        <v>47</v>
      </c>
      <c r="C82" s="30">
        <v>18.149999999999999</v>
      </c>
      <c r="D82" s="27">
        <v>11</v>
      </c>
      <c r="E82" s="28"/>
      <c r="F82" s="16">
        <f t="shared" si="190"/>
        <v>0</v>
      </c>
      <c r="G82" s="16"/>
      <c r="H82" s="18">
        <v>3</v>
      </c>
      <c r="I82" s="19">
        <f t="shared" si="191"/>
        <v>0.59894999999999998</v>
      </c>
      <c r="J82" s="16"/>
      <c r="K82" s="18"/>
      <c r="L82" s="19">
        <f t="shared" si="192"/>
        <v>0</v>
      </c>
      <c r="M82" s="16"/>
      <c r="N82" s="18"/>
      <c r="O82" s="19">
        <f t="shared" si="193"/>
        <v>0</v>
      </c>
      <c r="P82" s="16"/>
      <c r="Q82" s="18"/>
      <c r="R82" s="19">
        <f t="shared" si="194"/>
        <v>0</v>
      </c>
      <c r="S82" s="20">
        <f t="shared" si="195"/>
        <v>3</v>
      </c>
      <c r="T82" s="19">
        <f t="shared" si="196"/>
        <v>0.59894999999999998</v>
      </c>
      <c r="U82" s="21">
        <f t="shared" si="197"/>
        <v>-3</v>
      </c>
      <c r="V82" s="19">
        <f t="shared" si="198"/>
        <v>-0.59894999999999998</v>
      </c>
      <c r="X82" s="29"/>
    </row>
    <row r="83" spans="1:24">
      <c r="A83" s="26" t="s">
        <v>13</v>
      </c>
      <c r="B83" s="26" t="s">
        <v>47</v>
      </c>
      <c r="C83" s="30">
        <v>18.149999999999999</v>
      </c>
      <c r="D83" s="27">
        <v>9.3000000000000007</v>
      </c>
      <c r="E83" s="28"/>
      <c r="F83" s="16">
        <f t="shared" si="190"/>
        <v>0</v>
      </c>
      <c r="G83" s="16"/>
      <c r="H83" s="18">
        <v>1</v>
      </c>
      <c r="I83" s="19">
        <f t="shared" si="191"/>
        <v>0.168795</v>
      </c>
      <c r="J83" s="16"/>
      <c r="K83" s="18"/>
      <c r="L83" s="19">
        <f t="shared" si="192"/>
        <v>0</v>
      </c>
      <c r="M83" s="16"/>
      <c r="N83" s="18"/>
      <c r="O83" s="19">
        <f t="shared" si="193"/>
        <v>0</v>
      </c>
      <c r="P83" s="16"/>
      <c r="Q83" s="18"/>
      <c r="R83" s="19">
        <f t="shared" si="194"/>
        <v>0</v>
      </c>
      <c r="S83" s="20">
        <f t="shared" si="195"/>
        <v>1</v>
      </c>
      <c r="T83" s="19">
        <f t="shared" si="196"/>
        <v>0.168795</v>
      </c>
      <c r="U83" s="21">
        <f t="shared" si="197"/>
        <v>-1</v>
      </c>
      <c r="V83" s="19">
        <f t="shared" si="198"/>
        <v>-0.168795</v>
      </c>
      <c r="X83" s="29"/>
    </row>
    <row r="84" spans="1:24">
      <c r="A84" s="26" t="s">
        <v>13</v>
      </c>
      <c r="B84" s="26" t="s">
        <v>47</v>
      </c>
      <c r="C84" s="30">
        <v>18.149999999999999</v>
      </c>
      <c r="D84" s="27">
        <v>7.5</v>
      </c>
      <c r="E84" s="28"/>
      <c r="F84" s="16">
        <f t="shared" si="190"/>
        <v>0</v>
      </c>
      <c r="G84" s="16"/>
      <c r="H84" s="18">
        <v>1</v>
      </c>
      <c r="I84" s="19">
        <f t="shared" si="191"/>
        <v>0.136125</v>
      </c>
      <c r="J84" s="16"/>
      <c r="K84" s="18"/>
      <c r="L84" s="19">
        <f t="shared" si="192"/>
        <v>0</v>
      </c>
      <c r="M84" s="16"/>
      <c r="N84" s="18"/>
      <c r="O84" s="19">
        <f t="shared" si="193"/>
        <v>0</v>
      </c>
      <c r="P84" s="16"/>
      <c r="Q84" s="18"/>
      <c r="R84" s="19">
        <f t="shared" si="194"/>
        <v>0</v>
      </c>
      <c r="S84" s="20">
        <f t="shared" si="195"/>
        <v>1</v>
      </c>
      <c r="T84" s="19">
        <f t="shared" si="196"/>
        <v>0.136125</v>
      </c>
      <c r="U84" s="21">
        <f t="shared" si="197"/>
        <v>-1</v>
      </c>
      <c r="V84" s="19">
        <f t="shared" si="198"/>
        <v>-0.136125</v>
      </c>
      <c r="X84" s="29"/>
    </row>
    <row r="85" spans="1:24">
      <c r="A85" s="26" t="s">
        <v>13</v>
      </c>
      <c r="B85" s="26" t="s">
        <v>47</v>
      </c>
      <c r="C85" s="30">
        <v>18.149999999999999</v>
      </c>
      <c r="D85" s="27">
        <v>7.6</v>
      </c>
      <c r="E85" s="28"/>
      <c r="F85" s="16">
        <f t="shared" si="190"/>
        <v>0</v>
      </c>
      <c r="G85" s="16"/>
      <c r="H85" s="18">
        <v>1</v>
      </c>
      <c r="I85" s="19">
        <f t="shared" si="191"/>
        <v>0.13793999999999998</v>
      </c>
      <c r="J85" s="16"/>
      <c r="K85" s="18"/>
      <c r="L85" s="19">
        <f t="shared" si="192"/>
        <v>0</v>
      </c>
      <c r="M85" s="16"/>
      <c r="N85" s="18"/>
      <c r="O85" s="19">
        <f t="shared" si="193"/>
        <v>0</v>
      </c>
      <c r="P85" s="16"/>
      <c r="Q85" s="18"/>
      <c r="R85" s="19">
        <f t="shared" si="194"/>
        <v>0</v>
      </c>
      <c r="S85" s="20">
        <f t="shared" si="195"/>
        <v>1</v>
      </c>
      <c r="T85" s="19">
        <f t="shared" si="196"/>
        <v>0.13793999999999998</v>
      </c>
      <c r="U85" s="21">
        <f t="shared" si="197"/>
        <v>-1</v>
      </c>
      <c r="V85" s="19">
        <f t="shared" si="198"/>
        <v>-0.13793999999999998</v>
      </c>
      <c r="X85" s="29"/>
    </row>
    <row r="86" spans="1:24">
      <c r="A86" s="26" t="s">
        <v>13</v>
      </c>
      <c r="B86" s="26" t="s">
        <v>47</v>
      </c>
      <c r="C86" s="30">
        <v>18.149999999999999</v>
      </c>
      <c r="D86" s="27">
        <v>8</v>
      </c>
      <c r="E86" s="28"/>
      <c r="F86" s="16">
        <f t="shared" si="190"/>
        <v>0</v>
      </c>
      <c r="G86" s="16"/>
      <c r="H86" s="18">
        <v>1</v>
      </c>
      <c r="I86" s="19">
        <f t="shared" si="191"/>
        <v>0.1452</v>
      </c>
      <c r="J86" s="16"/>
      <c r="K86" s="18"/>
      <c r="L86" s="19">
        <f t="shared" si="192"/>
        <v>0</v>
      </c>
      <c r="M86" s="16"/>
      <c r="N86" s="18"/>
      <c r="O86" s="19">
        <f t="shared" si="193"/>
        <v>0</v>
      </c>
      <c r="P86" s="16"/>
      <c r="Q86" s="18"/>
      <c r="R86" s="19">
        <f t="shared" si="194"/>
        <v>0</v>
      </c>
      <c r="S86" s="20">
        <f t="shared" si="195"/>
        <v>1</v>
      </c>
      <c r="T86" s="19">
        <f t="shared" si="196"/>
        <v>0.1452</v>
      </c>
      <c r="U86" s="21">
        <f t="shared" si="197"/>
        <v>-1</v>
      </c>
      <c r="V86" s="19">
        <f t="shared" si="198"/>
        <v>-0.1452</v>
      </c>
      <c r="X86" s="29"/>
    </row>
    <row r="87" spans="1:24">
      <c r="A87" s="26" t="s">
        <v>13</v>
      </c>
      <c r="B87" s="26" t="s">
        <v>47</v>
      </c>
      <c r="C87" s="30">
        <v>18.149999999999999</v>
      </c>
      <c r="D87" s="27">
        <v>8.3000000000000007</v>
      </c>
      <c r="E87" s="28"/>
      <c r="F87" s="16">
        <f t="shared" si="190"/>
        <v>0</v>
      </c>
      <c r="G87" s="16"/>
      <c r="H87" s="18">
        <v>1</v>
      </c>
      <c r="I87" s="19">
        <f t="shared" si="191"/>
        <v>0.150645</v>
      </c>
      <c r="J87" s="16"/>
      <c r="K87" s="18"/>
      <c r="L87" s="19">
        <f t="shared" si="192"/>
        <v>0</v>
      </c>
      <c r="M87" s="16"/>
      <c r="N87" s="18"/>
      <c r="O87" s="19">
        <f t="shared" si="193"/>
        <v>0</v>
      </c>
      <c r="P87" s="16"/>
      <c r="Q87" s="18"/>
      <c r="R87" s="19">
        <f t="shared" si="194"/>
        <v>0</v>
      </c>
      <c r="S87" s="20">
        <f t="shared" si="195"/>
        <v>1</v>
      </c>
      <c r="T87" s="19">
        <f t="shared" si="196"/>
        <v>0.150645</v>
      </c>
      <c r="U87" s="21">
        <f t="shared" si="197"/>
        <v>-1</v>
      </c>
      <c r="V87" s="19">
        <f t="shared" si="198"/>
        <v>-0.150645</v>
      </c>
      <c r="X87" s="29"/>
    </row>
    <row r="88" spans="1:24">
      <c r="A88" s="26" t="s">
        <v>13</v>
      </c>
      <c r="B88" s="26" t="s">
        <v>47</v>
      </c>
      <c r="C88" s="30">
        <v>18.149999999999999</v>
      </c>
      <c r="D88" s="27">
        <v>10.3</v>
      </c>
      <c r="E88" s="28"/>
      <c r="F88" s="16">
        <f t="shared" si="190"/>
        <v>0</v>
      </c>
      <c r="G88" s="16"/>
      <c r="H88" s="18">
        <v>1</v>
      </c>
      <c r="I88" s="19">
        <f t="shared" si="191"/>
        <v>0.186945</v>
      </c>
      <c r="J88" s="16"/>
      <c r="K88" s="18"/>
      <c r="L88" s="19">
        <f t="shared" si="192"/>
        <v>0</v>
      </c>
      <c r="M88" s="16"/>
      <c r="N88" s="18"/>
      <c r="O88" s="19">
        <f t="shared" si="193"/>
        <v>0</v>
      </c>
      <c r="P88" s="16"/>
      <c r="Q88" s="18"/>
      <c r="R88" s="19">
        <f t="shared" si="194"/>
        <v>0</v>
      </c>
      <c r="S88" s="20">
        <f t="shared" si="195"/>
        <v>1</v>
      </c>
      <c r="T88" s="19">
        <f t="shared" si="196"/>
        <v>0.186945</v>
      </c>
      <c r="U88" s="21">
        <f t="shared" si="197"/>
        <v>-1</v>
      </c>
      <c r="V88" s="19">
        <f t="shared" si="198"/>
        <v>-0.186945</v>
      </c>
      <c r="X88" s="29"/>
    </row>
    <row r="89" spans="1:24">
      <c r="A89" s="26" t="s">
        <v>13</v>
      </c>
      <c r="B89" s="26" t="s">
        <v>47</v>
      </c>
      <c r="C89" s="30">
        <v>18.149999999999999</v>
      </c>
      <c r="D89" s="27">
        <v>11.8</v>
      </c>
      <c r="E89" s="28"/>
      <c r="F89" s="16">
        <f t="shared" si="190"/>
        <v>0</v>
      </c>
      <c r="G89" s="16"/>
      <c r="H89" s="18">
        <v>1</v>
      </c>
      <c r="I89" s="19">
        <f t="shared" si="191"/>
        <v>0.21417</v>
      </c>
      <c r="J89" s="16"/>
      <c r="K89" s="18"/>
      <c r="L89" s="19">
        <f t="shared" si="192"/>
        <v>0</v>
      </c>
      <c r="M89" s="16"/>
      <c r="N89" s="18"/>
      <c r="O89" s="19">
        <f t="shared" si="193"/>
        <v>0</v>
      </c>
      <c r="P89" s="16"/>
      <c r="Q89" s="18"/>
      <c r="R89" s="19">
        <f t="shared" si="194"/>
        <v>0</v>
      </c>
      <c r="S89" s="20">
        <f t="shared" si="195"/>
        <v>1</v>
      </c>
      <c r="T89" s="19">
        <f t="shared" si="196"/>
        <v>0.21417</v>
      </c>
      <c r="U89" s="21">
        <f t="shared" si="197"/>
        <v>-1</v>
      </c>
      <c r="V89" s="19">
        <f t="shared" si="198"/>
        <v>-0.21417</v>
      </c>
      <c r="X89" s="29"/>
    </row>
    <row r="90" spans="1:24">
      <c r="A90" s="26" t="s">
        <v>13</v>
      </c>
      <c r="B90" s="26" t="s">
        <v>47</v>
      </c>
      <c r="C90" s="30">
        <v>18.149999999999999</v>
      </c>
      <c r="D90" s="27"/>
      <c r="E90" s="28"/>
      <c r="F90" s="16">
        <f t="shared" si="190"/>
        <v>0</v>
      </c>
      <c r="G90" s="16"/>
      <c r="H90" s="18"/>
      <c r="I90" s="19">
        <f t="shared" si="191"/>
        <v>0</v>
      </c>
      <c r="J90" s="16"/>
      <c r="K90" s="18"/>
      <c r="L90" s="19">
        <f t="shared" si="192"/>
        <v>0</v>
      </c>
      <c r="M90" s="16"/>
      <c r="N90" s="18"/>
      <c r="O90" s="19">
        <f t="shared" si="193"/>
        <v>0</v>
      </c>
      <c r="P90" s="16"/>
      <c r="Q90" s="18"/>
      <c r="R90" s="19">
        <f t="shared" si="194"/>
        <v>0</v>
      </c>
      <c r="S90" s="20">
        <f t="shared" si="195"/>
        <v>0</v>
      </c>
      <c r="T90" s="19">
        <f t="shared" si="196"/>
        <v>0</v>
      </c>
      <c r="U90" s="21">
        <f t="shared" si="197"/>
        <v>0</v>
      </c>
      <c r="V90" s="19">
        <f t="shared" si="198"/>
        <v>0</v>
      </c>
      <c r="X90" s="29"/>
    </row>
    <row r="91" spans="1:24">
      <c r="A91" s="26" t="s">
        <v>13</v>
      </c>
      <c r="B91" s="26" t="s">
        <v>47</v>
      </c>
      <c r="C91" s="30">
        <v>18.149999999999999</v>
      </c>
      <c r="D91" s="27"/>
      <c r="E91" s="28"/>
      <c r="F91" s="16">
        <f t="shared" si="190"/>
        <v>0</v>
      </c>
      <c r="G91" s="16"/>
      <c r="H91" s="18"/>
      <c r="I91" s="19">
        <f t="shared" si="191"/>
        <v>0</v>
      </c>
      <c r="J91" s="16"/>
      <c r="K91" s="18"/>
      <c r="L91" s="19">
        <f t="shared" si="192"/>
        <v>0</v>
      </c>
      <c r="M91" s="16"/>
      <c r="N91" s="18"/>
      <c r="O91" s="19">
        <f t="shared" si="193"/>
        <v>0</v>
      </c>
      <c r="P91" s="16"/>
      <c r="Q91" s="18"/>
      <c r="R91" s="19">
        <f t="shared" si="194"/>
        <v>0</v>
      </c>
      <c r="S91" s="20">
        <f t="shared" si="195"/>
        <v>0</v>
      </c>
      <c r="T91" s="19">
        <f t="shared" si="196"/>
        <v>0</v>
      </c>
      <c r="U91" s="21">
        <f t="shared" si="197"/>
        <v>0</v>
      </c>
      <c r="V91" s="19">
        <f t="shared" si="198"/>
        <v>0</v>
      </c>
      <c r="X91" s="29"/>
    </row>
    <row r="92" spans="1:24">
      <c r="A92" s="26" t="s">
        <v>13</v>
      </c>
      <c r="B92" s="26" t="s">
        <v>47</v>
      </c>
      <c r="C92" s="30">
        <v>18.149999999999999</v>
      </c>
      <c r="D92" s="27"/>
      <c r="E92" s="28"/>
      <c r="F92" s="16">
        <f t="shared" si="190"/>
        <v>0</v>
      </c>
      <c r="G92" s="16"/>
      <c r="H92" s="18"/>
      <c r="I92" s="19">
        <f t="shared" si="191"/>
        <v>0</v>
      </c>
      <c r="J92" s="16"/>
      <c r="K92" s="18"/>
      <c r="L92" s="19">
        <f t="shared" si="192"/>
        <v>0</v>
      </c>
      <c r="M92" s="16"/>
      <c r="N92" s="18"/>
      <c r="O92" s="19">
        <f t="shared" si="193"/>
        <v>0</v>
      </c>
      <c r="P92" s="16"/>
      <c r="Q92" s="18"/>
      <c r="R92" s="19">
        <f t="shared" si="194"/>
        <v>0</v>
      </c>
      <c r="S92" s="20">
        <f t="shared" si="195"/>
        <v>0</v>
      </c>
      <c r="T92" s="19">
        <f t="shared" si="196"/>
        <v>0</v>
      </c>
      <c r="U92" s="21">
        <f t="shared" si="197"/>
        <v>0</v>
      </c>
      <c r="V92" s="19">
        <f t="shared" si="198"/>
        <v>0</v>
      </c>
      <c r="X92" s="29"/>
    </row>
    <row r="93" spans="1:24">
      <c r="A93" s="26" t="s">
        <v>13</v>
      </c>
      <c r="B93" s="26" t="s">
        <v>47</v>
      </c>
      <c r="C93" s="30">
        <v>18.149999999999999</v>
      </c>
      <c r="D93" s="27"/>
      <c r="E93" s="28"/>
      <c r="F93" s="16">
        <f t="shared" si="190"/>
        <v>0</v>
      </c>
      <c r="G93" s="16"/>
      <c r="H93" s="18"/>
      <c r="I93" s="19">
        <f t="shared" si="191"/>
        <v>0</v>
      </c>
      <c r="J93" s="16"/>
      <c r="K93" s="18"/>
      <c r="L93" s="19">
        <f t="shared" si="192"/>
        <v>0</v>
      </c>
      <c r="M93" s="16"/>
      <c r="N93" s="18"/>
      <c r="O93" s="19">
        <f t="shared" si="193"/>
        <v>0</v>
      </c>
      <c r="P93" s="16"/>
      <c r="Q93" s="18"/>
      <c r="R93" s="19">
        <f t="shared" si="194"/>
        <v>0</v>
      </c>
      <c r="S93" s="20">
        <f t="shared" si="195"/>
        <v>0</v>
      </c>
      <c r="T93" s="19">
        <f t="shared" si="196"/>
        <v>0</v>
      </c>
      <c r="U93" s="21">
        <f t="shared" si="197"/>
        <v>0</v>
      </c>
      <c r="V93" s="19">
        <f t="shared" si="198"/>
        <v>0</v>
      </c>
      <c r="X93" s="29"/>
    </row>
    <row r="94" spans="1:24">
      <c r="A94" s="26" t="s">
        <v>13</v>
      </c>
      <c r="B94" s="26" t="s">
        <v>47</v>
      </c>
      <c r="C94" s="30">
        <v>18.149999999999999</v>
      </c>
      <c r="D94" s="27"/>
      <c r="E94" s="28"/>
      <c r="F94" s="16">
        <f t="shared" si="190"/>
        <v>0</v>
      </c>
      <c r="G94" s="16"/>
      <c r="H94" s="18"/>
      <c r="I94" s="19">
        <f t="shared" si="191"/>
        <v>0</v>
      </c>
      <c r="J94" s="16"/>
      <c r="K94" s="18"/>
      <c r="L94" s="19">
        <f t="shared" si="192"/>
        <v>0</v>
      </c>
      <c r="M94" s="16"/>
      <c r="N94" s="18"/>
      <c r="O94" s="19">
        <f t="shared" si="193"/>
        <v>0</v>
      </c>
      <c r="P94" s="16"/>
      <c r="Q94" s="18"/>
      <c r="R94" s="19">
        <f t="shared" si="194"/>
        <v>0</v>
      </c>
      <c r="S94" s="20">
        <f t="shared" si="195"/>
        <v>0</v>
      </c>
      <c r="T94" s="19">
        <f t="shared" si="196"/>
        <v>0</v>
      </c>
      <c r="U94" s="21">
        <f t="shared" si="197"/>
        <v>0</v>
      </c>
      <c r="V94" s="19">
        <f t="shared" si="198"/>
        <v>0</v>
      </c>
      <c r="X94" s="29"/>
    </row>
    <row r="95" spans="1:24">
      <c r="A95" s="36"/>
      <c r="B95" s="36"/>
      <c r="C95" s="30"/>
      <c r="D95" s="38"/>
      <c r="E95" s="31">
        <f t="shared" ref="E95:F95" si="199">SUM(E76:E94)</f>
        <v>14</v>
      </c>
      <c r="F95" s="38">
        <f t="shared" si="199"/>
        <v>2.9221500000000002</v>
      </c>
      <c r="G95" s="16"/>
      <c r="H95" s="31">
        <f t="shared" ref="H95" si="200">SUM(H76:H94)</f>
        <v>17</v>
      </c>
      <c r="I95" s="38">
        <f t="shared" ref="I95" si="201">SUM(I76:I94)</f>
        <v>3.0564599999999995</v>
      </c>
      <c r="J95" s="16"/>
      <c r="K95" s="31">
        <f t="shared" ref="K95" si="202">SUM(K76:K94)</f>
        <v>0</v>
      </c>
      <c r="L95" s="38">
        <f t="shared" ref="L95" si="203">SUM(L76:L94)</f>
        <v>0</v>
      </c>
      <c r="M95" s="16"/>
      <c r="N95" s="31">
        <f t="shared" ref="N95" si="204">SUM(N76:N94)</f>
        <v>0</v>
      </c>
      <c r="O95" s="38">
        <f t="shared" ref="O95" si="205">SUM(O76:O94)</f>
        <v>0</v>
      </c>
      <c r="P95" s="16"/>
      <c r="Q95" s="31">
        <f t="shared" ref="Q95" si="206">SUM(Q76:Q94)</f>
        <v>0</v>
      </c>
      <c r="R95" s="38">
        <f t="shared" ref="R95" si="207">SUM(R76:R94)</f>
        <v>0</v>
      </c>
      <c r="S95" s="31">
        <f t="shared" ref="S95" si="208">SUM(S76:S94)</f>
        <v>17</v>
      </c>
      <c r="T95" s="38">
        <f t="shared" ref="T95" si="209">SUM(T76:T94)</f>
        <v>3.0564599999999995</v>
      </c>
      <c r="U95" s="31">
        <f t="shared" ref="U95" si="210">SUM(U76:U94)</f>
        <v>-3</v>
      </c>
      <c r="V95" s="38">
        <f t="shared" ref="V95" si="211">SUM(V76:V94)</f>
        <v>-0.13431000000000037</v>
      </c>
      <c r="X95" s="29"/>
    </row>
    <row r="96" spans="1:24">
      <c r="A96" s="26" t="s">
        <v>13</v>
      </c>
      <c r="B96" s="26" t="s">
        <v>49</v>
      </c>
      <c r="C96" s="30">
        <v>14.66</v>
      </c>
      <c r="D96" s="27">
        <v>9.3000000000000007</v>
      </c>
      <c r="E96" s="28">
        <v>3</v>
      </c>
      <c r="F96" s="16">
        <f>(C96*D96*E96/1000)</f>
        <v>0.40901400000000004</v>
      </c>
      <c r="G96" s="17" t="s">
        <v>111</v>
      </c>
      <c r="H96" s="18"/>
      <c r="I96" s="19">
        <f>(C96*D96*H96/1000)</f>
        <v>0</v>
      </c>
      <c r="J96" s="16"/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>+H96+K96+Q96</f>
        <v>0</v>
      </c>
      <c r="T96" s="19">
        <f>+I96+L96+R96</f>
        <v>0</v>
      </c>
      <c r="U96" s="21">
        <f>E96-S96</f>
        <v>3</v>
      </c>
      <c r="V96" s="19">
        <f>F96-T96</f>
        <v>0.40901400000000004</v>
      </c>
      <c r="X96" s="29"/>
    </row>
    <row r="97" spans="1:24">
      <c r="A97" s="26" t="s">
        <v>13</v>
      </c>
      <c r="B97" s="26" t="s">
        <v>49</v>
      </c>
      <c r="C97" s="30">
        <v>14.66</v>
      </c>
      <c r="D97" s="27">
        <v>7.8</v>
      </c>
      <c r="E97" s="28"/>
      <c r="F97" s="16">
        <f t="shared" ref="F97:F99" si="212">(C97*D97*E97/1000)</f>
        <v>0</v>
      </c>
      <c r="G97" s="17" t="s">
        <v>179</v>
      </c>
      <c r="H97" s="18">
        <v>1</v>
      </c>
      <c r="I97" s="19">
        <f t="shared" ref="I97:I99" si="213">(C97*D97*H97/1000)</f>
        <v>0.11434800000000001</v>
      </c>
      <c r="J97" s="16"/>
      <c r="K97" s="18"/>
      <c r="L97" s="19">
        <f t="shared" ref="L97:L99" si="214">(C97*D97*K97/1000)</f>
        <v>0</v>
      </c>
      <c r="M97" s="16"/>
      <c r="N97" s="18"/>
      <c r="O97" s="19">
        <f t="shared" ref="O97:O99" si="215">(C97*D97*N97/1000)</f>
        <v>0</v>
      </c>
      <c r="P97" s="16"/>
      <c r="Q97" s="18"/>
      <c r="R97" s="19">
        <f t="shared" ref="R97:R99" si="216">(C97*D97*Q97/1000)</f>
        <v>0</v>
      </c>
      <c r="S97" s="20">
        <f t="shared" ref="S97:S99" si="217">+H97+K97+Q97</f>
        <v>1</v>
      </c>
      <c r="T97" s="19">
        <f t="shared" ref="T97:T99" si="218">+I97+L97+R97</f>
        <v>0.11434800000000001</v>
      </c>
      <c r="U97" s="21">
        <f t="shared" ref="U97:U99" si="219">E97-S97</f>
        <v>-1</v>
      </c>
      <c r="V97" s="19">
        <f t="shared" ref="V97:V99" si="220">F97-T97</f>
        <v>-0.11434800000000001</v>
      </c>
      <c r="X97" s="29"/>
    </row>
    <row r="98" spans="1:24">
      <c r="A98" s="26" t="s">
        <v>13</v>
      </c>
      <c r="B98" s="26" t="s">
        <v>49</v>
      </c>
      <c r="C98" s="30">
        <v>14.66</v>
      </c>
      <c r="D98" s="27">
        <v>7.6</v>
      </c>
      <c r="E98" s="28"/>
      <c r="F98" s="16">
        <f t="shared" si="212"/>
        <v>0</v>
      </c>
      <c r="G98" s="17"/>
      <c r="H98" s="18">
        <v>1</v>
      </c>
      <c r="I98" s="19">
        <f t="shared" si="213"/>
        <v>0.111416</v>
      </c>
      <c r="J98" s="16"/>
      <c r="K98" s="18"/>
      <c r="L98" s="19">
        <f t="shared" si="214"/>
        <v>0</v>
      </c>
      <c r="M98" s="16"/>
      <c r="N98" s="18"/>
      <c r="O98" s="19">
        <f t="shared" si="215"/>
        <v>0</v>
      </c>
      <c r="P98" s="16"/>
      <c r="Q98" s="18"/>
      <c r="R98" s="19">
        <f t="shared" si="216"/>
        <v>0</v>
      </c>
      <c r="S98" s="20">
        <f t="shared" si="217"/>
        <v>1</v>
      </c>
      <c r="T98" s="19">
        <f t="shared" si="218"/>
        <v>0.111416</v>
      </c>
      <c r="U98" s="21">
        <f t="shared" si="219"/>
        <v>-1</v>
      </c>
      <c r="V98" s="19">
        <f t="shared" si="220"/>
        <v>-0.111416</v>
      </c>
      <c r="X98" s="29"/>
    </row>
    <row r="99" spans="1:24">
      <c r="A99" s="26" t="s">
        <v>13</v>
      </c>
      <c r="B99" s="26" t="s">
        <v>49</v>
      </c>
      <c r="C99" s="30">
        <v>14.66</v>
      </c>
      <c r="D99" s="27">
        <v>11.5</v>
      </c>
      <c r="E99" s="28"/>
      <c r="F99" s="16">
        <f t="shared" si="212"/>
        <v>0</v>
      </c>
      <c r="G99" s="17"/>
      <c r="H99" s="18">
        <v>2</v>
      </c>
      <c r="I99" s="19">
        <f t="shared" si="213"/>
        <v>0.33717999999999998</v>
      </c>
      <c r="J99" s="16"/>
      <c r="K99" s="18"/>
      <c r="L99" s="19">
        <f t="shared" si="214"/>
        <v>0</v>
      </c>
      <c r="M99" s="16"/>
      <c r="N99" s="18"/>
      <c r="O99" s="19">
        <f t="shared" si="215"/>
        <v>0</v>
      </c>
      <c r="P99" s="16"/>
      <c r="Q99" s="18"/>
      <c r="R99" s="19">
        <f t="shared" si="216"/>
        <v>0</v>
      </c>
      <c r="S99" s="20">
        <f t="shared" si="217"/>
        <v>2</v>
      </c>
      <c r="T99" s="19">
        <f t="shared" si="218"/>
        <v>0.33717999999999998</v>
      </c>
      <c r="U99" s="21">
        <f t="shared" si="219"/>
        <v>-2</v>
      </c>
      <c r="V99" s="19">
        <f t="shared" si="220"/>
        <v>-0.33717999999999998</v>
      </c>
      <c r="X99" s="29"/>
    </row>
    <row r="100" spans="1:24">
      <c r="A100" s="36"/>
      <c r="B100" s="36"/>
      <c r="C100" s="30"/>
      <c r="D100" s="38"/>
      <c r="E100" s="31">
        <f t="shared" ref="E100:F100" si="221">SUM(E96:E99)</f>
        <v>3</v>
      </c>
      <c r="F100" s="38">
        <f t="shared" si="221"/>
        <v>0.40901400000000004</v>
      </c>
      <c r="G100" s="17"/>
      <c r="H100" s="31">
        <f t="shared" ref="H100" si="222">SUM(H96:H99)</f>
        <v>4</v>
      </c>
      <c r="I100" s="38">
        <f t="shared" ref="I100" si="223">SUM(I96:I99)</f>
        <v>0.562944</v>
      </c>
      <c r="J100" s="16"/>
      <c r="K100" s="31">
        <f t="shared" ref="K100" si="224">SUM(K96:K99)</f>
        <v>0</v>
      </c>
      <c r="L100" s="38">
        <f t="shared" ref="L100" si="225">SUM(L96:L99)</f>
        <v>0</v>
      </c>
      <c r="M100" s="16"/>
      <c r="N100" s="31">
        <f t="shared" ref="N100" si="226">SUM(N96:N99)</f>
        <v>0</v>
      </c>
      <c r="O100" s="38">
        <f t="shared" ref="O100" si="227">SUM(O96:O99)</f>
        <v>0</v>
      </c>
      <c r="P100" s="16"/>
      <c r="Q100" s="31">
        <f t="shared" ref="Q100" si="228">SUM(Q96:Q99)</f>
        <v>0</v>
      </c>
      <c r="R100" s="38">
        <f t="shared" ref="R100" si="229">SUM(R96:R99)</f>
        <v>0</v>
      </c>
      <c r="S100" s="31">
        <f t="shared" ref="S100" si="230">SUM(S96:S99)</f>
        <v>4</v>
      </c>
      <c r="T100" s="38">
        <f t="shared" ref="T100" si="231">SUM(T96:T99)</f>
        <v>0.562944</v>
      </c>
      <c r="U100" s="31">
        <f t="shared" ref="U100" si="232">SUM(U96:U99)</f>
        <v>-1</v>
      </c>
      <c r="V100" s="38">
        <f t="shared" ref="V100" si="233">SUM(V96:V99)</f>
        <v>-0.15392999999999996</v>
      </c>
      <c r="X100" s="29"/>
    </row>
    <row r="101" spans="1:24">
      <c r="A101" s="26" t="s">
        <v>13</v>
      </c>
      <c r="B101" s="26" t="s">
        <v>125</v>
      </c>
      <c r="C101" s="30">
        <v>27.3</v>
      </c>
      <c r="D101" s="27">
        <v>9.1</v>
      </c>
      <c r="E101" s="28">
        <v>8</v>
      </c>
      <c r="F101" s="16">
        <f>(C101*D101*E101/1000)</f>
        <v>1.9874400000000001</v>
      </c>
      <c r="G101" s="17" t="s">
        <v>111</v>
      </c>
      <c r="H101" s="18">
        <v>8</v>
      </c>
      <c r="I101" s="19">
        <f>(C101*D101*H101/1000)</f>
        <v>1.9874400000000001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>+H101+K101+Q101</f>
        <v>8</v>
      </c>
      <c r="T101" s="19">
        <f>+I101+L101+R101</f>
        <v>1.9874400000000001</v>
      </c>
      <c r="U101" s="21">
        <f>E101-S101</f>
        <v>0</v>
      </c>
      <c r="V101" s="19">
        <f>F101-T101</f>
        <v>0</v>
      </c>
      <c r="X101" s="29"/>
    </row>
    <row r="102" spans="1:24">
      <c r="A102" s="36"/>
      <c r="B102" s="36"/>
      <c r="C102" s="30"/>
      <c r="D102" s="38"/>
      <c r="E102" s="31">
        <f t="shared" ref="E102:F102" si="234">SUM(E101)</f>
        <v>8</v>
      </c>
      <c r="F102" s="38">
        <f t="shared" si="234"/>
        <v>1.9874400000000001</v>
      </c>
      <c r="G102" s="17" t="s">
        <v>196</v>
      </c>
      <c r="H102" s="31">
        <f t="shared" ref="H102" si="235">SUM(H101)</f>
        <v>8</v>
      </c>
      <c r="I102" s="38">
        <f t="shared" ref="I102" si="236">SUM(I101)</f>
        <v>1.9874400000000001</v>
      </c>
      <c r="J102" s="16"/>
      <c r="K102" s="31">
        <f t="shared" ref="K102" si="237">SUM(K101)</f>
        <v>0</v>
      </c>
      <c r="L102" s="38">
        <f t="shared" ref="L102" si="238">SUM(L101)</f>
        <v>0</v>
      </c>
      <c r="M102" s="16"/>
      <c r="N102" s="31">
        <f t="shared" ref="N102" si="239">SUM(N101)</f>
        <v>0</v>
      </c>
      <c r="O102" s="38">
        <f t="shared" ref="O102" si="240">SUM(O101)</f>
        <v>0</v>
      </c>
      <c r="P102" s="16"/>
      <c r="Q102" s="31">
        <f t="shared" ref="Q102" si="241">SUM(Q101)</f>
        <v>0</v>
      </c>
      <c r="R102" s="38">
        <f t="shared" ref="R102" si="242">SUM(R101)</f>
        <v>0</v>
      </c>
      <c r="S102" s="31">
        <f t="shared" ref="S102" si="243">SUM(S101)</f>
        <v>8</v>
      </c>
      <c r="T102" s="38">
        <f t="shared" ref="T102" si="244">SUM(T101)</f>
        <v>1.9874400000000001</v>
      </c>
      <c r="U102" s="31">
        <f t="shared" ref="U102" si="245">SUM(U101)</f>
        <v>0</v>
      </c>
      <c r="V102" s="38">
        <f t="shared" ref="V102" si="246">SUM(V101)</f>
        <v>0</v>
      </c>
      <c r="X102" s="29"/>
    </row>
    <row r="103" spans="1:24">
      <c r="A103" s="26" t="s">
        <v>13</v>
      </c>
      <c r="B103" s="26" t="s">
        <v>127</v>
      </c>
      <c r="C103" s="30">
        <v>35.840000000000003</v>
      </c>
      <c r="D103" s="27">
        <v>6.8</v>
      </c>
      <c r="E103" s="28">
        <v>6</v>
      </c>
      <c r="F103" s="16">
        <f t="shared" ref="F103:F104" si="247">(C103*D103*E103/1000)</f>
        <v>1.4622720000000002</v>
      </c>
      <c r="G103" s="16" t="s">
        <v>89</v>
      </c>
      <c r="H103" s="18">
        <v>6</v>
      </c>
      <c r="I103" s="19">
        <f t="shared" ref="I103:I104" si="248">(C103*D103*H103/1000)</f>
        <v>1.4622720000000002</v>
      </c>
      <c r="J103" s="16"/>
      <c r="K103" s="18"/>
      <c r="L103" s="19">
        <f t="shared" ref="L103:L104" si="249">(C103*D103*K103/1000)</f>
        <v>0</v>
      </c>
      <c r="M103" s="16"/>
      <c r="N103" s="18"/>
      <c r="O103" s="19">
        <f t="shared" ref="O103:O104" si="250">(C103*D103*N103/1000)</f>
        <v>0</v>
      </c>
      <c r="P103" s="16"/>
      <c r="Q103" s="18"/>
      <c r="R103" s="19">
        <f t="shared" ref="R103:R104" si="251">(C103*D103*Q103/1000)</f>
        <v>0</v>
      </c>
      <c r="S103" s="20">
        <f t="shared" ref="S103:S104" si="252">+H103+K103+Q103</f>
        <v>6</v>
      </c>
      <c r="T103" s="19">
        <f t="shared" ref="T103:T104" si="253">+I103+L103+R103</f>
        <v>1.4622720000000002</v>
      </c>
      <c r="U103" s="21">
        <f t="shared" ref="U103:U104" si="254">E103-S103</f>
        <v>0</v>
      </c>
      <c r="V103" s="19">
        <f t="shared" ref="V103:V104" si="255">F103-T103</f>
        <v>0</v>
      </c>
      <c r="X103" s="29"/>
    </row>
    <row r="104" spans="1:24">
      <c r="A104" s="26" t="s">
        <v>13</v>
      </c>
      <c r="B104" s="26" t="s">
        <v>127</v>
      </c>
      <c r="C104" s="30">
        <v>35.840000000000003</v>
      </c>
      <c r="D104" s="27">
        <v>10</v>
      </c>
      <c r="E104" s="28">
        <v>3</v>
      </c>
      <c r="F104" s="16">
        <f t="shared" si="247"/>
        <v>1.0752000000000002</v>
      </c>
      <c r="G104" s="16" t="s">
        <v>195</v>
      </c>
      <c r="H104" s="18">
        <v>3</v>
      </c>
      <c r="I104" s="19">
        <f t="shared" si="248"/>
        <v>1.0752000000000002</v>
      </c>
      <c r="J104" s="16"/>
      <c r="K104" s="18"/>
      <c r="L104" s="19">
        <f t="shared" si="249"/>
        <v>0</v>
      </c>
      <c r="M104" s="16"/>
      <c r="N104" s="18"/>
      <c r="O104" s="19">
        <f t="shared" si="250"/>
        <v>0</v>
      </c>
      <c r="P104" s="16"/>
      <c r="Q104" s="18"/>
      <c r="R104" s="19">
        <f t="shared" si="251"/>
        <v>0</v>
      </c>
      <c r="S104" s="20">
        <f t="shared" si="252"/>
        <v>3</v>
      </c>
      <c r="T104" s="19">
        <f t="shared" si="253"/>
        <v>1.0752000000000002</v>
      </c>
      <c r="U104" s="21">
        <f t="shared" si="254"/>
        <v>0</v>
      </c>
      <c r="V104" s="19">
        <f t="shared" si="255"/>
        <v>0</v>
      </c>
      <c r="X104" s="29"/>
    </row>
    <row r="105" spans="1:24">
      <c r="A105" s="36"/>
      <c r="B105" s="36"/>
      <c r="C105" s="30"/>
      <c r="D105" s="38"/>
      <c r="E105" s="31">
        <f t="shared" ref="E105:F105" si="256">SUM(E103:E104)</f>
        <v>9</v>
      </c>
      <c r="F105" s="38">
        <f t="shared" si="256"/>
        <v>2.5374720000000002</v>
      </c>
      <c r="G105" s="17"/>
      <c r="H105" s="31">
        <f t="shared" ref="H105" si="257">SUM(H103:H104)</f>
        <v>9</v>
      </c>
      <c r="I105" s="38">
        <f t="shared" ref="I105" si="258">SUM(I103:I104)</f>
        <v>2.5374720000000002</v>
      </c>
      <c r="J105" s="16"/>
      <c r="K105" s="31">
        <f t="shared" ref="K105" si="259">SUM(K103:K104)</f>
        <v>0</v>
      </c>
      <c r="L105" s="38">
        <f t="shared" ref="L105" si="260">SUM(L103:L104)</f>
        <v>0</v>
      </c>
      <c r="M105" s="16"/>
      <c r="N105" s="31">
        <f t="shared" ref="N105" si="261">SUM(N103:N104)</f>
        <v>0</v>
      </c>
      <c r="O105" s="38">
        <f t="shared" ref="O105" si="262">SUM(O103:O104)</f>
        <v>0</v>
      </c>
      <c r="P105" s="16"/>
      <c r="Q105" s="31">
        <f t="shared" ref="Q105" si="263">SUM(Q103:Q104)</f>
        <v>0</v>
      </c>
      <c r="R105" s="38">
        <f t="shared" ref="R105" si="264">SUM(R103:R104)</f>
        <v>0</v>
      </c>
      <c r="S105" s="31">
        <f t="shared" ref="S105" si="265">SUM(S103:S104)</f>
        <v>9</v>
      </c>
      <c r="T105" s="38">
        <f t="shared" ref="T105" si="266">SUM(T103:T104)</f>
        <v>2.5374720000000002</v>
      </c>
      <c r="U105" s="31">
        <f t="shared" ref="U105" si="267">SUM(U103:U104)</f>
        <v>0</v>
      </c>
      <c r="V105" s="38">
        <f t="shared" ref="V105" si="268">SUM(V103:V104)</f>
        <v>0</v>
      </c>
      <c r="X105" s="29"/>
    </row>
    <row r="106" spans="1:24">
      <c r="A106" s="26" t="s">
        <v>13</v>
      </c>
      <c r="B106" s="26" t="s">
        <v>34</v>
      </c>
      <c r="C106" s="30">
        <v>5.77</v>
      </c>
      <c r="D106" s="27">
        <v>9.6999999999999993</v>
      </c>
      <c r="E106" s="28">
        <v>4</v>
      </c>
      <c r="F106" s="16">
        <f t="shared" ref="F106:F108" si="269">(C106*D106*E106/1000)</f>
        <v>0.22387599999999996</v>
      </c>
      <c r="G106" s="17" t="s">
        <v>88</v>
      </c>
      <c r="H106" s="18"/>
      <c r="I106" s="19">
        <f t="shared" ref="I106:I108" si="270">(C106*D106*H106/1000)</f>
        <v>0</v>
      </c>
      <c r="J106" s="16"/>
      <c r="K106" s="18"/>
      <c r="L106" s="19">
        <f t="shared" ref="L106:L108" si="271">(C106*D106*K106/1000)</f>
        <v>0</v>
      </c>
      <c r="M106" s="16"/>
      <c r="N106" s="18"/>
      <c r="O106" s="19">
        <f t="shared" ref="O106:O108" si="272">(C106*D106*N106/1000)</f>
        <v>0</v>
      </c>
      <c r="P106" s="16"/>
      <c r="Q106" s="18"/>
      <c r="R106" s="19">
        <f t="shared" ref="R106:R108" si="273">(C106*D106*Q106/1000)</f>
        <v>0</v>
      </c>
      <c r="S106" s="20">
        <f t="shared" ref="S106:S108" si="274">+H106+K106+Q106</f>
        <v>0</v>
      </c>
      <c r="T106" s="19">
        <f t="shared" ref="T106:T108" si="275">+I106+L106+R106</f>
        <v>0</v>
      </c>
      <c r="U106" s="21">
        <f t="shared" ref="U106:U108" si="276">E106-S106</f>
        <v>4</v>
      </c>
      <c r="V106" s="19">
        <f t="shared" ref="V106:V108" si="277">F106-T106</f>
        <v>0.22387599999999996</v>
      </c>
      <c r="X106" s="29"/>
    </row>
    <row r="107" spans="1:24">
      <c r="A107" s="26" t="s">
        <v>13</v>
      </c>
      <c r="B107" s="26" t="s">
        <v>34</v>
      </c>
      <c r="C107" s="30">
        <v>5.77</v>
      </c>
      <c r="D107" s="27">
        <v>12</v>
      </c>
      <c r="E107" s="28">
        <f>21+25</f>
        <v>46</v>
      </c>
      <c r="F107" s="16">
        <f t="shared" ref="F107" si="278">(C107*D107*E107/1000)</f>
        <v>3.1850399999999999</v>
      </c>
      <c r="G107" s="17" t="s">
        <v>172</v>
      </c>
      <c r="H107" s="18">
        <v>48</v>
      </c>
      <c r="I107" s="19">
        <f t="shared" ref="I107" si="279">(C107*D107*H107/1000)</f>
        <v>3.3235199999999994</v>
      </c>
      <c r="J107" s="16"/>
      <c r="K107" s="18"/>
      <c r="L107" s="19">
        <f t="shared" ref="L107" si="280">(C107*D107*K107/1000)</f>
        <v>0</v>
      </c>
      <c r="M107" s="16"/>
      <c r="N107" s="18"/>
      <c r="O107" s="19">
        <f t="shared" ref="O107" si="281">(C107*D107*N107/1000)</f>
        <v>0</v>
      </c>
      <c r="P107" s="16"/>
      <c r="Q107" s="18"/>
      <c r="R107" s="19">
        <f t="shared" ref="R107" si="282">(C107*D107*Q107/1000)</f>
        <v>0</v>
      </c>
      <c r="S107" s="20">
        <f t="shared" ref="S107" si="283">+H107+K107+Q107</f>
        <v>48</v>
      </c>
      <c r="T107" s="19">
        <f t="shared" ref="T107" si="284">+I107+L107+R107</f>
        <v>3.3235199999999994</v>
      </c>
      <c r="U107" s="21">
        <f t="shared" ref="U107" si="285">E107-S107</f>
        <v>-2</v>
      </c>
      <c r="V107" s="19">
        <f t="shared" ref="V107" si="286">F107-T107</f>
        <v>-0.13847999999999949</v>
      </c>
      <c r="X107" s="29"/>
    </row>
    <row r="108" spans="1:24">
      <c r="A108" s="26" t="s">
        <v>13</v>
      </c>
      <c r="B108" s="26" t="s">
        <v>34</v>
      </c>
      <c r="C108" s="30">
        <v>5.77</v>
      </c>
      <c r="D108" s="27">
        <v>11.5</v>
      </c>
      <c r="E108" s="28"/>
      <c r="F108" s="16">
        <f t="shared" si="269"/>
        <v>0</v>
      </c>
      <c r="G108" s="17"/>
      <c r="H108" s="18">
        <v>2</v>
      </c>
      <c r="I108" s="19">
        <f t="shared" si="270"/>
        <v>0.13270999999999997</v>
      </c>
      <c r="J108" s="16"/>
      <c r="K108" s="18"/>
      <c r="L108" s="19">
        <f t="shared" si="271"/>
        <v>0</v>
      </c>
      <c r="M108" s="16"/>
      <c r="N108" s="18"/>
      <c r="O108" s="19">
        <f t="shared" si="272"/>
        <v>0</v>
      </c>
      <c r="P108" s="16"/>
      <c r="Q108" s="18"/>
      <c r="R108" s="19">
        <f t="shared" si="273"/>
        <v>0</v>
      </c>
      <c r="S108" s="20">
        <f t="shared" si="274"/>
        <v>2</v>
      </c>
      <c r="T108" s="19">
        <f t="shared" si="275"/>
        <v>0.13270999999999997</v>
      </c>
      <c r="U108" s="21">
        <f t="shared" si="276"/>
        <v>-2</v>
      </c>
      <c r="V108" s="19">
        <f t="shared" si="277"/>
        <v>-0.13270999999999997</v>
      </c>
      <c r="X108" s="29"/>
    </row>
    <row r="109" spans="1:24">
      <c r="A109" s="36"/>
      <c r="B109" s="36"/>
      <c r="C109" s="30"/>
      <c r="D109" s="38"/>
      <c r="E109" s="31">
        <f t="shared" ref="E109:F109" si="287">SUM(E106:E108)</f>
        <v>50</v>
      </c>
      <c r="F109" s="38">
        <f t="shared" si="287"/>
        <v>3.4089159999999996</v>
      </c>
      <c r="G109" s="17"/>
      <c r="H109" s="31">
        <f t="shared" ref="H109" si="288">SUM(H106:H108)</f>
        <v>50</v>
      </c>
      <c r="I109" s="38">
        <f t="shared" ref="I109" si="289">SUM(I106:I108)</f>
        <v>3.4562299999999992</v>
      </c>
      <c r="J109" s="16"/>
      <c r="K109" s="31">
        <f t="shared" ref="K109" si="290">SUM(K106:K108)</f>
        <v>0</v>
      </c>
      <c r="L109" s="38">
        <f t="shared" ref="L109" si="291">SUM(L106:L108)</f>
        <v>0</v>
      </c>
      <c r="M109" s="16"/>
      <c r="N109" s="31">
        <f t="shared" ref="N109" si="292">SUM(N106:N108)</f>
        <v>0</v>
      </c>
      <c r="O109" s="38">
        <f t="shared" ref="O109" si="293">SUM(O106:O108)</f>
        <v>0</v>
      </c>
      <c r="P109" s="16"/>
      <c r="Q109" s="31">
        <f t="shared" ref="Q109" si="294">SUM(Q106:Q108)</f>
        <v>0</v>
      </c>
      <c r="R109" s="38">
        <f t="shared" ref="R109" si="295">SUM(R106:R108)</f>
        <v>0</v>
      </c>
      <c r="S109" s="31">
        <f t="shared" ref="S109" si="296">SUM(S106:S108)</f>
        <v>50</v>
      </c>
      <c r="T109" s="38">
        <f t="shared" ref="T109" si="297">SUM(T106:T108)</f>
        <v>3.4562299999999992</v>
      </c>
      <c r="U109" s="31">
        <f t="shared" ref="U109" si="298">SUM(U106:U108)</f>
        <v>0</v>
      </c>
      <c r="V109" s="38">
        <f t="shared" ref="V109" si="299">SUM(V106:V108)</f>
        <v>-4.7313999999999495E-2</v>
      </c>
      <c r="X109" s="29"/>
    </row>
    <row r="110" spans="1:24">
      <c r="A110" s="26" t="s">
        <v>13</v>
      </c>
      <c r="B110" s="26" t="s">
        <v>35</v>
      </c>
      <c r="C110" s="30">
        <v>6.86</v>
      </c>
      <c r="D110" s="27">
        <v>10.5</v>
      </c>
      <c r="E110" s="28">
        <v>23</v>
      </c>
      <c r="F110" s="16">
        <f>(C110*D110*E110/1000)</f>
        <v>1.65669</v>
      </c>
      <c r="G110" s="17" t="s">
        <v>88</v>
      </c>
      <c r="H110" s="18">
        <v>23</v>
      </c>
      <c r="I110" s="19">
        <f>(C110*D110*H110/1000)</f>
        <v>1.65669</v>
      </c>
      <c r="J110" s="16"/>
      <c r="K110" s="18"/>
      <c r="L110" s="19">
        <f>(C110*D110*K110/1000)</f>
        <v>0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>+H110+K110+Q110</f>
        <v>23</v>
      </c>
      <c r="T110" s="19">
        <f>+I110+L110+R110</f>
        <v>1.65669</v>
      </c>
      <c r="U110" s="21">
        <f>E110-S110</f>
        <v>0</v>
      </c>
      <c r="V110" s="19">
        <f>F110-T110</f>
        <v>0</v>
      </c>
      <c r="X110" s="29"/>
    </row>
    <row r="111" spans="1:24">
      <c r="A111" s="36"/>
      <c r="B111" s="36"/>
      <c r="C111" s="30"/>
      <c r="D111" s="38"/>
      <c r="E111" s="31">
        <f t="shared" ref="E111:F111" si="300">SUM(E110)</f>
        <v>23</v>
      </c>
      <c r="F111" s="38">
        <f t="shared" si="300"/>
        <v>1.65669</v>
      </c>
      <c r="G111" s="17" t="s">
        <v>170</v>
      </c>
      <c r="H111" s="31">
        <f t="shared" ref="H111" si="301">SUM(H110)</f>
        <v>23</v>
      </c>
      <c r="I111" s="38">
        <f t="shared" ref="I111" si="302">SUM(I110)</f>
        <v>1.65669</v>
      </c>
      <c r="J111" s="16"/>
      <c r="K111" s="31">
        <f t="shared" ref="K111" si="303">SUM(K110)</f>
        <v>0</v>
      </c>
      <c r="L111" s="38">
        <f t="shared" ref="L111" si="304">SUM(L110)</f>
        <v>0</v>
      </c>
      <c r="M111" s="16"/>
      <c r="N111" s="31">
        <f t="shared" ref="N111" si="305">SUM(N110)</f>
        <v>0</v>
      </c>
      <c r="O111" s="38">
        <f t="shared" ref="O111" si="306">SUM(O110)</f>
        <v>0</v>
      </c>
      <c r="P111" s="16"/>
      <c r="Q111" s="31">
        <f t="shared" ref="Q111" si="307">SUM(Q110)</f>
        <v>0</v>
      </c>
      <c r="R111" s="38">
        <f t="shared" ref="R111" si="308">SUM(R110)</f>
        <v>0</v>
      </c>
      <c r="S111" s="31">
        <f t="shared" ref="S111" si="309">SUM(S110)</f>
        <v>23</v>
      </c>
      <c r="T111" s="38">
        <f t="shared" ref="T111" si="310">SUM(T110)</f>
        <v>1.65669</v>
      </c>
      <c r="U111" s="31">
        <f t="shared" ref="U111" si="311">SUM(U110)</f>
        <v>0</v>
      </c>
      <c r="V111" s="38">
        <f t="shared" ref="V111" si="312">SUM(V110)</f>
        <v>0</v>
      </c>
      <c r="X111" s="29"/>
    </row>
    <row r="112" spans="1:24">
      <c r="A112" s="26" t="s">
        <v>13</v>
      </c>
      <c r="B112" s="26" t="s">
        <v>57</v>
      </c>
      <c r="C112" s="30">
        <v>6.17</v>
      </c>
      <c r="D112" s="27">
        <v>10.199999999999999</v>
      </c>
      <c r="E112" s="28">
        <v>16</v>
      </c>
      <c r="F112" s="16">
        <f t="shared" ref="F112:F113" si="313">(C112*D112*E112/1000)</f>
        <v>1.0069440000000001</v>
      </c>
      <c r="G112" s="17" t="s">
        <v>89</v>
      </c>
      <c r="H112" s="18">
        <v>16</v>
      </c>
      <c r="I112" s="19">
        <f t="shared" ref="I112:I113" si="314">(C112*D112*H112/1000)</f>
        <v>1.0069440000000001</v>
      </c>
      <c r="J112" s="16"/>
      <c r="K112" s="18"/>
      <c r="L112" s="19">
        <f t="shared" ref="L112:L113" si="315">(C112*D112*K112/1000)</f>
        <v>0</v>
      </c>
      <c r="M112" s="16"/>
      <c r="N112" s="18"/>
      <c r="O112" s="19">
        <f t="shared" ref="O112:O113" si="316">(C112*D112*N112/1000)</f>
        <v>0</v>
      </c>
      <c r="P112" s="16"/>
      <c r="Q112" s="18"/>
      <c r="R112" s="19">
        <f t="shared" ref="R112:R113" si="317">(C112*D112*Q112/1000)</f>
        <v>0</v>
      </c>
      <c r="S112" s="20">
        <f t="shared" ref="S112:S113" si="318">+H112+K112+Q112</f>
        <v>16</v>
      </c>
      <c r="T112" s="19">
        <f t="shared" ref="T112:T113" si="319">+I112+L112+R112</f>
        <v>1.0069440000000001</v>
      </c>
      <c r="U112" s="21">
        <f t="shared" ref="U112:U113" si="320">E112-S112</f>
        <v>0</v>
      </c>
      <c r="V112" s="19">
        <f t="shared" ref="V112:V113" si="321">F112-T112</f>
        <v>0</v>
      </c>
      <c r="X112" s="29"/>
    </row>
    <row r="113" spans="1:24">
      <c r="A113" s="26" t="s">
        <v>13</v>
      </c>
      <c r="B113" s="26" t="s">
        <v>57</v>
      </c>
      <c r="C113" s="30">
        <v>6.17</v>
      </c>
      <c r="D113" s="27">
        <v>11.5</v>
      </c>
      <c r="E113" s="28">
        <v>28</v>
      </c>
      <c r="F113" s="16">
        <f t="shared" si="313"/>
        <v>1.98674</v>
      </c>
      <c r="G113" s="17" t="s">
        <v>179</v>
      </c>
      <c r="H113" s="18">
        <v>28</v>
      </c>
      <c r="I113" s="19">
        <f t="shared" si="314"/>
        <v>1.98674</v>
      </c>
      <c r="J113" s="16"/>
      <c r="K113" s="18"/>
      <c r="L113" s="19">
        <f t="shared" si="315"/>
        <v>0</v>
      </c>
      <c r="M113" s="16"/>
      <c r="N113" s="18"/>
      <c r="O113" s="19">
        <f t="shared" si="316"/>
        <v>0</v>
      </c>
      <c r="P113" s="16"/>
      <c r="Q113" s="18"/>
      <c r="R113" s="19">
        <f t="shared" si="317"/>
        <v>0</v>
      </c>
      <c r="S113" s="20">
        <f t="shared" si="318"/>
        <v>28</v>
      </c>
      <c r="T113" s="19">
        <f t="shared" si="319"/>
        <v>1.98674</v>
      </c>
      <c r="U113" s="21">
        <f t="shared" si="320"/>
        <v>0</v>
      </c>
      <c r="V113" s="19">
        <f t="shared" si="321"/>
        <v>0</v>
      </c>
      <c r="X113" s="29"/>
    </row>
    <row r="114" spans="1:24">
      <c r="A114" s="36"/>
      <c r="B114" s="36"/>
      <c r="C114" s="30"/>
      <c r="D114" s="38"/>
      <c r="E114" s="31">
        <f t="shared" ref="E114:F114" si="322">SUM(E112:E113)</f>
        <v>44</v>
      </c>
      <c r="F114" s="38">
        <f t="shared" si="322"/>
        <v>2.993684</v>
      </c>
      <c r="G114" s="17"/>
      <c r="H114" s="31">
        <f t="shared" ref="H114" si="323">SUM(H112:H113)</f>
        <v>44</v>
      </c>
      <c r="I114" s="38">
        <f t="shared" ref="I114" si="324">SUM(I112:I113)</f>
        <v>2.993684</v>
      </c>
      <c r="J114" s="16"/>
      <c r="K114" s="31">
        <f t="shared" ref="K114" si="325">SUM(K112:K113)</f>
        <v>0</v>
      </c>
      <c r="L114" s="38">
        <f t="shared" ref="L114" si="326">SUM(L112:L113)</f>
        <v>0</v>
      </c>
      <c r="M114" s="16"/>
      <c r="N114" s="31">
        <f t="shared" ref="N114" si="327">SUM(N112:N113)</f>
        <v>0</v>
      </c>
      <c r="O114" s="38">
        <f t="shared" ref="O114" si="328">SUM(O112:O113)</f>
        <v>0</v>
      </c>
      <c r="P114" s="16"/>
      <c r="Q114" s="31">
        <f t="shared" ref="Q114" si="329">SUM(Q112:Q113)</f>
        <v>0</v>
      </c>
      <c r="R114" s="38">
        <f t="shared" ref="R114" si="330">SUM(R112:R113)</f>
        <v>0</v>
      </c>
      <c r="S114" s="31">
        <f t="shared" ref="S114" si="331">SUM(S112:S113)</f>
        <v>44</v>
      </c>
      <c r="T114" s="38">
        <f t="shared" ref="T114" si="332">SUM(T112:T113)</f>
        <v>2.993684</v>
      </c>
      <c r="U114" s="31">
        <f t="shared" ref="U114" si="333">SUM(U112:U113)</f>
        <v>0</v>
      </c>
      <c r="V114" s="38">
        <f t="shared" ref="V114" si="334">SUM(V112:V113)</f>
        <v>0</v>
      </c>
      <c r="X114" s="29"/>
    </row>
    <row r="115" spans="1:24">
      <c r="A115" s="26" t="s">
        <v>13</v>
      </c>
      <c r="B115" s="26" t="s">
        <v>58</v>
      </c>
      <c r="C115" s="30">
        <v>7.36</v>
      </c>
      <c r="D115" s="27">
        <v>6.75</v>
      </c>
      <c r="E115" s="28">
        <v>21</v>
      </c>
      <c r="F115" s="16">
        <f t="shared" ref="F115:F116" si="335">(C115*D115*E115/1000)</f>
        <v>1.04328</v>
      </c>
      <c r="G115" s="17" t="s">
        <v>111</v>
      </c>
      <c r="H115" s="18">
        <v>21</v>
      </c>
      <c r="I115" s="19">
        <f t="shared" ref="I115:I116" si="336">(C115*D115*H115/1000)</f>
        <v>1.04328</v>
      </c>
      <c r="J115" s="16"/>
      <c r="K115" s="18"/>
      <c r="L115" s="19">
        <f t="shared" ref="L115:L116" si="337">(C115*D115*K115/1000)</f>
        <v>0</v>
      </c>
      <c r="M115" s="16"/>
      <c r="N115" s="18"/>
      <c r="O115" s="19">
        <f t="shared" ref="O115:O116" si="338">(C115*D115*N115/1000)</f>
        <v>0</v>
      </c>
      <c r="P115" s="16"/>
      <c r="Q115" s="18"/>
      <c r="R115" s="19">
        <f t="shared" ref="R115:R116" si="339">(C115*D115*Q115/1000)</f>
        <v>0</v>
      </c>
      <c r="S115" s="20">
        <f t="shared" ref="S115:S116" si="340">+H115+K115+Q115</f>
        <v>21</v>
      </c>
      <c r="T115" s="19">
        <f t="shared" ref="T115:T116" si="341">+I115+L115+R115</f>
        <v>1.04328</v>
      </c>
      <c r="U115" s="21">
        <f t="shared" ref="U115:U116" si="342">E115-S115</f>
        <v>0</v>
      </c>
      <c r="V115" s="19">
        <f t="shared" ref="V115:V116" si="343">F115-T115</f>
        <v>0</v>
      </c>
      <c r="X115" s="29"/>
    </row>
    <row r="116" spans="1:24">
      <c r="A116" s="26" t="s">
        <v>13</v>
      </c>
      <c r="B116" s="26" t="s">
        <v>58</v>
      </c>
      <c r="C116" s="30">
        <v>7.36</v>
      </c>
      <c r="D116" s="27">
        <v>12</v>
      </c>
      <c r="E116" s="28">
        <v>12</v>
      </c>
      <c r="F116" s="16">
        <f t="shared" si="335"/>
        <v>1.0598400000000001</v>
      </c>
      <c r="G116" s="17" t="s">
        <v>179</v>
      </c>
      <c r="H116" s="18">
        <v>12</v>
      </c>
      <c r="I116" s="19">
        <f t="shared" si="336"/>
        <v>1.0598400000000001</v>
      </c>
      <c r="J116" s="16"/>
      <c r="K116" s="18"/>
      <c r="L116" s="19">
        <f t="shared" si="337"/>
        <v>0</v>
      </c>
      <c r="M116" s="16"/>
      <c r="N116" s="18"/>
      <c r="O116" s="19">
        <f t="shared" si="338"/>
        <v>0</v>
      </c>
      <c r="P116" s="16"/>
      <c r="Q116" s="18"/>
      <c r="R116" s="19">
        <f t="shared" si="339"/>
        <v>0</v>
      </c>
      <c r="S116" s="20">
        <f t="shared" si="340"/>
        <v>12</v>
      </c>
      <c r="T116" s="19">
        <f t="shared" si="341"/>
        <v>1.0598400000000001</v>
      </c>
      <c r="U116" s="21">
        <f t="shared" si="342"/>
        <v>0</v>
      </c>
      <c r="V116" s="19">
        <f t="shared" si="343"/>
        <v>0</v>
      </c>
      <c r="X116" s="29"/>
    </row>
    <row r="117" spans="1:24">
      <c r="A117" s="36"/>
      <c r="B117" s="36"/>
      <c r="C117" s="30"/>
      <c r="D117" s="38"/>
      <c r="E117" s="31">
        <f t="shared" ref="E117:F117" si="344">SUM(E115:E116)</f>
        <v>33</v>
      </c>
      <c r="F117" s="38">
        <f t="shared" si="344"/>
        <v>2.1031200000000001</v>
      </c>
      <c r="G117" s="17"/>
      <c r="H117" s="31">
        <f t="shared" ref="H117" si="345">SUM(H115:H116)</f>
        <v>33</v>
      </c>
      <c r="I117" s="38">
        <f t="shared" ref="I117" si="346">SUM(I115:I116)</f>
        <v>2.1031200000000001</v>
      </c>
      <c r="J117" s="16"/>
      <c r="K117" s="31">
        <f t="shared" ref="K117" si="347">SUM(K115:K116)</f>
        <v>0</v>
      </c>
      <c r="L117" s="38">
        <f t="shared" ref="L117" si="348">SUM(L115:L116)</f>
        <v>0</v>
      </c>
      <c r="M117" s="16"/>
      <c r="N117" s="31">
        <f t="shared" ref="N117" si="349">SUM(N115:N116)</f>
        <v>0</v>
      </c>
      <c r="O117" s="38">
        <f t="shared" ref="O117" si="350">SUM(O115:O116)</f>
        <v>0</v>
      </c>
      <c r="P117" s="16"/>
      <c r="Q117" s="31">
        <f t="shared" ref="Q117" si="351">SUM(Q115:Q116)</f>
        <v>0</v>
      </c>
      <c r="R117" s="38">
        <f t="shared" ref="R117" si="352">SUM(R115:R116)</f>
        <v>0</v>
      </c>
      <c r="S117" s="31">
        <f t="shared" ref="S117" si="353">SUM(S115:S116)</f>
        <v>33</v>
      </c>
      <c r="T117" s="38">
        <f t="shared" ref="T117" si="354">SUM(T115:T116)</f>
        <v>2.1031200000000001</v>
      </c>
      <c r="U117" s="31">
        <f t="shared" ref="U117" si="355">SUM(U115:U116)</f>
        <v>0</v>
      </c>
      <c r="V117" s="38">
        <f t="shared" ref="V117" si="356">SUM(V115:V116)</f>
        <v>0</v>
      </c>
      <c r="X117" s="29"/>
    </row>
    <row r="118" spans="1:24">
      <c r="A118" s="26" t="s">
        <v>13</v>
      </c>
      <c r="B118" s="26" t="s">
        <v>26</v>
      </c>
      <c r="C118" s="30">
        <v>8.32</v>
      </c>
      <c r="D118" s="27">
        <v>9</v>
      </c>
      <c r="E118" s="28">
        <v>28</v>
      </c>
      <c r="F118" s="16">
        <f t="shared" ref="F118:F126" si="357">(C118*D118*E118/1000)</f>
        <v>2.0966399999999998</v>
      </c>
      <c r="G118" s="17" t="s">
        <v>93</v>
      </c>
      <c r="H118" s="18">
        <v>29</v>
      </c>
      <c r="I118" s="19">
        <f t="shared" ref="I118:I126" si="358">(C118*D118*H118/1000)</f>
        <v>2.1715200000000001</v>
      </c>
      <c r="J118" s="16"/>
      <c r="K118" s="18"/>
      <c r="L118" s="19">
        <f t="shared" ref="L118:L126" si="359">(C118*D118*K118/1000)</f>
        <v>0</v>
      </c>
      <c r="M118" s="16"/>
      <c r="N118" s="18"/>
      <c r="O118" s="19">
        <f t="shared" ref="O118:O126" si="360">(C118*D118*N118/1000)</f>
        <v>0</v>
      </c>
      <c r="P118" s="16"/>
      <c r="Q118" s="18"/>
      <c r="R118" s="19">
        <f t="shared" ref="R118:R126" si="361">(C118*D118*Q118/1000)</f>
        <v>0</v>
      </c>
      <c r="S118" s="20">
        <f t="shared" ref="S118:S126" si="362">+H118+K118+Q118</f>
        <v>29</v>
      </c>
      <c r="T118" s="19">
        <f t="shared" ref="T118:T126" si="363">+I118+L118+R118</f>
        <v>2.1715200000000001</v>
      </c>
      <c r="U118" s="21">
        <f t="shared" ref="U118:U126" si="364">E118-S118</f>
        <v>-1</v>
      </c>
      <c r="V118" s="19">
        <f t="shared" ref="V118:V126" si="365">F118-T118</f>
        <v>-7.488000000000028E-2</v>
      </c>
      <c r="X118" s="29"/>
    </row>
    <row r="119" spans="1:24">
      <c r="A119" s="26" t="s">
        <v>13</v>
      </c>
      <c r="B119" s="26" t="s">
        <v>26</v>
      </c>
      <c r="C119" s="30">
        <v>8.32</v>
      </c>
      <c r="D119" s="27">
        <v>11.5</v>
      </c>
      <c r="E119" s="28">
        <v>21</v>
      </c>
      <c r="F119" s="16">
        <f t="shared" si="357"/>
        <v>2.0092800000000004</v>
      </c>
      <c r="G119" s="17" t="s">
        <v>170</v>
      </c>
      <c r="H119" s="18">
        <v>18</v>
      </c>
      <c r="I119" s="19">
        <f t="shared" si="358"/>
        <v>1.7222400000000002</v>
      </c>
      <c r="J119" s="16"/>
      <c r="K119" s="18"/>
      <c r="L119" s="19">
        <f t="shared" si="359"/>
        <v>0</v>
      </c>
      <c r="M119" s="16"/>
      <c r="N119" s="18"/>
      <c r="O119" s="19">
        <f t="shared" si="360"/>
        <v>0</v>
      </c>
      <c r="P119" s="16"/>
      <c r="Q119" s="18"/>
      <c r="R119" s="19">
        <f t="shared" si="361"/>
        <v>0</v>
      </c>
      <c r="S119" s="20">
        <f t="shared" si="362"/>
        <v>18</v>
      </c>
      <c r="T119" s="19">
        <f t="shared" si="363"/>
        <v>1.7222400000000002</v>
      </c>
      <c r="U119" s="21">
        <f t="shared" si="364"/>
        <v>3</v>
      </c>
      <c r="V119" s="19">
        <f t="shared" si="365"/>
        <v>0.28704000000000018</v>
      </c>
      <c r="X119" s="29"/>
    </row>
    <row r="120" spans="1:24">
      <c r="A120" s="26" t="s">
        <v>13</v>
      </c>
      <c r="B120" s="26" t="s">
        <v>26</v>
      </c>
      <c r="C120" s="30">
        <v>8.32</v>
      </c>
      <c r="D120" s="27">
        <v>12</v>
      </c>
      <c r="E120" s="28">
        <v>36</v>
      </c>
      <c r="F120" s="16">
        <f t="shared" ref="F120:F125" si="366">(C120*D120*E120/1000)</f>
        <v>3.5942400000000001</v>
      </c>
      <c r="G120" s="17"/>
      <c r="H120" s="18">
        <f>11+33</f>
        <v>44</v>
      </c>
      <c r="I120" s="19">
        <f t="shared" ref="I120:I125" si="367">(C120*D120*H120/1000)</f>
        <v>4.3929600000000004</v>
      </c>
      <c r="J120" s="16"/>
      <c r="K120" s="18"/>
      <c r="L120" s="19">
        <f t="shared" ref="L120:L125" si="368">(C120*D120*K120/1000)</f>
        <v>0</v>
      </c>
      <c r="M120" s="16"/>
      <c r="N120" s="18"/>
      <c r="O120" s="19">
        <f t="shared" ref="O120:O125" si="369">(C120*D120*N120/1000)</f>
        <v>0</v>
      </c>
      <c r="P120" s="16"/>
      <c r="Q120" s="18"/>
      <c r="R120" s="19">
        <f t="shared" ref="R120:R125" si="370">(C120*D120*Q120/1000)</f>
        <v>0</v>
      </c>
      <c r="S120" s="20">
        <f t="shared" ref="S120:S125" si="371">+H120+K120+Q120</f>
        <v>44</v>
      </c>
      <c r="T120" s="19">
        <f t="shared" ref="T120:T125" si="372">+I120+L120+R120</f>
        <v>4.3929600000000004</v>
      </c>
      <c r="U120" s="21">
        <f t="shared" ref="U120:U125" si="373">E120-S120</f>
        <v>-8</v>
      </c>
      <c r="V120" s="19">
        <f t="shared" ref="V120:V125" si="374">F120-T120</f>
        <v>-0.79872000000000032</v>
      </c>
      <c r="X120" s="29"/>
    </row>
    <row r="121" spans="1:24">
      <c r="A121" s="26" t="s">
        <v>13</v>
      </c>
      <c r="B121" s="26" t="s">
        <v>26</v>
      </c>
      <c r="C121" s="30">
        <v>8.32</v>
      </c>
      <c r="D121" s="27">
        <v>10</v>
      </c>
      <c r="E121" s="28"/>
      <c r="F121" s="16">
        <f t="shared" si="366"/>
        <v>0</v>
      </c>
      <c r="G121" s="17"/>
      <c r="H121" s="18">
        <v>8</v>
      </c>
      <c r="I121" s="19">
        <f t="shared" si="367"/>
        <v>0.66559999999999997</v>
      </c>
      <c r="J121" s="16"/>
      <c r="K121" s="18"/>
      <c r="L121" s="19">
        <f t="shared" si="368"/>
        <v>0</v>
      </c>
      <c r="M121" s="16"/>
      <c r="N121" s="18"/>
      <c r="O121" s="19">
        <f t="shared" si="369"/>
        <v>0</v>
      </c>
      <c r="P121" s="16"/>
      <c r="Q121" s="18"/>
      <c r="R121" s="19">
        <f t="shared" si="370"/>
        <v>0</v>
      </c>
      <c r="S121" s="20">
        <f t="shared" si="371"/>
        <v>8</v>
      </c>
      <c r="T121" s="19">
        <f t="shared" si="372"/>
        <v>0.66559999999999997</v>
      </c>
      <c r="U121" s="21">
        <f t="shared" si="373"/>
        <v>-8</v>
      </c>
      <c r="V121" s="19">
        <f t="shared" si="374"/>
        <v>-0.66559999999999997</v>
      </c>
      <c r="X121" s="29"/>
    </row>
    <row r="122" spans="1:24">
      <c r="A122" s="26" t="s">
        <v>13</v>
      </c>
      <c r="B122" s="26" t="s">
        <v>26</v>
      </c>
      <c r="C122" s="30">
        <v>8.32</v>
      </c>
      <c r="D122" s="27">
        <v>11</v>
      </c>
      <c r="E122" s="28"/>
      <c r="F122" s="16">
        <f t="shared" si="366"/>
        <v>0</v>
      </c>
      <c r="G122" s="17"/>
      <c r="H122" s="18">
        <v>1</v>
      </c>
      <c r="I122" s="19">
        <f t="shared" si="367"/>
        <v>9.1520000000000004E-2</v>
      </c>
      <c r="J122" s="16"/>
      <c r="K122" s="18"/>
      <c r="L122" s="19">
        <f t="shared" si="368"/>
        <v>0</v>
      </c>
      <c r="M122" s="16"/>
      <c r="N122" s="18"/>
      <c r="O122" s="19">
        <f t="shared" si="369"/>
        <v>0</v>
      </c>
      <c r="P122" s="16"/>
      <c r="Q122" s="18"/>
      <c r="R122" s="19">
        <f t="shared" si="370"/>
        <v>0</v>
      </c>
      <c r="S122" s="20">
        <f t="shared" si="371"/>
        <v>1</v>
      </c>
      <c r="T122" s="19">
        <f t="shared" si="372"/>
        <v>9.1520000000000004E-2</v>
      </c>
      <c r="U122" s="21">
        <f t="shared" si="373"/>
        <v>-1</v>
      </c>
      <c r="V122" s="19">
        <f t="shared" si="374"/>
        <v>-9.1520000000000004E-2</v>
      </c>
      <c r="X122" s="29"/>
    </row>
    <row r="123" spans="1:24">
      <c r="A123" s="26" t="s">
        <v>13</v>
      </c>
      <c r="B123" s="26" t="s">
        <v>171</v>
      </c>
      <c r="C123" s="30">
        <v>6.97</v>
      </c>
      <c r="D123" s="27">
        <v>10</v>
      </c>
      <c r="E123" s="28">
        <v>8</v>
      </c>
      <c r="F123" s="16">
        <f t="shared" si="366"/>
        <v>0.55759999999999998</v>
      </c>
      <c r="G123" s="17"/>
      <c r="H123" s="18"/>
      <c r="I123" s="19">
        <f t="shared" si="367"/>
        <v>0</v>
      </c>
      <c r="J123" s="16"/>
      <c r="K123" s="18"/>
      <c r="L123" s="19">
        <f t="shared" si="368"/>
        <v>0</v>
      </c>
      <c r="M123" s="16"/>
      <c r="N123" s="18"/>
      <c r="O123" s="19">
        <f t="shared" si="369"/>
        <v>0</v>
      </c>
      <c r="P123" s="16"/>
      <c r="Q123" s="18"/>
      <c r="R123" s="19">
        <f t="shared" si="370"/>
        <v>0</v>
      </c>
      <c r="S123" s="20">
        <f t="shared" si="371"/>
        <v>0</v>
      </c>
      <c r="T123" s="19">
        <f t="shared" si="372"/>
        <v>0</v>
      </c>
      <c r="U123" s="21">
        <f t="shared" si="373"/>
        <v>8</v>
      </c>
      <c r="V123" s="19">
        <f t="shared" si="374"/>
        <v>0.55759999999999998</v>
      </c>
      <c r="X123" s="29"/>
    </row>
    <row r="124" spans="1:24">
      <c r="A124" s="26" t="s">
        <v>13</v>
      </c>
      <c r="B124" s="26" t="s">
        <v>171</v>
      </c>
      <c r="C124" s="30">
        <v>6.97</v>
      </c>
      <c r="D124" s="27">
        <v>11.5</v>
      </c>
      <c r="E124" s="28">
        <v>6</v>
      </c>
      <c r="F124" s="16">
        <f t="shared" si="366"/>
        <v>0.48093000000000002</v>
      </c>
      <c r="G124" s="17"/>
      <c r="H124" s="18"/>
      <c r="I124" s="19">
        <f t="shared" si="367"/>
        <v>0</v>
      </c>
      <c r="J124" s="16"/>
      <c r="K124" s="18"/>
      <c r="L124" s="19">
        <f t="shared" si="368"/>
        <v>0</v>
      </c>
      <c r="M124" s="16"/>
      <c r="N124" s="18"/>
      <c r="O124" s="19">
        <f t="shared" si="369"/>
        <v>0</v>
      </c>
      <c r="P124" s="16"/>
      <c r="Q124" s="18"/>
      <c r="R124" s="19">
        <f t="shared" si="370"/>
        <v>0</v>
      </c>
      <c r="S124" s="20">
        <f t="shared" si="371"/>
        <v>0</v>
      </c>
      <c r="T124" s="19">
        <f t="shared" si="372"/>
        <v>0</v>
      </c>
      <c r="U124" s="21">
        <f t="shared" si="373"/>
        <v>6</v>
      </c>
      <c r="V124" s="19">
        <f t="shared" si="374"/>
        <v>0.48093000000000002</v>
      </c>
      <c r="X124" s="29"/>
    </row>
    <row r="125" spans="1:24">
      <c r="A125" s="26" t="s">
        <v>13</v>
      </c>
      <c r="B125" s="26" t="s">
        <v>26</v>
      </c>
      <c r="C125" s="30">
        <v>8.32</v>
      </c>
      <c r="D125" s="27"/>
      <c r="E125" s="28"/>
      <c r="F125" s="16">
        <f t="shared" si="366"/>
        <v>0</v>
      </c>
      <c r="G125" s="17"/>
      <c r="H125" s="18"/>
      <c r="I125" s="19">
        <f t="shared" si="367"/>
        <v>0</v>
      </c>
      <c r="J125" s="16"/>
      <c r="K125" s="18"/>
      <c r="L125" s="19">
        <f t="shared" si="368"/>
        <v>0</v>
      </c>
      <c r="M125" s="16"/>
      <c r="N125" s="18"/>
      <c r="O125" s="19">
        <f t="shared" si="369"/>
        <v>0</v>
      </c>
      <c r="P125" s="16"/>
      <c r="Q125" s="18"/>
      <c r="R125" s="19">
        <f t="shared" si="370"/>
        <v>0</v>
      </c>
      <c r="S125" s="20">
        <f t="shared" si="371"/>
        <v>0</v>
      </c>
      <c r="T125" s="19">
        <f t="shared" si="372"/>
        <v>0</v>
      </c>
      <c r="U125" s="21">
        <f t="shared" si="373"/>
        <v>0</v>
      </c>
      <c r="V125" s="19">
        <f t="shared" si="374"/>
        <v>0</v>
      </c>
      <c r="X125" s="29"/>
    </row>
    <row r="126" spans="1:24">
      <c r="A126" s="26" t="s">
        <v>13</v>
      </c>
      <c r="B126" s="26" t="s">
        <v>26</v>
      </c>
      <c r="C126" s="30">
        <v>8.32</v>
      </c>
      <c r="D126" s="27"/>
      <c r="E126" s="28"/>
      <c r="F126" s="16">
        <f t="shared" si="357"/>
        <v>0</v>
      </c>
      <c r="G126" s="17"/>
      <c r="H126" s="18"/>
      <c r="I126" s="19">
        <f t="shared" si="358"/>
        <v>0</v>
      </c>
      <c r="J126" s="16"/>
      <c r="K126" s="18"/>
      <c r="L126" s="19">
        <f t="shared" si="359"/>
        <v>0</v>
      </c>
      <c r="M126" s="16"/>
      <c r="N126" s="18"/>
      <c r="O126" s="19">
        <f t="shared" si="360"/>
        <v>0</v>
      </c>
      <c r="P126" s="16"/>
      <c r="Q126" s="18"/>
      <c r="R126" s="19">
        <f t="shared" si="361"/>
        <v>0</v>
      </c>
      <c r="S126" s="20">
        <f t="shared" si="362"/>
        <v>0</v>
      </c>
      <c r="T126" s="19">
        <f t="shared" si="363"/>
        <v>0</v>
      </c>
      <c r="U126" s="21">
        <f t="shared" si="364"/>
        <v>0</v>
      </c>
      <c r="V126" s="19">
        <f t="shared" si="365"/>
        <v>0</v>
      </c>
      <c r="X126" s="29"/>
    </row>
    <row r="127" spans="1:24">
      <c r="A127" s="36"/>
      <c r="B127" s="36"/>
      <c r="C127" s="30"/>
      <c r="D127" s="38"/>
      <c r="E127" s="31">
        <f>SUM(E118:E126)</f>
        <v>99</v>
      </c>
      <c r="F127" s="38">
        <f>SUM(F118:F126)</f>
        <v>8.7386900000000018</v>
      </c>
      <c r="G127" s="17"/>
      <c r="H127" s="31">
        <f>SUM(H118:H126)</f>
        <v>100</v>
      </c>
      <c r="I127" s="38">
        <f>SUM(I118:I126)</f>
        <v>9.0438399999999994</v>
      </c>
      <c r="J127" s="16"/>
      <c r="K127" s="31">
        <f>SUM(K118:K126)</f>
        <v>0</v>
      </c>
      <c r="L127" s="38">
        <f>SUM(L118:L126)</f>
        <v>0</v>
      </c>
      <c r="M127" s="16"/>
      <c r="N127" s="31">
        <f>SUM(N118:N126)</f>
        <v>0</v>
      </c>
      <c r="O127" s="38">
        <f>SUM(O118:O126)</f>
        <v>0</v>
      </c>
      <c r="P127" s="16"/>
      <c r="Q127" s="31">
        <f t="shared" ref="Q127:V127" si="375">SUM(Q118:Q126)</f>
        <v>0</v>
      </c>
      <c r="R127" s="38">
        <f t="shared" si="375"/>
        <v>0</v>
      </c>
      <c r="S127" s="31">
        <f t="shared" si="375"/>
        <v>100</v>
      </c>
      <c r="T127" s="38">
        <f t="shared" si="375"/>
        <v>9.0438399999999994</v>
      </c>
      <c r="U127" s="31">
        <f t="shared" si="375"/>
        <v>-1</v>
      </c>
      <c r="V127" s="38">
        <f t="shared" si="375"/>
        <v>-0.30515000000000042</v>
      </c>
      <c r="X127" s="29"/>
    </row>
    <row r="128" spans="1:24">
      <c r="A128" s="26" t="s">
        <v>14</v>
      </c>
      <c r="B128" s="26" t="s">
        <v>26</v>
      </c>
      <c r="C128" s="30">
        <v>8.32</v>
      </c>
      <c r="D128" s="27">
        <v>10</v>
      </c>
      <c r="E128" s="28">
        <v>6</v>
      </c>
      <c r="F128" s="16">
        <f>(C128*D128*E128/1000)</f>
        <v>0.49920000000000003</v>
      </c>
      <c r="G128" s="16" t="s">
        <v>89</v>
      </c>
      <c r="H128" s="18"/>
      <c r="I128" s="19">
        <f>(C128*D128*H128/1000)</f>
        <v>0</v>
      </c>
      <c r="J128" s="16"/>
      <c r="K128" s="18"/>
      <c r="L128" s="19">
        <f>(C128*D128*K128/1000)</f>
        <v>0</v>
      </c>
      <c r="M128" s="16"/>
      <c r="N128" s="18"/>
      <c r="O128" s="19">
        <f>(C128*D128*N128/1000)</f>
        <v>0</v>
      </c>
      <c r="P128" s="16"/>
      <c r="Q128" s="18"/>
      <c r="R128" s="19">
        <f>(C128*D128*Q128/1000)</f>
        <v>0</v>
      </c>
      <c r="S128" s="20">
        <f>+H128+K128+Q128</f>
        <v>0</v>
      </c>
      <c r="T128" s="19">
        <f>+I128+L128+R128</f>
        <v>0</v>
      </c>
      <c r="U128" s="21">
        <f>E128-S128</f>
        <v>6</v>
      </c>
      <c r="V128" s="19">
        <f>F128-T128</f>
        <v>0.49920000000000003</v>
      </c>
      <c r="X128" s="29"/>
    </row>
    <row r="129" spans="1:24">
      <c r="A129" s="26" t="s">
        <v>14</v>
      </c>
      <c r="B129" s="26" t="s">
        <v>26</v>
      </c>
      <c r="C129" s="30">
        <v>8.32</v>
      </c>
      <c r="D129" s="27">
        <v>10.5</v>
      </c>
      <c r="E129" s="28"/>
      <c r="F129" s="16">
        <f>(C129*D129*E129/1000)</f>
        <v>0</v>
      </c>
      <c r="G129" s="16" t="s">
        <v>195</v>
      </c>
      <c r="H129" s="18">
        <v>6</v>
      </c>
      <c r="I129" s="19">
        <f>(C129*D129*H129/1000)</f>
        <v>0.52415999999999996</v>
      </c>
      <c r="J129" s="16"/>
      <c r="K129" s="18"/>
      <c r="L129" s="19">
        <f>(C129*D129*K129/1000)</f>
        <v>0</v>
      </c>
      <c r="M129" s="16"/>
      <c r="N129" s="18"/>
      <c r="O129" s="19">
        <f>(C129*D129*N129/1000)</f>
        <v>0</v>
      </c>
      <c r="P129" s="16"/>
      <c r="Q129" s="18"/>
      <c r="R129" s="19">
        <f>(C129*D129*Q129/1000)</f>
        <v>0</v>
      </c>
      <c r="S129" s="20">
        <f>+H129+K129+Q129</f>
        <v>6</v>
      </c>
      <c r="T129" s="19">
        <f>+I129+L129+R129</f>
        <v>0.52415999999999996</v>
      </c>
      <c r="U129" s="21">
        <f>E129-S129</f>
        <v>-6</v>
      </c>
      <c r="V129" s="19">
        <f>F129-T129</f>
        <v>-0.52415999999999996</v>
      </c>
      <c r="X129" s="29"/>
    </row>
    <row r="130" spans="1:24">
      <c r="A130" s="36"/>
      <c r="B130" s="36"/>
      <c r="C130" s="30"/>
      <c r="D130" s="38"/>
      <c r="E130" s="31">
        <f t="shared" ref="E130:F130" si="376">SUM(E128:E129)</f>
        <v>6</v>
      </c>
      <c r="F130" s="38">
        <f t="shared" si="376"/>
        <v>0.49920000000000003</v>
      </c>
      <c r="G130" s="16"/>
      <c r="H130" s="31">
        <f t="shared" ref="H130" si="377">SUM(H128:H129)</f>
        <v>6</v>
      </c>
      <c r="I130" s="38">
        <f t="shared" ref="I130" si="378">SUM(I128:I129)</f>
        <v>0.52415999999999996</v>
      </c>
      <c r="J130" s="16"/>
      <c r="K130" s="31">
        <f t="shared" ref="K130" si="379">SUM(K128:K129)</f>
        <v>0</v>
      </c>
      <c r="L130" s="38">
        <f t="shared" ref="L130" si="380">SUM(L128:L129)</f>
        <v>0</v>
      </c>
      <c r="M130" s="16"/>
      <c r="N130" s="31">
        <f t="shared" ref="N130" si="381">SUM(N128:N129)</f>
        <v>0</v>
      </c>
      <c r="O130" s="38">
        <f t="shared" ref="O130" si="382">SUM(O128:O129)</f>
        <v>0</v>
      </c>
      <c r="P130" s="16"/>
      <c r="Q130" s="31">
        <f t="shared" ref="Q130" si="383">SUM(Q128:Q129)</f>
        <v>0</v>
      </c>
      <c r="R130" s="38">
        <f t="shared" ref="R130" si="384">SUM(R128:R129)</f>
        <v>0</v>
      </c>
      <c r="S130" s="31">
        <f t="shared" ref="S130" si="385">SUM(S128:S129)</f>
        <v>6</v>
      </c>
      <c r="T130" s="38">
        <f t="shared" ref="T130" si="386">SUM(T128:T129)</f>
        <v>0.52415999999999996</v>
      </c>
      <c r="U130" s="31">
        <f t="shared" ref="U130" si="387">SUM(U128:U129)</f>
        <v>0</v>
      </c>
      <c r="V130" s="38">
        <f t="shared" ref="V130" si="388">SUM(V128:V129)</f>
        <v>-2.4959999999999927E-2</v>
      </c>
      <c r="X130" s="29"/>
    </row>
    <row r="131" spans="1:24">
      <c r="A131" s="26" t="s">
        <v>14</v>
      </c>
      <c r="B131" s="26" t="s">
        <v>157</v>
      </c>
      <c r="C131" s="30">
        <v>9.61</v>
      </c>
      <c r="D131" s="27">
        <v>10.5</v>
      </c>
      <c r="E131" s="28">
        <v>2</v>
      </c>
      <c r="F131" s="16">
        <f t="shared" ref="F131:F133" si="389">(C131*D131*E131/1000)</f>
        <v>0.20180999999999999</v>
      </c>
      <c r="G131" s="17" t="s">
        <v>89</v>
      </c>
      <c r="H131" s="18">
        <v>1</v>
      </c>
      <c r="I131" s="19">
        <f t="shared" ref="I131:I133" si="390">(C131*D131*H131/1000)</f>
        <v>0.10090499999999999</v>
      </c>
      <c r="J131" s="16"/>
      <c r="K131" s="18"/>
      <c r="L131" s="19">
        <f t="shared" ref="L131:L133" si="391">(C131*D131*K131/1000)</f>
        <v>0</v>
      </c>
      <c r="M131" s="16"/>
      <c r="N131" s="18"/>
      <c r="O131" s="19">
        <f t="shared" ref="O131:O133" si="392">(C131*D131*N131/1000)</f>
        <v>0</v>
      </c>
      <c r="P131" s="16"/>
      <c r="Q131" s="18"/>
      <c r="R131" s="19">
        <f t="shared" ref="R131:R133" si="393">(C131*D131*Q131/1000)</f>
        <v>0</v>
      </c>
      <c r="S131" s="20">
        <f t="shared" ref="S131:S133" si="394">+H131+K131+Q131</f>
        <v>1</v>
      </c>
      <c r="T131" s="19">
        <f t="shared" ref="T131:T133" si="395">+I131+L131+R131</f>
        <v>0.10090499999999999</v>
      </c>
      <c r="U131" s="21">
        <f t="shared" ref="U131:U133" si="396">E131-S131</f>
        <v>1</v>
      </c>
      <c r="V131" s="19">
        <f t="shared" ref="V131:V133" si="397">F131-T131</f>
        <v>0.10090499999999999</v>
      </c>
      <c r="X131" s="29"/>
    </row>
    <row r="132" spans="1:24">
      <c r="A132" s="26" t="s">
        <v>14</v>
      </c>
      <c r="B132" s="26" t="s">
        <v>157</v>
      </c>
      <c r="C132" s="30">
        <v>9.61</v>
      </c>
      <c r="D132" s="27">
        <v>9.6</v>
      </c>
      <c r="E132" s="28"/>
      <c r="F132" s="16">
        <f t="shared" si="389"/>
        <v>0</v>
      </c>
      <c r="G132" s="17" t="s">
        <v>195</v>
      </c>
      <c r="H132" s="18">
        <v>2</v>
      </c>
      <c r="I132" s="19">
        <f t="shared" si="390"/>
        <v>0.18451199999999998</v>
      </c>
      <c r="J132" s="16"/>
      <c r="K132" s="18"/>
      <c r="L132" s="19">
        <f t="shared" si="391"/>
        <v>0</v>
      </c>
      <c r="M132" s="16"/>
      <c r="N132" s="18"/>
      <c r="O132" s="19">
        <f t="shared" si="392"/>
        <v>0</v>
      </c>
      <c r="P132" s="16"/>
      <c r="Q132" s="18"/>
      <c r="R132" s="19">
        <f t="shared" si="393"/>
        <v>0</v>
      </c>
      <c r="S132" s="20">
        <f t="shared" si="394"/>
        <v>2</v>
      </c>
      <c r="T132" s="19">
        <f t="shared" si="395"/>
        <v>0.18451199999999998</v>
      </c>
      <c r="U132" s="21">
        <f t="shared" si="396"/>
        <v>-2</v>
      </c>
      <c r="V132" s="19">
        <f t="shared" si="397"/>
        <v>-0.18451199999999998</v>
      </c>
      <c r="X132" s="29"/>
    </row>
    <row r="133" spans="1:24">
      <c r="A133" s="26" t="s">
        <v>14</v>
      </c>
      <c r="B133" s="26" t="s">
        <v>157</v>
      </c>
      <c r="C133" s="30">
        <v>9.61</v>
      </c>
      <c r="D133" s="27"/>
      <c r="E133" s="28"/>
      <c r="F133" s="16">
        <f t="shared" si="389"/>
        <v>0</v>
      </c>
      <c r="G133" s="17"/>
      <c r="H133" s="18"/>
      <c r="I133" s="19">
        <f t="shared" si="390"/>
        <v>0</v>
      </c>
      <c r="J133" s="16"/>
      <c r="K133" s="18"/>
      <c r="L133" s="19">
        <f t="shared" si="391"/>
        <v>0</v>
      </c>
      <c r="M133" s="16"/>
      <c r="N133" s="18"/>
      <c r="O133" s="19">
        <f t="shared" si="392"/>
        <v>0</v>
      </c>
      <c r="P133" s="16"/>
      <c r="Q133" s="18"/>
      <c r="R133" s="19">
        <f t="shared" si="393"/>
        <v>0</v>
      </c>
      <c r="S133" s="20">
        <f t="shared" si="394"/>
        <v>0</v>
      </c>
      <c r="T133" s="19">
        <f t="shared" si="395"/>
        <v>0</v>
      </c>
      <c r="U133" s="21">
        <f t="shared" si="396"/>
        <v>0</v>
      </c>
      <c r="V133" s="19">
        <f t="shared" si="397"/>
        <v>0</v>
      </c>
      <c r="X133" s="29"/>
    </row>
    <row r="134" spans="1:24">
      <c r="A134" s="26" t="s">
        <v>14</v>
      </c>
      <c r="B134" s="26" t="s">
        <v>157</v>
      </c>
      <c r="C134" s="30">
        <v>9.61</v>
      </c>
      <c r="D134" s="27"/>
      <c r="E134" s="28"/>
      <c r="F134" s="16">
        <f>(C134*D134*E134/1000)</f>
        <v>0</v>
      </c>
      <c r="G134" s="17"/>
      <c r="H134" s="18"/>
      <c r="I134" s="19">
        <f>(C134*D134*H134/1000)</f>
        <v>0</v>
      </c>
      <c r="J134" s="16"/>
      <c r="K134" s="18"/>
      <c r="L134" s="19">
        <f>(C134*D134*K134/1000)</f>
        <v>0</v>
      </c>
      <c r="M134" s="16"/>
      <c r="N134" s="18"/>
      <c r="O134" s="19">
        <f>(C134*D134*N134/1000)</f>
        <v>0</v>
      </c>
      <c r="P134" s="16"/>
      <c r="Q134" s="18"/>
      <c r="R134" s="19">
        <f>(C134*D134*Q134/1000)</f>
        <v>0</v>
      </c>
      <c r="S134" s="20">
        <f>+H134+K134+Q134</f>
        <v>0</v>
      </c>
      <c r="T134" s="19">
        <f>+I134+L134+R134</f>
        <v>0</v>
      </c>
      <c r="U134" s="21">
        <f>E134-S134</f>
        <v>0</v>
      </c>
      <c r="V134" s="19">
        <f>F134-T134</f>
        <v>0</v>
      </c>
      <c r="X134" s="29"/>
    </row>
    <row r="135" spans="1:24">
      <c r="A135" s="36"/>
      <c r="B135" s="36"/>
      <c r="C135" s="30"/>
      <c r="D135" s="38"/>
      <c r="E135" s="31">
        <f t="shared" ref="E135:F135" si="398">SUM(E131:E134)</f>
        <v>2</v>
      </c>
      <c r="F135" s="38">
        <f t="shared" si="398"/>
        <v>0.20180999999999999</v>
      </c>
      <c r="G135" s="17"/>
      <c r="H135" s="31">
        <f t="shared" ref="H135" si="399">SUM(H131:H134)</f>
        <v>3</v>
      </c>
      <c r="I135" s="38">
        <f t="shared" ref="I135" si="400">SUM(I131:I134)</f>
        <v>0.28541699999999998</v>
      </c>
      <c r="J135" s="16"/>
      <c r="K135" s="31">
        <f t="shared" ref="K135" si="401">SUM(K131:K134)</f>
        <v>0</v>
      </c>
      <c r="L135" s="38">
        <f t="shared" ref="L135" si="402">SUM(L131:L134)</f>
        <v>0</v>
      </c>
      <c r="M135" s="16"/>
      <c r="N135" s="31">
        <f t="shared" ref="N135" si="403">SUM(N131:N134)</f>
        <v>0</v>
      </c>
      <c r="O135" s="38">
        <f t="shared" ref="O135" si="404">SUM(O131:O134)</f>
        <v>0</v>
      </c>
      <c r="P135" s="16"/>
      <c r="Q135" s="31">
        <f t="shared" ref="Q135" si="405">SUM(Q131:Q134)</f>
        <v>0</v>
      </c>
      <c r="R135" s="38">
        <f t="shared" ref="R135" si="406">SUM(R131:R134)</f>
        <v>0</v>
      </c>
      <c r="S135" s="31">
        <f t="shared" ref="S135" si="407">SUM(S131:S134)</f>
        <v>3</v>
      </c>
      <c r="T135" s="38">
        <f t="shared" ref="T135" si="408">SUM(T131:T134)</f>
        <v>0.28541699999999998</v>
      </c>
      <c r="U135" s="31">
        <f t="shared" ref="U135" si="409">SUM(U131:U134)</f>
        <v>-1</v>
      </c>
      <c r="V135" s="38">
        <f t="shared" ref="V135" si="410">SUM(V131:V134)</f>
        <v>-8.3606999999999987E-2</v>
      </c>
      <c r="X135" s="29"/>
    </row>
    <row r="136" spans="1:24">
      <c r="A136" s="33"/>
      <c r="B136" s="33"/>
      <c r="C136" s="34"/>
      <c r="D136" s="34"/>
      <c r="E136" s="34">
        <f>SUM(E6:E135)/2</f>
        <v>403</v>
      </c>
      <c r="F136" s="35">
        <f>SUM(F6:F135)/2</f>
        <v>40.493512999999993</v>
      </c>
      <c r="G136" s="26"/>
      <c r="H136" s="34">
        <f>SUM(H6:H135)/2</f>
        <v>420</v>
      </c>
      <c r="I136" s="35">
        <f>SUM(I6:I135)/2</f>
        <v>40.318492999999997</v>
      </c>
      <c r="J136" s="26"/>
      <c r="K136" s="34">
        <f>SUM(K6:K135)/2</f>
        <v>5</v>
      </c>
      <c r="L136" s="35">
        <f>SUM(L6:L135)/2</f>
        <v>0.80400000000000005</v>
      </c>
      <c r="M136" s="26"/>
      <c r="N136" s="34">
        <f>SUM(N6:N135)/2</f>
        <v>14</v>
      </c>
      <c r="O136" s="35">
        <f>SUM(O6:O135)/2</f>
        <v>1.4512200000000002</v>
      </c>
      <c r="P136" s="26"/>
      <c r="Q136" s="34">
        <f t="shared" ref="Q136:V136" si="411">SUM(Q6:Q135)/2</f>
        <v>0</v>
      </c>
      <c r="R136" s="35">
        <f t="shared" si="411"/>
        <v>0</v>
      </c>
      <c r="S136" s="34">
        <f t="shared" si="411"/>
        <v>425</v>
      </c>
      <c r="T136" s="35">
        <f t="shared" si="411"/>
        <v>41.122492999999992</v>
      </c>
      <c r="U136" s="34">
        <f t="shared" si="411"/>
        <v>-22</v>
      </c>
      <c r="V136" s="35">
        <f t="shared" si="411"/>
        <v>-0.62898000000000032</v>
      </c>
    </row>
    <row r="151" spans="18:18">
      <c r="R15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9"/>
  <dimension ref="A1:X29"/>
  <sheetViews>
    <sheetView zoomScale="75" zoomScaleNormal="75" workbookViewId="0">
      <pane ySplit="5" topLeftCell="A6" activePane="bottomLeft" state="frozen"/>
      <selection pane="bottomLeft" activeCell="J9" sqref="J9:J1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160</v>
      </c>
      <c r="H1" s="144"/>
      <c r="I1" s="145" t="s">
        <v>154</v>
      </c>
      <c r="J1" s="144"/>
      <c r="K1" s="3"/>
      <c r="L1" s="4"/>
      <c r="M1" s="4"/>
      <c r="N1" s="3"/>
      <c r="O1" s="4"/>
      <c r="P1" s="146" t="str">
        <f>+F2</f>
        <v>LOI-216  25.05.23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120</v>
      </c>
      <c r="B2" s="8"/>
      <c r="C2" s="9"/>
      <c r="D2" s="9"/>
      <c r="E2" s="10"/>
      <c r="F2" s="146" t="s">
        <v>159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LOI-216  25.05.23</v>
      </c>
      <c r="V2" s="146"/>
    </row>
    <row r="3" spans="1:24">
      <c r="A3" s="12" t="s">
        <v>121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123</v>
      </c>
      <c r="C6" s="30">
        <v>21.6</v>
      </c>
      <c r="D6" s="27">
        <v>12</v>
      </c>
      <c r="E6" s="28">
        <v>45</v>
      </c>
      <c r="F6" s="16">
        <f t="shared" ref="F6:F7" si="0">(C6*D6*E6/1000)</f>
        <v>11.664000000000001</v>
      </c>
      <c r="G6" s="17" t="s">
        <v>88</v>
      </c>
      <c r="H6" s="18">
        <v>17</v>
      </c>
      <c r="I6" s="19">
        <f t="shared" ref="I6:I7" si="1">(C6*D6*H6/1000)</f>
        <v>4.4064000000000005</v>
      </c>
      <c r="J6" s="17" t="s">
        <v>88</v>
      </c>
      <c r="K6" s="18">
        <v>28</v>
      </c>
      <c r="L6" s="19">
        <f t="shared" ref="L6:L7" si="2">(C6*D6*K6/1000)</f>
        <v>7.2576000000000009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</f>
        <v>45</v>
      </c>
      <c r="T6" s="19">
        <f t="shared" si="5"/>
        <v>11.664000000000001</v>
      </c>
      <c r="U6" s="21">
        <f t="shared" ref="U6:V7" si="6">E6-S6</f>
        <v>0</v>
      </c>
      <c r="V6" s="19">
        <f t="shared" si="6"/>
        <v>0</v>
      </c>
      <c r="X6" s="29"/>
    </row>
    <row r="7" spans="1:24">
      <c r="A7" s="26" t="s">
        <v>13</v>
      </c>
      <c r="B7" s="26" t="s">
        <v>123</v>
      </c>
      <c r="C7" s="30">
        <v>21.6</v>
      </c>
      <c r="D7" s="27"/>
      <c r="E7" s="28"/>
      <c r="F7" s="16">
        <f t="shared" si="0"/>
        <v>0</v>
      </c>
      <c r="G7" s="17" t="s">
        <v>172</v>
      </c>
      <c r="H7" s="18"/>
      <c r="I7" s="19">
        <f t="shared" si="1"/>
        <v>0</v>
      </c>
      <c r="J7" s="17" t="s">
        <v>172</v>
      </c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0</v>
      </c>
      <c r="V7" s="19">
        <f t="shared" si="6"/>
        <v>0</v>
      </c>
      <c r="X7" s="29"/>
    </row>
    <row r="8" spans="1:24">
      <c r="A8" s="36"/>
      <c r="B8" s="36"/>
      <c r="C8" s="31"/>
      <c r="D8" s="38"/>
      <c r="E8" s="31">
        <f t="shared" ref="E8:F8" si="7">SUM(E6:E7)</f>
        <v>45</v>
      </c>
      <c r="F8" s="38">
        <f t="shared" si="7"/>
        <v>11.664000000000001</v>
      </c>
      <c r="G8" s="17"/>
      <c r="H8" s="31">
        <f t="shared" ref="H8:I8" si="8">SUM(H6:H7)</f>
        <v>17</v>
      </c>
      <c r="I8" s="38">
        <f t="shared" si="8"/>
        <v>4.4064000000000005</v>
      </c>
      <c r="J8" s="16"/>
      <c r="K8" s="31">
        <f t="shared" ref="K8:L8" si="9">SUM(K6:K7)</f>
        <v>28</v>
      </c>
      <c r="L8" s="38">
        <f t="shared" si="9"/>
        <v>7.2576000000000009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45</v>
      </c>
      <c r="T8" s="38">
        <f t="shared" si="11"/>
        <v>11.664000000000001</v>
      </c>
      <c r="U8" s="31">
        <f t="shared" si="11"/>
        <v>0</v>
      </c>
      <c r="V8" s="38">
        <f t="shared" si="11"/>
        <v>0</v>
      </c>
      <c r="X8" s="29"/>
    </row>
    <row r="9" spans="1:24">
      <c r="A9" s="26" t="s">
        <v>13</v>
      </c>
      <c r="B9" s="26" t="s">
        <v>161</v>
      </c>
      <c r="C9" s="30">
        <v>44.2</v>
      </c>
      <c r="D9" s="27">
        <v>9.6999999999999993</v>
      </c>
      <c r="E9" s="28">
        <v>12</v>
      </c>
      <c r="F9" s="16">
        <f t="shared" ref="F9:F12" si="12">(C9*D9*E9/1000)</f>
        <v>5.1448799999999997</v>
      </c>
      <c r="G9" s="17" t="s">
        <v>89</v>
      </c>
      <c r="H9" s="18">
        <v>8</v>
      </c>
      <c r="I9" s="19">
        <f t="shared" ref="I9:I12" si="13">(C9*D9*H9/1000)</f>
        <v>3.4299200000000001</v>
      </c>
      <c r="J9" s="16" t="s">
        <v>86</v>
      </c>
      <c r="K9" s="18">
        <v>3</v>
      </c>
      <c r="L9" s="19">
        <f t="shared" ref="L9:L12" si="14">(C9*D9*K9/1000)</f>
        <v>1.2862199999999999</v>
      </c>
      <c r="M9" s="16"/>
      <c r="N9" s="18"/>
      <c r="O9" s="19">
        <f t="shared" ref="O9:O12" si="15">(C9*D9*N9/1000)</f>
        <v>0</v>
      </c>
      <c r="P9" s="16"/>
      <c r="Q9" s="18"/>
      <c r="R9" s="19">
        <f t="shared" ref="R9:R12" si="16">(C9*D9*Q9/1000)</f>
        <v>0</v>
      </c>
      <c r="S9" s="20">
        <f t="shared" ref="S9:T12" si="17">+H9+K9+Q9</f>
        <v>11</v>
      </c>
      <c r="T9" s="19">
        <f t="shared" si="17"/>
        <v>4.7161400000000002</v>
      </c>
      <c r="U9" s="21">
        <f t="shared" ref="U9:V12" si="18">E9-S9</f>
        <v>1</v>
      </c>
      <c r="V9" s="19">
        <f t="shared" si="18"/>
        <v>0.42873999999999945</v>
      </c>
      <c r="X9" s="29"/>
    </row>
    <row r="10" spans="1:24">
      <c r="A10" s="26" t="s">
        <v>13</v>
      </c>
      <c r="B10" s="26" t="s">
        <v>161</v>
      </c>
      <c r="C10" s="30">
        <v>44.2</v>
      </c>
      <c r="D10" s="27">
        <v>9.3000000000000007</v>
      </c>
      <c r="E10" s="28"/>
      <c r="F10" s="16">
        <f t="shared" si="12"/>
        <v>0</v>
      </c>
      <c r="G10" s="17" t="s">
        <v>195</v>
      </c>
      <c r="H10" s="18">
        <v>1</v>
      </c>
      <c r="I10" s="19">
        <f t="shared" si="13"/>
        <v>0.41106000000000004</v>
      </c>
      <c r="J10" s="16" t="s">
        <v>199</v>
      </c>
      <c r="K10" s="18"/>
      <c r="L10" s="19">
        <f t="shared" si="14"/>
        <v>0</v>
      </c>
      <c r="M10" s="16"/>
      <c r="N10" s="18"/>
      <c r="O10" s="19">
        <f t="shared" si="15"/>
        <v>0</v>
      </c>
      <c r="P10" s="16"/>
      <c r="Q10" s="18"/>
      <c r="R10" s="19">
        <f t="shared" si="16"/>
        <v>0</v>
      </c>
      <c r="S10" s="20">
        <f t="shared" si="17"/>
        <v>1</v>
      </c>
      <c r="T10" s="19">
        <f t="shared" si="17"/>
        <v>0.41106000000000004</v>
      </c>
      <c r="U10" s="21">
        <f t="shared" si="18"/>
        <v>-1</v>
      </c>
      <c r="V10" s="19">
        <f t="shared" si="18"/>
        <v>-0.41106000000000004</v>
      </c>
      <c r="X10" s="29"/>
    </row>
    <row r="11" spans="1:24">
      <c r="A11" s="26" t="s">
        <v>13</v>
      </c>
      <c r="B11" s="26" t="s">
        <v>161</v>
      </c>
      <c r="C11" s="30">
        <v>44.2</v>
      </c>
      <c r="D11" s="27">
        <v>9.5</v>
      </c>
      <c r="E11" s="28"/>
      <c r="F11" s="16">
        <f t="shared" ref="F11" si="19">(C11*D11*E11/1000)</f>
        <v>0</v>
      </c>
      <c r="G11" s="17"/>
      <c r="H11" s="18">
        <v>1</v>
      </c>
      <c r="I11" s="19">
        <f t="shared" ref="I11" si="20">(C11*D11*H11/1000)</f>
        <v>0.41990000000000005</v>
      </c>
      <c r="J11" s="16"/>
      <c r="K11" s="18">
        <v>2</v>
      </c>
      <c r="L11" s="19">
        <f t="shared" ref="L11" si="21">(C11*D11*K11/1000)</f>
        <v>0.8398000000000001</v>
      </c>
      <c r="M11" s="16"/>
      <c r="N11" s="18"/>
      <c r="O11" s="19">
        <f t="shared" ref="O11" si="22">(C11*D11*N11/1000)</f>
        <v>0</v>
      </c>
      <c r="P11" s="16"/>
      <c r="Q11" s="18"/>
      <c r="R11" s="19">
        <f t="shared" ref="R11" si="23">(C11*D11*Q11/1000)</f>
        <v>0</v>
      </c>
      <c r="S11" s="20">
        <f t="shared" ref="S11" si="24">+H11+K11+Q11</f>
        <v>3</v>
      </c>
      <c r="T11" s="19">
        <f t="shared" ref="T11" si="25">+I11+L11+R11</f>
        <v>1.2597</v>
      </c>
      <c r="U11" s="21">
        <f t="shared" ref="U11" si="26">E11-S11</f>
        <v>-3</v>
      </c>
      <c r="V11" s="19">
        <f t="shared" ref="V11" si="27">F11-T11</f>
        <v>-1.2597</v>
      </c>
      <c r="X11" s="29"/>
    </row>
    <row r="12" spans="1:24">
      <c r="A12" s="26" t="s">
        <v>13</v>
      </c>
      <c r="B12" s="26" t="s">
        <v>161</v>
      </c>
      <c r="C12" s="30">
        <v>44.2</v>
      </c>
      <c r="D12" s="27">
        <v>9</v>
      </c>
      <c r="E12" s="28"/>
      <c r="F12" s="16">
        <f t="shared" si="12"/>
        <v>0</v>
      </c>
      <c r="G12" s="17"/>
      <c r="H12" s="18">
        <v>2</v>
      </c>
      <c r="I12" s="19">
        <f t="shared" si="13"/>
        <v>0.79559999999999997</v>
      </c>
      <c r="J12" s="16"/>
      <c r="K12" s="18"/>
      <c r="L12" s="19">
        <f t="shared" si="14"/>
        <v>0</v>
      </c>
      <c r="M12" s="16"/>
      <c r="N12" s="18"/>
      <c r="O12" s="19">
        <f t="shared" si="15"/>
        <v>0</v>
      </c>
      <c r="P12" s="16"/>
      <c r="Q12" s="18"/>
      <c r="R12" s="19">
        <f t="shared" si="16"/>
        <v>0</v>
      </c>
      <c r="S12" s="20">
        <f t="shared" si="17"/>
        <v>2</v>
      </c>
      <c r="T12" s="19">
        <f t="shared" si="17"/>
        <v>0.79559999999999997</v>
      </c>
      <c r="U12" s="21">
        <f t="shared" si="18"/>
        <v>-2</v>
      </c>
      <c r="V12" s="19">
        <f t="shared" si="18"/>
        <v>-0.79559999999999997</v>
      </c>
      <c r="X12" s="29"/>
    </row>
    <row r="13" spans="1:24">
      <c r="A13" s="36"/>
      <c r="B13" s="36"/>
      <c r="C13" s="30"/>
      <c r="D13" s="38"/>
      <c r="E13" s="31">
        <f t="shared" ref="E13:F13" si="28">SUM(E9:E12)</f>
        <v>12</v>
      </c>
      <c r="F13" s="38">
        <f t="shared" si="28"/>
        <v>5.1448799999999997</v>
      </c>
      <c r="G13" s="17"/>
      <c r="H13" s="31">
        <f t="shared" ref="H13:I13" si="29">SUM(H9:H12)</f>
        <v>12</v>
      </c>
      <c r="I13" s="38">
        <f t="shared" si="29"/>
        <v>5.0564800000000005</v>
      </c>
      <c r="J13" s="16"/>
      <c r="K13" s="31">
        <f t="shared" ref="K13:L13" si="30">SUM(K9:K12)</f>
        <v>5</v>
      </c>
      <c r="L13" s="38">
        <f t="shared" si="30"/>
        <v>2.12602</v>
      </c>
      <c r="M13" s="16"/>
      <c r="N13" s="31">
        <f t="shared" ref="N13:O13" si="31">SUM(N9:N12)</f>
        <v>0</v>
      </c>
      <c r="O13" s="38">
        <f t="shared" si="31"/>
        <v>0</v>
      </c>
      <c r="P13" s="16"/>
      <c r="Q13" s="31">
        <f t="shared" ref="Q13:V13" si="32">SUM(Q9:Q12)</f>
        <v>0</v>
      </c>
      <c r="R13" s="38">
        <f t="shared" si="32"/>
        <v>0</v>
      </c>
      <c r="S13" s="31">
        <f t="shared" si="32"/>
        <v>17</v>
      </c>
      <c r="T13" s="38">
        <f t="shared" si="32"/>
        <v>7.182500000000001</v>
      </c>
      <c r="U13" s="31">
        <f t="shared" si="32"/>
        <v>-5</v>
      </c>
      <c r="V13" s="38">
        <f t="shared" si="32"/>
        <v>-2.0376200000000004</v>
      </c>
      <c r="X13" s="29"/>
    </row>
    <row r="14" spans="1:24">
      <c r="A14" s="33"/>
      <c r="B14" s="33"/>
      <c r="C14" s="34"/>
      <c r="D14" s="34"/>
      <c r="E14" s="34">
        <f>SUM(E6:E13)/2</f>
        <v>57</v>
      </c>
      <c r="F14" s="35">
        <f>SUM(F6:F13)/2</f>
        <v>16.808880000000002</v>
      </c>
      <c r="G14" s="26"/>
      <c r="H14" s="34">
        <f>SUM(H6:H13)/2</f>
        <v>29</v>
      </c>
      <c r="I14" s="35">
        <f>SUM(I6:I13)/2</f>
        <v>9.462880000000002</v>
      </c>
      <c r="J14" s="26"/>
      <c r="K14" s="34">
        <f>SUM(K6:K13)/2</f>
        <v>33</v>
      </c>
      <c r="L14" s="35">
        <f>SUM(L6:L13)/2</f>
        <v>9.3836200000000005</v>
      </c>
      <c r="M14" s="26"/>
      <c r="N14" s="34">
        <f>SUM(N6:N13)/2</f>
        <v>0</v>
      </c>
      <c r="O14" s="35">
        <f>SUM(O6:O13)/2</f>
        <v>0</v>
      </c>
      <c r="P14" s="26"/>
      <c r="Q14" s="34">
        <f t="shared" ref="Q14:V14" si="33">SUM(Q6:Q13)/2</f>
        <v>0</v>
      </c>
      <c r="R14" s="35">
        <f t="shared" si="33"/>
        <v>0</v>
      </c>
      <c r="S14" s="34">
        <f t="shared" si="33"/>
        <v>62</v>
      </c>
      <c r="T14" s="35">
        <f t="shared" si="33"/>
        <v>18.846499999999999</v>
      </c>
      <c r="U14" s="34">
        <f t="shared" si="33"/>
        <v>-5</v>
      </c>
      <c r="V14" s="35">
        <f t="shared" si="33"/>
        <v>-2.0376200000000004</v>
      </c>
    </row>
    <row r="29" spans="18:18">
      <c r="R29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0"/>
  <dimension ref="A1:X24"/>
  <sheetViews>
    <sheetView zoomScale="75" zoomScaleNormal="75" workbookViewId="0">
      <pane ySplit="5" topLeftCell="A6" activePane="bottomLeft" state="frozen"/>
      <selection pane="bottomLeft" activeCell="H25" sqref="H2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162</v>
      </c>
      <c r="H1" s="144"/>
      <c r="I1" s="145" t="s">
        <v>154</v>
      </c>
      <c r="J1" s="144"/>
      <c r="K1" s="3"/>
      <c r="L1" s="4"/>
      <c r="M1" s="4"/>
      <c r="N1" s="3"/>
      <c r="O1" s="4"/>
      <c r="P1" s="146" t="str">
        <f>+F2</f>
        <v>LOI-217  25.05.23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28</v>
      </c>
      <c r="B2" s="8"/>
      <c r="C2" s="9"/>
      <c r="D2" s="9"/>
      <c r="E2" s="10"/>
      <c r="F2" s="146" t="s">
        <v>163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LOI-217  25.05.23</v>
      </c>
      <c r="V2" s="146"/>
    </row>
    <row r="3" spans="1:24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49</v>
      </c>
      <c r="C6" s="26">
        <v>14.7</v>
      </c>
      <c r="D6" s="27">
        <v>12</v>
      </c>
      <c r="E6" s="28">
        <v>30</v>
      </c>
      <c r="F6" s="16">
        <f t="shared" ref="F6:F7" si="0">(C6*D6*E6/1000)</f>
        <v>5.2919999999999989</v>
      </c>
      <c r="G6" s="17" t="s">
        <v>111</v>
      </c>
      <c r="H6" s="18">
        <v>30</v>
      </c>
      <c r="I6" s="19">
        <f t="shared" ref="I6:I7" si="1">(C6*D6*H6/1000)</f>
        <v>5.2919999999999989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30</v>
      </c>
      <c r="T6" s="19">
        <f t="shared" si="5"/>
        <v>5.2919999999999989</v>
      </c>
      <c r="U6" s="21">
        <f t="shared" ref="U6:V7" si="6">E6-S6</f>
        <v>0</v>
      </c>
      <c r="V6" s="19">
        <f t="shared" si="6"/>
        <v>0</v>
      </c>
      <c r="X6" s="29"/>
    </row>
    <row r="7" spans="1:24">
      <c r="A7" s="26" t="s">
        <v>14</v>
      </c>
      <c r="B7" s="26" t="s">
        <v>49</v>
      </c>
      <c r="C7" s="26">
        <v>14.7</v>
      </c>
      <c r="D7" s="27"/>
      <c r="E7" s="28"/>
      <c r="F7" s="16">
        <f t="shared" si="0"/>
        <v>0</v>
      </c>
      <c r="G7" s="17" t="s">
        <v>178</v>
      </c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0</v>
      </c>
      <c r="V7" s="19">
        <f t="shared" si="6"/>
        <v>0</v>
      </c>
      <c r="X7" s="29"/>
    </row>
    <row r="8" spans="1:24">
      <c r="A8" s="36"/>
      <c r="B8" s="36"/>
      <c r="C8" s="36"/>
      <c r="D8" s="38"/>
      <c r="E8" s="31">
        <f t="shared" ref="E8:F8" si="7">SUM(E6:E7)</f>
        <v>30</v>
      </c>
      <c r="F8" s="38">
        <f t="shared" si="7"/>
        <v>5.2919999999999989</v>
      </c>
      <c r="G8" s="17"/>
      <c r="H8" s="31">
        <f t="shared" ref="H8:I8" si="8">SUM(H6:H7)</f>
        <v>30</v>
      </c>
      <c r="I8" s="38">
        <f t="shared" si="8"/>
        <v>5.2919999999999989</v>
      </c>
      <c r="J8" s="16"/>
      <c r="K8" s="31">
        <f t="shared" ref="K8:L8" si="9">SUM(K6:K7)</f>
        <v>0</v>
      </c>
      <c r="L8" s="38">
        <f t="shared" si="9"/>
        <v>0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30</v>
      </c>
      <c r="T8" s="38">
        <f t="shared" si="11"/>
        <v>5.2919999999999989</v>
      </c>
      <c r="U8" s="31">
        <f t="shared" si="11"/>
        <v>0</v>
      </c>
      <c r="V8" s="38">
        <f t="shared" si="11"/>
        <v>0</v>
      </c>
      <c r="X8" s="29"/>
    </row>
    <row r="9" spans="1:24">
      <c r="A9" s="33"/>
      <c r="B9" s="33"/>
      <c r="C9" s="34"/>
      <c r="D9" s="34"/>
      <c r="E9" s="34">
        <f>SUM(E6:E8)/2</f>
        <v>30</v>
      </c>
      <c r="F9" s="35">
        <f>SUM(F6:F8)/2</f>
        <v>5.2919999999999989</v>
      </c>
      <c r="G9" s="26"/>
      <c r="H9" s="34">
        <f>SUM(H6:H8)/2</f>
        <v>30</v>
      </c>
      <c r="I9" s="35">
        <f>SUM(I6:I8)/2</f>
        <v>5.2919999999999989</v>
      </c>
      <c r="J9" s="26"/>
      <c r="K9" s="34">
        <f>SUM(K6:K8)/2</f>
        <v>0</v>
      </c>
      <c r="L9" s="35">
        <f>SUM(L6:L8)/2</f>
        <v>0</v>
      </c>
      <c r="M9" s="26"/>
      <c r="N9" s="34">
        <f>SUM(N6:N8)/2</f>
        <v>0</v>
      </c>
      <c r="O9" s="35">
        <f>SUM(O6:O8)/2</f>
        <v>0</v>
      </c>
      <c r="P9" s="26"/>
      <c r="Q9" s="34">
        <f t="shared" ref="Q9:V9" si="12">SUM(Q6:Q8)/2</f>
        <v>0</v>
      </c>
      <c r="R9" s="35">
        <f t="shared" si="12"/>
        <v>0</v>
      </c>
      <c r="S9" s="34">
        <f t="shared" si="12"/>
        <v>30</v>
      </c>
      <c r="T9" s="35">
        <f t="shared" si="12"/>
        <v>5.2919999999999989</v>
      </c>
      <c r="U9" s="34">
        <f t="shared" si="12"/>
        <v>0</v>
      </c>
      <c r="V9" s="35">
        <f t="shared" si="12"/>
        <v>0</v>
      </c>
    </row>
    <row r="24" spans="18:18">
      <c r="R24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1"/>
  <dimension ref="A1:X45"/>
  <sheetViews>
    <sheetView zoomScale="75" zoomScaleNormal="75" workbookViewId="0">
      <pane ySplit="5" topLeftCell="A6" activePane="bottomLeft" state="frozen"/>
      <selection pane="bottomLeft" activeCell="G27" sqref="G27:G28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164</v>
      </c>
      <c r="H1" s="144"/>
      <c r="I1" s="145" t="s">
        <v>165</v>
      </c>
      <c r="J1" s="144"/>
      <c r="K1" s="3"/>
      <c r="L1" s="4"/>
      <c r="M1" s="4"/>
      <c r="N1" s="3"/>
      <c r="O1" s="4"/>
      <c r="P1" s="146" t="str">
        <f>+F2</f>
        <v>LOI-218  25.05.23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140</v>
      </c>
      <c r="B2" s="8"/>
      <c r="C2" s="9"/>
      <c r="D2" s="9"/>
      <c r="E2" s="10"/>
      <c r="F2" s="146" t="s">
        <v>166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LOI-218  25.05.23</v>
      </c>
      <c r="V2" s="146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49</v>
      </c>
      <c r="C6" s="30">
        <v>14.66</v>
      </c>
      <c r="D6" s="27">
        <v>12</v>
      </c>
      <c r="E6" s="28">
        <v>13</v>
      </c>
      <c r="F6" s="16">
        <f>(C6*D6*E6/1000)</f>
        <v>2.2869600000000001</v>
      </c>
      <c r="G6" s="16" t="s">
        <v>93</v>
      </c>
      <c r="H6" s="18">
        <v>13</v>
      </c>
      <c r="I6" s="19">
        <f>(C6*D6*H6/1000)</f>
        <v>2.2869600000000001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13</v>
      </c>
      <c r="T6" s="19">
        <f>+I6+L6+R6</f>
        <v>2.2869600000000001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0"/>
      <c r="D7" s="38"/>
      <c r="E7" s="31">
        <f t="shared" ref="E7:F7" si="0">SUM(E6)</f>
        <v>13</v>
      </c>
      <c r="F7" s="38">
        <f t="shared" si="0"/>
        <v>2.2869600000000001</v>
      </c>
      <c r="G7" s="16" t="s">
        <v>176</v>
      </c>
      <c r="H7" s="31">
        <f t="shared" ref="H7:I7" si="1">SUM(H6)</f>
        <v>13</v>
      </c>
      <c r="I7" s="38">
        <f t="shared" si="1"/>
        <v>2.2869600000000001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13</v>
      </c>
      <c r="T7" s="38">
        <f t="shared" si="4"/>
        <v>2.2869600000000001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13</v>
      </c>
      <c r="B8" s="26" t="s">
        <v>50</v>
      </c>
      <c r="C8" s="30">
        <v>16.5</v>
      </c>
      <c r="D8" s="27">
        <v>12</v>
      </c>
      <c r="E8" s="28">
        <v>2</v>
      </c>
      <c r="F8" s="16">
        <f>(C8*D8*E8/1000)</f>
        <v>0.39600000000000002</v>
      </c>
      <c r="G8" s="16" t="s">
        <v>89</v>
      </c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0</v>
      </c>
      <c r="T8" s="19">
        <f>+I8+L8+R8</f>
        <v>0</v>
      </c>
      <c r="U8" s="21">
        <f>E8-S8</f>
        <v>2</v>
      </c>
      <c r="V8" s="19">
        <f>F8-T8</f>
        <v>0.39600000000000002</v>
      </c>
      <c r="X8" s="29"/>
    </row>
    <row r="9" spans="1:24">
      <c r="A9" s="26" t="s">
        <v>13</v>
      </c>
      <c r="B9" s="26" t="s">
        <v>50</v>
      </c>
      <c r="C9" s="30">
        <v>16.5</v>
      </c>
      <c r="D9" s="27">
        <v>10</v>
      </c>
      <c r="E9" s="28"/>
      <c r="F9" s="16">
        <f>(C9*D9*E9/1000)</f>
        <v>0</v>
      </c>
      <c r="G9" s="16" t="s">
        <v>183</v>
      </c>
      <c r="H9" s="18">
        <v>3</v>
      </c>
      <c r="I9" s="19">
        <f>(C9*D9*H9/1000)</f>
        <v>0.495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</f>
        <v>3</v>
      </c>
      <c r="T9" s="19">
        <f>+I9+L9+R9</f>
        <v>0.495</v>
      </c>
      <c r="U9" s="21">
        <f>E9-S9</f>
        <v>-3</v>
      </c>
      <c r="V9" s="19">
        <f>F9-T9</f>
        <v>-0.495</v>
      </c>
      <c r="X9" s="29"/>
    </row>
    <row r="10" spans="1:24">
      <c r="A10" s="36"/>
      <c r="B10" s="36"/>
      <c r="C10" s="30"/>
      <c r="D10" s="38"/>
      <c r="E10" s="31">
        <f>SUM(E8:E9)</f>
        <v>2</v>
      </c>
      <c r="F10" s="38">
        <f>SUM(F8:F9)</f>
        <v>0.39600000000000002</v>
      </c>
      <c r="G10" s="16"/>
      <c r="H10" s="31">
        <f>SUM(H8:H9)</f>
        <v>3</v>
      </c>
      <c r="I10" s="38">
        <f>SUM(I8:I9)</f>
        <v>0.495</v>
      </c>
      <c r="J10" s="16"/>
      <c r="K10" s="31">
        <f>SUM(K8:K9)</f>
        <v>0</v>
      </c>
      <c r="L10" s="38">
        <f>SUM(L8:L9)</f>
        <v>0</v>
      </c>
      <c r="M10" s="16"/>
      <c r="N10" s="31">
        <f>SUM(N8:N9)</f>
        <v>0</v>
      </c>
      <c r="O10" s="38">
        <f>SUM(O8:O9)</f>
        <v>0</v>
      </c>
      <c r="P10" s="16"/>
      <c r="Q10" s="31">
        <f t="shared" ref="Q10:V10" si="5">SUM(Q8:Q9)</f>
        <v>0</v>
      </c>
      <c r="R10" s="38">
        <f t="shared" si="5"/>
        <v>0</v>
      </c>
      <c r="S10" s="31">
        <f t="shared" si="5"/>
        <v>3</v>
      </c>
      <c r="T10" s="38">
        <f t="shared" si="5"/>
        <v>0.495</v>
      </c>
      <c r="U10" s="31">
        <f t="shared" si="5"/>
        <v>-1</v>
      </c>
      <c r="V10" s="38">
        <f t="shared" si="5"/>
        <v>-9.8999999999999977E-2</v>
      </c>
      <c r="X10" s="29"/>
    </row>
    <row r="11" spans="1:24">
      <c r="A11" s="26" t="s">
        <v>13</v>
      </c>
      <c r="B11" s="26" t="s">
        <v>125</v>
      </c>
      <c r="C11" s="30">
        <v>27.3</v>
      </c>
      <c r="D11" s="27">
        <v>12</v>
      </c>
      <c r="E11" s="28">
        <v>10</v>
      </c>
      <c r="F11" s="16">
        <f>(C11*D11*E11/1000)</f>
        <v>3.2759999999999998</v>
      </c>
      <c r="G11" s="17" t="s">
        <v>89</v>
      </c>
      <c r="H11" s="18">
        <v>5</v>
      </c>
      <c r="I11" s="19">
        <f>(C11*D11*H11/1000)</f>
        <v>1.6379999999999999</v>
      </c>
      <c r="J11" s="16" t="s">
        <v>89</v>
      </c>
      <c r="K11" s="18">
        <v>5</v>
      </c>
      <c r="L11" s="19">
        <f>(C11*D11*K11/1000)</f>
        <v>1.6379999999999999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</f>
        <v>10</v>
      </c>
      <c r="T11" s="19">
        <f>+I11+L11+R11</f>
        <v>3.2759999999999998</v>
      </c>
      <c r="U11" s="21">
        <f>E11-S11</f>
        <v>0</v>
      </c>
      <c r="V11" s="19">
        <f>F11-T11</f>
        <v>0</v>
      </c>
      <c r="X11" s="29"/>
    </row>
    <row r="12" spans="1:24">
      <c r="A12" s="36"/>
      <c r="B12" s="36"/>
      <c r="C12" s="30"/>
      <c r="D12" s="38"/>
      <c r="E12" s="31">
        <f t="shared" ref="E12:F12" si="6">SUM(E11)</f>
        <v>10</v>
      </c>
      <c r="F12" s="38">
        <f t="shared" si="6"/>
        <v>3.2759999999999998</v>
      </c>
      <c r="G12" s="17" t="s">
        <v>182</v>
      </c>
      <c r="H12" s="31">
        <f t="shared" ref="H12:I12" si="7">SUM(H11)</f>
        <v>5</v>
      </c>
      <c r="I12" s="38">
        <f t="shared" si="7"/>
        <v>1.6379999999999999</v>
      </c>
      <c r="J12" s="16" t="s">
        <v>183</v>
      </c>
      <c r="K12" s="31">
        <f t="shared" ref="K12:L12" si="8">SUM(K11)</f>
        <v>5</v>
      </c>
      <c r="L12" s="38">
        <f t="shared" si="8"/>
        <v>1.6379999999999999</v>
      </c>
      <c r="M12" s="16"/>
      <c r="N12" s="31">
        <f t="shared" ref="N12:O12" si="9">SUM(N11)</f>
        <v>0</v>
      </c>
      <c r="O12" s="38">
        <f t="shared" si="9"/>
        <v>0</v>
      </c>
      <c r="P12" s="16"/>
      <c r="Q12" s="31">
        <f t="shared" ref="Q12:V12" si="10">SUM(Q11)</f>
        <v>0</v>
      </c>
      <c r="R12" s="38">
        <f t="shared" si="10"/>
        <v>0</v>
      </c>
      <c r="S12" s="31">
        <f t="shared" si="10"/>
        <v>10</v>
      </c>
      <c r="T12" s="38">
        <f t="shared" si="10"/>
        <v>3.2759999999999998</v>
      </c>
      <c r="U12" s="31">
        <f t="shared" si="10"/>
        <v>0</v>
      </c>
      <c r="V12" s="38">
        <f t="shared" si="10"/>
        <v>0</v>
      </c>
      <c r="X12" s="29"/>
    </row>
    <row r="13" spans="1:24">
      <c r="A13" s="26" t="s">
        <v>13</v>
      </c>
      <c r="B13" s="26" t="s">
        <v>34</v>
      </c>
      <c r="C13" s="30">
        <v>5.77</v>
      </c>
      <c r="D13" s="27">
        <v>12</v>
      </c>
      <c r="E13" s="28">
        <v>52</v>
      </c>
      <c r="F13" s="16">
        <f>(C13*D13*E13/1000)</f>
        <v>3.6004799999999997</v>
      </c>
      <c r="G13" s="17" t="s">
        <v>88</v>
      </c>
      <c r="H13" s="18">
        <v>52</v>
      </c>
      <c r="I13" s="19">
        <f t="shared" ref="I13:I14" si="11">(C13*D13*H13/1000)</f>
        <v>3.6004799999999997</v>
      </c>
      <c r="J13" s="16"/>
      <c r="K13" s="18"/>
      <c r="L13" s="19">
        <f t="shared" ref="L13:L14" si="12">(C13*D13*K13/1000)</f>
        <v>0</v>
      </c>
      <c r="M13" s="16"/>
      <c r="N13" s="18"/>
      <c r="O13" s="19">
        <f t="shared" ref="O13:O14" si="13">(C13*D13*N13/1000)</f>
        <v>0</v>
      </c>
      <c r="P13" s="16"/>
      <c r="Q13" s="18"/>
      <c r="R13" s="19">
        <f t="shared" ref="R13:R14" si="14">(C13*D13*Q13/1000)</f>
        <v>0</v>
      </c>
      <c r="S13" s="20">
        <f t="shared" ref="S13:T14" si="15">+H13+K13+Q13</f>
        <v>52</v>
      </c>
      <c r="T13" s="19">
        <f t="shared" si="15"/>
        <v>3.6004799999999997</v>
      </c>
      <c r="U13" s="21">
        <f t="shared" ref="U13:V14" si="16">E13-S13</f>
        <v>0</v>
      </c>
      <c r="V13" s="19">
        <f t="shared" si="16"/>
        <v>0</v>
      </c>
      <c r="X13" s="29"/>
    </row>
    <row r="14" spans="1:24">
      <c r="A14" s="26" t="s">
        <v>13</v>
      </c>
      <c r="B14" s="26" t="s">
        <v>34</v>
      </c>
      <c r="C14" s="30">
        <v>5.77</v>
      </c>
      <c r="D14" s="27"/>
      <c r="E14" s="28"/>
      <c r="F14" s="16">
        <f t="shared" ref="F14" si="17">(C14*D14*E14/1000)</f>
        <v>0</v>
      </c>
      <c r="G14" s="17" t="s">
        <v>172</v>
      </c>
      <c r="H14" s="18"/>
      <c r="I14" s="19">
        <f t="shared" si="11"/>
        <v>0</v>
      </c>
      <c r="J14" s="16"/>
      <c r="K14" s="18"/>
      <c r="L14" s="19">
        <f t="shared" si="12"/>
        <v>0</v>
      </c>
      <c r="M14" s="16"/>
      <c r="N14" s="18"/>
      <c r="O14" s="19">
        <f t="shared" si="13"/>
        <v>0</v>
      </c>
      <c r="P14" s="16"/>
      <c r="Q14" s="18"/>
      <c r="R14" s="19">
        <f t="shared" si="14"/>
        <v>0</v>
      </c>
      <c r="S14" s="20">
        <f t="shared" si="15"/>
        <v>0</v>
      </c>
      <c r="T14" s="19">
        <f t="shared" si="15"/>
        <v>0</v>
      </c>
      <c r="U14" s="21">
        <f t="shared" si="16"/>
        <v>0</v>
      </c>
      <c r="V14" s="19">
        <f t="shared" si="16"/>
        <v>0</v>
      </c>
      <c r="X14" s="29"/>
    </row>
    <row r="15" spans="1:24">
      <c r="A15" s="36"/>
      <c r="B15" s="36"/>
      <c r="C15" s="30"/>
      <c r="D15" s="38"/>
      <c r="E15" s="31">
        <f t="shared" ref="E15:F15" si="18">SUM(E13:E14)</f>
        <v>52</v>
      </c>
      <c r="F15" s="38">
        <f t="shared" si="18"/>
        <v>3.6004799999999997</v>
      </c>
      <c r="G15" s="17"/>
      <c r="H15" s="31">
        <f t="shared" ref="H15:I15" si="19">SUM(H13:H14)</f>
        <v>52</v>
      </c>
      <c r="I15" s="38">
        <f t="shared" si="19"/>
        <v>3.6004799999999997</v>
      </c>
      <c r="J15" s="16"/>
      <c r="K15" s="31">
        <f t="shared" ref="K15:L15" si="20">SUM(K13:K14)</f>
        <v>0</v>
      </c>
      <c r="L15" s="38">
        <f t="shared" si="20"/>
        <v>0</v>
      </c>
      <c r="M15" s="16"/>
      <c r="N15" s="31">
        <f t="shared" ref="N15:O15" si="21">SUM(N13:N14)</f>
        <v>0</v>
      </c>
      <c r="O15" s="38">
        <f t="shared" si="21"/>
        <v>0</v>
      </c>
      <c r="P15" s="16"/>
      <c r="Q15" s="31">
        <f t="shared" ref="Q15:V15" si="22">SUM(Q13:Q14)</f>
        <v>0</v>
      </c>
      <c r="R15" s="38">
        <f t="shared" si="22"/>
        <v>0</v>
      </c>
      <c r="S15" s="31">
        <f t="shared" si="22"/>
        <v>52</v>
      </c>
      <c r="T15" s="38">
        <f t="shared" si="22"/>
        <v>3.6004799999999997</v>
      </c>
      <c r="U15" s="31">
        <f t="shared" si="22"/>
        <v>0</v>
      </c>
      <c r="V15" s="38">
        <f t="shared" si="22"/>
        <v>0</v>
      </c>
      <c r="X15" s="29"/>
    </row>
    <row r="16" spans="1:24">
      <c r="A16" s="26" t="s">
        <v>13</v>
      </c>
      <c r="B16" s="26" t="s">
        <v>35</v>
      </c>
      <c r="C16" s="30">
        <v>6.86</v>
      </c>
      <c r="D16" s="27">
        <v>12</v>
      </c>
      <c r="E16" s="28">
        <v>33</v>
      </c>
      <c r="F16" s="16">
        <f>(C16*D16*E16/1000)</f>
        <v>2.7165600000000003</v>
      </c>
      <c r="G16" s="17" t="s">
        <v>88</v>
      </c>
      <c r="H16" s="18">
        <v>33</v>
      </c>
      <c r="I16" s="19">
        <f>(C16*D16*H16/1000)</f>
        <v>2.7165600000000003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</f>
        <v>33</v>
      </c>
      <c r="T16" s="19">
        <f>+I16+L16+R16</f>
        <v>2.7165600000000003</v>
      </c>
      <c r="U16" s="21">
        <f>E16-S16</f>
        <v>0</v>
      </c>
      <c r="V16" s="19">
        <f>F16-T16</f>
        <v>0</v>
      </c>
      <c r="X16" s="29"/>
    </row>
    <row r="17" spans="1:24">
      <c r="A17" s="36"/>
      <c r="B17" s="36"/>
      <c r="C17" s="30"/>
      <c r="D17" s="38"/>
      <c r="E17" s="31">
        <f t="shared" ref="E17:F17" si="23">SUM(E16)</f>
        <v>33</v>
      </c>
      <c r="F17" s="38">
        <f t="shared" si="23"/>
        <v>2.7165600000000003</v>
      </c>
      <c r="G17" s="17" t="s">
        <v>170</v>
      </c>
      <c r="H17" s="31">
        <f t="shared" ref="H17:I17" si="24">SUM(H16)</f>
        <v>33</v>
      </c>
      <c r="I17" s="38">
        <f t="shared" si="24"/>
        <v>2.7165600000000003</v>
      </c>
      <c r="J17" s="16"/>
      <c r="K17" s="31">
        <f t="shared" ref="K17:L17" si="25">SUM(K16)</f>
        <v>0</v>
      </c>
      <c r="L17" s="38">
        <f t="shared" si="25"/>
        <v>0</v>
      </c>
      <c r="M17" s="16"/>
      <c r="N17" s="31">
        <f t="shared" ref="N17:O17" si="26">SUM(N16)</f>
        <v>0</v>
      </c>
      <c r="O17" s="38">
        <f t="shared" si="26"/>
        <v>0</v>
      </c>
      <c r="P17" s="16"/>
      <c r="Q17" s="31">
        <f t="shared" ref="Q17:V17" si="27">SUM(Q16)</f>
        <v>0</v>
      </c>
      <c r="R17" s="38">
        <f t="shared" si="27"/>
        <v>0</v>
      </c>
      <c r="S17" s="31">
        <f t="shared" si="27"/>
        <v>33</v>
      </c>
      <c r="T17" s="38">
        <f t="shared" si="27"/>
        <v>2.7165600000000003</v>
      </c>
      <c r="U17" s="31">
        <f t="shared" si="27"/>
        <v>0</v>
      </c>
      <c r="V17" s="38">
        <f t="shared" si="27"/>
        <v>0</v>
      </c>
      <c r="X17" s="29"/>
    </row>
    <row r="18" spans="1:24">
      <c r="A18" s="26" t="s">
        <v>13</v>
      </c>
      <c r="B18" s="26" t="s">
        <v>57</v>
      </c>
      <c r="C18" s="30">
        <v>6.17</v>
      </c>
      <c r="D18" s="27">
        <v>12</v>
      </c>
      <c r="E18" s="28">
        <v>18</v>
      </c>
      <c r="F18" s="16">
        <f t="shared" ref="F18:F19" si="28">(C18*D18*E18/1000)</f>
        <v>1.3327199999999999</v>
      </c>
      <c r="G18" s="17" t="s">
        <v>89</v>
      </c>
      <c r="H18" s="18">
        <v>18</v>
      </c>
      <c r="I18" s="19">
        <f t="shared" ref="I18:I19" si="29">(C18*D18*H18/1000)</f>
        <v>1.3327199999999999</v>
      </c>
      <c r="J18" s="16"/>
      <c r="K18" s="18"/>
      <c r="L18" s="19">
        <f t="shared" ref="L18:L19" si="30">(C18*D18*K18/1000)</f>
        <v>0</v>
      </c>
      <c r="M18" s="16"/>
      <c r="N18" s="18"/>
      <c r="O18" s="19">
        <f t="shared" ref="O18:O19" si="31">(C18*D18*N18/1000)</f>
        <v>0</v>
      </c>
      <c r="P18" s="16"/>
      <c r="Q18" s="18"/>
      <c r="R18" s="19">
        <f t="shared" ref="R18:R19" si="32">(C18*D18*Q18/1000)</f>
        <v>0</v>
      </c>
      <c r="S18" s="20">
        <f t="shared" ref="S18:S19" si="33">+H18+K18+Q18</f>
        <v>18</v>
      </c>
      <c r="T18" s="19">
        <f t="shared" ref="T18:T19" si="34">+I18+L18+R18</f>
        <v>1.3327199999999999</v>
      </c>
      <c r="U18" s="21">
        <f t="shared" ref="U18:U19" si="35">E18-S18</f>
        <v>0</v>
      </c>
      <c r="V18" s="19">
        <f t="shared" ref="V18:V19" si="36">F18-T18</f>
        <v>0</v>
      </c>
      <c r="X18" s="29"/>
    </row>
    <row r="19" spans="1:24">
      <c r="A19" s="26" t="s">
        <v>13</v>
      </c>
      <c r="B19" s="26" t="s">
        <v>57</v>
      </c>
      <c r="C19" s="30">
        <v>6.17</v>
      </c>
      <c r="D19" s="27"/>
      <c r="E19" s="28"/>
      <c r="F19" s="16">
        <f t="shared" si="28"/>
        <v>0</v>
      </c>
      <c r="G19" s="17" t="s">
        <v>179</v>
      </c>
      <c r="H19" s="18"/>
      <c r="I19" s="19">
        <f t="shared" si="29"/>
        <v>0</v>
      </c>
      <c r="J19" s="16"/>
      <c r="K19" s="18"/>
      <c r="L19" s="19">
        <f t="shared" si="30"/>
        <v>0</v>
      </c>
      <c r="M19" s="16"/>
      <c r="N19" s="18"/>
      <c r="O19" s="19">
        <f t="shared" si="31"/>
        <v>0</v>
      </c>
      <c r="P19" s="16"/>
      <c r="Q19" s="18"/>
      <c r="R19" s="19">
        <f t="shared" si="32"/>
        <v>0</v>
      </c>
      <c r="S19" s="20">
        <f t="shared" si="33"/>
        <v>0</v>
      </c>
      <c r="T19" s="19">
        <f t="shared" si="34"/>
        <v>0</v>
      </c>
      <c r="U19" s="21">
        <f t="shared" si="35"/>
        <v>0</v>
      </c>
      <c r="V19" s="19">
        <f t="shared" si="36"/>
        <v>0</v>
      </c>
      <c r="X19" s="29"/>
    </row>
    <row r="20" spans="1:24">
      <c r="A20" s="36"/>
      <c r="B20" s="36"/>
      <c r="C20" s="30"/>
      <c r="D20" s="38"/>
      <c r="E20" s="31">
        <f t="shared" ref="E20:F20" si="37">SUM(E18:E19)</f>
        <v>18</v>
      </c>
      <c r="F20" s="38">
        <f t="shared" si="37"/>
        <v>1.3327199999999999</v>
      </c>
      <c r="G20" s="17"/>
      <c r="H20" s="31">
        <f t="shared" ref="H20:I20" si="38">SUM(H18:H19)</f>
        <v>18</v>
      </c>
      <c r="I20" s="38">
        <f t="shared" si="38"/>
        <v>1.3327199999999999</v>
      </c>
      <c r="J20" s="16"/>
      <c r="K20" s="31">
        <f t="shared" ref="K20:L20" si="39">SUM(K18:K19)</f>
        <v>0</v>
      </c>
      <c r="L20" s="38">
        <f t="shared" si="39"/>
        <v>0</v>
      </c>
      <c r="M20" s="16"/>
      <c r="N20" s="31">
        <f t="shared" ref="N20:O20" si="40">SUM(N18:N19)</f>
        <v>0</v>
      </c>
      <c r="O20" s="38">
        <f t="shared" si="40"/>
        <v>0</v>
      </c>
      <c r="P20" s="16"/>
      <c r="Q20" s="31">
        <f t="shared" ref="Q20:V20" si="41">SUM(Q18:Q19)</f>
        <v>0</v>
      </c>
      <c r="R20" s="38">
        <f t="shared" si="41"/>
        <v>0</v>
      </c>
      <c r="S20" s="31">
        <f t="shared" si="41"/>
        <v>18</v>
      </c>
      <c r="T20" s="38">
        <f t="shared" si="41"/>
        <v>1.3327199999999999</v>
      </c>
      <c r="U20" s="31">
        <f t="shared" si="41"/>
        <v>0</v>
      </c>
      <c r="V20" s="38">
        <f t="shared" si="41"/>
        <v>0</v>
      </c>
      <c r="X20" s="29"/>
    </row>
    <row r="21" spans="1:24">
      <c r="A21" s="26" t="s">
        <v>13</v>
      </c>
      <c r="B21" s="26" t="s">
        <v>58</v>
      </c>
      <c r="C21" s="30">
        <v>7.36</v>
      </c>
      <c r="D21" s="27">
        <v>12</v>
      </c>
      <c r="E21" s="28">
        <v>23</v>
      </c>
      <c r="F21" s="16">
        <f t="shared" ref="F21:F22" si="42">(C21*D21*E21/1000)</f>
        <v>2.0313600000000003</v>
      </c>
      <c r="G21" s="17" t="s">
        <v>111</v>
      </c>
      <c r="H21" s="18">
        <v>23</v>
      </c>
      <c r="I21" s="19">
        <f t="shared" ref="I21:I22" si="43">(C21*D21*H21/1000)</f>
        <v>2.0313600000000003</v>
      </c>
      <c r="J21" s="16"/>
      <c r="K21" s="18"/>
      <c r="L21" s="19">
        <f t="shared" ref="L21:L22" si="44">(C21*D21*K21/1000)</f>
        <v>0</v>
      </c>
      <c r="M21" s="16"/>
      <c r="N21" s="18"/>
      <c r="O21" s="19">
        <f t="shared" ref="O21:O22" si="45">(C21*D21*N21/1000)</f>
        <v>0</v>
      </c>
      <c r="P21" s="16"/>
      <c r="Q21" s="18"/>
      <c r="R21" s="19">
        <f t="shared" ref="R21:R22" si="46">(C21*D21*Q21/1000)</f>
        <v>0</v>
      </c>
      <c r="S21" s="20">
        <f t="shared" ref="S21:S22" si="47">+H21+K21+Q21</f>
        <v>23</v>
      </c>
      <c r="T21" s="19">
        <f t="shared" ref="T21:T22" si="48">+I21+L21+R21</f>
        <v>2.0313600000000003</v>
      </c>
      <c r="U21" s="21">
        <f t="shared" ref="U21:U22" si="49">E21-S21</f>
        <v>0</v>
      </c>
      <c r="V21" s="19">
        <f t="shared" ref="V21:V22" si="50">F21-T21</f>
        <v>0</v>
      </c>
      <c r="X21" s="29"/>
    </row>
    <row r="22" spans="1:24">
      <c r="A22" s="26" t="s">
        <v>13</v>
      </c>
      <c r="B22" s="26" t="s">
        <v>58</v>
      </c>
      <c r="C22" s="30">
        <v>7.36</v>
      </c>
      <c r="D22" s="27"/>
      <c r="E22" s="28"/>
      <c r="F22" s="16">
        <f t="shared" si="42"/>
        <v>0</v>
      </c>
      <c r="G22" s="17" t="s">
        <v>179</v>
      </c>
      <c r="H22" s="18"/>
      <c r="I22" s="19">
        <f t="shared" si="43"/>
        <v>0</v>
      </c>
      <c r="J22" s="16"/>
      <c r="K22" s="18"/>
      <c r="L22" s="19">
        <f t="shared" si="44"/>
        <v>0</v>
      </c>
      <c r="M22" s="16"/>
      <c r="N22" s="18"/>
      <c r="O22" s="19">
        <f t="shared" si="45"/>
        <v>0</v>
      </c>
      <c r="P22" s="16"/>
      <c r="Q22" s="18"/>
      <c r="R22" s="19">
        <f t="shared" si="46"/>
        <v>0</v>
      </c>
      <c r="S22" s="20">
        <f t="shared" si="47"/>
        <v>0</v>
      </c>
      <c r="T22" s="19">
        <f t="shared" si="48"/>
        <v>0</v>
      </c>
      <c r="U22" s="21">
        <f t="shared" si="49"/>
        <v>0</v>
      </c>
      <c r="V22" s="19">
        <f t="shared" si="50"/>
        <v>0</v>
      </c>
      <c r="X22" s="29"/>
    </row>
    <row r="23" spans="1:24">
      <c r="A23" s="36"/>
      <c r="B23" s="36"/>
      <c r="C23" s="30"/>
      <c r="D23" s="38"/>
      <c r="E23" s="31">
        <f t="shared" ref="E23" si="51">SUM(E21:E22)</f>
        <v>23</v>
      </c>
      <c r="F23" s="38">
        <f>SUM(F21:F22)</f>
        <v>2.0313600000000003</v>
      </c>
      <c r="G23" s="17"/>
      <c r="H23" s="31">
        <f t="shared" ref="H23:I23" si="52">SUM(H21:H22)</f>
        <v>23</v>
      </c>
      <c r="I23" s="38">
        <f t="shared" si="52"/>
        <v>2.0313600000000003</v>
      </c>
      <c r="J23" s="16"/>
      <c r="K23" s="31">
        <f t="shared" ref="K23:L23" si="53">SUM(K21:K22)</f>
        <v>0</v>
      </c>
      <c r="L23" s="38">
        <f t="shared" si="53"/>
        <v>0</v>
      </c>
      <c r="M23" s="16"/>
      <c r="N23" s="31">
        <f t="shared" ref="N23:O23" si="54">SUM(N21:N22)</f>
        <v>0</v>
      </c>
      <c r="O23" s="38">
        <f t="shared" si="54"/>
        <v>0</v>
      </c>
      <c r="P23" s="16"/>
      <c r="Q23" s="31">
        <f t="shared" ref="Q23:V23" si="55">SUM(Q21:Q22)</f>
        <v>0</v>
      </c>
      <c r="R23" s="38">
        <f t="shared" si="55"/>
        <v>0</v>
      </c>
      <c r="S23" s="31">
        <f t="shared" si="55"/>
        <v>23</v>
      </c>
      <c r="T23" s="38">
        <f t="shared" si="55"/>
        <v>2.0313600000000003</v>
      </c>
      <c r="U23" s="31">
        <f t="shared" si="55"/>
        <v>0</v>
      </c>
      <c r="V23" s="38">
        <f t="shared" si="55"/>
        <v>0</v>
      </c>
      <c r="X23" s="29"/>
    </row>
    <row r="24" spans="1:24">
      <c r="A24" s="26" t="s">
        <v>13</v>
      </c>
      <c r="B24" s="26" t="s">
        <v>31</v>
      </c>
      <c r="C24" s="30">
        <v>10.199999999999999</v>
      </c>
      <c r="D24" s="27">
        <v>10</v>
      </c>
      <c r="E24" s="28">
        <v>1</v>
      </c>
      <c r="F24" s="16">
        <f t="shared" ref="F24:F25" si="56">(C24*D24*E24/1000)</f>
        <v>0.10199999999999999</v>
      </c>
      <c r="G24" s="17" t="s">
        <v>111</v>
      </c>
      <c r="H24" s="28">
        <v>1</v>
      </c>
      <c r="I24" s="19">
        <f t="shared" ref="I24:I25" si="57">(C24*D24*H24/1000)</f>
        <v>0.10199999999999999</v>
      </c>
      <c r="J24" s="16"/>
      <c r="K24" s="18"/>
      <c r="L24" s="19">
        <f t="shared" ref="L24:L25" si="58">(C24*D24*K24/1000)</f>
        <v>0</v>
      </c>
      <c r="M24" s="16"/>
      <c r="N24" s="18"/>
      <c r="O24" s="19">
        <f t="shared" ref="O24:O25" si="59">(C24*D24*N24/1000)</f>
        <v>0</v>
      </c>
      <c r="P24" s="16"/>
      <c r="Q24" s="18"/>
      <c r="R24" s="19">
        <f t="shared" ref="R24:R25" si="60">(C24*D24*Q24/1000)</f>
        <v>0</v>
      </c>
      <c r="S24" s="20">
        <f t="shared" ref="S24:T25" si="61">+H24+K24+Q24</f>
        <v>1</v>
      </c>
      <c r="T24" s="19">
        <f t="shared" si="61"/>
        <v>0.10199999999999999</v>
      </c>
      <c r="U24" s="21">
        <f t="shared" ref="U24:V25" si="62">E24-S24</f>
        <v>0</v>
      </c>
      <c r="V24" s="19">
        <f t="shared" si="62"/>
        <v>0</v>
      </c>
      <c r="X24" s="29"/>
    </row>
    <row r="25" spans="1:24">
      <c r="A25" s="26" t="s">
        <v>13</v>
      </c>
      <c r="B25" s="26" t="s">
        <v>31</v>
      </c>
      <c r="C25" s="30">
        <v>10.199999999999999</v>
      </c>
      <c r="D25" s="27">
        <v>9.4</v>
      </c>
      <c r="E25" s="28">
        <v>1</v>
      </c>
      <c r="F25" s="16">
        <f t="shared" si="56"/>
        <v>9.5879999999999993E-2</v>
      </c>
      <c r="G25" s="17" t="s">
        <v>196</v>
      </c>
      <c r="H25" s="28">
        <v>1</v>
      </c>
      <c r="I25" s="19">
        <f t="shared" si="57"/>
        <v>9.5879999999999993E-2</v>
      </c>
      <c r="J25" s="16"/>
      <c r="K25" s="18"/>
      <c r="L25" s="19">
        <f t="shared" si="58"/>
        <v>0</v>
      </c>
      <c r="M25" s="16"/>
      <c r="N25" s="18"/>
      <c r="O25" s="19">
        <f t="shared" si="59"/>
        <v>0</v>
      </c>
      <c r="P25" s="16"/>
      <c r="Q25" s="18"/>
      <c r="R25" s="19">
        <f t="shared" si="60"/>
        <v>0</v>
      </c>
      <c r="S25" s="20">
        <f t="shared" si="61"/>
        <v>1</v>
      </c>
      <c r="T25" s="19">
        <f t="shared" si="61"/>
        <v>9.5879999999999993E-2</v>
      </c>
      <c r="U25" s="21">
        <f t="shared" si="62"/>
        <v>0</v>
      </c>
      <c r="V25" s="19">
        <f t="shared" si="62"/>
        <v>0</v>
      </c>
      <c r="X25" s="29"/>
    </row>
    <row r="26" spans="1:24">
      <c r="A26" s="36"/>
      <c r="B26" s="36"/>
      <c r="C26" s="30"/>
      <c r="D26" s="38"/>
      <c r="E26" s="31">
        <f t="shared" ref="E26:F26" si="63">SUM(E24:E25)</f>
        <v>2</v>
      </c>
      <c r="F26" s="38">
        <f t="shared" si="63"/>
        <v>0.19788</v>
      </c>
      <c r="G26" s="17"/>
      <c r="H26" s="31">
        <f t="shared" ref="H26:I26" si="64">SUM(H24:H25)</f>
        <v>2</v>
      </c>
      <c r="I26" s="38">
        <f t="shared" si="64"/>
        <v>0.19788</v>
      </c>
      <c r="J26" s="16"/>
      <c r="K26" s="31">
        <f t="shared" ref="K26:L26" si="65">SUM(K24:K25)</f>
        <v>0</v>
      </c>
      <c r="L26" s="38">
        <f t="shared" si="65"/>
        <v>0</v>
      </c>
      <c r="M26" s="16"/>
      <c r="N26" s="31">
        <f t="shared" ref="N26:O26" si="66">SUM(N24:N25)</f>
        <v>0</v>
      </c>
      <c r="O26" s="38">
        <f t="shared" si="66"/>
        <v>0</v>
      </c>
      <c r="P26" s="16"/>
      <c r="Q26" s="31">
        <f t="shared" ref="Q26:V26" si="67">SUM(Q24:Q25)</f>
        <v>0</v>
      </c>
      <c r="R26" s="38">
        <f t="shared" si="67"/>
        <v>0</v>
      </c>
      <c r="S26" s="31">
        <f t="shared" si="67"/>
        <v>2</v>
      </c>
      <c r="T26" s="38">
        <f t="shared" si="67"/>
        <v>0.19788</v>
      </c>
      <c r="U26" s="31">
        <f t="shared" si="67"/>
        <v>0</v>
      </c>
      <c r="V26" s="38">
        <f t="shared" si="67"/>
        <v>0</v>
      </c>
      <c r="X26" s="29"/>
    </row>
    <row r="27" spans="1:24">
      <c r="A27" s="26" t="s">
        <v>13</v>
      </c>
      <c r="B27" s="26" t="s">
        <v>32</v>
      </c>
      <c r="C27" s="30">
        <v>11.8</v>
      </c>
      <c r="D27" s="27">
        <v>9.8000000000000007</v>
      </c>
      <c r="E27" s="28">
        <v>18</v>
      </c>
      <c r="F27" s="16">
        <f t="shared" ref="F27:F28" si="68">(C27*D27*E27/1000)</f>
        <v>2.0815200000000003</v>
      </c>
      <c r="G27" s="17" t="s">
        <v>111</v>
      </c>
      <c r="H27" s="18">
        <v>18</v>
      </c>
      <c r="I27" s="19">
        <f t="shared" ref="I27:I28" si="69">(C27*D27*H27/1000)</f>
        <v>2.0815200000000003</v>
      </c>
      <c r="J27" s="16"/>
      <c r="K27" s="18"/>
      <c r="L27" s="19">
        <f t="shared" ref="L27:L28" si="70">(C27*D27*K27/1000)</f>
        <v>0</v>
      </c>
      <c r="M27" s="16"/>
      <c r="N27" s="18"/>
      <c r="O27" s="19">
        <f t="shared" ref="O27:O28" si="71">(C27*D27*N27/1000)</f>
        <v>0</v>
      </c>
      <c r="P27" s="16"/>
      <c r="Q27" s="18"/>
      <c r="R27" s="19">
        <f t="shared" ref="R27:R28" si="72">(C27*D27*Q27/1000)</f>
        <v>0</v>
      </c>
      <c r="S27" s="20">
        <f t="shared" ref="S27:S28" si="73">+H27+K27+Q27</f>
        <v>18</v>
      </c>
      <c r="T27" s="19">
        <f t="shared" ref="T27:T28" si="74">+I27+L27+R27</f>
        <v>2.0815200000000003</v>
      </c>
      <c r="U27" s="21">
        <f t="shared" ref="U27:U28" si="75">E27-S27</f>
        <v>0</v>
      </c>
      <c r="V27" s="19">
        <f t="shared" ref="V27:V28" si="76">F27-T27</f>
        <v>0</v>
      </c>
      <c r="X27" s="29"/>
    </row>
    <row r="28" spans="1:24">
      <c r="A28" s="26" t="s">
        <v>13</v>
      </c>
      <c r="B28" s="26" t="s">
        <v>32</v>
      </c>
      <c r="C28" s="30"/>
      <c r="D28" s="27"/>
      <c r="E28" s="28"/>
      <c r="F28" s="16">
        <f t="shared" si="68"/>
        <v>0</v>
      </c>
      <c r="G28" s="17" t="s">
        <v>196</v>
      </c>
      <c r="H28" s="18"/>
      <c r="I28" s="19">
        <f t="shared" si="69"/>
        <v>0</v>
      </c>
      <c r="J28" s="16"/>
      <c r="K28" s="18"/>
      <c r="L28" s="19">
        <f t="shared" si="70"/>
        <v>0</v>
      </c>
      <c r="M28" s="16"/>
      <c r="N28" s="18"/>
      <c r="O28" s="19">
        <f t="shared" si="71"/>
        <v>0</v>
      </c>
      <c r="P28" s="16"/>
      <c r="Q28" s="18"/>
      <c r="R28" s="19">
        <f t="shared" si="72"/>
        <v>0</v>
      </c>
      <c r="S28" s="20">
        <f t="shared" si="73"/>
        <v>0</v>
      </c>
      <c r="T28" s="19">
        <f t="shared" si="74"/>
        <v>0</v>
      </c>
      <c r="U28" s="21">
        <f t="shared" si="75"/>
        <v>0</v>
      </c>
      <c r="V28" s="19">
        <f t="shared" si="76"/>
        <v>0</v>
      </c>
      <c r="X28" s="29"/>
    </row>
    <row r="29" spans="1:24">
      <c r="A29" s="36"/>
      <c r="B29" s="36"/>
      <c r="C29" s="30"/>
      <c r="D29" s="38"/>
      <c r="E29" s="31">
        <f t="shared" ref="E29" si="77">SUM(E27:E28)</f>
        <v>18</v>
      </c>
      <c r="F29" s="38">
        <f>SUM(F27:F28)</f>
        <v>2.0815200000000003</v>
      </c>
      <c r="G29" s="17"/>
      <c r="H29" s="31">
        <f t="shared" ref="H29:I29" si="78">SUM(H27:H28)</f>
        <v>18</v>
      </c>
      <c r="I29" s="38">
        <f t="shared" si="78"/>
        <v>2.0815200000000003</v>
      </c>
      <c r="J29" s="16"/>
      <c r="K29" s="31">
        <f t="shared" ref="K29:L29" si="79">SUM(K27:K28)</f>
        <v>0</v>
      </c>
      <c r="L29" s="38">
        <f t="shared" si="79"/>
        <v>0</v>
      </c>
      <c r="M29" s="16"/>
      <c r="N29" s="31">
        <f t="shared" ref="N29:O29" si="80">SUM(N27:N28)</f>
        <v>0</v>
      </c>
      <c r="O29" s="38">
        <f t="shared" si="80"/>
        <v>0</v>
      </c>
      <c r="P29" s="16"/>
      <c r="Q29" s="31">
        <f t="shared" ref="Q29:V29" si="81">SUM(Q27:Q28)</f>
        <v>0</v>
      </c>
      <c r="R29" s="38">
        <f t="shared" si="81"/>
        <v>0</v>
      </c>
      <c r="S29" s="31">
        <f t="shared" si="81"/>
        <v>18</v>
      </c>
      <c r="T29" s="38">
        <f t="shared" si="81"/>
        <v>2.0815200000000003</v>
      </c>
      <c r="U29" s="31">
        <f t="shared" si="81"/>
        <v>0</v>
      </c>
      <c r="V29" s="38">
        <f t="shared" si="81"/>
        <v>0</v>
      </c>
      <c r="X29" s="29"/>
    </row>
    <row r="30" spans="1:24">
      <c r="A30" s="33"/>
      <c r="B30" s="33"/>
      <c r="C30" s="34"/>
      <c r="D30" s="34"/>
      <c r="E30" s="34">
        <f>SUM(E6:E29)/2</f>
        <v>171</v>
      </c>
      <c r="F30" s="35">
        <f>SUM(F6:F29)/2</f>
        <v>17.919479999999997</v>
      </c>
      <c r="G30" s="26"/>
      <c r="H30" s="34">
        <f>SUM(H6:H29)/2</f>
        <v>167</v>
      </c>
      <c r="I30" s="35">
        <f>SUM(I6:I29)/2</f>
        <v>16.380479999999999</v>
      </c>
      <c r="J30" s="26"/>
      <c r="K30" s="34">
        <f>SUM(K6:K29)/2</f>
        <v>5</v>
      </c>
      <c r="L30" s="35">
        <f>SUM(L6:L29)/2</f>
        <v>1.6379999999999999</v>
      </c>
      <c r="M30" s="26"/>
      <c r="N30" s="34">
        <f>SUM(N6:N29)/2</f>
        <v>0</v>
      </c>
      <c r="O30" s="35">
        <f>SUM(O6:O29)/2</f>
        <v>0</v>
      </c>
      <c r="P30" s="26"/>
      <c r="Q30" s="34">
        <f t="shared" ref="Q30:V30" si="82">SUM(Q6:Q29)/2</f>
        <v>0</v>
      </c>
      <c r="R30" s="35">
        <f t="shared" si="82"/>
        <v>0</v>
      </c>
      <c r="S30" s="34">
        <f t="shared" si="82"/>
        <v>172</v>
      </c>
      <c r="T30" s="35">
        <f t="shared" si="82"/>
        <v>18.018479999999997</v>
      </c>
      <c r="U30" s="34">
        <f t="shared" si="82"/>
        <v>-1</v>
      </c>
      <c r="V30" s="35">
        <f t="shared" si="82"/>
        <v>-9.8999999999999977E-2</v>
      </c>
    </row>
    <row r="45" spans="18:18">
      <c r="R45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2"/>
  <dimension ref="A1:X68"/>
  <sheetViews>
    <sheetView zoomScale="75" zoomScaleNormal="75" workbookViewId="0">
      <pane ySplit="5" topLeftCell="A30" activePane="bottomLeft" state="frozen"/>
      <selection pane="bottomLeft" activeCell="H39" sqref="H3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138</v>
      </c>
      <c r="H1" s="144"/>
      <c r="I1" s="145" t="s">
        <v>137</v>
      </c>
      <c r="J1" s="144"/>
      <c r="K1" s="3"/>
      <c r="L1" s="4"/>
      <c r="M1" s="4"/>
      <c r="N1" s="3"/>
      <c r="O1" s="4"/>
      <c r="P1" s="146" t="str">
        <f>+F2</f>
        <v>LOI-267  2.06.23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147</v>
      </c>
      <c r="B2" s="8"/>
      <c r="C2" s="9"/>
      <c r="D2" s="9"/>
      <c r="E2" s="10"/>
      <c r="F2" s="146" t="s">
        <v>173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LOI-267  2.06.23</v>
      </c>
      <c r="V2" s="146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33</v>
      </c>
      <c r="C6" s="30">
        <v>15</v>
      </c>
      <c r="D6" s="27">
        <v>8.6999999999999993</v>
      </c>
      <c r="E6" s="28">
        <v>18</v>
      </c>
      <c r="F6" s="16">
        <f>(C6*D6*E6/1000)</f>
        <v>2.3490000000000002</v>
      </c>
      <c r="G6" s="16" t="s">
        <v>89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18</v>
      </c>
      <c r="V6" s="19">
        <f>F6-T6</f>
        <v>2.3490000000000002</v>
      </c>
      <c r="X6" s="29"/>
    </row>
    <row r="7" spans="1:24">
      <c r="A7" s="26" t="s">
        <v>13</v>
      </c>
      <c r="B7" s="26" t="s">
        <v>33</v>
      </c>
      <c r="C7" s="30">
        <v>15</v>
      </c>
      <c r="D7" s="27">
        <v>9.5</v>
      </c>
      <c r="E7" s="28"/>
      <c r="F7" s="16">
        <f t="shared" ref="F7:F12" si="0">(C7*D7*E7/1000)</f>
        <v>0</v>
      </c>
      <c r="G7" s="16" t="s">
        <v>183</v>
      </c>
      <c r="H7" s="18">
        <v>6</v>
      </c>
      <c r="I7" s="19">
        <f t="shared" ref="I7:I12" si="1">(C7*D7*H7/1000)</f>
        <v>0.85499999999999998</v>
      </c>
      <c r="J7" s="16"/>
      <c r="K7" s="18"/>
      <c r="L7" s="19">
        <f t="shared" ref="L7:L12" si="2">(C7*D7*K7/1000)</f>
        <v>0</v>
      </c>
      <c r="M7" s="16"/>
      <c r="N7" s="18"/>
      <c r="O7" s="19">
        <f t="shared" ref="O7:O12" si="3">(C7*D7*N7/1000)</f>
        <v>0</v>
      </c>
      <c r="P7" s="16"/>
      <c r="Q7" s="18"/>
      <c r="R7" s="19">
        <f t="shared" ref="R7:R12" si="4">(C7*D7*Q7/1000)</f>
        <v>0</v>
      </c>
      <c r="S7" s="20">
        <f t="shared" ref="S7:S12" si="5">+H7+K7+Q7+N7</f>
        <v>6</v>
      </c>
      <c r="T7" s="19">
        <f t="shared" ref="T7:T12" si="6">+I7+L7+R7+O7</f>
        <v>0.85499999999999998</v>
      </c>
      <c r="U7" s="21">
        <f t="shared" ref="U7:U12" si="7">E7-S7</f>
        <v>-6</v>
      </c>
      <c r="V7" s="19">
        <f t="shared" ref="V7:V12" si="8">F7-T7</f>
        <v>-0.85499999999999998</v>
      </c>
      <c r="X7" s="29"/>
    </row>
    <row r="8" spans="1:24">
      <c r="A8" s="26" t="s">
        <v>13</v>
      </c>
      <c r="B8" s="26" t="s">
        <v>33</v>
      </c>
      <c r="C8" s="30">
        <v>15</v>
      </c>
      <c r="D8" s="27">
        <v>9.8000000000000007</v>
      </c>
      <c r="E8" s="28"/>
      <c r="F8" s="16">
        <f t="shared" si="0"/>
        <v>0</v>
      </c>
      <c r="G8" s="16"/>
      <c r="H8" s="18">
        <v>3</v>
      </c>
      <c r="I8" s="19">
        <f t="shared" si="1"/>
        <v>0.441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</v>
      </c>
      <c r="T8" s="19">
        <f t="shared" si="6"/>
        <v>0.441</v>
      </c>
      <c r="U8" s="21">
        <f t="shared" si="7"/>
        <v>-3</v>
      </c>
      <c r="V8" s="19">
        <f t="shared" si="8"/>
        <v>-0.441</v>
      </c>
      <c r="X8" s="29"/>
    </row>
    <row r="9" spans="1:24">
      <c r="A9" s="26" t="s">
        <v>13</v>
      </c>
      <c r="B9" s="26" t="s">
        <v>33</v>
      </c>
      <c r="C9" s="30">
        <v>15</v>
      </c>
      <c r="D9" s="27">
        <v>9.9</v>
      </c>
      <c r="E9" s="28"/>
      <c r="F9" s="16">
        <f t="shared" si="0"/>
        <v>0</v>
      </c>
      <c r="G9" s="16"/>
      <c r="H9" s="18">
        <v>2</v>
      </c>
      <c r="I9" s="19">
        <f t="shared" si="1"/>
        <v>0.29699999999999999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2</v>
      </c>
      <c r="T9" s="19">
        <f t="shared" si="6"/>
        <v>0.29699999999999999</v>
      </c>
      <c r="U9" s="21">
        <f t="shared" si="7"/>
        <v>-2</v>
      </c>
      <c r="V9" s="19">
        <f t="shared" si="8"/>
        <v>-0.29699999999999999</v>
      </c>
      <c r="X9" s="29"/>
    </row>
    <row r="10" spans="1:24">
      <c r="A10" s="26" t="s">
        <v>13</v>
      </c>
      <c r="B10" s="26" t="s">
        <v>33</v>
      </c>
      <c r="C10" s="30">
        <v>15</v>
      </c>
      <c r="D10" s="27">
        <v>11.4</v>
      </c>
      <c r="E10" s="28"/>
      <c r="F10" s="16">
        <f t="shared" si="0"/>
        <v>0</v>
      </c>
      <c r="G10" s="16"/>
      <c r="H10" s="18">
        <v>4</v>
      </c>
      <c r="I10" s="19">
        <f t="shared" si="1"/>
        <v>0.68400000000000005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4</v>
      </c>
      <c r="T10" s="19">
        <f t="shared" si="6"/>
        <v>0.68400000000000005</v>
      </c>
      <c r="U10" s="21">
        <f t="shared" si="7"/>
        <v>-4</v>
      </c>
      <c r="V10" s="19">
        <f t="shared" si="8"/>
        <v>-0.68400000000000005</v>
      </c>
      <c r="X10" s="29"/>
    </row>
    <row r="11" spans="1:24">
      <c r="A11" s="26" t="s">
        <v>13</v>
      </c>
      <c r="B11" s="26" t="s">
        <v>33</v>
      </c>
      <c r="C11" s="30">
        <v>15</v>
      </c>
      <c r="D11" s="27"/>
      <c r="E11" s="28"/>
      <c r="F11" s="16">
        <f t="shared" si="0"/>
        <v>0</v>
      </c>
      <c r="G11" s="16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0</v>
      </c>
      <c r="V11" s="19">
        <f t="shared" si="8"/>
        <v>0</v>
      </c>
      <c r="X11" s="29"/>
    </row>
    <row r="12" spans="1:24">
      <c r="A12" s="26" t="s">
        <v>13</v>
      </c>
      <c r="B12" s="26" t="s">
        <v>33</v>
      </c>
      <c r="C12" s="30">
        <v>15</v>
      </c>
      <c r="D12" s="27"/>
      <c r="E12" s="28"/>
      <c r="F12" s="16">
        <f t="shared" si="0"/>
        <v>0</v>
      </c>
      <c r="G12" s="16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16"/>
      <c r="Q12" s="18"/>
      <c r="R12" s="19">
        <f t="shared" si="4"/>
        <v>0</v>
      </c>
      <c r="S12" s="20">
        <f t="shared" si="5"/>
        <v>0</v>
      </c>
      <c r="T12" s="19">
        <f t="shared" si="6"/>
        <v>0</v>
      </c>
      <c r="U12" s="21">
        <f t="shared" si="7"/>
        <v>0</v>
      </c>
      <c r="V12" s="19">
        <f t="shared" si="8"/>
        <v>0</v>
      </c>
      <c r="X12" s="29"/>
    </row>
    <row r="13" spans="1:24">
      <c r="A13" s="36"/>
      <c r="B13" s="36"/>
      <c r="C13" s="37"/>
      <c r="D13" s="38"/>
      <c r="E13" s="31">
        <f t="shared" ref="E13:F13" si="9">SUM(E6:E12)</f>
        <v>18</v>
      </c>
      <c r="F13" s="38">
        <f t="shared" si="9"/>
        <v>2.3490000000000002</v>
      </c>
      <c r="G13" s="16"/>
      <c r="H13" s="31">
        <f t="shared" ref="H13" si="10">SUM(H6:H12)</f>
        <v>15</v>
      </c>
      <c r="I13" s="38">
        <f t="shared" ref="I13" si="11">SUM(I6:I12)</f>
        <v>2.2770000000000001</v>
      </c>
      <c r="J13" s="16"/>
      <c r="K13" s="31">
        <f t="shared" ref="K13" si="12">SUM(K6:K12)</f>
        <v>0</v>
      </c>
      <c r="L13" s="38">
        <f t="shared" ref="L13" si="13">SUM(L6:L12)</f>
        <v>0</v>
      </c>
      <c r="M13" s="16"/>
      <c r="N13" s="31">
        <f t="shared" ref="N13" si="14">SUM(N6:N12)</f>
        <v>0</v>
      </c>
      <c r="O13" s="38">
        <f t="shared" ref="O13" si="15">SUM(O6:O12)</f>
        <v>0</v>
      </c>
      <c r="P13" s="16"/>
      <c r="Q13" s="31">
        <f t="shared" ref="Q13" si="16">SUM(Q6:Q12)</f>
        <v>0</v>
      </c>
      <c r="R13" s="38">
        <f t="shared" ref="R13" si="17">SUM(R6:R12)</f>
        <v>0</v>
      </c>
      <c r="S13" s="31">
        <f t="shared" ref="S13" si="18">SUM(S6:S12)</f>
        <v>15</v>
      </c>
      <c r="T13" s="38">
        <f t="shared" ref="T13" si="19">SUM(T6:T12)</f>
        <v>2.2770000000000001</v>
      </c>
      <c r="U13" s="31">
        <f t="shared" ref="U13" si="20">SUM(U6:U12)</f>
        <v>3</v>
      </c>
      <c r="V13" s="38">
        <f t="shared" ref="V13" si="21">SUM(V6:V12)</f>
        <v>7.2000000000000175E-2</v>
      </c>
      <c r="X13" s="29"/>
    </row>
    <row r="14" spans="1:24">
      <c r="A14" s="26" t="s">
        <v>13</v>
      </c>
      <c r="B14" s="26" t="s">
        <v>55</v>
      </c>
      <c r="C14" s="30">
        <v>16</v>
      </c>
      <c r="D14" s="27">
        <v>11</v>
      </c>
      <c r="E14" s="28">
        <v>1</v>
      </c>
      <c r="F14" s="16">
        <f>(C14*D14*E14/1000)</f>
        <v>0.17599999999999999</v>
      </c>
      <c r="G14" s="16" t="s">
        <v>111</v>
      </c>
      <c r="H14" s="18"/>
      <c r="I14" s="19">
        <f>(C14*D14*H14/1000)</f>
        <v>0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0</v>
      </c>
      <c r="T14" s="19">
        <f>+I14+L14+R14+O14</f>
        <v>0</v>
      </c>
      <c r="U14" s="21">
        <f>E14-S14</f>
        <v>1</v>
      </c>
      <c r="V14" s="19">
        <f>F14-T14</f>
        <v>0.17599999999999999</v>
      </c>
      <c r="X14" s="29"/>
    </row>
    <row r="15" spans="1:24">
      <c r="A15" s="26" t="s">
        <v>13</v>
      </c>
      <c r="B15" s="26" t="s">
        <v>55</v>
      </c>
      <c r="C15" s="30">
        <v>16</v>
      </c>
      <c r="D15" s="27">
        <v>7.1</v>
      </c>
      <c r="E15" s="28"/>
      <c r="F15" s="16">
        <f>(C15*D15*E15/1000)</f>
        <v>0</v>
      </c>
      <c r="G15" s="16" t="s">
        <v>179</v>
      </c>
      <c r="H15" s="18">
        <v>2</v>
      </c>
      <c r="I15" s="19">
        <f>(C15*D15*H15/1000)</f>
        <v>0.22719999999999999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2</v>
      </c>
      <c r="T15" s="19">
        <f>+I15+L15+R15+O15</f>
        <v>0.22719999999999999</v>
      </c>
      <c r="U15" s="21">
        <f>E15-S15</f>
        <v>-2</v>
      </c>
      <c r="V15" s="19">
        <f>F15-T15</f>
        <v>-0.22719999999999999</v>
      </c>
      <c r="X15" s="29"/>
    </row>
    <row r="16" spans="1:24">
      <c r="A16" s="36"/>
      <c r="B16" s="36"/>
      <c r="C16" s="37"/>
      <c r="D16" s="38"/>
      <c r="E16" s="31">
        <f t="shared" ref="E16:F16" si="22">SUM(E14:E15)</f>
        <v>1</v>
      </c>
      <c r="F16" s="38">
        <f t="shared" si="22"/>
        <v>0.17599999999999999</v>
      </c>
      <c r="G16" s="16"/>
      <c r="H16" s="31">
        <f t="shared" ref="H16" si="23">SUM(H14:H15)</f>
        <v>2</v>
      </c>
      <c r="I16" s="38">
        <f t="shared" ref="I16" si="24">SUM(I14:I15)</f>
        <v>0.22719999999999999</v>
      </c>
      <c r="J16" s="16"/>
      <c r="K16" s="31">
        <f t="shared" ref="K16" si="25">SUM(K14:K15)</f>
        <v>0</v>
      </c>
      <c r="L16" s="38">
        <f t="shared" ref="L16" si="26">SUM(L14:L15)</f>
        <v>0</v>
      </c>
      <c r="M16" s="16"/>
      <c r="N16" s="31">
        <f t="shared" ref="N16" si="27">SUM(N14:N15)</f>
        <v>0</v>
      </c>
      <c r="O16" s="38">
        <f t="shared" ref="O16" si="28">SUM(O14:O15)</f>
        <v>0</v>
      </c>
      <c r="P16" s="16"/>
      <c r="Q16" s="31">
        <f t="shared" ref="Q16" si="29">SUM(Q14:Q15)</f>
        <v>0</v>
      </c>
      <c r="R16" s="38">
        <f t="shared" ref="R16" si="30">SUM(R14:R15)</f>
        <v>0</v>
      </c>
      <c r="S16" s="31">
        <f t="shared" ref="S16" si="31">SUM(S14:S15)</f>
        <v>2</v>
      </c>
      <c r="T16" s="38">
        <f t="shared" ref="T16" si="32">SUM(T14:T15)</f>
        <v>0.22719999999999999</v>
      </c>
      <c r="U16" s="31">
        <f t="shared" ref="U16" si="33">SUM(U14:U15)</f>
        <v>-1</v>
      </c>
      <c r="V16" s="38">
        <f t="shared" ref="V16" si="34">SUM(V14:V15)</f>
        <v>-5.1199999999999996E-2</v>
      </c>
      <c r="X16" s="29"/>
    </row>
    <row r="17" spans="1:24">
      <c r="A17" s="26" t="s">
        <v>13</v>
      </c>
      <c r="B17" s="26" t="s">
        <v>125</v>
      </c>
      <c r="C17" s="30">
        <v>27.3</v>
      </c>
      <c r="D17" s="27">
        <v>7</v>
      </c>
      <c r="E17" s="28">
        <v>24</v>
      </c>
      <c r="F17" s="16">
        <f>(C17*D17*E17/1000)</f>
        <v>4.5863999999999994</v>
      </c>
      <c r="G17" s="17" t="s">
        <v>89</v>
      </c>
      <c r="H17" s="18">
        <v>24</v>
      </c>
      <c r="I17" s="19">
        <f>(C17*D17*H17/1000)</f>
        <v>4.5863999999999994</v>
      </c>
      <c r="J17" s="16" t="s">
        <v>89</v>
      </c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 t="shared" ref="S17:T19" si="35">+H17+K17+Q17+N17</f>
        <v>24</v>
      </c>
      <c r="T17" s="19">
        <f t="shared" si="35"/>
        <v>4.5863999999999994</v>
      </c>
      <c r="U17" s="21">
        <f t="shared" ref="U17:V19" si="36">E17-S17</f>
        <v>0</v>
      </c>
      <c r="V17" s="19">
        <f t="shared" si="36"/>
        <v>0</v>
      </c>
      <c r="X17" s="29"/>
    </row>
    <row r="18" spans="1:24">
      <c r="A18" s="26" t="s">
        <v>13</v>
      </c>
      <c r="B18" s="26" t="s">
        <v>125</v>
      </c>
      <c r="C18" s="30">
        <v>27.3</v>
      </c>
      <c r="D18" s="27">
        <v>8</v>
      </c>
      <c r="E18" s="28">
        <v>24</v>
      </c>
      <c r="F18" s="16">
        <f>(C18*D18*E18/1000)</f>
        <v>5.2416</v>
      </c>
      <c r="G18" s="17" t="s">
        <v>182</v>
      </c>
      <c r="H18" s="18">
        <v>21</v>
      </c>
      <c r="I18" s="19">
        <f>(C18*D18*H18/1000)</f>
        <v>4.5864000000000003</v>
      </c>
      <c r="J18" s="16" t="s">
        <v>183</v>
      </c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 t="shared" si="35"/>
        <v>21</v>
      </c>
      <c r="T18" s="19">
        <f t="shared" si="35"/>
        <v>4.5864000000000003</v>
      </c>
      <c r="U18" s="21">
        <f t="shared" si="36"/>
        <v>3</v>
      </c>
      <c r="V18" s="19">
        <f t="shared" si="36"/>
        <v>0.65519999999999978</v>
      </c>
      <c r="X18" s="29"/>
    </row>
    <row r="19" spans="1:24">
      <c r="A19" s="26" t="s">
        <v>13</v>
      </c>
      <c r="B19" s="26" t="s">
        <v>125</v>
      </c>
      <c r="C19" s="30">
        <v>27.3</v>
      </c>
      <c r="D19" s="27">
        <v>10.7</v>
      </c>
      <c r="E19" s="28"/>
      <c r="F19" s="16">
        <f>(C19*D19*E19/1000)</f>
        <v>0</v>
      </c>
      <c r="G19" s="17"/>
      <c r="H19" s="18"/>
      <c r="I19" s="19">
        <f>(C19*D19*H19/1000)</f>
        <v>0</v>
      </c>
      <c r="J19" s="16"/>
      <c r="K19" s="18">
        <v>3</v>
      </c>
      <c r="L19" s="19">
        <f>(C19*D19*K19/1000)</f>
        <v>0.87633000000000005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 t="shared" si="35"/>
        <v>3</v>
      </c>
      <c r="T19" s="19">
        <f t="shared" si="35"/>
        <v>0.87633000000000005</v>
      </c>
      <c r="U19" s="21">
        <f t="shared" si="36"/>
        <v>-3</v>
      </c>
      <c r="V19" s="19">
        <f t="shared" si="36"/>
        <v>-0.87633000000000005</v>
      </c>
      <c r="X19" s="29"/>
    </row>
    <row r="20" spans="1:24">
      <c r="A20" s="36"/>
      <c r="B20" s="36"/>
      <c r="C20" s="37"/>
      <c r="D20" s="38"/>
      <c r="E20" s="31">
        <f t="shared" ref="E20:F20" si="37">SUM(E17:E19)</f>
        <v>48</v>
      </c>
      <c r="F20" s="38">
        <f t="shared" si="37"/>
        <v>9.8279999999999994</v>
      </c>
      <c r="G20" s="16"/>
      <c r="H20" s="31">
        <f t="shared" ref="H20" si="38">SUM(H17:H19)</f>
        <v>45</v>
      </c>
      <c r="I20" s="38">
        <f t="shared" ref="I20" si="39">SUM(I17:I19)</f>
        <v>9.1727999999999987</v>
      </c>
      <c r="J20" s="16"/>
      <c r="K20" s="31">
        <f t="shared" ref="K20" si="40">SUM(K17:K19)</f>
        <v>3</v>
      </c>
      <c r="L20" s="38">
        <f t="shared" ref="L20" si="41">SUM(L17:L19)</f>
        <v>0.87633000000000005</v>
      </c>
      <c r="M20" s="17"/>
      <c r="N20" s="31">
        <f t="shared" ref="N20" si="42">SUM(N17:N19)</f>
        <v>0</v>
      </c>
      <c r="O20" s="38">
        <f t="shared" ref="O20" si="43">SUM(O17:O19)</f>
        <v>0</v>
      </c>
      <c r="P20" s="16"/>
      <c r="Q20" s="31">
        <f t="shared" ref="Q20" si="44">SUM(Q17:Q19)</f>
        <v>0</v>
      </c>
      <c r="R20" s="38">
        <f t="shared" ref="R20" si="45">SUM(R17:R19)</f>
        <v>0</v>
      </c>
      <c r="S20" s="31">
        <f t="shared" ref="S20" si="46">SUM(S17:S19)</f>
        <v>48</v>
      </c>
      <c r="T20" s="38">
        <f t="shared" ref="T20" si="47">SUM(T17:T19)</f>
        <v>10.049129999999998</v>
      </c>
      <c r="U20" s="31">
        <f t="shared" ref="U20" si="48">SUM(U17:U19)</f>
        <v>0</v>
      </c>
      <c r="V20" s="38">
        <f t="shared" ref="V20" si="49">SUM(V17:V19)</f>
        <v>-0.22113000000000027</v>
      </c>
      <c r="X20" s="29"/>
    </row>
    <row r="21" spans="1:24">
      <c r="A21" s="26" t="s">
        <v>13</v>
      </c>
      <c r="B21" s="26" t="s">
        <v>126</v>
      </c>
      <c r="C21" s="30">
        <v>33.799999999999997</v>
      </c>
      <c r="D21" s="27">
        <v>6.3</v>
      </c>
      <c r="E21" s="28">
        <v>8</v>
      </c>
      <c r="F21" s="16">
        <f t="shared" ref="F21:F28" si="50">(C21*D21*E21/1000)</f>
        <v>1.7035199999999997</v>
      </c>
      <c r="G21" s="16" t="s">
        <v>89</v>
      </c>
      <c r="H21" s="18">
        <v>8</v>
      </c>
      <c r="I21" s="19">
        <f t="shared" ref="I21:I28" si="51">(C21*D21*H21/1000)</f>
        <v>1.7035199999999997</v>
      </c>
      <c r="J21" s="16"/>
      <c r="K21" s="18"/>
      <c r="L21" s="19">
        <f t="shared" ref="L21:L28" si="52">(C21*D21*K21/1000)</f>
        <v>0</v>
      </c>
      <c r="M21" s="16"/>
      <c r="N21" s="18"/>
      <c r="O21" s="19">
        <f t="shared" ref="O21:O28" si="53">(C21*D21*N21/1000)</f>
        <v>0</v>
      </c>
      <c r="P21" s="16"/>
      <c r="Q21" s="18"/>
      <c r="R21" s="19">
        <f t="shared" ref="R21:R28" si="54">(C21*D21*Q21/1000)</f>
        <v>0</v>
      </c>
      <c r="S21" s="20">
        <f t="shared" ref="S21:S28" si="55">+H21+K21+Q21+N21</f>
        <v>8</v>
      </c>
      <c r="T21" s="19">
        <f t="shared" ref="T21:T28" si="56">+I21+L21+R21+O21</f>
        <v>1.7035199999999997</v>
      </c>
      <c r="U21" s="21">
        <f t="shared" ref="U21:U28" si="57">E21-S21</f>
        <v>0</v>
      </c>
      <c r="V21" s="19">
        <f t="shared" ref="V21:V28" si="58">F21-T21</f>
        <v>0</v>
      </c>
      <c r="X21" s="29"/>
    </row>
    <row r="22" spans="1:24">
      <c r="A22" s="26" t="s">
        <v>13</v>
      </c>
      <c r="B22" s="26" t="s">
        <v>126</v>
      </c>
      <c r="C22" s="30">
        <v>33.799999999999997</v>
      </c>
      <c r="D22" s="27">
        <v>6.7</v>
      </c>
      <c r="E22" s="28">
        <v>8</v>
      </c>
      <c r="F22" s="16">
        <f t="shared" si="50"/>
        <v>1.8116799999999997</v>
      </c>
      <c r="G22" s="16" t="s">
        <v>183</v>
      </c>
      <c r="H22" s="18">
        <v>8</v>
      </c>
      <c r="I22" s="19">
        <f t="shared" si="51"/>
        <v>1.8116799999999997</v>
      </c>
      <c r="J22" s="16"/>
      <c r="K22" s="18"/>
      <c r="L22" s="19">
        <f t="shared" si="52"/>
        <v>0</v>
      </c>
      <c r="M22" s="16"/>
      <c r="N22" s="18"/>
      <c r="O22" s="19">
        <f t="shared" si="53"/>
        <v>0</v>
      </c>
      <c r="P22" s="16"/>
      <c r="Q22" s="18"/>
      <c r="R22" s="19">
        <f t="shared" si="54"/>
        <v>0</v>
      </c>
      <c r="S22" s="20">
        <f t="shared" si="55"/>
        <v>8</v>
      </c>
      <c r="T22" s="19">
        <f t="shared" si="56"/>
        <v>1.8116799999999997</v>
      </c>
      <c r="U22" s="21">
        <f t="shared" si="57"/>
        <v>0</v>
      </c>
      <c r="V22" s="19">
        <f t="shared" si="58"/>
        <v>0</v>
      </c>
      <c r="X22" s="29"/>
    </row>
    <row r="23" spans="1:24">
      <c r="A23" s="26" t="s">
        <v>13</v>
      </c>
      <c r="B23" s="26" t="s">
        <v>126</v>
      </c>
      <c r="C23" s="30">
        <v>33.799999999999997</v>
      </c>
      <c r="D23" s="27">
        <v>8.1999999999999993</v>
      </c>
      <c r="E23" s="28">
        <v>4</v>
      </c>
      <c r="F23" s="16">
        <f t="shared" si="50"/>
        <v>1.1086399999999998</v>
      </c>
      <c r="G23" s="17"/>
      <c r="H23" s="18">
        <v>2</v>
      </c>
      <c r="I23" s="19">
        <f t="shared" si="51"/>
        <v>0.55431999999999992</v>
      </c>
      <c r="J23" s="16"/>
      <c r="K23" s="18"/>
      <c r="L23" s="19">
        <f t="shared" si="52"/>
        <v>0</v>
      </c>
      <c r="M23" s="16"/>
      <c r="N23" s="18"/>
      <c r="O23" s="19">
        <f t="shared" si="53"/>
        <v>0</v>
      </c>
      <c r="P23" s="16"/>
      <c r="Q23" s="18"/>
      <c r="R23" s="19">
        <f t="shared" si="54"/>
        <v>0</v>
      </c>
      <c r="S23" s="20">
        <f t="shared" si="55"/>
        <v>2</v>
      </c>
      <c r="T23" s="19">
        <f t="shared" si="56"/>
        <v>0.55431999999999992</v>
      </c>
      <c r="U23" s="21">
        <f t="shared" si="57"/>
        <v>2</v>
      </c>
      <c r="V23" s="19">
        <f t="shared" si="58"/>
        <v>0.55431999999999992</v>
      </c>
      <c r="X23" s="29"/>
    </row>
    <row r="24" spans="1:24">
      <c r="A24" s="26" t="s">
        <v>13</v>
      </c>
      <c r="B24" s="26" t="s">
        <v>126</v>
      </c>
      <c r="C24" s="30">
        <v>33.799999999999997</v>
      </c>
      <c r="D24" s="27">
        <v>10</v>
      </c>
      <c r="E24" s="28">
        <v>4</v>
      </c>
      <c r="F24" s="16">
        <f t="shared" si="50"/>
        <v>1.3520000000000001</v>
      </c>
      <c r="G24" s="17"/>
      <c r="H24" s="18">
        <v>3</v>
      </c>
      <c r="I24" s="19">
        <f t="shared" si="51"/>
        <v>1.014</v>
      </c>
      <c r="J24" s="16"/>
      <c r="K24" s="18"/>
      <c r="L24" s="19">
        <f t="shared" si="52"/>
        <v>0</v>
      </c>
      <c r="M24" s="16"/>
      <c r="N24" s="18"/>
      <c r="O24" s="19">
        <f t="shared" si="53"/>
        <v>0</v>
      </c>
      <c r="P24" s="16"/>
      <c r="Q24" s="18"/>
      <c r="R24" s="19">
        <f t="shared" si="54"/>
        <v>0</v>
      </c>
      <c r="S24" s="20">
        <f t="shared" si="55"/>
        <v>3</v>
      </c>
      <c r="T24" s="19">
        <f t="shared" si="56"/>
        <v>1.014</v>
      </c>
      <c r="U24" s="21">
        <f t="shared" si="57"/>
        <v>1</v>
      </c>
      <c r="V24" s="19">
        <f t="shared" si="58"/>
        <v>0.33800000000000008</v>
      </c>
      <c r="X24" s="29"/>
    </row>
    <row r="25" spans="1:24">
      <c r="A25" s="26" t="s">
        <v>13</v>
      </c>
      <c r="B25" s="26" t="s">
        <v>126</v>
      </c>
      <c r="C25" s="30">
        <v>33.799999999999997</v>
      </c>
      <c r="D25" s="27">
        <v>10.4</v>
      </c>
      <c r="E25" s="28">
        <v>6</v>
      </c>
      <c r="F25" s="16">
        <f t="shared" si="50"/>
        <v>2.1091199999999999</v>
      </c>
      <c r="G25" s="17"/>
      <c r="H25" s="18">
        <v>5</v>
      </c>
      <c r="I25" s="19">
        <f t="shared" si="51"/>
        <v>1.7575999999999998</v>
      </c>
      <c r="J25" s="16"/>
      <c r="K25" s="18"/>
      <c r="L25" s="19">
        <f t="shared" si="52"/>
        <v>0</v>
      </c>
      <c r="M25" s="16"/>
      <c r="N25" s="18"/>
      <c r="O25" s="19">
        <f t="shared" si="53"/>
        <v>0</v>
      </c>
      <c r="P25" s="16"/>
      <c r="Q25" s="18"/>
      <c r="R25" s="19">
        <f t="shared" si="54"/>
        <v>0</v>
      </c>
      <c r="S25" s="20">
        <f t="shared" si="55"/>
        <v>5</v>
      </c>
      <c r="T25" s="19">
        <f t="shared" si="56"/>
        <v>1.7575999999999998</v>
      </c>
      <c r="U25" s="21">
        <f t="shared" si="57"/>
        <v>1</v>
      </c>
      <c r="V25" s="19">
        <f t="shared" si="58"/>
        <v>0.35152000000000005</v>
      </c>
      <c r="X25" s="29"/>
    </row>
    <row r="26" spans="1:24">
      <c r="A26" s="26" t="s">
        <v>13</v>
      </c>
      <c r="B26" s="26" t="s">
        <v>126</v>
      </c>
      <c r="C26" s="30">
        <v>33.799999999999997</v>
      </c>
      <c r="D26" s="27">
        <v>11.1</v>
      </c>
      <c r="E26" s="28">
        <v>4</v>
      </c>
      <c r="F26" s="16">
        <f t="shared" ref="F26:F27" si="59">(C26*D26*E26/1000)</f>
        <v>1.5007199999999998</v>
      </c>
      <c r="G26" s="17"/>
      <c r="H26" s="18">
        <v>4</v>
      </c>
      <c r="I26" s="19">
        <f t="shared" ref="I26:I27" si="60">(C26*D26*H26/1000)</f>
        <v>1.5007199999999998</v>
      </c>
      <c r="J26" s="16"/>
      <c r="K26" s="18"/>
      <c r="L26" s="19">
        <f t="shared" ref="L26:L27" si="61">(C26*D26*K26/1000)</f>
        <v>0</v>
      </c>
      <c r="M26" s="16"/>
      <c r="N26" s="18"/>
      <c r="O26" s="19">
        <f t="shared" ref="O26:O27" si="62">(C26*D26*N26/1000)</f>
        <v>0</v>
      </c>
      <c r="P26" s="16"/>
      <c r="Q26" s="18"/>
      <c r="R26" s="19">
        <f t="shared" ref="R26:R27" si="63">(C26*D26*Q26/1000)</f>
        <v>0</v>
      </c>
      <c r="S26" s="20">
        <f t="shared" ref="S26:S27" si="64">+H26+K26+Q26+N26</f>
        <v>4</v>
      </c>
      <c r="T26" s="19">
        <f t="shared" ref="T26:T27" si="65">+I26+L26+R26+O26</f>
        <v>1.5007199999999998</v>
      </c>
      <c r="U26" s="21">
        <f t="shared" ref="U26:U27" si="66">E26-S26</f>
        <v>0</v>
      </c>
      <c r="V26" s="19">
        <f t="shared" ref="V26:V27" si="67">F26-T26</f>
        <v>0</v>
      </c>
      <c r="X26" s="29"/>
    </row>
    <row r="27" spans="1:24">
      <c r="A27" s="26" t="s">
        <v>13</v>
      </c>
      <c r="B27" s="26" t="s">
        <v>126</v>
      </c>
      <c r="C27" s="30">
        <v>33.799999999999997</v>
      </c>
      <c r="D27" s="27">
        <v>12</v>
      </c>
      <c r="E27" s="28"/>
      <c r="F27" s="16">
        <f t="shared" si="59"/>
        <v>0</v>
      </c>
      <c r="G27" s="17"/>
      <c r="H27" s="18">
        <v>3</v>
      </c>
      <c r="I27" s="19">
        <f t="shared" si="60"/>
        <v>1.2167999999999999</v>
      </c>
      <c r="J27" s="16"/>
      <c r="K27" s="18"/>
      <c r="L27" s="19">
        <f t="shared" si="61"/>
        <v>0</v>
      </c>
      <c r="M27" s="16"/>
      <c r="N27" s="18"/>
      <c r="O27" s="19">
        <f t="shared" si="62"/>
        <v>0</v>
      </c>
      <c r="P27" s="16"/>
      <c r="Q27" s="18"/>
      <c r="R27" s="19">
        <f t="shared" si="63"/>
        <v>0</v>
      </c>
      <c r="S27" s="20">
        <f t="shared" si="64"/>
        <v>3</v>
      </c>
      <c r="T27" s="19">
        <f t="shared" si="65"/>
        <v>1.2167999999999999</v>
      </c>
      <c r="U27" s="21">
        <f t="shared" si="66"/>
        <v>-3</v>
      </c>
      <c r="V27" s="19">
        <f t="shared" si="67"/>
        <v>-1.2167999999999999</v>
      </c>
      <c r="X27" s="29"/>
    </row>
    <row r="28" spans="1:24">
      <c r="A28" s="26" t="s">
        <v>13</v>
      </c>
      <c r="B28" s="26" t="s">
        <v>126</v>
      </c>
      <c r="C28" s="30">
        <v>33.799999999999997</v>
      </c>
      <c r="D28" s="27">
        <v>8.6</v>
      </c>
      <c r="E28" s="28"/>
      <c r="F28" s="16">
        <f t="shared" si="50"/>
        <v>0</v>
      </c>
      <c r="G28" s="17"/>
      <c r="H28" s="18">
        <v>1</v>
      </c>
      <c r="I28" s="19">
        <f t="shared" si="51"/>
        <v>0.29067999999999994</v>
      </c>
      <c r="J28" s="16"/>
      <c r="K28" s="18"/>
      <c r="L28" s="19">
        <f t="shared" si="52"/>
        <v>0</v>
      </c>
      <c r="M28" s="16"/>
      <c r="N28" s="18"/>
      <c r="O28" s="19">
        <f t="shared" si="53"/>
        <v>0</v>
      </c>
      <c r="P28" s="16"/>
      <c r="Q28" s="18"/>
      <c r="R28" s="19">
        <f t="shared" si="54"/>
        <v>0</v>
      </c>
      <c r="S28" s="20">
        <f t="shared" si="55"/>
        <v>1</v>
      </c>
      <c r="T28" s="19">
        <f t="shared" si="56"/>
        <v>0.29067999999999994</v>
      </c>
      <c r="U28" s="21">
        <f t="shared" si="57"/>
        <v>-1</v>
      </c>
      <c r="V28" s="19">
        <f t="shared" si="58"/>
        <v>-0.29067999999999994</v>
      </c>
      <c r="X28" s="29"/>
    </row>
    <row r="29" spans="1:24">
      <c r="A29" s="36"/>
      <c r="B29" s="36"/>
      <c r="C29" s="37"/>
      <c r="D29" s="38"/>
      <c r="E29" s="31">
        <f>SUM(E21:E28)</f>
        <v>34</v>
      </c>
      <c r="F29" s="38">
        <f>SUM(F21:F28)</f>
        <v>9.5856799999999982</v>
      </c>
      <c r="G29" s="17"/>
      <c r="H29" s="31">
        <f>SUM(H21:H28)</f>
        <v>34</v>
      </c>
      <c r="I29" s="38">
        <f>SUM(I21:I28)</f>
        <v>9.8493199999999987</v>
      </c>
      <c r="J29" s="16"/>
      <c r="K29" s="31">
        <f>SUM(K21:K28)</f>
        <v>0</v>
      </c>
      <c r="L29" s="38">
        <f>SUM(L21:L28)</f>
        <v>0</v>
      </c>
      <c r="M29" s="16"/>
      <c r="N29" s="31">
        <f>SUM(N21:N28)</f>
        <v>0</v>
      </c>
      <c r="O29" s="38">
        <f>SUM(O21:O28)</f>
        <v>0</v>
      </c>
      <c r="P29" s="16"/>
      <c r="Q29" s="31">
        <f t="shared" ref="Q29:V29" si="68">SUM(Q21:Q28)</f>
        <v>0</v>
      </c>
      <c r="R29" s="38">
        <f t="shared" si="68"/>
        <v>0</v>
      </c>
      <c r="S29" s="31">
        <f t="shared" si="68"/>
        <v>34</v>
      </c>
      <c r="T29" s="38">
        <f t="shared" si="68"/>
        <v>9.8493199999999987</v>
      </c>
      <c r="U29" s="31">
        <f t="shared" si="68"/>
        <v>0</v>
      </c>
      <c r="V29" s="38">
        <f t="shared" si="68"/>
        <v>-0.26363999999999976</v>
      </c>
      <c r="X29" s="29"/>
    </row>
    <row r="30" spans="1:24">
      <c r="A30" s="26" t="s">
        <v>13</v>
      </c>
      <c r="B30" s="26" t="s">
        <v>57</v>
      </c>
      <c r="C30" s="30">
        <v>6.17</v>
      </c>
      <c r="D30" s="27">
        <v>11.5</v>
      </c>
      <c r="E30" s="28">
        <v>24</v>
      </c>
      <c r="F30" s="16">
        <f>(C30*D30*E30/1000)</f>
        <v>1.70292</v>
      </c>
      <c r="G30" s="17" t="s">
        <v>89</v>
      </c>
      <c r="H30" s="18">
        <v>24</v>
      </c>
      <c r="I30" s="19">
        <f>(C30*D30*H30/1000)</f>
        <v>1.70292</v>
      </c>
      <c r="J30" s="16"/>
      <c r="K30" s="18"/>
      <c r="L30" s="19">
        <f>(C30*D30*K30/1000)</f>
        <v>0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24</v>
      </c>
      <c r="T30" s="19">
        <f>+I30+L30+R30+O30</f>
        <v>1.70292</v>
      </c>
      <c r="U30" s="21">
        <f>E30-S30</f>
        <v>0</v>
      </c>
      <c r="V30" s="19">
        <f>F30-T30</f>
        <v>0</v>
      </c>
      <c r="X30" s="29"/>
    </row>
    <row r="31" spans="1:24">
      <c r="A31" s="36"/>
      <c r="B31" s="36"/>
      <c r="C31" s="37"/>
      <c r="D31" s="38"/>
      <c r="E31" s="31">
        <f>SUM(E30)</f>
        <v>24</v>
      </c>
      <c r="F31" s="38">
        <f>SUM(F30)</f>
        <v>1.70292</v>
      </c>
      <c r="G31" s="17" t="s">
        <v>179</v>
      </c>
      <c r="H31" s="31">
        <f>SUM(H30)</f>
        <v>24</v>
      </c>
      <c r="I31" s="38">
        <f>SUM(I30)</f>
        <v>1.70292</v>
      </c>
      <c r="J31" s="16"/>
      <c r="K31" s="31">
        <f>SUM(K30)</f>
        <v>0</v>
      </c>
      <c r="L31" s="38">
        <f>SUM(L30)</f>
        <v>0</v>
      </c>
      <c r="M31" s="16"/>
      <c r="N31" s="31">
        <f>SUM(N30)</f>
        <v>0</v>
      </c>
      <c r="O31" s="38">
        <f>SUM(O30)</f>
        <v>0</v>
      </c>
      <c r="P31" s="16"/>
      <c r="Q31" s="31">
        <f t="shared" ref="Q31:V31" si="69">SUM(Q30)</f>
        <v>0</v>
      </c>
      <c r="R31" s="38">
        <f t="shared" si="69"/>
        <v>0</v>
      </c>
      <c r="S31" s="31">
        <f t="shared" si="69"/>
        <v>24</v>
      </c>
      <c r="T31" s="38">
        <f t="shared" si="69"/>
        <v>1.70292</v>
      </c>
      <c r="U31" s="31">
        <f t="shared" si="69"/>
        <v>0</v>
      </c>
      <c r="V31" s="38">
        <f t="shared" si="69"/>
        <v>0</v>
      </c>
      <c r="X31" s="29"/>
    </row>
    <row r="32" spans="1:24">
      <c r="A32" s="26" t="s">
        <v>13</v>
      </c>
      <c r="B32" s="26" t="s">
        <v>58</v>
      </c>
      <c r="C32" s="30">
        <v>7.34</v>
      </c>
      <c r="D32" s="27">
        <v>9.3000000000000007</v>
      </c>
      <c r="E32" s="28">
        <v>16</v>
      </c>
      <c r="F32" s="16">
        <f>(C32*D32*E32/1000)</f>
        <v>1.0921920000000001</v>
      </c>
      <c r="G32" s="16" t="s">
        <v>111</v>
      </c>
      <c r="H32" s="18">
        <v>16</v>
      </c>
      <c r="I32" s="19">
        <f>(C32*D32*H32/1000)</f>
        <v>1.0921920000000001</v>
      </c>
      <c r="J32" s="16"/>
      <c r="K32" s="18"/>
      <c r="L32" s="19">
        <f>(C32*D32*K32/1000)</f>
        <v>0</v>
      </c>
      <c r="M32" s="16"/>
      <c r="N32" s="18"/>
      <c r="O32" s="19">
        <f>(C32*D32*N32/1000)</f>
        <v>0</v>
      </c>
      <c r="P32" s="16"/>
      <c r="Q32" s="18"/>
      <c r="R32" s="19">
        <f>(C32*D32*Q32/1000)</f>
        <v>0</v>
      </c>
      <c r="S32" s="20">
        <f>+H32+K32+Q32+N32</f>
        <v>16</v>
      </c>
      <c r="T32" s="19">
        <f>+I32+L32+R32+O32</f>
        <v>1.0921920000000001</v>
      </c>
      <c r="U32" s="21">
        <f>E32-S32</f>
        <v>0</v>
      </c>
      <c r="V32" s="19">
        <f>F32-T32</f>
        <v>0</v>
      </c>
      <c r="X32" s="29"/>
    </row>
    <row r="33" spans="1:24">
      <c r="A33" s="36"/>
      <c r="B33" s="36"/>
      <c r="C33" s="37"/>
      <c r="D33" s="38"/>
      <c r="E33" s="31">
        <f t="shared" ref="E33:F33" si="70">SUM(E32)</f>
        <v>16</v>
      </c>
      <c r="F33" s="38">
        <f t="shared" si="70"/>
        <v>1.0921920000000001</v>
      </c>
      <c r="G33" s="16" t="s">
        <v>179</v>
      </c>
      <c r="H33" s="31">
        <f t="shared" ref="H33" si="71">SUM(H32)</f>
        <v>16</v>
      </c>
      <c r="I33" s="38">
        <f t="shared" ref="I33" si="72">SUM(I32)</f>
        <v>1.0921920000000001</v>
      </c>
      <c r="J33" s="16"/>
      <c r="K33" s="31">
        <f t="shared" ref="K33" si="73">SUM(K32)</f>
        <v>0</v>
      </c>
      <c r="L33" s="38">
        <f t="shared" ref="L33" si="74">SUM(L32)</f>
        <v>0</v>
      </c>
      <c r="M33" s="16"/>
      <c r="N33" s="31">
        <f t="shared" ref="N33" si="75">SUM(N32)</f>
        <v>0</v>
      </c>
      <c r="O33" s="38">
        <f t="shared" ref="O33" si="76">SUM(O32)</f>
        <v>0</v>
      </c>
      <c r="P33" s="16"/>
      <c r="Q33" s="31">
        <f t="shared" ref="Q33" si="77">SUM(Q32)</f>
        <v>0</v>
      </c>
      <c r="R33" s="38">
        <f t="shared" ref="R33" si="78">SUM(R32)</f>
        <v>0</v>
      </c>
      <c r="S33" s="31">
        <f t="shared" ref="S33" si="79">SUM(S32)</f>
        <v>16</v>
      </c>
      <c r="T33" s="38">
        <f t="shared" ref="T33" si="80">SUM(T32)</f>
        <v>1.0921920000000001</v>
      </c>
      <c r="U33" s="31">
        <f t="shared" ref="U33" si="81">SUM(U32)</f>
        <v>0</v>
      </c>
      <c r="V33" s="38">
        <f t="shared" ref="V33" si="82">SUM(V32)</f>
        <v>0</v>
      </c>
      <c r="X33" s="29"/>
    </row>
    <row r="34" spans="1:24">
      <c r="A34" s="26" t="s">
        <v>13</v>
      </c>
      <c r="B34" s="26" t="s">
        <v>37</v>
      </c>
      <c r="C34" s="30">
        <v>9.61</v>
      </c>
      <c r="D34" s="27">
        <v>12</v>
      </c>
      <c r="E34" s="28">
        <v>10</v>
      </c>
      <c r="F34" s="16">
        <f>(C34*D34*E34/1000)</f>
        <v>1.1531999999999998</v>
      </c>
      <c r="G34" s="16" t="s">
        <v>89</v>
      </c>
      <c r="H34" s="18">
        <v>2</v>
      </c>
      <c r="I34" s="19">
        <f>(C34*D34*H34/1000)</f>
        <v>0.23063999999999998</v>
      </c>
      <c r="J34" s="16" t="s">
        <v>89</v>
      </c>
      <c r="K34" s="18">
        <v>1</v>
      </c>
      <c r="L34" s="19">
        <f>(C34*D34*K34/1000)</f>
        <v>0.11531999999999999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+H34+K34+Q34+N34</f>
        <v>3</v>
      </c>
      <c r="T34" s="19">
        <f>+I34+L34+R34+O34</f>
        <v>0.34595999999999999</v>
      </c>
      <c r="U34" s="21">
        <f>E34-S34</f>
        <v>7</v>
      </c>
      <c r="V34" s="19">
        <f>F34-T34</f>
        <v>0.80723999999999974</v>
      </c>
      <c r="X34" s="29"/>
    </row>
    <row r="35" spans="1:24">
      <c r="A35" s="26" t="s">
        <v>13</v>
      </c>
      <c r="B35" s="26" t="s">
        <v>37</v>
      </c>
      <c r="C35" s="30">
        <v>9.61</v>
      </c>
      <c r="D35" s="27">
        <v>6.5</v>
      </c>
      <c r="E35" s="28"/>
      <c r="F35" s="16">
        <f t="shared" ref="F35:F43" si="83">(C35*D35*E35/1000)</f>
        <v>0</v>
      </c>
      <c r="G35" s="16" t="s">
        <v>183</v>
      </c>
      <c r="H35" s="18">
        <v>1</v>
      </c>
      <c r="I35" s="19">
        <f t="shared" ref="I35:I43" si="84">(C35*D35*H35/1000)</f>
        <v>6.2465E-2</v>
      </c>
      <c r="J35" s="16" t="s">
        <v>197</v>
      </c>
      <c r="K35" s="18"/>
      <c r="L35" s="19">
        <f t="shared" ref="L35:L43" si="85">(C35*D35*K35/1000)</f>
        <v>0</v>
      </c>
      <c r="M35" s="16"/>
      <c r="N35" s="18"/>
      <c r="O35" s="19">
        <f t="shared" ref="O35:O43" si="86">(C35*D35*N35/1000)</f>
        <v>0</v>
      </c>
      <c r="P35" s="16"/>
      <c r="Q35" s="18"/>
      <c r="R35" s="19">
        <f t="shared" ref="R35:R43" si="87">(C35*D35*Q35/1000)</f>
        <v>0</v>
      </c>
      <c r="S35" s="20">
        <f t="shared" ref="S35:S43" si="88">+H35+K35+Q35+N35</f>
        <v>1</v>
      </c>
      <c r="T35" s="19">
        <f t="shared" ref="T35:T43" si="89">+I35+L35+R35+O35</f>
        <v>6.2465E-2</v>
      </c>
      <c r="U35" s="21">
        <f t="shared" ref="U35:U43" si="90">E35-S35</f>
        <v>-1</v>
      </c>
      <c r="V35" s="19">
        <f t="shared" ref="V35:V43" si="91">F35-T35</f>
        <v>-6.2465E-2</v>
      </c>
      <c r="X35" s="29"/>
    </row>
    <row r="36" spans="1:24">
      <c r="A36" s="26" t="s">
        <v>13</v>
      </c>
      <c r="B36" s="26" t="s">
        <v>37</v>
      </c>
      <c r="C36" s="30">
        <v>9.61</v>
      </c>
      <c r="D36" s="27">
        <v>7.5</v>
      </c>
      <c r="E36" s="28"/>
      <c r="F36" s="16">
        <f t="shared" si="83"/>
        <v>0</v>
      </c>
      <c r="G36" s="16"/>
      <c r="H36" s="18">
        <v>1</v>
      </c>
      <c r="I36" s="19">
        <f t="shared" si="84"/>
        <v>7.2074999999999986E-2</v>
      </c>
      <c r="J36" s="16"/>
      <c r="K36" s="18"/>
      <c r="L36" s="19">
        <f t="shared" si="85"/>
        <v>0</v>
      </c>
      <c r="M36" s="16"/>
      <c r="N36" s="18"/>
      <c r="O36" s="19">
        <f t="shared" si="86"/>
        <v>0</v>
      </c>
      <c r="P36" s="16"/>
      <c r="Q36" s="18"/>
      <c r="R36" s="19">
        <f t="shared" si="87"/>
        <v>0</v>
      </c>
      <c r="S36" s="20">
        <f t="shared" si="88"/>
        <v>1</v>
      </c>
      <c r="T36" s="19">
        <f t="shared" si="89"/>
        <v>7.2074999999999986E-2</v>
      </c>
      <c r="U36" s="21">
        <f t="shared" si="90"/>
        <v>-1</v>
      </c>
      <c r="V36" s="19">
        <f t="shared" si="91"/>
        <v>-7.2074999999999986E-2</v>
      </c>
      <c r="X36" s="29"/>
    </row>
    <row r="37" spans="1:24">
      <c r="A37" s="26" t="s">
        <v>13</v>
      </c>
      <c r="B37" s="26" t="s">
        <v>37</v>
      </c>
      <c r="C37" s="30">
        <v>9.61</v>
      </c>
      <c r="D37" s="27">
        <v>9</v>
      </c>
      <c r="E37" s="28"/>
      <c r="F37" s="16">
        <f t="shared" si="83"/>
        <v>0</v>
      </c>
      <c r="G37" s="16"/>
      <c r="H37" s="18">
        <v>2</v>
      </c>
      <c r="I37" s="19">
        <f t="shared" si="84"/>
        <v>0.17297999999999999</v>
      </c>
      <c r="J37" s="16"/>
      <c r="K37" s="18"/>
      <c r="L37" s="19">
        <f t="shared" si="85"/>
        <v>0</v>
      </c>
      <c r="M37" s="16"/>
      <c r="N37" s="18"/>
      <c r="O37" s="19">
        <f t="shared" si="86"/>
        <v>0</v>
      </c>
      <c r="P37" s="16"/>
      <c r="Q37" s="18"/>
      <c r="R37" s="19">
        <f t="shared" si="87"/>
        <v>0</v>
      </c>
      <c r="S37" s="20">
        <f t="shared" si="88"/>
        <v>2</v>
      </c>
      <c r="T37" s="19">
        <f t="shared" si="89"/>
        <v>0.17297999999999999</v>
      </c>
      <c r="U37" s="21">
        <f t="shared" si="90"/>
        <v>-2</v>
      </c>
      <c r="V37" s="19">
        <f t="shared" si="91"/>
        <v>-0.17297999999999999</v>
      </c>
      <c r="X37" s="29"/>
    </row>
    <row r="38" spans="1:24">
      <c r="A38" s="26" t="s">
        <v>13</v>
      </c>
      <c r="B38" s="26" t="s">
        <v>37</v>
      </c>
      <c r="C38" s="30">
        <v>9.61</v>
      </c>
      <c r="D38" s="27">
        <v>10.5</v>
      </c>
      <c r="E38" s="28"/>
      <c r="F38" s="16">
        <f t="shared" si="83"/>
        <v>0</v>
      </c>
      <c r="G38" s="16"/>
      <c r="H38" s="18">
        <v>1</v>
      </c>
      <c r="I38" s="19">
        <f t="shared" si="84"/>
        <v>0.10090499999999999</v>
      </c>
      <c r="J38" s="16"/>
      <c r="K38" s="18"/>
      <c r="L38" s="19">
        <f t="shared" si="85"/>
        <v>0</v>
      </c>
      <c r="M38" s="16"/>
      <c r="N38" s="18"/>
      <c r="O38" s="19">
        <f t="shared" si="86"/>
        <v>0</v>
      </c>
      <c r="P38" s="16"/>
      <c r="Q38" s="18"/>
      <c r="R38" s="19">
        <f t="shared" si="87"/>
        <v>0</v>
      </c>
      <c r="S38" s="20">
        <f t="shared" si="88"/>
        <v>1</v>
      </c>
      <c r="T38" s="19">
        <f t="shared" si="89"/>
        <v>0.10090499999999999</v>
      </c>
      <c r="U38" s="21">
        <f t="shared" si="90"/>
        <v>-1</v>
      </c>
      <c r="V38" s="19">
        <f t="shared" si="91"/>
        <v>-0.10090499999999999</v>
      </c>
      <c r="X38" s="29"/>
    </row>
    <row r="39" spans="1:24">
      <c r="A39" s="26" t="s">
        <v>13</v>
      </c>
      <c r="B39" s="26" t="s">
        <v>37</v>
      </c>
      <c r="C39" s="30">
        <v>9.61</v>
      </c>
      <c r="D39" s="27">
        <v>9.35</v>
      </c>
      <c r="E39" s="28"/>
      <c r="F39" s="16">
        <f t="shared" si="83"/>
        <v>0</v>
      </c>
      <c r="G39" s="16"/>
      <c r="H39" s="18">
        <v>3</v>
      </c>
      <c r="I39" s="19">
        <f t="shared" si="84"/>
        <v>0.26956049999999998</v>
      </c>
      <c r="J39" s="16"/>
      <c r="K39" s="18"/>
      <c r="L39" s="19">
        <f t="shared" si="85"/>
        <v>0</v>
      </c>
      <c r="M39" s="16"/>
      <c r="N39" s="18"/>
      <c r="O39" s="19">
        <f t="shared" si="86"/>
        <v>0</v>
      </c>
      <c r="P39" s="16"/>
      <c r="Q39" s="18"/>
      <c r="R39" s="19">
        <f t="shared" si="87"/>
        <v>0</v>
      </c>
      <c r="S39" s="20">
        <f t="shared" si="88"/>
        <v>3</v>
      </c>
      <c r="T39" s="19">
        <f t="shared" si="89"/>
        <v>0.26956049999999998</v>
      </c>
      <c r="U39" s="21">
        <f t="shared" si="90"/>
        <v>-3</v>
      </c>
      <c r="V39" s="19">
        <f t="shared" si="91"/>
        <v>-0.26956049999999998</v>
      </c>
      <c r="X39" s="29"/>
    </row>
    <row r="40" spans="1:24">
      <c r="A40" s="26" t="s">
        <v>13</v>
      </c>
      <c r="B40" s="26" t="s">
        <v>37</v>
      </c>
      <c r="C40" s="30">
        <v>9.61</v>
      </c>
      <c r="D40" s="27">
        <v>10</v>
      </c>
      <c r="E40" s="28"/>
      <c r="F40" s="16">
        <f t="shared" si="83"/>
        <v>0</v>
      </c>
      <c r="G40" s="16"/>
      <c r="H40" s="18">
        <v>4</v>
      </c>
      <c r="I40" s="19">
        <f t="shared" si="84"/>
        <v>0.38439999999999996</v>
      </c>
      <c r="J40" s="16"/>
      <c r="K40" s="18">
        <v>1</v>
      </c>
      <c r="L40" s="19">
        <f t="shared" si="85"/>
        <v>9.6099999999999991E-2</v>
      </c>
      <c r="M40" s="16"/>
      <c r="N40" s="18"/>
      <c r="O40" s="19">
        <f t="shared" si="86"/>
        <v>0</v>
      </c>
      <c r="P40" s="16"/>
      <c r="Q40" s="18"/>
      <c r="R40" s="19">
        <f t="shared" si="87"/>
        <v>0</v>
      </c>
      <c r="S40" s="20">
        <f t="shared" si="88"/>
        <v>5</v>
      </c>
      <c r="T40" s="19">
        <f t="shared" si="89"/>
        <v>0.48049999999999993</v>
      </c>
      <c r="U40" s="21">
        <f t="shared" si="90"/>
        <v>-5</v>
      </c>
      <c r="V40" s="19">
        <f t="shared" si="91"/>
        <v>-0.48049999999999993</v>
      </c>
      <c r="X40" s="29"/>
    </row>
    <row r="41" spans="1:24">
      <c r="A41" s="26" t="s">
        <v>13</v>
      </c>
      <c r="B41" s="26" t="s">
        <v>37</v>
      </c>
      <c r="C41" s="30">
        <v>9.61</v>
      </c>
      <c r="D41" s="27">
        <v>8.1</v>
      </c>
      <c r="E41" s="28"/>
      <c r="F41" s="16">
        <f t="shared" ref="F41:F42" si="92">(C41*D41*E41/1000)</f>
        <v>0</v>
      </c>
      <c r="G41" s="16"/>
      <c r="H41" s="18">
        <v>1</v>
      </c>
      <c r="I41" s="19">
        <f t="shared" ref="I41:I42" si="93">(C41*D41*H41/1000)</f>
        <v>7.7840999999999994E-2</v>
      </c>
      <c r="J41" s="16"/>
      <c r="K41" s="18"/>
      <c r="L41" s="19">
        <f t="shared" ref="L41:L42" si="94">(C41*D41*K41/1000)</f>
        <v>0</v>
      </c>
      <c r="M41" s="16"/>
      <c r="N41" s="18"/>
      <c r="O41" s="19">
        <f t="shared" ref="O41:O42" si="95">(C41*D41*N41/1000)</f>
        <v>0</v>
      </c>
      <c r="P41" s="16"/>
      <c r="Q41" s="18"/>
      <c r="R41" s="19">
        <f t="shared" ref="R41:R42" si="96">(C41*D41*Q41/1000)</f>
        <v>0</v>
      </c>
      <c r="S41" s="20">
        <f t="shared" ref="S41:S42" si="97">+H41+K41+Q41+N41</f>
        <v>1</v>
      </c>
      <c r="T41" s="19">
        <f t="shared" ref="T41:T42" si="98">+I41+L41+R41+O41</f>
        <v>7.7840999999999994E-2</v>
      </c>
      <c r="U41" s="21">
        <f t="shared" ref="U41:U42" si="99">E41-S41</f>
        <v>-1</v>
      </c>
      <c r="V41" s="19">
        <f t="shared" ref="V41:V42" si="100">F41-T41</f>
        <v>-7.7840999999999994E-2</v>
      </c>
      <c r="X41" s="29"/>
    </row>
    <row r="42" spans="1:24">
      <c r="A42" s="26" t="s">
        <v>13</v>
      </c>
      <c r="B42" s="26" t="s">
        <v>37</v>
      </c>
      <c r="C42" s="30">
        <v>9.61</v>
      </c>
      <c r="D42" s="27">
        <v>10.7</v>
      </c>
      <c r="E42" s="28"/>
      <c r="F42" s="16">
        <f t="shared" si="92"/>
        <v>0</v>
      </c>
      <c r="G42" s="16"/>
      <c r="H42" s="18"/>
      <c r="I42" s="19">
        <f t="shared" si="93"/>
        <v>0</v>
      </c>
      <c r="J42" s="16"/>
      <c r="K42" s="18">
        <v>1</v>
      </c>
      <c r="L42" s="19">
        <f t="shared" si="94"/>
        <v>0.10282699999999999</v>
      </c>
      <c r="M42" s="16"/>
      <c r="N42" s="18"/>
      <c r="O42" s="19">
        <f t="shared" si="95"/>
        <v>0</v>
      </c>
      <c r="P42" s="16"/>
      <c r="Q42" s="18"/>
      <c r="R42" s="19">
        <f t="shared" si="96"/>
        <v>0</v>
      </c>
      <c r="S42" s="20">
        <f t="shared" si="97"/>
        <v>1</v>
      </c>
      <c r="T42" s="19">
        <f t="shared" si="98"/>
        <v>0.10282699999999999</v>
      </c>
      <c r="U42" s="21">
        <f t="shared" si="99"/>
        <v>-1</v>
      </c>
      <c r="V42" s="19">
        <f t="shared" si="100"/>
        <v>-0.10282699999999999</v>
      </c>
      <c r="X42" s="29"/>
    </row>
    <row r="43" spans="1:24">
      <c r="A43" s="26" t="s">
        <v>13</v>
      </c>
      <c r="B43" s="26" t="s">
        <v>37</v>
      </c>
      <c r="C43" s="30">
        <v>9.61</v>
      </c>
      <c r="D43" s="27"/>
      <c r="E43" s="28"/>
      <c r="F43" s="16">
        <f t="shared" si="83"/>
        <v>0</v>
      </c>
      <c r="G43" s="16"/>
      <c r="H43" s="18"/>
      <c r="I43" s="19">
        <f t="shared" si="84"/>
        <v>0</v>
      </c>
      <c r="J43" s="16"/>
      <c r="K43" s="18"/>
      <c r="L43" s="19">
        <f t="shared" si="85"/>
        <v>0</v>
      </c>
      <c r="M43" s="16"/>
      <c r="N43" s="18"/>
      <c r="O43" s="19">
        <f t="shared" si="86"/>
        <v>0</v>
      </c>
      <c r="P43" s="16"/>
      <c r="Q43" s="18"/>
      <c r="R43" s="19">
        <f t="shared" si="87"/>
        <v>0</v>
      </c>
      <c r="S43" s="20">
        <f t="shared" si="88"/>
        <v>0</v>
      </c>
      <c r="T43" s="19">
        <f t="shared" si="89"/>
        <v>0</v>
      </c>
      <c r="U43" s="21">
        <f t="shared" si="90"/>
        <v>0</v>
      </c>
      <c r="V43" s="19">
        <f t="shared" si="91"/>
        <v>0</v>
      </c>
      <c r="X43" s="29"/>
    </row>
    <row r="44" spans="1:24">
      <c r="A44" s="36"/>
      <c r="B44" s="36"/>
      <c r="C44" s="37"/>
      <c r="D44" s="38"/>
      <c r="E44" s="31">
        <f t="shared" ref="E44:F44" si="101">SUM(E34:E43)</f>
        <v>10</v>
      </c>
      <c r="F44" s="38">
        <f t="shared" si="101"/>
        <v>1.1531999999999998</v>
      </c>
      <c r="G44" s="16"/>
      <c r="H44" s="31">
        <f t="shared" ref="H44" si="102">SUM(H34:H43)</f>
        <v>15</v>
      </c>
      <c r="I44" s="38">
        <f t="shared" ref="I44" si="103">SUM(I34:I43)</f>
        <v>1.3708665</v>
      </c>
      <c r="J44" s="16"/>
      <c r="K44" s="31">
        <f t="shared" ref="K44" si="104">SUM(K34:K43)</f>
        <v>3</v>
      </c>
      <c r="L44" s="38">
        <f t="shared" ref="L44" si="105">SUM(L34:L43)</f>
        <v>0.314247</v>
      </c>
      <c r="M44" s="16"/>
      <c r="N44" s="31">
        <f t="shared" ref="N44" si="106">SUM(N34:N43)</f>
        <v>0</v>
      </c>
      <c r="O44" s="38">
        <f t="shared" ref="O44" si="107">SUM(O34:O43)</f>
        <v>0</v>
      </c>
      <c r="P44" s="16"/>
      <c r="Q44" s="31">
        <f t="shared" ref="Q44" si="108">SUM(Q34:Q43)</f>
        <v>0</v>
      </c>
      <c r="R44" s="38">
        <f t="shared" ref="R44" si="109">SUM(R34:R43)</f>
        <v>0</v>
      </c>
      <c r="S44" s="31">
        <f t="shared" ref="S44" si="110">SUM(S34:S43)</f>
        <v>18</v>
      </c>
      <c r="T44" s="38">
        <f t="shared" ref="T44" si="111">SUM(T34:T43)</f>
        <v>1.6851134999999999</v>
      </c>
      <c r="U44" s="31">
        <f t="shared" ref="U44" si="112">SUM(U34:U43)</f>
        <v>-8</v>
      </c>
      <c r="V44" s="38">
        <f t="shared" ref="V44" si="113">SUM(V34:V43)</f>
        <v>-0.53191350000000015</v>
      </c>
      <c r="X44" s="29"/>
    </row>
    <row r="45" spans="1:24">
      <c r="A45" s="26" t="s">
        <v>14</v>
      </c>
      <c r="B45" s="26" t="s">
        <v>66</v>
      </c>
      <c r="C45" s="30">
        <v>4.97</v>
      </c>
      <c r="D45" s="27">
        <v>12</v>
      </c>
      <c r="E45" s="28">
        <v>8</v>
      </c>
      <c r="F45" s="16">
        <f>(C45*D45*E45/1000)</f>
        <v>0.47711999999999999</v>
      </c>
      <c r="G45" s="16" t="s">
        <v>89</v>
      </c>
      <c r="H45" s="18">
        <v>8</v>
      </c>
      <c r="I45" s="19">
        <f>(C45*D45*H45/1000)</f>
        <v>0.47711999999999999</v>
      </c>
      <c r="J45" s="16"/>
      <c r="K45" s="18"/>
      <c r="L45" s="19">
        <f>(C45*D45*K45/1000)</f>
        <v>0</v>
      </c>
      <c r="M45" s="16"/>
      <c r="N45" s="18"/>
      <c r="O45" s="19">
        <f>(C45*D45*N45/1000)</f>
        <v>0</v>
      </c>
      <c r="P45" s="16"/>
      <c r="Q45" s="18"/>
      <c r="R45" s="19">
        <f>(C45*D45*Q45/1000)</f>
        <v>0</v>
      </c>
      <c r="S45" s="20">
        <f>+H45+K45+Q45+N45</f>
        <v>8</v>
      </c>
      <c r="T45" s="19">
        <f>+I45+L45+R45+O45</f>
        <v>0.47711999999999999</v>
      </c>
      <c r="U45" s="21">
        <f>E45-S45</f>
        <v>0</v>
      </c>
      <c r="V45" s="19">
        <f>F45-T45</f>
        <v>0</v>
      </c>
      <c r="X45" s="29"/>
    </row>
    <row r="46" spans="1:24">
      <c r="A46" s="36"/>
      <c r="B46" s="36"/>
      <c r="C46" s="37"/>
      <c r="D46" s="38"/>
      <c r="E46" s="31">
        <f t="shared" ref="E46:F46" si="114">SUM(E45)</f>
        <v>8</v>
      </c>
      <c r="F46" s="38">
        <f t="shared" si="114"/>
        <v>0.47711999999999999</v>
      </c>
      <c r="G46" s="16" t="s">
        <v>183</v>
      </c>
      <c r="H46" s="31">
        <f t="shared" ref="H46" si="115">SUM(H45)</f>
        <v>8</v>
      </c>
      <c r="I46" s="38">
        <f t="shared" ref="I46" si="116">SUM(I45)</f>
        <v>0.47711999999999999</v>
      </c>
      <c r="J46" s="16"/>
      <c r="K46" s="31">
        <f t="shared" ref="K46" si="117">SUM(K45)</f>
        <v>0</v>
      </c>
      <c r="L46" s="38">
        <f t="shared" ref="L46" si="118">SUM(L45)</f>
        <v>0</v>
      </c>
      <c r="M46" s="16"/>
      <c r="N46" s="31">
        <f t="shared" ref="N46" si="119">SUM(N45)</f>
        <v>0</v>
      </c>
      <c r="O46" s="38">
        <f t="shared" ref="O46" si="120">SUM(O45)</f>
        <v>0</v>
      </c>
      <c r="P46" s="16"/>
      <c r="Q46" s="31">
        <f t="shared" ref="Q46" si="121">SUM(Q45)</f>
        <v>0</v>
      </c>
      <c r="R46" s="38">
        <f t="shared" ref="R46" si="122">SUM(R45)</f>
        <v>0</v>
      </c>
      <c r="S46" s="31">
        <f t="shared" ref="S46" si="123">SUM(S45)</f>
        <v>8</v>
      </c>
      <c r="T46" s="38">
        <f t="shared" ref="T46" si="124">SUM(T45)</f>
        <v>0.47711999999999999</v>
      </c>
      <c r="U46" s="31">
        <f t="shared" ref="U46" si="125">SUM(U45)</f>
        <v>0</v>
      </c>
      <c r="V46" s="38">
        <f t="shared" ref="V46" si="126">SUM(V45)</f>
        <v>0</v>
      </c>
      <c r="X46" s="29"/>
    </row>
    <row r="47" spans="1:24">
      <c r="A47" s="26" t="s">
        <v>14</v>
      </c>
      <c r="B47" s="26" t="s">
        <v>174</v>
      </c>
      <c r="C47" s="30">
        <v>5.37</v>
      </c>
      <c r="D47" s="27">
        <v>6.6</v>
      </c>
      <c r="E47" s="28">
        <v>12</v>
      </c>
      <c r="F47" s="16">
        <f>(C47*D47*E47/1000)</f>
        <v>0.42530399999999996</v>
      </c>
      <c r="G47" s="16" t="s">
        <v>89</v>
      </c>
      <c r="H47" s="18"/>
      <c r="I47" s="19">
        <f>(C47*D47*H47/1000)</f>
        <v>0</v>
      </c>
      <c r="J47" s="16"/>
      <c r="K47" s="18"/>
      <c r="L47" s="19">
        <f>(C47*D47*K47/1000)</f>
        <v>0</v>
      </c>
      <c r="M47" s="16"/>
      <c r="N47" s="18"/>
      <c r="O47" s="19">
        <f>(C47*D47*N47/1000)</f>
        <v>0</v>
      </c>
      <c r="P47" s="16"/>
      <c r="Q47" s="18"/>
      <c r="R47" s="19">
        <f>(C47*D47*Q47/1000)</f>
        <v>0</v>
      </c>
      <c r="S47" s="20">
        <f t="shared" ref="S47:T49" si="127">+H47+K47+Q47+N47</f>
        <v>0</v>
      </c>
      <c r="T47" s="19">
        <f t="shared" si="127"/>
        <v>0</v>
      </c>
      <c r="U47" s="21">
        <f t="shared" ref="U47:V49" si="128">E47-S47</f>
        <v>12</v>
      </c>
      <c r="V47" s="19">
        <f t="shared" si="128"/>
        <v>0.42530399999999996</v>
      </c>
      <c r="X47" s="29"/>
    </row>
    <row r="48" spans="1:24">
      <c r="A48" s="26" t="s">
        <v>14</v>
      </c>
      <c r="B48" s="26" t="s">
        <v>174</v>
      </c>
      <c r="C48" s="30">
        <v>5.37</v>
      </c>
      <c r="D48" s="27">
        <v>12</v>
      </c>
      <c r="E48" s="28">
        <v>5</v>
      </c>
      <c r="F48" s="16">
        <f>(C48*D48*E48/1000)</f>
        <v>0.32219999999999999</v>
      </c>
      <c r="G48" s="16" t="s">
        <v>183</v>
      </c>
      <c r="H48" s="18"/>
      <c r="I48" s="19">
        <f>(C48*D48*H48/1000)</f>
        <v>0</v>
      </c>
      <c r="J48" s="16"/>
      <c r="K48" s="18"/>
      <c r="L48" s="19">
        <f>(C48*D48*K48/1000)</f>
        <v>0</v>
      </c>
      <c r="M48" s="16"/>
      <c r="N48" s="18"/>
      <c r="O48" s="19">
        <f>(C48*D48*N48/1000)</f>
        <v>0</v>
      </c>
      <c r="P48" s="16"/>
      <c r="Q48" s="18"/>
      <c r="R48" s="19">
        <f>(C48*D48*Q48/1000)</f>
        <v>0</v>
      </c>
      <c r="S48" s="20">
        <f t="shared" si="127"/>
        <v>0</v>
      </c>
      <c r="T48" s="19">
        <f t="shared" si="127"/>
        <v>0</v>
      </c>
      <c r="U48" s="21">
        <f t="shared" si="128"/>
        <v>5</v>
      </c>
      <c r="V48" s="19">
        <f t="shared" si="128"/>
        <v>0.32219999999999999</v>
      </c>
      <c r="X48" s="29"/>
    </row>
    <row r="49" spans="1:24">
      <c r="A49" s="26" t="s">
        <v>14</v>
      </c>
      <c r="B49" s="26" t="s">
        <v>174</v>
      </c>
      <c r="C49" s="30">
        <v>5.37</v>
      </c>
      <c r="D49" s="27">
        <v>9.5</v>
      </c>
      <c r="E49" s="28"/>
      <c r="F49" s="16">
        <f>(C49*D49*E49/1000)</f>
        <v>0</v>
      </c>
      <c r="G49" s="16"/>
      <c r="H49" s="18">
        <v>17</v>
      </c>
      <c r="I49" s="19">
        <f>(C49*D49*H49/1000)</f>
        <v>0.867255</v>
      </c>
      <c r="J49" s="16"/>
      <c r="K49" s="18"/>
      <c r="L49" s="19">
        <f>(C49*D49*K49/1000)</f>
        <v>0</v>
      </c>
      <c r="M49" s="16"/>
      <c r="N49" s="18"/>
      <c r="O49" s="19">
        <f>(C49*D49*N49/1000)</f>
        <v>0</v>
      </c>
      <c r="P49" s="16"/>
      <c r="Q49" s="18"/>
      <c r="R49" s="19">
        <f>(C49*D49*Q49/1000)</f>
        <v>0</v>
      </c>
      <c r="S49" s="20">
        <f t="shared" si="127"/>
        <v>17</v>
      </c>
      <c r="T49" s="19">
        <f t="shared" si="127"/>
        <v>0.867255</v>
      </c>
      <c r="U49" s="21">
        <f t="shared" si="128"/>
        <v>-17</v>
      </c>
      <c r="V49" s="19">
        <f t="shared" si="128"/>
        <v>-0.867255</v>
      </c>
      <c r="X49" s="29"/>
    </row>
    <row r="50" spans="1:24">
      <c r="A50" s="36"/>
      <c r="B50" s="36"/>
      <c r="C50" s="36"/>
      <c r="D50" s="38"/>
      <c r="E50" s="31">
        <f>SUM(E47:E49)</f>
        <v>17</v>
      </c>
      <c r="F50" s="38">
        <f>SUM(F47:F49)</f>
        <v>0.74750399999999995</v>
      </c>
      <c r="G50" s="16"/>
      <c r="H50" s="31">
        <f t="shared" ref="H50" si="129">SUM(H47:H49)</f>
        <v>17</v>
      </c>
      <c r="I50" s="38">
        <f>SUM(I47:I49)</f>
        <v>0.867255</v>
      </c>
      <c r="J50" s="16"/>
      <c r="K50" s="31">
        <f t="shared" ref="K50:L50" si="130">SUM(K47:K49)</f>
        <v>0</v>
      </c>
      <c r="L50" s="38">
        <f t="shared" si="130"/>
        <v>0</v>
      </c>
      <c r="M50" s="16"/>
      <c r="N50" s="31">
        <f t="shared" ref="N50:O50" si="131">SUM(N47:N49)</f>
        <v>0</v>
      </c>
      <c r="O50" s="38">
        <f t="shared" si="131"/>
        <v>0</v>
      </c>
      <c r="P50" s="16"/>
      <c r="Q50" s="31">
        <f t="shared" ref="Q50:V50" si="132">SUM(Q47:Q49)</f>
        <v>0</v>
      </c>
      <c r="R50" s="38">
        <f t="shared" si="132"/>
        <v>0</v>
      </c>
      <c r="S50" s="31">
        <f t="shared" si="132"/>
        <v>17</v>
      </c>
      <c r="T50" s="38">
        <f t="shared" si="132"/>
        <v>0.867255</v>
      </c>
      <c r="U50" s="31">
        <f t="shared" si="132"/>
        <v>0</v>
      </c>
      <c r="V50" s="38">
        <f t="shared" si="132"/>
        <v>-0.11975100000000005</v>
      </c>
      <c r="X50" s="29"/>
    </row>
    <row r="51" spans="1:24">
      <c r="A51" s="26" t="s">
        <v>14</v>
      </c>
      <c r="B51" s="26" t="s">
        <v>58</v>
      </c>
      <c r="C51" s="30">
        <v>7.34</v>
      </c>
      <c r="D51" s="27">
        <v>11.5</v>
      </c>
      <c r="E51" s="28">
        <v>4</v>
      </c>
      <c r="F51" s="16">
        <f>(C51*D51*E51/1000)</f>
        <v>0.33764</v>
      </c>
      <c r="G51" s="17" t="s">
        <v>89</v>
      </c>
      <c r="H51" s="18">
        <v>4</v>
      </c>
      <c r="I51" s="19">
        <f>(C51*D51*H51/1000)</f>
        <v>0.33764</v>
      </c>
      <c r="J51" s="16"/>
      <c r="K51" s="18"/>
      <c r="L51" s="19">
        <f>(C51*D51*K51/1000)</f>
        <v>0</v>
      </c>
      <c r="M51" s="16"/>
      <c r="N51" s="18"/>
      <c r="O51" s="19">
        <f>(C51*D51*N51/1000)</f>
        <v>0</v>
      </c>
      <c r="P51" s="16"/>
      <c r="Q51" s="18"/>
      <c r="R51" s="19">
        <f>(C51*D51*Q51/1000)</f>
        <v>0</v>
      </c>
      <c r="S51" s="20">
        <f>+H51+K51+Q51+N51</f>
        <v>4</v>
      </c>
      <c r="T51" s="19">
        <f>+I51+L51+R51+O51</f>
        <v>0.33764</v>
      </c>
      <c r="U51" s="21">
        <f>E51-S51</f>
        <v>0</v>
      </c>
      <c r="V51" s="19">
        <f>F51-T51</f>
        <v>0</v>
      </c>
      <c r="X51" s="29"/>
    </row>
    <row r="52" spans="1:24">
      <c r="A52" s="36"/>
      <c r="B52" s="36"/>
      <c r="C52" s="36"/>
      <c r="D52" s="38"/>
      <c r="E52" s="31">
        <f>SUM(E51:E51)</f>
        <v>4</v>
      </c>
      <c r="F52" s="38">
        <f>SUM(F51:F51)</f>
        <v>0.33764</v>
      </c>
      <c r="G52" s="17" t="s">
        <v>179</v>
      </c>
      <c r="H52" s="31">
        <f>SUM(H51:H51)</f>
        <v>4</v>
      </c>
      <c r="I52" s="38">
        <f>SUM(I51:I51)</f>
        <v>0.33764</v>
      </c>
      <c r="J52" s="16"/>
      <c r="K52" s="31">
        <f>SUM(K51:K51)</f>
        <v>0</v>
      </c>
      <c r="L52" s="38">
        <f>SUM(L51:L51)</f>
        <v>0</v>
      </c>
      <c r="M52" s="16"/>
      <c r="N52" s="31">
        <f>SUM(N51:N51)</f>
        <v>0</v>
      </c>
      <c r="O52" s="38">
        <f>SUM(O51:O51)</f>
        <v>0</v>
      </c>
      <c r="P52" s="16"/>
      <c r="Q52" s="31">
        <f t="shared" ref="Q52:V52" si="133">SUM(Q51:Q51)</f>
        <v>0</v>
      </c>
      <c r="R52" s="38">
        <f t="shared" si="133"/>
        <v>0</v>
      </c>
      <c r="S52" s="31">
        <f t="shared" si="133"/>
        <v>4</v>
      </c>
      <c r="T52" s="38">
        <f t="shared" si="133"/>
        <v>0.33764</v>
      </c>
      <c r="U52" s="31">
        <f t="shared" si="133"/>
        <v>0</v>
      </c>
      <c r="V52" s="38">
        <f t="shared" si="133"/>
        <v>0</v>
      </c>
      <c r="X52" s="29"/>
    </row>
    <row r="53" spans="1:24">
      <c r="A53" s="33"/>
      <c r="B53" s="33"/>
      <c r="C53" s="34"/>
      <c r="D53" s="34"/>
      <c r="E53" s="34">
        <f>SUM(E6:E52)/2</f>
        <v>180</v>
      </c>
      <c r="F53" s="35">
        <f>SUM(F6:F52)/2</f>
        <v>27.449255999999991</v>
      </c>
      <c r="G53" s="26"/>
      <c r="H53" s="34">
        <f>SUM(H6:H52)/2</f>
        <v>180</v>
      </c>
      <c r="I53" s="35">
        <f>SUM(I6:I52)/2</f>
        <v>27.374313499999996</v>
      </c>
      <c r="J53" s="26"/>
      <c r="K53" s="34">
        <f>SUM(K6:K52)/2</f>
        <v>6</v>
      </c>
      <c r="L53" s="35">
        <f>SUM(L6:L52)/2</f>
        <v>1.190577</v>
      </c>
      <c r="M53" s="26"/>
      <c r="N53" s="34">
        <f>SUM(N6:N52)/2</f>
        <v>0</v>
      </c>
      <c r="O53" s="35">
        <f>SUM(O6:O52)/2</f>
        <v>0</v>
      </c>
      <c r="P53" s="26"/>
      <c r="Q53" s="34">
        <f t="shared" ref="Q53:V53" si="134">SUM(Q6:Q52)/2</f>
        <v>0</v>
      </c>
      <c r="R53" s="35">
        <f t="shared" si="134"/>
        <v>0</v>
      </c>
      <c r="S53" s="34">
        <f t="shared" si="134"/>
        <v>186</v>
      </c>
      <c r="T53" s="35">
        <f t="shared" si="134"/>
        <v>28.56489049999999</v>
      </c>
      <c r="U53" s="34">
        <f t="shared" si="134"/>
        <v>-6</v>
      </c>
      <c r="V53" s="35">
        <f t="shared" si="134"/>
        <v>-1.1156345000000001</v>
      </c>
    </row>
    <row r="68" spans="18:18">
      <c r="R68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3"/>
  <dimension ref="A1:X148"/>
  <sheetViews>
    <sheetView zoomScale="75" zoomScaleNormal="75" workbookViewId="0">
      <pane ySplit="5" topLeftCell="A81" activePane="bottomLeft" state="frozen"/>
      <selection pane="bottomLeft" activeCell="G99" sqref="G9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51" t="s">
        <v>184</v>
      </c>
      <c r="H1" s="144"/>
      <c r="I1" s="145" t="s">
        <v>185</v>
      </c>
      <c r="J1" s="144"/>
      <c r="K1" s="3"/>
      <c r="L1" s="4"/>
      <c r="M1" s="4"/>
      <c r="N1" s="3"/>
      <c r="O1" s="4"/>
      <c r="P1" s="146" t="str">
        <f>+F2</f>
        <v>LOI-336  15.06.23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140</v>
      </c>
      <c r="B2" s="8"/>
      <c r="C2" s="9"/>
      <c r="D2" s="9"/>
      <c r="E2" s="10"/>
      <c r="F2" s="146" t="s">
        <v>186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LOI-336  15.06.23</v>
      </c>
      <c r="V2" s="146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26">
        <v>9.26</v>
      </c>
      <c r="D6" s="27">
        <v>7</v>
      </c>
      <c r="E6" s="28">
        <v>9</v>
      </c>
      <c r="F6" s="16">
        <f t="shared" ref="F6:F9" si="0">(C6*D6*E6/1000)</f>
        <v>0.5833799999999999</v>
      </c>
      <c r="G6" s="17" t="s">
        <v>89</v>
      </c>
      <c r="H6" s="18">
        <v>9</v>
      </c>
      <c r="I6" s="19">
        <f t="shared" ref="I6:I9" si="1">(C6*D6*H6/1000)</f>
        <v>0.5833799999999999</v>
      </c>
      <c r="J6" s="17" t="s">
        <v>89</v>
      </c>
      <c r="K6" s="18"/>
      <c r="L6" s="19">
        <f t="shared" ref="L6:L9" si="2">(C6*D6*K6/1000)</f>
        <v>0</v>
      </c>
      <c r="M6" s="16"/>
      <c r="N6" s="18"/>
      <c r="O6" s="19">
        <f t="shared" ref="O6:O9" si="3">(C6*D6*N6/1000)</f>
        <v>0</v>
      </c>
      <c r="P6" s="16"/>
      <c r="Q6" s="18"/>
      <c r="R6" s="19">
        <f t="shared" ref="R6:R9" si="4">(C6*D6*Q6/1000)</f>
        <v>0</v>
      </c>
      <c r="S6" s="20">
        <f t="shared" ref="S6:S9" si="5">+H6+K6+Q6+N6</f>
        <v>9</v>
      </c>
      <c r="T6" s="19">
        <f t="shared" ref="T6:T9" si="6">+I6+L6+R6+O6</f>
        <v>0.5833799999999999</v>
      </c>
      <c r="U6" s="21">
        <f t="shared" ref="U6:U9" si="7">E6-S6</f>
        <v>0</v>
      </c>
      <c r="V6" s="19">
        <f t="shared" ref="V6:V9" si="8">F6-T6</f>
        <v>0</v>
      </c>
      <c r="X6" s="29"/>
    </row>
    <row r="7" spans="1:24">
      <c r="A7" s="26" t="s">
        <v>13</v>
      </c>
      <c r="B7" s="26" t="s">
        <v>45</v>
      </c>
      <c r="C7" s="26">
        <v>9.26</v>
      </c>
      <c r="D7" s="27">
        <v>8</v>
      </c>
      <c r="E7" s="28">
        <v>17</v>
      </c>
      <c r="F7" s="16">
        <f t="shared" si="0"/>
        <v>1.2593599999999998</v>
      </c>
      <c r="G7" s="17" t="s">
        <v>204</v>
      </c>
      <c r="H7" s="18">
        <v>14</v>
      </c>
      <c r="I7" s="19">
        <f t="shared" si="1"/>
        <v>1.0371199999999998</v>
      </c>
      <c r="J7" s="16" t="s">
        <v>207</v>
      </c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14</v>
      </c>
      <c r="T7" s="19">
        <f t="shared" si="6"/>
        <v>1.0371199999999998</v>
      </c>
      <c r="U7" s="21">
        <f t="shared" si="7"/>
        <v>3</v>
      </c>
      <c r="V7" s="19">
        <f t="shared" si="8"/>
        <v>0.22223999999999999</v>
      </c>
      <c r="X7" s="29"/>
    </row>
    <row r="8" spans="1:24">
      <c r="A8" s="26" t="s">
        <v>13</v>
      </c>
      <c r="B8" s="26" t="s">
        <v>45</v>
      </c>
      <c r="C8" s="26">
        <v>9.26</v>
      </c>
      <c r="D8" s="27">
        <v>11.6</v>
      </c>
      <c r="E8" s="28">
        <v>21</v>
      </c>
      <c r="F8" s="16">
        <f t="shared" ref="F8" si="9">(C8*D8*E8/1000)</f>
        <v>2.2557359999999997</v>
      </c>
      <c r="G8" s="17"/>
      <c r="H8" s="18">
        <v>20</v>
      </c>
      <c r="I8" s="19">
        <f t="shared" ref="I8" si="10">(C8*D8*H8/1000)</f>
        <v>2.1483199999999996</v>
      </c>
      <c r="J8" s="16"/>
      <c r="K8" s="18"/>
      <c r="L8" s="19">
        <f t="shared" ref="L8" si="11">(C8*D8*K8/1000)</f>
        <v>0</v>
      </c>
      <c r="M8" s="16"/>
      <c r="N8" s="18"/>
      <c r="O8" s="19">
        <f t="shared" ref="O8" si="12">(C8*D8*N8/1000)</f>
        <v>0</v>
      </c>
      <c r="P8" s="16"/>
      <c r="Q8" s="18"/>
      <c r="R8" s="19">
        <f t="shared" ref="R8" si="13">(C8*D8*Q8/1000)</f>
        <v>0</v>
      </c>
      <c r="S8" s="20">
        <f t="shared" ref="S8" si="14">+H8+K8+Q8+N8</f>
        <v>20</v>
      </c>
      <c r="T8" s="19">
        <f t="shared" ref="T8" si="15">+I8+L8+R8+O8</f>
        <v>2.1483199999999996</v>
      </c>
      <c r="U8" s="21">
        <f t="shared" ref="U8" si="16">E8-S8</f>
        <v>1</v>
      </c>
      <c r="V8" s="19">
        <f t="shared" ref="V8" si="17">F8-T8</f>
        <v>0.10741600000000018</v>
      </c>
      <c r="X8" s="29"/>
    </row>
    <row r="9" spans="1:24">
      <c r="A9" s="26" t="s">
        <v>13</v>
      </c>
      <c r="B9" s="26" t="s">
        <v>45</v>
      </c>
      <c r="C9" s="26">
        <v>9.26</v>
      </c>
      <c r="D9" s="27">
        <v>10.3</v>
      </c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>
        <v>4</v>
      </c>
      <c r="L9" s="19">
        <f t="shared" si="2"/>
        <v>0.38151200000000002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4</v>
      </c>
      <c r="T9" s="19">
        <f t="shared" si="6"/>
        <v>0.38151200000000002</v>
      </c>
      <c r="U9" s="21">
        <f t="shared" si="7"/>
        <v>-4</v>
      </c>
      <c r="V9" s="19">
        <f t="shared" si="8"/>
        <v>-0.38151200000000002</v>
      </c>
      <c r="X9" s="29"/>
    </row>
    <row r="10" spans="1:24">
      <c r="A10" s="36"/>
      <c r="B10" s="36"/>
      <c r="C10" s="36"/>
      <c r="D10" s="38"/>
      <c r="E10" s="31">
        <f t="shared" ref="E10:F10" si="18">SUM(E6:E9)</f>
        <v>47</v>
      </c>
      <c r="F10" s="38">
        <f t="shared" si="18"/>
        <v>4.0984759999999998</v>
      </c>
      <c r="G10" s="17"/>
      <c r="H10" s="31">
        <f t="shared" ref="H10" si="19">SUM(H6:H9)</f>
        <v>43</v>
      </c>
      <c r="I10" s="38">
        <f t="shared" ref="I10" si="20">SUM(I6:I9)</f>
        <v>3.7688199999999994</v>
      </c>
      <c r="J10" s="17"/>
      <c r="K10" s="31">
        <f t="shared" ref="K10" si="21">SUM(K6:K9)</f>
        <v>4</v>
      </c>
      <c r="L10" s="38">
        <f t="shared" ref="L10" si="22">SUM(L6:L9)</f>
        <v>0.38151200000000002</v>
      </c>
      <c r="M10" s="17"/>
      <c r="N10" s="31">
        <f t="shared" ref="N10" si="23">SUM(N6:N9)</f>
        <v>0</v>
      </c>
      <c r="O10" s="38">
        <f t="shared" ref="O10" si="24">SUM(O6:O9)</f>
        <v>0</v>
      </c>
      <c r="P10" s="17"/>
      <c r="Q10" s="31">
        <f t="shared" ref="Q10" si="25">SUM(Q6:Q9)</f>
        <v>0</v>
      </c>
      <c r="R10" s="38">
        <f t="shared" ref="R10" si="26">SUM(R6:R9)</f>
        <v>0</v>
      </c>
      <c r="S10" s="31">
        <f t="shared" ref="S10" si="27">SUM(S6:S9)</f>
        <v>47</v>
      </c>
      <c r="T10" s="38">
        <f t="shared" ref="T10" si="28">SUM(T6:T9)</f>
        <v>4.1503319999999997</v>
      </c>
      <c r="U10" s="31">
        <f t="shared" ref="U10" si="29">SUM(U6:U9)</f>
        <v>0</v>
      </c>
      <c r="V10" s="38">
        <f t="shared" ref="V10" si="30">SUM(V6:V9)</f>
        <v>-5.1855999999999847E-2</v>
      </c>
      <c r="X10" s="29"/>
    </row>
    <row r="11" spans="1:24">
      <c r="A11" s="26" t="s">
        <v>13</v>
      </c>
      <c r="B11" s="26" t="s">
        <v>46</v>
      </c>
      <c r="C11" s="26">
        <v>10.73</v>
      </c>
      <c r="D11" s="27">
        <v>8</v>
      </c>
      <c r="E11" s="28">
        <v>17</v>
      </c>
      <c r="F11" s="16">
        <f t="shared" ref="F11:F20" si="31">(C11*D11*E11/1000)</f>
        <v>1.4592799999999999</v>
      </c>
      <c r="G11" s="16" t="s">
        <v>93</v>
      </c>
      <c r="H11" s="18"/>
      <c r="I11" s="19">
        <f t="shared" ref="I11:I20" si="32">(C11*D11*H11/1000)</f>
        <v>0</v>
      </c>
      <c r="J11" s="17" t="s">
        <v>89</v>
      </c>
      <c r="K11" s="18">
        <v>6</v>
      </c>
      <c r="L11" s="19">
        <f t="shared" ref="L11:L20" si="33">(C11*D11*K11/1000)</f>
        <v>0.51503999999999994</v>
      </c>
      <c r="M11" s="16"/>
      <c r="N11" s="18"/>
      <c r="O11" s="19">
        <f t="shared" ref="O11:O20" si="34">(C11*D11*N11/1000)</f>
        <v>0</v>
      </c>
      <c r="P11" s="16"/>
      <c r="Q11" s="18"/>
      <c r="R11" s="19">
        <f t="shared" ref="R11:R20" si="35">(C11*D11*Q11/1000)</f>
        <v>0</v>
      </c>
      <c r="S11" s="20">
        <f t="shared" ref="S11:S20" si="36">+H11+K11+Q11+N11</f>
        <v>6</v>
      </c>
      <c r="T11" s="19">
        <f t="shared" ref="T11:T20" si="37">+I11+L11+R11+O11</f>
        <v>0.51503999999999994</v>
      </c>
      <c r="U11" s="21">
        <f t="shared" ref="U11:U20" si="38">E11-S11</f>
        <v>11</v>
      </c>
      <c r="V11" s="19">
        <f t="shared" ref="V11:V20" si="39">F11-T11</f>
        <v>0.94423999999999997</v>
      </c>
      <c r="X11" s="29"/>
    </row>
    <row r="12" spans="1:24">
      <c r="A12" s="26" t="s">
        <v>13</v>
      </c>
      <c r="B12" s="26" t="s">
        <v>46</v>
      </c>
      <c r="C12" s="26">
        <v>10.73</v>
      </c>
      <c r="D12" s="27">
        <v>9.3000000000000007</v>
      </c>
      <c r="E12" s="28">
        <v>22</v>
      </c>
      <c r="F12" s="16">
        <f t="shared" si="31"/>
        <v>2.1953580000000001</v>
      </c>
      <c r="G12" s="16" t="s">
        <v>206</v>
      </c>
      <c r="H12" s="18">
        <v>4</v>
      </c>
      <c r="I12" s="19">
        <f t="shared" si="32"/>
        <v>0.39915600000000007</v>
      </c>
      <c r="J12" s="17" t="s">
        <v>208</v>
      </c>
      <c r="K12" s="18">
        <v>10</v>
      </c>
      <c r="L12" s="19">
        <f t="shared" si="33"/>
        <v>0.99789000000000005</v>
      </c>
      <c r="M12" s="16"/>
      <c r="N12" s="18"/>
      <c r="O12" s="19">
        <f t="shared" si="34"/>
        <v>0</v>
      </c>
      <c r="P12" s="16"/>
      <c r="Q12" s="18"/>
      <c r="R12" s="19">
        <f t="shared" si="35"/>
        <v>0</v>
      </c>
      <c r="S12" s="20">
        <f t="shared" si="36"/>
        <v>14</v>
      </c>
      <c r="T12" s="19">
        <f t="shared" si="37"/>
        <v>1.397046</v>
      </c>
      <c r="U12" s="21">
        <f t="shared" si="38"/>
        <v>8</v>
      </c>
      <c r="V12" s="19">
        <f t="shared" si="39"/>
        <v>0.79831200000000013</v>
      </c>
      <c r="X12" s="29"/>
    </row>
    <row r="13" spans="1:24">
      <c r="A13" s="26" t="s">
        <v>13</v>
      </c>
      <c r="B13" s="26" t="s">
        <v>46</v>
      </c>
      <c r="C13" s="26">
        <v>10.73</v>
      </c>
      <c r="D13" s="27">
        <v>11.1</v>
      </c>
      <c r="E13" s="28">
        <v>20</v>
      </c>
      <c r="F13" s="16">
        <f t="shared" ref="F13:F19" si="40">(C13*D13*E13/1000)</f>
        <v>2.3820600000000001</v>
      </c>
      <c r="G13" s="17"/>
      <c r="H13" s="18">
        <v>10</v>
      </c>
      <c r="I13" s="19">
        <f t="shared" ref="I13:I19" si="41">(C13*D13*H13/1000)</f>
        <v>1.19103</v>
      </c>
      <c r="J13" s="17"/>
      <c r="K13" s="18">
        <v>1</v>
      </c>
      <c r="L13" s="19">
        <f t="shared" ref="L13:L19" si="42">(C13*D13*K13/1000)</f>
        <v>0.119103</v>
      </c>
      <c r="M13" s="16"/>
      <c r="N13" s="18"/>
      <c r="O13" s="19">
        <f t="shared" ref="O13:O19" si="43">(C13*D13*N13/1000)</f>
        <v>0</v>
      </c>
      <c r="P13" s="16"/>
      <c r="Q13" s="18"/>
      <c r="R13" s="19">
        <f t="shared" ref="R13:R19" si="44">(C13*D13*Q13/1000)</f>
        <v>0</v>
      </c>
      <c r="S13" s="20">
        <f t="shared" si="36"/>
        <v>11</v>
      </c>
      <c r="T13" s="19">
        <f t="shared" si="37"/>
        <v>1.310133</v>
      </c>
      <c r="U13" s="21">
        <f t="shared" si="38"/>
        <v>9</v>
      </c>
      <c r="V13" s="19">
        <f t="shared" si="39"/>
        <v>1.0719270000000001</v>
      </c>
      <c r="X13" s="29"/>
    </row>
    <row r="14" spans="1:24">
      <c r="A14" s="26" t="s">
        <v>13</v>
      </c>
      <c r="B14" s="26" t="s">
        <v>46</v>
      </c>
      <c r="C14" s="26">
        <v>10.73</v>
      </c>
      <c r="D14" s="27">
        <v>11.2</v>
      </c>
      <c r="E14" s="28"/>
      <c r="F14" s="16">
        <f t="shared" si="40"/>
        <v>0</v>
      </c>
      <c r="G14" s="17"/>
      <c r="H14" s="18">
        <v>6</v>
      </c>
      <c r="I14" s="19">
        <f t="shared" si="41"/>
        <v>0.72105600000000003</v>
      </c>
      <c r="J14" s="16"/>
      <c r="K14" s="18"/>
      <c r="L14" s="19">
        <f t="shared" si="42"/>
        <v>0</v>
      </c>
      <c r="M14" s="16"/>
      <c r="N14" s="18"/>
      <c r="O14" s="19">
        <f t="shared" si="43"/>
        <v>0</v>
      </c>
      <c r="P14" s="16"/>
      <c r="Q14" s="18"/>
      <c r="R14" s="19">
        <f t="shared" si="44"/>
        <v>0</v>
      </c>
      <c r="S14" s="20">
        <f t="shared" ref="S14:S19" si="45">+H14+K14+Q14+N14</f>
        <v>6</v>
      </c>
      <c r="T14" s="19">
        <f t="shared" ref="T14:T19" si="46">+I14+L14+R14+O14</f>
        <v>0.72105600000000003</v>
      </c>
      <c r="U14" s="21">
        <f t="shared" ref="U14:U19" si="47">E14-S14</f>
        <v>-6</v>
      </c>
      <c r="V14" s="19">
        <f t="shared" ref="V14:V19" si="48">F14-T14</f>
        <v>-0.72105600000000003</v>
      </c>
      <c r="X14" s="29"/>
    </row>
    <row r="15" spans="1:24">
      <c r="A15" s="26" t="s">
        <v>13</v>
      </c>
      <c r="B15" s="26" t="s">
        <v>46</v>
      </c>
      <c r="C15" s="26">
        <v>10.73</v>
      </c>
      <c r="D15" s="27">
        <v>10.5</v>
      </c>
      <c r="E15" s="28"/>
      <c r="F15" s="16">
        <f t="shared" si="40"/>
        <v>0</v>
      </c>
      <c r="G15" s="17"/>
      <c r="H15" s="18"/>
      <c r="I15" s="19">
        <f t="shared" si="41"/>
        <v>0</v>
      </c>
      <c r="J15" s="16"/>
      <c r="K15" s="18">
        <v>5</v>
      </c>
      <c r="L15" s="19">
        <f t="shared" si="42"/>
        <v>0.56332500000000008</v>
      </c>
      <c r="M15" s="16"/>
      <c r="N15" s="18"/>
      <c r="O15" s="19">
        <f t="shared" si="43"/>
        <v>0</v>
      </c>
      <c r="P15" s="16"/>
      <c r="Q15" s="18"/>
      <c r="R15" s="19">
        <f t="shared" si="44"/>
        <v>0</v>
      </c>
      <c r="S15" s="20">
        <f t="shared" si="45"/>
        <v>5</v>
      </c>
      <c r="T15" s="19">
        <f t="shared" si="46"/>
        <v>0.56332500000000008</v>
      </c>
      <c r="U15" s="21">
        <f t="shared" si="47"/>
        <v>-5</v>
      </c>
      <c r="V15" s="19">
        <f t="shared" si="48"/>
        <v>-0.56332500000000008</v>
      </c>
      <c r="X15" s="29"/>
    </row>
    <row r="16" spans="1:24">
      <c r="A16" s="26" t="s">
        <v>13</v>
      </c>
      <c r="B16" s="26" t="s">
        <v>46</v>
      </c>
      <c r="C16" s="26">
        <v>10.73</v>
      </c>
      <c r="D16" s="27">
        <v>12</v>
      </c>
      <c r="E16" s="28"/>
      <c r="F16" s="16">
        <f t="shared" si="40"/>
        <v>0</v>
      </c>
      <c r="G16" s="17"/>
      <c r="H16" s="18"/>
      <c r="I16" s="19">
        <f t="shared" si="41"/>
        <v>0</v>
      </c>
      <c r="J16" s="16"/>
      <c r="K16" s="18">
        <v>10</v>
      </c>
      <c r="L16" s="19">
        <f t="shared" si="42"/>
        <v>1.2875999999999999</v>
      </c>
      <c r="M16" s="16"/>
      <c r="N16" s="18"/>
      <c r="O16" s="19">
        <f t="shared" si="43"/>
        <v>0</v>
      </c>
      <c r="P16" s="16"/>
      <c r="Q16" s="18"/>
      <c r="R16" s="19">
        <f t="shared" si="44"/>
        <v>0</v>
      </c>
      <c r="S16" s="20">
        <f t="shared" si="45"/>
        <v>10</v>
      </c>
      <c r="T16" s="19">
        <f t="shared" si="46"/>
        <v>1.2875999999999999</v>
      </c>
      <c r="U16" s="21">
        <f t="shared" si="47"/>
        <v>-10</v>
      </c>
      <c r="V16" s="19">
        <f t="shared" si="48"/>
        <v>-1.2875999999999999</v>
      </c>
      <c r="X16" s="29"/>
    </row>
    <row r="17" spans="1:24">
      <c r="A17" s="26" t="s">
        <v>13</v>
      </c>
      <c r="B17" s="26" t="s">
        <v>46</v>
      </c>
      <c r="C17" s="26">
        <v>10.73</v>
      </c>
      <c r="D17" s="27">
        <v>6.2</v>
      </c>
      <c r="E17" s="28"/>
      <c r="F17" s="16">
        <f t="shared" si="40"/>
        <v>0</v>
      </c>
      <c r="G17" s="17"/>
      <c r="H17" s="18"/>
      <c r="I17" s="19">
        <f t="shared" si="41"/>
        <v>0</v>
      </c>
      <c r="J17" s="16"/>
      <c r="K17" s="18">
        <v>1</v>
      </c>
      <c r="L17" s="19">
        <f t="shared" si="42"/>
        <v>6.6526000000000016E-2</v>
      </c>
      <c r="M17" s="16"/>
      <c r="N17" s="18"/>
      <c r="O17" s="19">
        <f t="shared" si="43"/>
        <v>0</v>
      </c>
      <c r="P17" s="16"/>
      <c r="Q17" s="18"/>
      <c r="R17" s="19">
        <f t="shared" si="44"/>
        <v>0</v>
      </c>
      <c r="S17" s="20">
        <f t="shared" si="45"/>
        <v>1</v>
      </c>
      <c r="T17" s="19">
        <f t="shared" si="46"/>
        <v>6.6526000000000016E-2</v>
      </c>
      <c r="U17" s="21">
        <f t="shared" si="47"/>
        <v>-1</v>
      </c>
      <c r="V17" s="19">
        <f t="shared" si="48"/>
        <v>-6.6526000000000016E-2</v>
      </c>
      <c r="X17" s="29"/>
    </row>
    <row r="18" spans="1:24">
      <c r="A18" s="26" t="s">
        <v>13</v>
      </c>
      <c r="B18" s="26" t="s">
        <v>46</v>
      </c>
      <c r="C18" s="26">
        <v>10.73</v>
      </c>
      <c r="D18" s="27">
        <v>6.5</v>
      </c>
      <c r="E18" s="28"/>
      <c r="F18" s="16">
        <f t="shared" si="40"/>
        <v>0</v>
      </c>
      <c r="G18" s="17"/>
      <c r="H18" s="18"/>
      <c r="I18" s="19">
        <f t="shared" si="41"/>
        <v>0</v>
      </c>
      <c r="J18" s="16"/>
      <c r="K18" s="18">
        <v>1</v>
      </c>
      <c r="L18" s="19">
        <f t="shared" si="42"/>
        <v>6.9745000000000001E-2</v>
      </c>
      <c r="M18" s="16"/>
      <c r="N18" s="18"/>
      <c r="O18" s="19">
        <f t="shared" si="43"/>
        <v>0</v>
      </c>
      <c r="P18" s="16"/>
      <c r="Q18" s="18"/>
      <c r="R18" s="19">
        <f t="shared" si="44"/>
        <v>0</v>
      </c>
      <c r="S18" s="20">
        <f t="shared" si="45"/>
        <v>1</v>
      </c>
      <c r="T18" s="19">
        <f t="shared" si="46"/>
        <v>6.9745000000000001E-2</v>
      </c>
      <c r="U18" s="21">
        <f t="shared" si="47"/>
        <v>-1</v>
      </c>
      <c r="V18" s="19">
        <f t="shared" si="48"/>
        <v>-6.9745000000000001E-2</v>
      </c>
      <c r="X18" s="29"/>
    </row>
    <row r="19" spans="1:24">
      <c r="A19" s="26" t="s">
        <v>13</v>
      </c>
      <c r="B19" s="26" t="s">
        <v>46</v>
      </c>
      <c r="C19" s="26">
        <v>10.73</v>
      </c>
      <c r="D19" s="27">
        <v>10.5</v>
      </c>
      <c r="E19" s="28"/>
      <c r="F19" s="16">
        <f t="shared" si="40"/>
        <v>0</v>
      </c>
      <c r="G19" s="17"/>
      <c r="H19" s="18"/>
      <c r="I19" s="19">
        <f t="shared" si="41"/>
        <v>0</v>
      </c>
      <c r="J19" s="16"/>
      <c r="K19" s="18">
        <v>3</v>
      </c>
      <c r="L19" s="19">
        <f t="shared" si="42"/>
        <v>0.33799499999999999</v>
      </c>
      <c r="M19" s="16"/>
      <c r="N19" s="18"/>
      <c r="O19" s="19">
        <f t="shared" si="43"/>
        <v>0</v>
      </c>
      <c r="P19" s="16"/>
      <c r="Q19" s="18"/>
      <c r="R19" s="19">
        <f t="shared" si="44"/>
        <v>0</v>
      </c>
      <c r="S19" s="20">
        <f t="shared" si="45"/>
        <v>3</v>
      </c>
      <c r="T19" s="19">
        <f t="shared" si="46"/>
        <v>0.33799499999999999</v>
      </c>
      <c r="U19" s="21">
        <f t="shared" si="47"/>
        <v>-3</v>
      </c>
      <c r="V19" s="19">
        <f t="shared" si="48"/>
        <v>-0.33799499999999999</v>
      </c>
      <c r="X19" s="29"/>
    </row>
    <row r="20" spans="1:24">
      <c r="A20" s="26" t="s">
        <v>13</v>
      </c>
      <c r="B20" s="26" t="s">
        <v>46</v>
      </c>
      <c r="C20" s="26">
        <v>10.73</v>
      </c>
      <c r="D20" s="27"/>
      <c r="E20" s="28"/>
      <c r="F20" s="16">
        <f t="shared" si="31"/>
        <v>0</v>
      </c>
      <c r="G20" s="17"/>
      <c r="H20" s="18"/>
      <c r="I20" s="19">
        <f t="shared" si="32"/>
        <v>0</v>
      </c>
      <c r="J20" s="16"/>
      <c r="K20" s="18"/>
      <c r="L20" s="19">
        <f t="shared" si="33"/>
        <v>0</v>
      </c>
      <c r="M20" s="16"/>
      <c r="N20" s="18"/>
      <c r="O20" s="19">
        <f t="shared" si="34"/>
        <v>0</v>
      </c>
      <c r="P20" s="16"/>
      <c r="Q20" s="18"/>
      <c r="R20" s="19">
        <f t="shared" si="35"/>
        <v>0</v>
      </c>
      <c r="S20" s="20">
        <f t="shared" si="36"/>
        <v>0</v>
      </c>
      <c r="T20" s="19">
        <f t="shared" si="37"/>
        <v>0</v>
      </c>
      <c r="U20" s="21">
        <f t="shared" si="38"/>
        <v>0</v>
      </c>
      <c r="V20" s="19">
        <f t="shared" si="39"/>
        <v>0</v>
      </c>
      <c r="X20" s="29"/>
    </row>
    <row r="21" spans="1:24">
      <c r="A21" s="36"/>
      <c r="B21" s="36"/>
      <c r="C21" s="36"/>
      <c r="D21" s="38"/>
      <c r="E21" s="31">
        <f t="shared" ref="E21:F21" si="49">SUM(E11:E20)</f>
        <v>59</v>
      </c>
      <c r="F21" s="38">
        <f t="shared" si="49"/>
        <v>6.0366980000000003</v>
      </c>
      <c r="G21" s="17"/>
      <c r="H21" s="31">
        <f>SUM(H11:H20)</f>
        <v>20</v>
      </c>
      <c r="I21" s="38">
        <f>SUM(I11:I20)</f>
        <v>2.311242</v>
      </c>
      <c r="J21" s="17"/>
      <c r="K21" s="31">
        <f t="shared" ref="K21" si="50">SUM(K11:K20)</f>
        <v>37</v>
      </c>
      <c r="L21" s="38">
        <f t="shared" ref="L21" si="51">SUM(L11:L20)</f>
        <v>3.9572239999999996</v>
      </c>
      <c r="M21" s="17"/>
      <c r="N21" s="31">
        <f t="shared" ref="N21" si="52">SUM(N11:N20)</f>
        <v>0</v>
      </c>
      <c r="O21" s="38">
        <f t="shared" ref="O21" si="53">SUM(O11:O20)</f>
        <v>0</v>
      </c>
      <c r="P21" s="17"/>
      <c r="Q21" s="31">
        <f t="shared" ref="Q21" si="54">SUM(Q11:Q20)</f>
        <v>0</v>
      </c>
      <c r="R21" s="38">
        <f t="shared" ref="R21" si="55">SUM(R11:R20)</f>
        <v>0</v>
      </c>
      <c r="S21" s="31">
        <f t="shared" ref="S21" si="56">SUM(S11:S20)</f>
        <v>57</v>
      </c>
      <c r="T21" s="38">
        <f t="shared" ref="T21" si="57">SUM(T11:T20)</f>
        <v>6.2684660000000001</v>
      </c>
      <c r="U21" s="31">
        <f t="shared" ref="U21" si="58">SUM(U11:U20)</f>
        <v>2</v>
      </c>
      <c r="V21" s="38">
        <f t="shared" ref="V21" si="59">SUM(V11:V20)</f>
        <v>-0.23176799999999947</v>
      </c>
      <c r="X21" s="29"/>
    </row>
    <row r="22" spans="1:24">
      <c r="A22" s="26" t="s">
        <v>13</v>
      </c>
      <c r="B22" s="26" t="s">
        <v>61</v>
      </c>
      <c r="C22" s="26">
        <v>12.18</v>
      </c>
      <c r="D22" s="27">
        <v>7.9</v>
      </c>
      <c r="E22" s="28">
        <v>1</v>
      </c>
      <c r="F22" s="16">
        <f t="shared" ref="F22:F26" si="60">(C22*D22*E22/1000)</f>
        <v>9.6222000000000002E-2</v>
      </c>
      <c r="G22" s="17" t="s">
        <v>114</v>
      </c>
      <c r="H22" s="18"/>
      <c r="I22" s="19">
        <f t="shared" ref="I22:I26" si="61">(C22*D22*H22/1000)</f>
        <v>0</v>
      </c>
      <c r="J22" s="16" t="s">
        <v>93</v>
      </c>
      <c r="K22" s="18"/>
      <c r="L22" s="19">
        <f t="shared" ref="L22:L26" si="62">(C22*D22*K22/1000)</f>
        <v>0</v>
      </c>
      <c r="M22" s="16" t="s">
        <v>89</v>
      </c>
      <c r="N22" s="18"/>
      <c r="O22" s="19">
        <f t="shared" ref="O22:O26" si="63">(C22*D22*N22/1000)</f>
        <v>0</v>
      </c>
      <c r="P22" s="17" t="s">
        <v>89</v>
      </c>
      <c r="Q22" s="18"/>
      <c r="R22" s="19">
        <f t="shared" ref="R22:R26" si="64">(C22*D22*Q22/1000)</f>
        <v>0</v>
      </c>
      <c r="S22" s="20">
        <f t="shared" ref="S22:S26" si="65">+H22+K22+Q22+N22</f>
        <v>0</v>
      </c>
      <c r="T22" s="19">
        <f t="shared" ref="T22:T26" si="66">+I22+L22+R22+O22</f>
        <v>0</v>
      </c>
      <c r="U22" s="21">
        <f t="shared" ref="U22:U26" si="67">E22-S22</f>
        <v>1</v>
      </c>
      <c r="V22" s="19">
        <f t="shared" ref="V22:V26" si="68">F22-T22</f>
        <v>9.6222000000000002E-2</v>
      </c>
      <c r="X22" s="29"/>
    </row>
    <row r="23" spans="1:24">
      <c r="A23" s="26" t="s">
        <v>13</v>
      </c>
      <c r="B23" s="26" t="s">
        <v>61</v>
      </c>
      <c r="C23" s="26">
        <v>12.18</v>
      </c>
      <c r="D23" s="27">
        <v>9</v>
      </c>
      <c r="E23" s="28">
        <v>19</v>
      </c>
      <c r="F23" s="16">
        <f t="shared" si="60"/>
        <v>2.0827800000000001</v>
      </c>
      <c r="G23" s="17" t="s">
        <v>202</v>
      </c>
      <c r="H23" s="18"/>
      <c r="I23" s="19">
        <f t="shared" si="61"/>
        <v>0</v>
      </c>
      <c r="J23" s="16" t="s">
        <v>206</v>
      </c>
      <c r="K23" s="18"/>
      <c r="L23" s="19">
        <f t="shared" si="62"/>
        <v>0</v>
      </c>
      <c r="M23" s="16" t="s">
        <v>206</v>
      </c>
      <c r="N23" s="18">
        <v>14</v>
      </c>
      <c r="O23" s="19">
        <f t="shared" si="63"/>
        <v>1.53468</v>
      </c>
      <c r="P23" s="16" t="s">
        <v>207</v>
      </c>
      <c r="Q23" s="18">
        <v>4</v>
      </c>
      <c r="R23" s="19">
        <f t="shared" si="64"/>
        <v>0.43848000000000004</v>
      </c>
      <c r="S23" s="20">
        <f t="shared" si="65"/>
        <v>18</v>
      </c>
      <c r="T23" s="19">
        <f t="shared" si="66"/>
        <v>1.97316</v>
      </c>
      <c r="U23" s="21">
        <f t="shared" si="67"/>
        <v>1</v>
      </c>
      <c r="V23" s="19">
        <f t="shared" si="68"/>
        <v>0.10962000000000005</v>
      </c>
      <c r="X23" s="29"/>
    </row>
    <row r="24" spans="1:24">
      <c r="A24" s="26" t="s">
        <v>13</v>
      </c>
      <c r="B24" s="26" t="s">
        <v>61</v>
      </c>
      <c r="C24" s="26">
        <v>12.18</v>
      </c>
      <c r="D24" s="27">
        <v>10</v>
      </c>
      <c r="E24" s="28">
        <v>23</v>
      </c>
      <c r="F24" s="16">
        <f t="shared" si="60"/>
        <v>2.8014000000000001</v>
      </c>
      <c r="G24" s="17"/>
      <c r="H24" s="18">
        <v>23</v>
      </c>
      <c r="I24" s="19">
        <f t="shared" si="61"/>
        <v>2.8014000000000001</v>
      </c>
      <c r="J24" s="16"/>
      <c r="K24" s="18"/>
      <c r="L24" s="19">
        <f t="shared" si="62"/>
        <v>0</v>
      </c>
      <c r="M24" s="16"/>
      <c r="N24" s="18"/>
      <c r="O24" s="19">
        <f t="shared" si="63"/>
        <v>0</v>
      </c>
      <c r="P24" s="16"/>
      <c r="Q24" s="18"/>
      <c r="R24" s="19">
        <f t="shared" si="64"/>
        <v>0</v>
      </c>
      <c r="S24" s="20">
        <f t="shared" si="65"/>
        <v>23</v>
      </c>
      <c r="T24" s="19">
        <f t="shared" si="66"/>
        <v>2.8014000000000001</v>
      </c>
      <c r="U24" s="21">
        <f t="shared" si="67"/>
        <v>0</v>
      </c>
      <c r="V24" s="19">
        <f t="shared" si="68"/>
        <v>0</v>
      </c>
      <c r="X24" s="29"/>
    </row>
    <row r="25" spans="1:24">
      <c r="A25" s="26" t="s">
        <v>13</v>
      </c>
      <c r="B25" s="26" t="s">
        <v>61</v>
      </c>
      <c r="C25" s="26">
        <v>12.18</v>
      </c>
      <c r="D25" s="27">
        <v>12</v>
      </c>
      <c r="E25" s="28">
        <v>20</v>
      </c>
      <c r="F25" s="16">
        <f t="shared" ref="F25" si="69">(C25*D25*E25/1000)</f>
        <v>2.9232</v>
      </c>
      <c r="G25" s="17"/>
      <c r="H25" s="18"/>
      <c r="I25" s="19">
        <f t="shared" ref="I25" si="70">(C25*D25*H25/1000)</f>
        <v>0</v>
      </c>
      <c r="J25" s="16"/>
      <c r="K25" s="18">
        <v>20</v>
      </c>
      <c r="L25" s="19">
        <f t="shared" ref="L25" si="71">(C25*D25*K25/1000)</f>
        <v>2.9232</v>
      </c>
      <c r="M25" s="16"/>
      <c r="N25" s="18"/>
      <c r="O25" s="19">
        <f t="shared" ref="O25" si="72">(C25*D25*N25/1000)</f>
        <v>0</v>
      </c>
      <c r="P25" s="16"/>
      <c r="Q25" s="18"/>
      <c r="R25" s="19">
        <f t="shared" ref="R25" si="73">(C25*D25*Q25/1000)</f>
        <v>0</v>
      </c>
      <c r="S25" s="20">
        <f t="shared" ref="S25" si="74">+H25+K25+Q25+N25</f>
        <v>20</v>
      </c>
      <c r="T25" s="19">
        <f t="shared" ref="T25" si="75">+I25+L25+R25+O25</f>
        <v>2.9232</v>
      </c>
      <c r="U25" s="21">
        <f t="shared" ref="U25" si="76">E25-S25</f>
        <v>0</v>
      </c>
      <c r="V25" s="19">
        <f t="shared" ref="V25" si="77">F25-T25</f>
        <v>0</v>
      </c>
      <c r="X25" s="29"/>
    </row>
    <row r="26" spans="1:24">
      <c r="A26" s="26" t="s">
        <v>13</v>
      </c>
      <c r="B26" s="26" t="s">
        <v>61</v>
      </c>
      <c r="C26" s="26">
        <v>12.18</v>
      </c>
      <c r="D26" s="27">
        <v>11.2</v>
      </c>
      <c r="E26" s="28"/>
      <c r="F26" s="16">
        <f t="shared" si="60"/>
        <v>0</v>
      </c>
      <c r="G26" s="17"/>
      <c r="H26" s="18"/>
      <c r="I26" s="19">
        <f t="shared" si="61"/>
        <v>0</v>
      </c>
      <c r="J26" s="16"/>
      <c r="K26" s="18"/>
      <c r="L26" s="19">
        <f t="shared" si="62"/>
        <v>0</v>
      </c>
      <c r="M26" s="16"/>
      <c r="N26" s="18"/>
      <c r="O26" s="19">
        <f t="shared" si="63"/>
        <v>0</v>
      </c>
      <c r="P26" s="16"/>
      <c r="Q26" s="18">
        <v>2</v>
      </c>
      <c r="R26" s="19">
        <f t="shared" si="64"/>
        <v>0.27283200000000002</v>
      </c>
      <c r="S26" s="20">
        <f t="shared" si="65"/>
        <v>2</v>
      </c>
      <c r="T26" s="19">
        <f t="shared" si="66"/>
        <v>0.27283200000000002</v>
      </c>
      <c r="U26" s="21">
        <f t="shared" si="67"/>
        <v>-2</v>
      </c>
      <c r="V26" s="19">
        <f t="shared" si="68"/>
        <v>-0.27283200000000002</v>
      </c>
      <c r="X26" s="29"/>
    </row>
    <row r="27" spans="1:24">
      <c r="A27" s="36"/>
      <c r="B27" s="36"/>
      <c r="C27" s="36"/>
      <c r="D27" s="38"/>
      <c r="E27" s="31">
        <f t="shared" ref="E27:F27" si="78">SUM(E22:E26)</f>
        <v>63</v>
      </c>
      <c r="F27" s="38">
        <f t="shared" si="78"/>
        <v>7.9036019999999994</v>
      </c>
      <c r="G27" s="17"/>
      <c r="H27" s="31">
        <f t="shared" ref="H27" si="79">SUM(H22:H26)</f>
        <v>23</v>
      </c>
      <c r="I27" s="38">
        <f t="shared" ref="I27" si="80">SUM(I22:I26)</f>
        <v>2.8014000000000001</v>
      </c>
      <c r="J27" s="17"/>
      <c r="K27" s="31">
        <f t="shared" ref="K27" si="81">SUM(K22:K26)</f>
        <v>20</v>
      </c>
      <c r="L27" s="38">
        <f t="shared" ref="L27" si="82">SUM(L22:L26)</f>
        <v>2.9232</v>
      </c>
      <c r="M27" s="17"/>
      <c r="N27" s="31">
        <f t="shared" ref="N27" si="83">SUM(N22:N26)</f>
        <v>14</v>
      </c>
      <c r="O27" s="38">
        <f t="shared" ref="O27" si="84">SUM(O22:O26)</f>
        <v>1.53468</v>
      </c>
      <c r="P27" s="17"/>
      <c r="Q27" s="31">
        <f t="shared" ref="Q27" si="85">SUM(Q22:Q26)</f>
        <v>6</v>
      </c>
      <c r="R27" s="38">
        <f t="shared" ref="R27" si="86">SUM(R22:R26)</f>
        <v>0.71131200000000006</v>
      </c>
      <c r="S27" s="31">
        <f t="shared" ref="S27" si="87">SUM(S22:S26)</f>
        <v>63</v>
      </c>
      <c r="T27" s="38">
        <f t="shared" ref="T27" si="88">SUM(T22:T26)</f>
        <v>7.9705920000000008</v>
      </c>
      <c r="U27" s="31">
        <f t="shared" ref="U27" si="89">SUM(U22:U26)</f>
        <v>0</v>
      </c>
      <c r="V27" s="38">
        <f t="shared" ref="V27" si="90">SUM(V22:V26)</f>
        <v>-6.6989999999999966E-2</v>
      </c>
      <c r="X27" s="29"/>
    </row>
    <row r="28" spans="1:24">
      <c r="A28" s="26" t="s">
        <v>13</v>
      </c>
      <c r="B28" s="26" t="s">
        <v>18</v>
      </c>
      <c r="C28" s="26">
        <v>16.579999999999998</v>
      </c>
      <c r="D28" s="27">
        <v>11.2</v>
      </c>
      <c r="E28" s="28">
        <v>6</v>
      </c>
      <c r="F28" s="16">
        <f t="shared" ref="F28:F29" si="91">(C28*D28*E28/1000)</f>
        <v>1.1141759999999998</v>
      </c>
      <c r="G28" s="17" t="s">
        <v>205</v>
      </c>
      <c r="H28" s="18">
        <v>5</v>
      </c>
      <c r="I28" s="19">
        <f t="shared" ref="I28:I29" si="92">(C28*D28*H28/1000)</f>
        <v>0.92847999999999975</v>
      </c>
      <c r="J28" s="16" t="s">
        <v>93</v>
      </c>
      <c r="K28" s="18">
        <v>1</v>
      </c>
      <c r="L28" s="19">
        <f t="shared" ref="L28:L29" si="93">(C28*D28*K28/1000)</f>
        <v>0.18569599999999997</v>
      </c>
      <c r="M28" s="16"/>
      <c r="N28" s="18"/>
      <c r="O28" s="19">
        <f t="shared" ref="O28:O29" si="94">(C28*D28*N28/1000)</f>
        <v>0</v>
      </c>
      <c r="P28" s="16"/>
      <c r="Q28" s="18"/>
      <c r="R28" s="19">
        <f t="shared" ref="R28:R29" si="95">(C28*D28*Q28/1000)</f>
        <v>0</v>
      </c>
      <c r="S28" s="20">
        <f t="shared" ref="S28:S29" si="96">+H28+K28+Q28+N28</f>
        <v>6</v>
      </c>
      <c r="T28" s="19">
        <f t="shared" ref="T28:T29" si="97">+I28+L28+R28+O28</f>
        <v>1.1141759999999996</v>
      </c>
      <c r="U28" s="21">
        <f t="shared" ref="U28:U29" si="98">E28-S28</f>
        <v>0</v>
      </c>
      <c r="V28" s="19">
        <f t="shared" ref="V28:V29" si="99">F28-T28</f>
        <v>0</v>
      </c>
      <c r="X28" s="29"/>
    </row>
    <row r="29" spans="1:24">
      <c r="A29" s="26" t="s">
        <v>13</v>
      </c>
      <c r="B29" s="26" t="s">
        <v>18</v>
      </c>
      <c r="C29" s="26">
        <v>16.579999999999998</v>
      </c>
      <c r="D29" s="27">
        <v>12</v>
      </c>
      <c r="E29" s="28">
        <v>9</v>
      </c>
      <c r="F29" s="16">
        <f t="shared" si="91"/>
        <v>1.7906399999999998</v>
      </c>
      <c r="G29" s="17" t="s">
        <v>204</v>
      </c>
      <c r="H29" s="18">
        <v>6</v>
      </c>
      <c r="I29" s="19">
        <f t="shared" si="92"/>
        <v>1.1937599999999997</v>
      </c>
      <c r="J29" s="16" t="s">
        <v>206</v>
      </c>
      <c r="K29" s="18">
        <v>3</v>
      </c>
      <c r="L29" s="19">
        <f t="shared" si="93"/>
        <v>0.59687999999999986</v>
      </c>
      <c r="M29" s="16"/>
      <c r="N29" s="18"/>
      <c r="O29" s="19">
        <f t="shared" si="94"/>
        <v>0</v>
      </c>
      <c r="P29" s="16"/>
      <c r="Q29" s="18"/>
      <c r="R29" s="19">
        <f t="shared" si="95"/>
        <v>0</v>
      </c>
      <c r="S29" s="20">
        <f t="shared" si="96"/>
        <v>9</v>
      </c>
      <c r="T29" s="19">
        <f t="shared" si="97"/>
        <v>1.7906399999999996</v>
      </c>
      <c r="U29" s="21">
        <f t="shared" si="98"/>
        <v>0</v>
      </c>
      <c r="V29" s="19">
        <f t="shared" si="99"/>
        <v>0</v>
      </c>
      <c r="X29" s="29"/>
    </row>
    <row r="30" spans="1:24">
      <c r="A30" s="36"/>
      <c r="B30" s="36"/>
      <c r="C30" s="36"/>
      <c r="D30" s="38"/>
      <c r="E30" s="31">
        <f>SUM(E28:E29)</f>
        <v>15</v>
      </c>
      <c r="F30" s="38">
        <f>SUM(F28:F29)</f>
        <v>2.9048159999999994</v>
      </c>
      <c r="G30" s="17"/>
      <c r="H30" s="31">
        <f t="shared" ref="H30" si="100">SUM(H28:H29)</f>
        <v>11</v>
      </c>
      <c r="I30" s="38">
        <f t="shared" ref="I30" si="101">SUM(I28:I29)</f>
        <v>2.1222399999999997</v>
      </c>
      <c r="J30" s="17"/>
      <c r="K30" s="31">
        <f t="shared" ref="K30" si="102">SUM(K28:K29)</f>
        <v>4</v>
      </c>
      <c r="L30" s="38">
        <f t="shared" ref="L30" si="103">SUM(L28:L29)</f>
        <v>0.78257599999999983</v>
      </c>
      <c r="M30" s="17"/>
      <c r="N30" s="31">
        <f>SUM(N28:N29)</f>
        <v>0</v>
      </c>
      <c r="O30" s="38">
        <f>SUM(O28:O29)</f>
        <v>0</v>
      </c>
      <c r="P30" s="17"/>
      <c r="Q30" s="31">
        <f t="shared" ref="Q30" si="104">SUM(Q28:Q29)</f>
        <v>0</v>
      </c>
      <c r="R30" s="38">
        <f t="shared" ref="R30" si="105">SUM(R28:R29)</f>
        <v>0</v>
      </c>
      <c r="S30" s="31">
        <f t="shared" ref="S30" si="106">SUM(S28:S29)</f>
        <v>15</v>
      </c>
      <c r="T30" s="38">
        <f t="shared" ref="T30" si="107">SUM(T28:T29)</f>
        <v>2.9048159999999994</v>
      </c>
      <c r="U30" s="31">
        <f t="shared" ref="U30" si="108">SUM(U28:U29)</f>
        <v>0</v>
      </c>
      <c r="V30" s="38">
        <f t="shared" ref="V30" si="109">SUM(V28:V29)</f>
        <v>0</v>
      </c>
      <c r="X30" s="29"/>
    </row>
    <row r="31" spans="1:24">
      <c r="A31" s="26" t="s">
        <v>13</v>
      </c>
      <c r="B31" s="26" t="s">
        <v>25</v>
      </c>
      <c r="C31" s="26">
        <v>13.4</v>
      </c>
      <c r="D31" s="27">
        <v>8.4</v>
      </c>
      <c r="E31" s="28">
        <v>13</v>
      </c>
      <c r="F31" s="16">
        <f t="shared" ref="F31:F34" si="110">(C31*D31*E31/1000)</f>
        <v>1.4632799999999999</v>
      </c>
      <c r="G31" s="16" t="s">
        <v>89</v>
      </c>
      <c r="H31" s="18">
        <v>7</v>
      </c>
      <c r="I31" s="19">
        <f t="shared" ref="I31:I34" si="111">(C31*D31*H31/1000)</f>
        <v>0.78792000000000006</v>
      </c>
      <c r="J31" s="17" t="s">
        <v>93</v>
      </c>
      <c r="K31" s="18">
        <v>9</v>
      </c>
      <c r="L31" s="19">
        <f t="shared" ref="L31:L34" si="112">(C31*D31*K31/1000)</f>
        <v>1.0130399999999999</v>
      </c>
      <c r="M31" s="16" t="s">
        <v>89</v>
      </c>
      <c r="N31" s="18"/>
      <c r="O31" s="19">
        <f t="shared" ref="O31:O34" si="113">(C31*D31*N31/1000)</f>
        <v>0</v>
      </c>
      <c r="P31" s="16"/>
      <c r="Q31" s="18"/>
      <c r="R31" s="19">
        <f t="shared" ref="R31:R34" si="114">(C31*D31*Q31/1000)</f>
        <v>0</v>
      </c>
      <c r="S31" s="20">
        <f t="shared" ref="S31:S34" si="115">+H31+K31+Q31+N31</f>
        <v>16</v>
      </c>
      <c r="T31" s="19">
        <f t="shared" ref="T31:T34" si="116">+I31+L31+R31+O31</f>
        <v>1.8009599999999999</v>
      </c>
      <c r="U31" s="21">
        <f t="shared" ref="U31:U34" si="117">E31-S31</f>
        <v>-3</v>
      </c>
      <c r="V31" s="19">
        <f t="shared" ref="V31:V34" si="118">F31-T31</f>
        <v>-0.33767999999999998</v>
      </c>
      <c r="X31" s="29"/>
    </row>
    <row r="32" spans="1:24">
      <c r="A32" s="26" t="s">
        <v>13</v>
      </c>
      <c r="B32" s="26" t="s">
        <v>25</v>
      </c>
      <c r="C32" s="26">
        <v>13.4</v>
      </c>
      <c r="D32" s="27">
        <v>10.5</v>
      </c>
      <c r="E32" s="28">
        <v>26</v>
      </c>
      <c r="F32" s="16">
        <f t="shared" si="110"/>
        <v>3.6582000000000003</v>
      </c>
      <c r="G32" s="16" t="s">
        <v>200</v>
      </c>
      <c r="H32" s="18">
        <f>6+4</f>
        <v>10</v>
      </c>
      <c r="I32" s="19">
        <f t="shared" si="111"/>
        <v>1.4070000000000003</v>
      </c>
      <c r="J32" s="17" t="s">
        <v>200</v>
      </c>
      <c r="K32" s="18">
        <v>4</v>
      </c>
      <c r="L32" s="19">
        <f t="shared" si="112"/>
        <v>0.56280000000000008</v>
      </c>
      <c r="M32" s="16" t="s">
        <v>206</v>
      </c>
      <c r="N32" s="18">
        <v>13</v>
      </c>
      <c r="O32" s="19">
        <f t="shared" si="113"/>
        <v>1.8291000000000002</v>
      </c>
      <c r="P32" s="16"/>
      <c r="Q32" s="18"/>
      <c r="R32" s="19">
        <f t="shared" si="114"/>
        <v>0</v>
      </c>
      <c r="S32" s="20">
        <f t="shared" si="115"/>
        <v>27</v>
      </c>
      <c r="T32" s="19">
        <f t="shared" si="116"/>
        <v>3.7989000000000006</v>
      </c>
      <c r="U32" s="21">
        <f t="shared" si="117"/>
        <v>-1</v>
      </c>
      <c r="V32" s="19">
        <f t="shared" si="118"/>
        <v>-0.14070000000000027</v>
      </c>
      <c r="X32" s="29"/>
    </row>
    <row r="33" spans="1:24">
      <c r="A33" s="26" t="s">
        <v>13</v>
      </c>
      <c r="B33" s="26" t="s">
        <v>25</v>
      </c>
      <c r="C33" s="26">
        <v>13.4</v>
      </c>
      <c r="D33" s="27">
        <v>11.7</v>
      </c>
      <c r="E33" s="28">
        <v>13</v>
      </c>
      <c r="F33" s="16">
        <f t="shared" si="110"/>
        <v>2.0381400000000003</v>
      </c>
      <c r="G33" s="17"/>
      <c r="H33" s="18">
        <v>6</v>
      </c>
      <c r="I33" s="19">
        <f t="shared" si="111"/>
        <v>0.94068000000000007</v>
      </c>
      <c r="J33" s="16"/>
      <c r="K33" s="18">
        <v>7</v>
      </c>
      <c r="L33" s="19">
        <f t="shared" si="112"/>
        <v>1.0974600000000001</v>
      </c>
      <c r="M33" s="16"/>
      <c r="N33" s="18"/>
      <c r="O33" s="19">
        <f t="shared" si="113"/>
        <v>0</v>
      </c>
      <c r="P33" s="16"/>
      <c r="Q33" s="18"/>
      <c r="R33" s="19">
        <f t="shared" si="114"/>
        <v>0</v>
      </c>
      <c r="S33" s="20">
        <f t="shared" si="115"/>
        <v>13</v>
      </c>
      <c r="T33" s="19">
        <f t="shared" si="116"/>
        <v>2.0381400000000003</v>
      </c>
      <c r="U33" s="21">
        <f t="shared" si="117"/>
        <v>0</v>
      </c>
      <c r="V33" s="19">
        <f t="shared" si="118"/>
        <v>0</v>
      </c>
      <c r="X33" s="29"/>
    </row>
    <row r="34" spans="1:24">
      <c r="A34" s="26" t="s">
        <v>13</v>
      </c>
      <c r="B34" s="26" t="s">
        <v>25</v>
      </c>
      <c r="C34" s="26">
        <v>13.4</v>
      </c>
      <c r="D34" s="27">
        <v>12</v>
      </c>
      <c r="E34" s="28">
        <v>21</v>
      </c>
      <c r="F34" s="16">
        <f t="shared" si="110"/>
        <v>3.3768000000000002</v>
      </c>
      <c r="G34" s="17"/>
      <c r="H34" s="18">
        <v>21</v>
      </c>
      <c r="I34" s="19">
        <f t="shared" si="111"/>
        <v>3.3768000000000002</v>
      </c>
      <c r="J34" s="16"/>
      <c r="K34" s="18"/>
      <c r="L34" s="19">
        <f t="shared" si="112"/>
        <v>0</v>
      </c>
      <c r="M34" s="16"/>
      <c r="N34" s="18"/>
      <c r="O34" s="19">
        <f t="shared" si="113"/>
        <v>0</v>
      </c>
      <c r="P34" s="16"/>
      <c r="Q34" s="18"/>
      <c r="R34" s="19">
        <f t="shared" si="114"/>
        <v>0</v>
      </c>
      <c r="S34" s="20">
        <f t="shared" si="115"/>
        <v>21</v>
      </c>
      <c r="T34" s="19">
        <f t="shared" si="116"/>
        <v>3.3768000000000002</v>
      </c>
      <c r="U34" s="21">
        <f t="shared" si="117"/>
        <v>0</v>
      </c>
      <c r="V34" s="19">
        <f t="shared" si="118"/>
        <v>0</v>
      </c>
      <c r="X34" s="29"/>
    </row>
    <row r="35" spans="1:24">
      <c r="A35" s="36"/>
      <c r="B35" s="36"/>
      <c r="C35" s="36"/>
      <c r="D35" s="38"/>
      <c r="E35" s="31">
        <f t="shared" ref="E35:F35" si="119">SUM(E31:E34)</f>
        <v>73</v>
      </c>
      <c r="F35" s="38">
        <f t="shared" si="119"/>
        <v>10.53642</v>
      </c>
      <c r="G35" s="17"/>
      <c r="H35" s="31">
        <f t="shared" ref="H35" si="120">SUM(H31:H34)</f>
        <v>44</v>
      </c>
      <c r="I35" s="38">
        <f t="shared" ref="I35" si="121">SUM(I31:I34)</f>
        <v>6.5124000000000004</v>
      </c>
      <c r="J35" s="17"/>
      <c r="K35" s="31">
        <f>SUM(K31:K34)</f>
        <v>20</v>
      </c>
      <c r="L35" s="38">
        <f>SUM(L31:L34)</f>
        <v>2.6733000000000002</v>
      </c>
      <c r="M35" s="17"/>
      <c r="N35" s="31">
        <f t="shared" ref="N35" si="122">SUM(N31:N34)</f>
        <v>13</v>
      </c>
      <c r="O35" s="38">
        <f t="shared" ref="O35" si="123">SUM(O31:O34)</f>
        <v>1.8291000000000002</v>
      </c>
      <c r="P35" s="17"/>
      <c r="Q35" s="31">
        <f t="shared" ref="Q35" si="124">SUM(Q31:Q34)</f>
        <v>0</v>
      </c>
      <c r="R35" s="38">
        <f t="shared" ref="R35" si="125">SUM(R31:R34)</f>
        <v>0</v>
      </c>
      <c r="S35" s="31">
        <f t="shared" ref="S35" si="126">SUM(S31:S34)</f>
        <v>77</v>
      </c>
      <c r="T35" s="38">
        <f t="shared" ref="T35" si="127">SUM(T31:T34)</f>
        <v>11.014800000000001</v>
      </c>
      <c r="U35" s="31">
        <f t="shared" ref="U35" si="128">SUM(U31:U34)</f>
        <v>-4</v>
      </c>
      <c r="V35" s="38">
        <f t="shared" ref="V35" si="129">SUM(V31:V34)</f>
        <v>-0.47838000000000025</v>
      </c>
      <c r="X35" s="29"/>
    </row>
    <row r="36" spans="1:24">
      <c r="A36" s="26" t="s">
        <v>13</v>
      </c>
      <c r="B36" s="26" t="s">
        <v>47</v>
      </c>
      <c r="C36" s="26">
        <v>18.149999999999999</v>
      </c>
      <c r="D36" s="27">
        <v>7.9</v>
      </c>
      <c r="E36" s="28">
        <v>8</v>
      </c>
      <c r="F36" s="16">
        <f t="shared" ref="F36:F38" si="130">(C36*D36*E36/1000)</f>
        <v>1.1470799999999999</v>
      </c>
      <c r="G36" s="17" t="s">
        <v>89</v>
      </c>
      <c r="H36" s="18">
        <v>5</v>
      </c>
      <c r="I36" s="19">
        <f t="shared" ref="I36:I38" si="131">(C36*D36*H36/1000)</f>
        <v>0.71692499999999992</v>
      </c>
      <c r="J36" s="17" t="s">
        <v>93</v>
      </c>
      <c r="K36" s="18">
        <v>3</v>
      </c>
      <c r="L36" s="19">
        <f t="shared" ref="L36:L38" si="132">(C36*D36*K36/1000)</f>
        <v>0.43015499999999995</v>
      </c>
      <c r="M36" s="16"/>
      <c r="N36" s="18"/>
      <c r="O36" s="19">
        <f t="shared" ref="O36:O38" si="133">(C36*D36*N36/1000)</f>
        <v>0</v>
      </c>
      <c r="P36" s="16"/>
      <c r="Q36" s="18"/>
      <c r="R36" s="19">
        <f t="shared" ref="R36:R38" si="134">(C36*D36*Q36/1000)</f>
        <v>0</v>
      </c>
      <c r="S36" s="20">
        <f t="shared" ref="S36:S38" si="135">+H36+K36+Q36+N36</f>
        <v>8</v>
      </c>
      <c r="T36" s="19">
        <f t="shared" ref="T36:T38" si="136">+I36+L36+R36+O36</f>
        <v>1.1470799999999999</v>
      </c>
      <c r="U36" s="21">
        <f t="shared" ref="U36:U38" si="137">E36-S36</f>
        <v>0</v>
      </c>
      <c r="V36" s="19">
        <f t="shared" ref="V36:V38" si="138">F36-T36</f>
        <v>0</v>
      </c>
      <c r="X36" s="29"/>
    </row>
    <row r="37" spans="1:24">
      <c r="A37" s="26" t="s">
        <v>13</v>
      </c>
      <c r="B37" s="26" t="s">
        <v>47</v>
      </c>
      <c r="C37" s="26">
        <v>18.149999999999999</v>
      </c>
      <c r="D37" s="27">
        <v>9.5</v>
      </c>
      <c r="E37" s="28">
        <v>13</v>
      </c>
      <c r="F37" s="16">
        <f t="shared" si="130"/>
        <v>2.2415249999999998</v>
      </c>
      <c r="G37" s="17" t="s">
        <v>208</v>
      </c>
      <c r="H37" s="18">
        <v>4</v>
      </c>
      <c r="I37" s="19">
        <f t="shared" si="131"/>
        <v>0.68969999999999998</v>
      </c>
      <c r="J37" s="17" t="s">
        <v>236</v>
      </c>
      <c r="K37" s="18">
        <f>6+3</f>
        <v>9</v>
      </c>
      <c r="L37" s="19">
        <f t="shared" si="132"/>
        <v>1.5518249999999998</v>
      </c>
      <c r="M37" s="16"/>
      <c r="N37" s="18"/>
      <c r="O37" s="19">
        <f t="shared" si="133"/>
        <v>0</v>
      </c>
      <c r="P37" s="16"/>
      <c r="Q37" s="18"/>
      <c r="R37" s="19">
        <f t="shared" si="134"/>
        <v>0</v>
      </c>
      <c r="S37" s="20">
        <f t="shared" si="135"/>
        <v>13</v>
      </c>
      <c r="T37" s="19">
        <f t="shared" si="136"/>
        <v>2.2415249999999998</v>
      </c>
      <c r="U37" s="21">
        <f t="shared" si="137"/>
        <v>0</v>
      </c>
      <c r="V37" s="19">
        <f t="shared" si="138"/>
        <v>0</v>
      </c>
      <c r="X37" s="29"/>
    </row>
    <row r="38" spans="1:24">
      <c r="A38" s="26" t="s">
        <v>13</v>
      </c>
      <c r="B38" s="26" t="s">
        <v>47</v>
      </c>
      <c r="C38" s="26">
        <v>18.149999999999999</v>
      </c>
      <c r="D38" s="27">
        <v>11.6</v>
      </c>
      <c r="E38" s="28">
        <v>5</v>
      </c>
      <c r="F38" s="16">
        <f t="shared" si="130"/>
        <v>1.0526999999999997</v>
      </c>
      <c r="G38" s="17"/>
      <c r="H38" s="18">
        <v>4</v>
      </c>
      <c r="I38" s="19">
        <f t="shared" si="131"/>
        <v>0.84215999999999991</v>
      </c>
      <c r="J38" s="16"/>
      <c r="K38" s="18">
        <v>1</v>
      </c>
      <c r="L38" s="19">
        <f t="shared" si="132"/>
        <v>0.21053999999999998</v>
      </c>
      <c r="M38" s="16"/>
      <c r="N38" s="18"/>
      <c r="O38" s="19">
        <f t="shared" si="133"/>
        <v>0</v>
      </c>
      <c r="P38" s="16"/>
      <c r="Q38" s="18"/>
      <c r="R38" s="19">
        <f t="shared" si="134"/>
        <v>0</v>
      </c>
      <c r="S38" s="20">
        <f t="shared" si="135"/>
        <v>5</v>
      </c>
      <c r="T38" s="19">
        <f t="shared" si="136"/>
        <v>1.0527</v>
      </c>
      <c r="U38" s="21">
        <f t="shared" si="137"/>
        <v>0</v>
      </c>
      <c r="V38" s="19">
        <f t="shared" si="138"/>
        <v>0</v>
      </c>
      <c r="X38" s="29"/>
    </row>
    <row r="39" spans="1:24">
      <c r="A39" s="36"/>
      <c r="B39" s="36"/>
      <c r="C39" s="36"/>
      <c r="D39" s="38"/>
      <c r="E39" s="31">
        <f t="shared" ref="E39:F39" si="139">SUM(E36:E38)</f>
        <v>26</v>
      </c>
      <c r="F39" s="38">
        <f t="shared" si="139"/>
        <v>4.4413049999999998</v>
      </c>
      <c r="G39" s="17"/>
      <c r="H39" s="31">
        <f t="shared" ref="H39" si="140">SUM(H36:H38)</f>
        <v>13</v>
      </c>
      <c r="I39" s="38">
        <f t="shared" ref="I39" si="141">SUM(I36:I38)</f>
        <v>2.2487849999999998</v>
      </c>
      <c r="J39" s="17"/>
      <c r="K39" s="31">
        <f t="shared" ref="K39" si="142">SUM(K36:K38)</f>
        <v>13</v>
      </c>
      <c r="L39" s="38">
        <f t="shared" ref="L39" si="143">SUM(L36:L38)</f>
        <v>2.1925199999999996</v>
      </c>
      <c r="M39" s="17"/>
      <c r="N39" s="31">
        <f t="shared" ref="N39" si="144">SUM(N36:N38)</f>
        <v>0</v>
      </c>
      <c r="O39" s="38">
        <f t="shared" ref="O39" si="145">SUM(O36:O38)</f>
        <v>0</v>
      </c>
      <c r="P39" s="17"/>
      <c r="Q39" s="31">
        <f t="shared" ref="Q39" si="146">SUM(Q36:Q38)</f>
        <v>0</v>
      </c>
      <c r="R39" s="38">
        <f t="shared" ref="R39" si="147">SUM(R36:R38)</f>
        <v>0</v>
      </c>
      <c r="S39" s="31">
        <f t="shared" ref="S39" si="148">SUM(S36:S38)</f>
        <v>26</v>
      </c>
      <c r="T39" s="38">
        <f t="shared" ref="T39" si="149">SUM(T36:T38)</f>
        <v>4.4413049999999998</v>
      </c>
      <c r="U39" s="31">
        <f t="shared" ref="U39" si="150">SUM(U36:U38)</f>
        <v>0</v>
      </c>
      <c r="V39" s="38">
        <f t="shared" ref="V39" si="151">SUM(V36:V38)</f>
        <v>0</v>
      </c>
      <c r="X39" s="29"/>
    </row>
    <row r="40" spans="1:24">
      <c r="A40" s="26" t="s">
        <v>13</v>
      </c>
      <c r="B40" s="26" t="s">
        <v>49</v>
      </c>
      <c r="C40" s="26">
        <v>14.66</v>
      </c>
      <c r="D40" s="27">
        <v>8.8000000000000007</v>
      </c>
      <c r="E40" s="28">
        <v>4</v>
      </c>
      <c r="F40" s="16">
        <f>(C40*D40*E40/1000)</f>
        <v>0.51603200000000005</v>
      </c>
      <c r="G40" s="17" t="s">
        <v>86</v>
      </c>
      <c r="H40" s="18">
        <v>4</v>
      </c>
      <c r="I40" s="19">
        <f>(C40*D40*H40/1000)</f>
        <v>0.51603200000000005</v>
      </c>
      <c r="J40" s="16"/>
      <c r="K40" s="18"/>
      <c r="L40" s="19">
        <f>(C40*D40*K40/1000)</f>
        <v>0</v>
      </c>
      <c r="M40" s="16"/>
      <c r="N40" s="18"/>
      <c r="O40" s="19">
        <f>(C40*D40*N40/1000)</f>
        <v>0</v>
      </c>
      <c r="P40" s="16"/>
      <c r="Q40" s="18"/>
      <c r="R40" s="19">
        <f>(C40*D40*Q40/1000)</f>
        <v>0</v>
      </c>
      <c r="S40" s="20">
        <f>+H40+K40+Q40+N40</f>
        <v>4</v>
      </c>
      <c r="T40" s="19">
        <f>+I40+L40+R40+O40</f>
        <v>0.51603200000000005</v>
      </c>
      <c r="U40" s="21">
        <f>E40-S40</f>
        <v>0</v>
      </c>
      <c r="V40" s="19">
        <f>F40-T40</f>
        <v>0</v>
      </c>
      <c r="X40" s="29"/>
    </row>
    <row r="41" spans="1:24">
      <c r="A41" s="26" t="s">
        <v>13</v>
      </c>
      <c r="B41" s="26" t="s">
        <v>49</v>
      </c>
      <c r="C41" s="26">
        <v>14.66</v>
      </c>
      <c r="D41" s="27">
        <v>10.4</v>
      </c>
      <c r="E41" s="28">
        <v>4</v>
      </c>
      <c r="F41" s="16">
        <f>(C41*D41*E41/1000)</f>
        <v>0.60985599999999995</v>
      </c>
      <c r="G41" s="17" t="s">
        <v>208</v>
      </c>
      <c r="H41" s="18">
        <v>4</v>
      </c>
      <c r="I41" s="19">
        <f>(C41*D41*H41/1000)</f>
        <v>0.60985599999999995</v>
      </c>
      <c r="J41" s="16"/>
      <c r="K41" s="18"/>
      <c r="L41" s="19">
        <f>(C41*D41*K41/1000)</f>
        <v>0</v>
      </c>
      <c r="M41" s="16"/>
      <c r="N41" s="18"/>
      <c r="O41" s="19">
        <f>(C41*D41*N41/1000)</f>
        <v>0</v>
      </c>
      <c r="P41" s="16"/>
      <c r="Q41" s="18"/>
      <c r="R41" s="19">
        <f>(C41*D41*Q41/1000)</f>
        <v>0</v>
      </c>
      <c r="S41" s="20">
        <f>+H41+K41+Q41+N41</f>
        <v>4</v>
      </c>
      <c r="T41" s="19">
        <f>+I41+L41+R41+O41</f>
        <v>0.60985599999999995</v>
      </c>
      <c r="U41" s="21">
        <f>E41-S41</f>
        <v>0</v>
      </c>
      <c r="V41" s="19">
        <f>F41-T41</f>
        <v>0</v>
      </c>
      <c r="X41" s="29"/>
    </row>
    <row r="42" spans="1:24">
      <c r="A42" s="26" t="s">
        <v>13</v>
      </c>
      <c r="B42" s="26" t="s">
        <v>49</v>
      </c>
      <c r="C42" s="26">
        <v>14.66</v>
      </c>
      <c r="D42" s="27">
        <v>8.1999999999999993</v>
      </c>
      <c r="E42" s="28">
        <v>14</v>
      </c>
      <c r="F42" s="16">
        <f>(C42*D42*E42/1000)</f>
        <v>1.6829679999999998</v>
      </c>
      <c r="G42" s="17"/>
      <c r="H42" s="18">
        <v>14</v>
      </c>
      <c r="I42" s="19">
        <f>(C42*D42*H42/1000)</f>
        <v>1.6829679999999998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 t="shared" ref="S42:S43" si="152">+H42+K42+Q42+N42</f>
        <v>14</v>
      </c>
      <c r="T42" s="19">
        <f t="shared" ref="T42:T43" si="153">+I42+L42+R42+O42</f>
        <v>1.6829679999999998</v>
      </c>
      <c r="U42" s="21">
        <f t="shared" ref="U42:U43" si="154">E42-S42</f>
        <v>0</v>
      </c>
      <c r="V42" s="19">
        <f t="shared" ref="V42:V43" si="155">F42-T42</f>
        <v>0</v>
      </c>
      <c r="X42" s="29"/>
    </row>
    <row r="43" spans="1:24">
      <c r="A43" s="26" t="s">
        <v>13</v>
      </c>
      <c r="B43" s="26" t="s">
        <v>49</v>
      </c>
      <c r="C43" s="26">
        <v>14.66</v>
      </c>
      <c r="D43" s="27">
        <v>12</v>
      </c>
      <c r="E43" s="28">
        <v>13</v>
      </c>
      <c r="F43" s="16">
        <f>(C43*D43*E43/1000)</f>
        <v>2.2869600000000001</v>
      </c>
      <c r="G43" s="17"/>
      <c r="H43" s="18">
        <v>13</v>
      </c>
      <c r="I43" s="19">
        <f>(C43*D43*H43/1000)</f>
        <v>2.2869600000000001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 t="shared" si="152"/>
        <v>13</v>
      </c>
      <c r="T43" s="19">
        <f t="shared" si="153"/>
        <v>2.2869600000000001</v>
      </c>
      <c r="U43" s="21">
        <f t="shared" si="154"/>
        <v>0</v>
      </c>
      <c r="V43" s="19">
        <f t="shared" si="155"/>
        <v>0</v>
      </c>
      <c r="X43" s="29"/>
    </row>
    <row r="44" spans="1:24">
      <c r="A44" s="36"/>
      <c r="B44" s="36"/>
      <c r="C44" s="36"/>
      <c r="D44" s="38"/>
      <c r="E44" s="31">
        <f t="shared" ref="E44:F44" si="156">SUM(E40:E43)</f>
        <v>35</v>
      </c>
      <c r="F44" s="38">
        <f t="shared" si="156"/>
        <v>5.0958159999999992</v>
      </c>
      <c r="G44" s="17"/>
      <c r="H44" s="31">
        <f t="shared" ref="H44" si="157">SUM(H40:H43)</f>
        <v>35</v>
      </c>
      <c r="I44" s="38">
        <f t="shared" ref="I44" si="158">SUM(I40:I43)</f>
        <v>5.0958159999999992</v>
      </c>
      <c r="J44" s="17"/>
      <c r="K44" s="31">
        <f t="shared" ref="K44" si="159">SUM(K40:K43)</f>
        <v>0</v>
      </c>
      <c r="L44" s="38">
        <f t="shared" ref="L44" si="160">SUM(L40:L43)</f>
        <v>0</v>
      </c>
      <c r="M44" s="17"/>
      <c r="N44" s="31">
        <f t="shared" ref="N44" si="161">SUM(N40:N43)</f>
        <v>0</v>
      </c>
      <c r="O44" s="38">
        <f t="shared" ref="O44" si="162">SUM(O40:O43)</f>
        <v>0</v>
      </c>
      <c r="P44" s="17"/>
      <c r="Q44" s="31">
        <f t="shared" ref="Q44" si="163">SUM(Q40:Q43)</f>
        <v>0</v>
      </c>
      <c r="R44" s="38">
        <f t="shared" ref="R44" si="164">SUM(R40:R43)</f>
        <v>0</v>
      </c>
      <c r="S44" s="31">
        <f t="shared" ref="S44" si="165">SUM(S40:S43)</f>
        <v>35</v>
      </c>
      <c r="T44" s="38">
        <f t="shared" ref="T44" si="166">SUM(T40:T43)</f>
        <v>5.0958159999999992</v>
      </c>
      <c r="U44" s="31">
        <f t="shared" ref="U44" si="167">SUM(U40:U43)</f>
        <v>0</v>
      </c>
      <c r="V44" s="38">
        <f t="shared" ref="V44" si="168">SUM(V40:V43)</f>
        <v>0</v>
      </c>
      <c r="X44" s="29"/>
    </row>
    <row r="45" spans="1:24">
      <c r="A45" s="26" t="s">
        <v>13</v>
      </c>
      <c r="B45" s="26" t="s">
        <v>50</v>
      </c>
      <c r="C45" s="26">
        <v>16.5</v>
      </c>
      <c r="D45" s="27">
        <v>7</v>
      </c>
      <c r="E45" s="28">
        <v>3</v>
      </c>
      <c r="F45" s="16">
        <f>(C45*D45*E45/1000)</f>
        <v>0.34649999999999997</v>
      </c>
      <c r="G45" s="17" t="s">
        <v>93</v>
      </c>
      <c r="H45" s="18"/>
      <c r="I45" s="19">
        <f>(C45*D45*H45/1000)</f>
        <v>0</v>
      </c>
      <c r="J45" s="16"/>
      <c r="K45" s="18"/>
      <c r="L45" s="19">
        <f>(C45*D45*K45/1000)</f>
        <v>0</v>
      </c>
      <c r="M45" s="16"/>
      <c r="N45" s="18"/>
      <c r="O45" s="19">
        <f>(C45*D45*N45/1000)</f>
        <v>0</v>
      </c>
      <c r="P45" s="16"/>
      <c r="Q45" s="18"/>
      <c r="R45" s="19">
        <f>(C45*D45*Q45/1000)</f>
        <v>0</v>
      </c>
      <c r="S45" s="20">
        <f>+H45+K45+Q45+N45</f>
        <v>0</v>
      </c>
      <c r="T45" s="19">
        <f>+I45+L45+R45+O45</f>
        <v>0</v>
      </c>
      <c r="U45" s="21">
        <f>E45-S45</f>
        <v>3</v>
      </c>
      <c r="V45" s="19">
        <f>F45-T45</f>
        <v>0.34649999999999997</v>
      </c>
      <c r="X45" s="29"/>
    </row>
    <row r="46" spans="1:24">
      <c r="A46" s="26" t="s">
        <v>13</v>
      </c>
      <c r="B46" s="26" t="s">
        <v>50</v>
      </c>
      <c r="C46" s="26">
        <v>16.5</v>
      </c>
      <c r="D46" s="27">
        <v>8.6999999999999993</v>
      </c>
      <c r="E46" s="28"/>
      <c r="F46" s="16">
        <f t="shared" ref="F46:F48" si="169">(C46*D46*E46/1000)</f>
        <v>0</v>
      </c>
      <c r="G46" s="17" t="s">
        <v>278</v>
      </c>
      <c r="H46" s="18">
        <v>1</v>
      </c>
      <c r="I46" s="19">
        <f t="shared" ref="I46:I48" si="170">(C46*D46*H46/1000)</f>
        <v>0.14354999999999998</v>
      </c>
      <c r="J46" s="16"/>
      <c r="K46" s="18"/>
      <c r="L46" s="19">
        <f t="shared" ref="L46:L48" si="171">(C46*D46*K46/1000)</f>
        <v>0</v>
      </c>
      <c r="M46" s="16"/>
      <c r="N46" s="18"/>
      <c r="O46" s="19">
        <f t="shared" ref="O46:O48" si="172">(C46*D46*N46/1000)</f>
        <v>0</v>
      </c>
      <c r="P46" s="16"/>
      <c r="Q46" s="18"/>
      <c r="R46" s="19">
        <f t="shared" ref="R46:R48" si="173">(C46*D46*Q46/1000)</f>
        <v>0</v>
      </c>
      <c r="S46" s="20">
        <f t="shared" ref="S46:S48" si="174">+H46+K46+Q46+N46</f>
        <v>1</v>
      </c>
      <c r="T46" s="19">
        <f t="shared" ref="T46:T48" si="175">+I46+L46+R46+O46</f>
        <v>0.14354999999999998</v>
      </c>
      <c r="U46" s="21">
        <f t="shared" ref="U46:U48" si="176">E46-S46</f>
        <v>-1</v>
      </c>
      <c r="V46" s="19">
        <f t="shared" ref="V46:V48" si="177">F46-T46</f>
        <v>-0.14354999999999998</v>
      </c>
      <c r="X46" s="29"/>
    </row>
    <row r="47" spans="1:24">
      <c r="A47" s="26" t="s">
        <v>13</v>
      </c>
      <c r="B47" s="26" t="s">
        <v>50</v>
      </c>
      <c r="C47" s="26">
        <v>16.5</v>
      </c>
      <c r="D47" s="27">
        <v>7.1</v>
      </c>
      <c r="E47" s="28"/>
      <c r="F47" s="16">
        <f t="shared" si="169"/>
        <v>0</v>
      </c>
      <c r="G47" s="17"/>
      <c r="H47" s="18">
        <v>2</v>
      </c>
      <c r="I47" s="19">
        <f t="shared" si="170"/>
        <v>0.23429999999999998</v>
      </c>
      <c r="J47" s="16"/>
      <c r="K47" s="18"/>
      <c r="L47" s="19">
        <f t="shared" si="171"/>
        <v>0</v>
      </c>
      <c r="M47" s="16"/>
      <c r="N47" s="18"/>
      <c r="O47" s="19">
        <f t="shared" si="172"/>
        <v>0</v>
      </c>
      <c r="P47" s="16"/>
      <c r="Q47" s="18"/>
      <c r="R47" s="19">
        <f t="shared" si="173"/>
        <v>0</v>
      </c>
      <c r="S47" s="20">
        <f t="shared" si="174"/>
        <v>2</v>
      </c>
      <c r="T47" s="19">
        <f t="shared" si="175"/>
        <v>0.23429999999999998</v>
      </c>
      <c r="U47" s="21">
        <f t="shared" si="176"/>
        <v>-2</v>
      </c>
      <c r="V47" s="19">
        <f t="shared" si="177"/>
        <v>-0.23429999999999998</v>
      </c>
      <c r="X47" s="29"/>
    </row>
    <row r="48" spans="1:24">
      <c r="A48" s="26" t="s">
        <v>13</v>
      </c>
      <c r="B48" s="26" t="s">
        <v>50</v>
      </c>
      <c r="C48" s="26">
        <v>16.5</v>
      </c>
      <c r="D48" s="27"/>
      <c r="E48" s="28"/>
      <c r="F48" s="16">
        <f t="shared" si="169"/>
        <v>0</v>
      </c>
      <c r="G48" s="17"/>
      <c r="H48" s="18"/>
      <c r="I48" s="19">
        <f t="shared" si="170"/>
        <v>0</v>
      </c>
      <c r="J48" s="16"/>
      <c r="K48" s="18"/>
      <c r="L48" s="19">
        <f t="shared" si="171"/>
        <v>0</v>
      </c>
      <c r="M48" s="16"/>
      <c r="N48" s="18"/>
      <c r="O48" s="19">
        <f t="shared" si="172"/>
        <v>0</v>
      </c>
      <c r="P48" s="16"/>
      <c r="Q48" s="18"/>
      <c r="R48" s="19">
        <f t="shared" si="173"/>
        <v>0</v>
      </c>
      <c r="S48" s="20">
        <f t="shared" si="174"/>
        <v>0</v>
      </c>
      <c r="T48" s="19">
        <f t="shared" si="175"/>
        <v>0</v>
      </c>
      <c r="U48" s="21">
        <f t="shared" si="176"/>
        <v>0</v>
      </c>
      <c r="V48" s="19">
        <f t="shared" si="177"/>
        <v>0</v>
      </c>
      <c r="X48" s="29"/>
    </row>
    <row r="49" spans="1:24">
      <c r="A49" s="36"/>
      <c r="B49" s="36"/>
      <c r="C49" s="36"/>
      <c r="D49" s="38"/>
      <c r="E49" s="31">
        <f t="shared" ref="E49:F49" si="178">SUM(E45:E48)</f>
        <v>3</v>
      </c>
      <c r="F49" s="38">
        <f t="shared" si="178"/>
        <v>0.34649999999999997</v>
      </c>
      <c r="G49" s="17"/>
      <c r="H49" s="31">
        <f t="shared" ref="H49" si="179">SUM(H45:H48)</f>
        <v>3</v>
      </c>
      <c r="I49" s="38">
        <f t="shared" ref="I49" si="180">SUM(I45:I48)</f>
        <v>0.37784999999999996</v>
      </c>
      <c r="J49" s="17"/>
      <c r="K49" s="31">
        <f t="shared" ref="K49" si="181">SUM(K45:K48)</f>
        <v>0</v>
      </c>
      <c r="L49" s="38">
        <f t="shared" ref="L49" si="182">SUM(L45:L48)</f>
        <v>0</v>
      </c>
      <c r="M49" s="17"/>
      <c r="N49" s="31">
        <f t="shared" ref="N49" si="183">SUM(N45:N48)</f>
        <v>0</v>
      </c>
      <c r="O49" s="38">
        <f t="shared" ref="O49" si="184">SUM(O45:O48)</f>
        <v>0</v>
      </c>
      <c r="P49" s="17"/>
      <c r="Q49" s="31">
        <f t="shared" ref="Q49" si="185">SUM(Q45:Q48)</f>
        <v>0</v>
      </c>
      <c r="R49" s="38">
        <f t="shared" ref="R49" si="186">SUM(R45:R48)</f>
        <v>0</v>
      </c>
      <c r="S49" s="31">
        <f t="shared" ref="S49" si="187">SUM(S45:S48)</f>
        <v>3</v>
      </c>
      <c r="T49" s="38">
        <f t="shared" ref="T49" si="188">SUM(T45:T48)</f>
        <v>0.37784999999999996</v>
      </c>
      <c r="U49" s="31">
        <f t="shared" ref="U49" si="189">SUM(U45:U48)</f>
        <v>0</v>
      </c>
      <c r="V49" s="38">
        <f t="shared" ref="V49" si="190">SUM(V45:V48)</f>
        <v>-3.1349999999999989E-2</v>
      </c>
      <c r="X49" s="29"/>
    </row>
    <row r="50" spans="1:24">
      <c r="A50" s="26" t="s">
        <v>13</v>
      </c>
      <c r="B50" s="26" t="s">
        <v>51</v>
      </c>
      <c r="C50" s="26">
        <v>19.72</v>
      </c>
      <c r="D50" s="27">
        <v>7.9</v>
      </c>
      <c r="E50" s="28">
        <v>6</v>
      </c>
      <c r="F50" s="16">
        <f>(C50*D50*E50/1000)</f>
        <v>0.93472800000000011</v>
      </c>
      <c r="G50" s="17" t="s">
        <v>93</v>
      </c>
      <c r="H50" s="18">
        <v>6</v>
      </c>
      <c r="I50" s="19">
        <f>(C50*D50*H50/1000)</f>
        <v>0.93472800000000011</v>
      </c>
      <c r="J50" s="17" t="s">
        <v>93</v>
      </c>
      <c r="K50" s="18"/>
      <c r="L50" s="19">
        <f>(C50*D50*K50/1000)</f>
        <v>0</v>
      </c>
      <c r="M50" s="16"/>
      <c r="N50" s="18"/>
      <c r="O50" s="19">
        <f>(C50*D50*N50/1000)</f>
        <v>0</v>
      </c>
      <c r="P50" s="16"/>
      <c r="Q50" s="18"/>
      <c r="R50" s="19">
        <f>(C50*D50*Q50/1000)</f>
        <v>0</v>
      </c>
      <c r="S50" s="20">
        <f t="shared" ref="S50:S52" si="191">+H50+K50+Q50+N50</f>
        <v>6</v>
      </c>
      <c r="T50" s="19">
        <f t="shared" ref="T50:T52" si="192">+I50+L50+R50+O50</f>
        <v>0.93472800000000011</v>
      </c>
      <c r="U50" s="21">
        <f t="shared" ref="U50:U52" si="193">E50-S50</f>
        <v>0</v>
      </c>
      <c r="V50" s="19">
        <f t="shared" ref="V50:V52" si="194">F50-T50</f>
        <v>0</v>
      </c>
      <c r="X50" s="29"/>
    </row>
    <row r="51" spans="1:24">
      <c r="A51" s="26" t="s">
        <v>13</v>
      </c>
      <c r="B51" s="26" t="s">
        <v>51</v>
      </c>
      <c r="C51" s="26">
        <v>19.72</v>
      </c>
      <c r="D51" s="27">
        <v>11.4</v>
      </c>
      <c r="E51" s="28">
        <v>5</v>
      </c>
      <c r="F51" s="16">
        <f>(C51*D51*E51/1000)</f>
        <v>1.1240399999999999</v>
      </c>
      <c r="G51" s="17" t="s">
        <v>235</v>
      </c>
      <c r="H51" s="18">
        <v>4</v>
      </c>
      <c r="I51" s="19">
        <f>(C51*D51*H51/1000)</f>
        <v>0.89923199999999992</v>
      </c>
      <c r="J51" s="17" t="s">
        <v>278</v>
      </c>
      <c r="K51" s="18"/>
      <c r="L51" s="19">
        <f>(C51*D51*K51/1000)</f>
        <v>0</v>
      </c>
      <c r="M51" s="16"/>
      <c r="N51" s="18"/>
      <c r="O51" s="19">
        <f>(C51*D51*N51/1000)</f>
        <v>0</v>
      </c>
      <c r="P51" s="16"/>
      <c r="Q51" s="18"/>
      <c r="R51" s="19">
        <f>(C51*D51*Q51/1000)</f>
        <v>0</v>
      </c>
      <c r="S51" s="20">
        <f t="shared" ref="S51" si="195">+H51+K51+Q51+N51</f>
        <v>4</v>
      </c>
      <c r="T51" s="19">
        <f t="shared" ref="T51" si="196">+I51+L51+R51+O51</f>
        <v>0.89923199999999992</v>
      </c>
      <c r="U51" s="21">
        <f t="shared" ref="U51" si="197">E51-S51</f>
        <v>1</v>
      </c>
      <c r="V51" s="19">
        <f t="shared" ref="V51" si="198">F51-T51</f>
        <v>0.22480800000000001</v>
      </c>
      <c r="X51" s="29"/>
    </row>
    <row r="52" spans="1:24">
      <c r="A52" s="26" t="s">
        <v>13</v>
      </c>
      <c r="B52" s="26" t="s">
        <v>51</v>
      </c>
      <c r="C52" s="26">
        <v>19.72</v>
      </c>
      <c r="D52" s="27">
        <v>11.8</v>
      </c>
      <c r="E52" s="28"/>
      <c r="F52" s="16">
        <f>(C52*D52*E52/1000)</f>
        <v>0</v>
      </c>
      <c r="G52" s="17"/>
      <c r="H52" s="18"/>
      <c r="I52" s="19">
        <f>(C52*D52*H52/1000)</f>
        <v>0</v>
      </c>
      <c r="J52" s="17"/>
      <c r="K52" s="18">
        <v>1</v>
      </c>
      <c r="L52" s="19">
        <f>(C52*D52*K52/1000)</f>
        <v>0.23269599999999999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 t="shared" si="191"/>
        <v>1</v>
      </c>
      <c r="T52" s="19">
        <f t="shared" si="192"/>
        <v>0.23269599999999999</v>
      </c>
      <c r="U52" s="21">
        <f t="shared" si="193"/>
        <v>-1</v>
      </c>
      <c r="V52" s="19">
        <f t="shared" si="194"/>
        <v>-0.23269599999999999</v>
      </c>
      <c r="X52" s="29"/>
    </row>
    <row r="53" spans="1:24">
      <c r="A53" s="36"/>
      <c r="B53" s="36"/>
      <c r="C53" s="36"/>
      <c r="D53" s="38"/>
      <c r="E53" s="31">
        <f t="shared" ref="E53:F53" si="199">SUM(E50:E52)</f>
        <v>11</v>
      </c>
      <c r="F53" s="38">
        <f t="shared" si="199"/>
        <v>2.0587680000000002</v>
      </c>
      <c r="G53" s="17"/>
      <c r="H53" s="31">
        <f t="shared" ref="H53" si="200">SUM(H50:H52)</f>
        <v>10</v>
      </c>
      <c r="I53" s="38">
        <f t="shared" ref="I53" si="201">SUM(I50:I52)</f>
        <v>1.83396</v>
      </c>
      <c r="J53" s="17"/>
      <c r="K53" s="31">
        <f t="shared" ref="K53" si="202">SUM(K50:K52)</f>
        <v>1</v>
      </c>
      <c r="L53" s="38">
        <f t="shared" ref="L53" si="203">SUM(L50:L52)</f>
        <v>0.23269599999999999</v>
      </c>
      <c r="M53" s="17"/>
      <c r="N53" s="31">
        <f t="shared" ref="N53" si="204">SUM(N50:N52)</f>
        <v>0</v>
      </c>
      <c r="O53" s="38">
        <f t="shared" ref="O53" si="205">SUM(O50:O52)</f>
        <v>0</v>
      </c>
      <c r="P53" s="17"/>
      <c r="Q53" s="31">
        <f t="shared" ref="Q53" si="206">SUM(Q50:Q52)</f>
        <v>0</v>
      </c>
      <c r="R53" s="38">
        <f t="shared" ref="R53" si="207">SUM(R50:R52)</f>
        <v>0</v>
      </c>
      <c r="S53" s="31">
        <f t="shared" ref="S53" si="208">SUM(S50:S52)</f>
        <v>11</v>
      </c>
      <c r="T53" s="38">
        <f t="shared" ref="T53" si="209">SUM(T50:T52)</f>
        <v>2.066656</v>
      </c>
      <c r="U53" s="31">
        <f t="shared" ref="U53" si="210">SUM(U50:U52)</f>
        <v>0</v>
      </c>
      <c r="V53" s="38">
        <f t="shared" ref="V53" si="211">SUM(V50:V52)</f>
        <v>-7.8879999999999784E-3</v>
      </c>
      <c r="X53" s="29"/>
    </row>
    <row r="54" spans="1:24">
      <c r="A54" s="26" t="s">
        <v>13</v>
      </c>
      <c r="B54" s="26" t="s">
        <v>53</v>
      </c>
      <c r="C54" s="26">
        <v>23.45</v>
      </c>
      <c r="D54" s="27">
        <v>6</v>
      </c>
      <c r="E54" s="28">
        <v>6</v>
      </c>
      <c r="F54" s="16">
        <f>(C54*D54*E54/1000)</f>
        <v>0.84419999999999995</v>
      </c>
      <c r="G54" s="17" t="s">
        <v>93</v>
      </c>
      <c r="H54" s="18">
        <v>6</v>
      </c>
      <c r="I54" s="19">
        <f>(C54*D54*H54/1000)</f>
        <v>0.84419999999999995</v>
      </c>
      <c r="J54" s="16"/>
      <c r="K54" s="18"/>
      <c r="L54" s="19">
        <f>(C54*D54*K54/1000)</f>
        <v>0</v>
      </c>
      <c r="M54" s="16"/>
      <c r="N54" s="18"/>
      <c r="O54" s="19">
        <f>(C54*D54*N54/1000)</f>
        <v>0</v>
      </c>
      <c r="P54" s="16"/>
      <c r="Q54" s="18"/>
      <c r="R54" s="19">
        <f>(C54*D54*Q54/1000)</f>
        <v>0</v>
      </c>
      <c r="S54" s="20">
        <f t="shared" ref="S54:S56" si="212">+H54+K54+Q54+N54</f>
        <v>6</v>
      </c>
      <c r="T54" s="19">
        <f t="shared" ref="T54:T56" si="213">+I54+L54+R54+O54</f>
        <v>0.84419999999999995</v>
      </c>
      <c r="U54" s="21">
        <f t="shared" ref="U54:U56" si="214">E54-S54</f>
        <v>0</v>
      </c>
      <c r="V54" s="19">
        <f t="shared" ref="V54:V56" si="215">F54-T54</f>
        <v>0</v>
      </c>
      <c r="X54" s="29"/>
    </row>
    <row r="55" spans="1:24">
      <c r="A55" s="26" t="s">
        <v>13</v>
      </c>
      <c r="B55" s="26" t="s">
        <v>53</v>
      </c>
      <c r="C55" s="26">
        <v>23.45</v>
      </c>
      <c r="D55" s="27">
        <v>8.1999999999999993</v>
      </c>
      <c r="E55" s="28">
        <v>8</v>
      </c>
      <c r="F55" s="16">
        <f t="shared" ref="F55:F56" si="216">(C55*D55*E55/1000)</f>
        <v>1.5383199999999997</v>
      </c>
      <c r="G55" s="17" t="s">
        <v>278</v>
      </c>
      <c r="H55" s="18"/>
      <c r="I55" s="19">
        <f t="shared" ref="I55:I56" si="217">(C55*D55*H55/1000)</f>
        <v>0</v>
      </c>
      <c r="J55" s="16"/>
      <c r="K55" s="18"/>
      <c r="L55" s="19">
        <f t="shared" ref="L55:L56" si="218">(C55*D55*K55/1000)</f>
        <v>0</v>
      </c>
      <c r="M55" s="16"/>
      <c r="N55" s="18"/>
      <c r="O55" s="19">
        <f t="shared" ref="O55:O56" si="219">(C55*D55*N55/1000)</f>
        <v>0</v>
      </c>
      <c r="P55" s="16"/>
      <c r="Q55" s="18"/>
      <c r="R55" s="19">
        <f t="shared" ref="R55:R56" si="220">(C55*D55*Q55/1000)</f>
        <v>0</v>
      </c>
      <c r="S55" s="20">
        <f t="shared" si="212"/>
        <v>0</v>
      </c>
      <c r="T55" s="19">
        <f t="shared" si="213"/>
        <v>0</v>
      </c>
      <c r="U55" s="21">
        <f t="shared" si="214"/>
        <v>8</v>
      </c>
      <c r="V55" s="19">
        <f t="shared" si="215"/>
        <v>1.5383199999999997</v>
      </c>
      <c r="X55" s="29"/>
    </row>
    <row r="56" spans="1:24">
      <c r="A56" s="26" t="s">
        <v>13</v>
      </c>
      <c r="B56" s="26" t="s">
        <v>53</v>
      </c>
      <c r="C56" s="26">
        <v>23.45</v>
      </c>
      <c r="D56" s="27">
        <v>8.75</v>
      </c>
      <c r="E56" s="28"/>
      <c r="F56" s="16">
        <f t="shared" si="216"/>
        <v>0</v>
      </c>
      <c r="G56" s="17"/>
      <c r="H56" s="18">
        <v>8</v>
      </c>
      <c r="I56" s="19">
        <f t="shared" si="217"/>
        <v>1.6415</v>
      </c>
      <c r="J56" s="16"/>
      <c r="K56" s="18"/>
      <c r="L56" s="19">
        <f t="shared" si="218"/>
        <v>0</v>
      </c>
      <c r="M56" s="16"/>
      <c r="N56" s="18"/>
      <c r="O56" s="19">
        <f t="shared" si="219"/>
        <v>0</v>
      </c>
      <c r="P56" s="16"/>
      <c r="Q56" s="18"/>
      <c r="R56" s="19">
        <f t="shared" si="220"/>
        <v>0</v>
      </c>
      <c r="S56" s="20">
        <f t="shared" si="212"/>
        <v>8</v>
      </c>
      <c r="T56" s="19">
        <f t="shared" si="213"/>
        <v>1.6415</v>
      </c>
      <c r="U56" s="21">
        <f t="shared" si="214"/>
        <v>-8</v>
      </c>
      <c r="V56" s="19">
        <f t="shared" si="215"/>
        <v>-1.6415</v>
      </c>
      <c r="X56" s="29"/>
    </row>
    <row r="57" spans="1:24">
      <c r="A57" s="36"/>
      <c r="B57" s="36"/>
      <c r="C57" s="36"/>
      <c r="D57" s="38"/>
      <c r="E57" s="31">
        <f>SUM(E54:E56)</f>
        <v>14</v>
      </c>
      <c r="F57" s="38">
        <f>SUM(F54:F56)</f>
        <v>2.3825199999999995</v>
      </c>
      <c r="G57" s="17"/>
      <c r="H57" s="31">
        <f>SUM(H54:H56)</f>
        <v>14</v>
      </c>
      <c r="I57" s="38">
        <f>SUM(I54:I56)</f>
        <v>2.4857</v>
      </c>
      <c r="J57" s="17"/>
      <c r="K57" s="31">
        <f>SUM(K54:K56)</f>
        <v>0</v>
      </c>
      <c r="L57" s="38">
        <f>SUM(L54:L56)</f>
        <v>0</v>
      </c>
      <c r="M57" s="17"/>
      <c r="N57" s="31">
        <f>SUM(N54:N56)</f>
        <v>0</v>
      </c>
      <c r="O57" s="38">
        <f>SUM(O54:O56)</f>
        <v>0</v>
      </c>
      <c r="P57" s="17"/>
      <c r="Q57" s="31">
        <f t="shared" ref="Q57:V57" si="221">SUM(Q54:Q56)</f>
        <v>0</v>
      </c>
      <c r="R57" s="38">
        <f t="shared" si="221"/>
        <v>0</v>
      </c>
      <c r="S57" s="31">
        <f t="shared" si="221"/>
        <v>14</v>
      </c>
      <c r="T57" s="38">
        <f t="shared" si="221"/>
        <v>2.4857</v>
      </c>
      <c r="U57" s="31">
        <f t="shared" si="221"/>
        <v>0</v>
      </c>
      <c r="V57" s="38">
        <f t="shared" si="221"/>
        <v>-0.10318000000000027</v>
      </c>
      <c r="X57" s="29"/>
    </row>
    <row r="58" spans="1:24">
      <c r="A58" s="26" t="s">
        <v>13</v>
      </c>
      <c r="B58" s="26" t="s">
        <v>125</v>
      </c>
      <c r="C58" s="26">
        <v>27.3</v>
      </c>
      <c r="D58" s="27">
        <v>10.5</v>
      </c>
      <c r="E58" s="28">
        <v>5</v>
      </c>
      <c r="F58" s="16">
        <f>(C58*D58*E58/1000)</f>
        <v>1.4332500000000001</v>
      </c>
      <c r="G58" s="16" t="s">
        <v>86</v>
      </c>
      <c r="H58" s="18">
        <v>5</v>
      </c>
      <c r="I58" s="19">
        <f>(C58*D58*H58/1000)</f>
        <v>1.4332500000000001</v>
      </c>
      <c r="J58" s="16"/>
      <c r="K58" s="18"/>
      <c r="L58" s="19">
        <f>(C58*D58*K58/1000)</f>
        <v>0</v>
      </c>
      <c r="M58" s="16"/>
      <c r="N58" s="18"/>
      <c r="O58" s="19">
        <f>(C58*D58*N58/1000)</f>
        <v>0</v>
      </c>
      <c r="P58" s="16"/>
      <c r="Q58" s="18"/>
      <c r="R58" s="19">
        <f>(C58*D58*Q58/1000)</f>
        <v>0</v>
      </c>
      <c r="S58" s="20">
        <f t="shared" ref="S58:S60" si="222">+H58+K58+Q58+N58</f>
        <v>5</v>
      </c>
      <c r="T58" s="19">
        <f t="shared" ref="T58:T60" si="223">+I58+L58+R58+O58</f>
        <v>1.4332500000000001</v>
      </c>
      <c r="U58" s="21">
        <f t="shared" ref="U58:U60" si="224">E58-S58</f>
        <v>0</v>
      </c>
      <c r="V58" s="19">
        <f t="shared" ref="V58:V60" si="225">F58-T58</f>
        <v>0</v>
      </c>
      <c r="X58" s="29"/>
    </row>
    <row r="59" spans="1:24">
      <c r="A59" s="26" t="s">
        <v>13</v>
      </c>
      <c r="B59" s="26" t="s">
        <v>125</v>
      </c>
      <c r="C59" s="26">
        <v>27.3</v>
      </c>
      <c r="D59" s="27">
        <v>10</v>
      </c>
      <c r="E59" s="28">
        <v>5</v>
      </c>
      <c r="F59" s="16">
        <f t="shared" ref="F59:F60" si="226">(C59*D59*E59/1000)</f>
        <v>1.365</v>
      </c>
      <c r="G59" s="16" t="s">
        <v>199</v>
      </c>
      <c r="H59" s="18">
        <v>5</v>
      </c>
      <c r="I59" s="19">
        <f t="shared" ref="I59:I60" si="227">(C59*D59*H59/1000)</f>
        <v>1.365</v>
      </c>
      <c r="J59" s="16"/>
      <c r="K59" s="18"/>
      <c r="L59" s="19">
        <f t="shared" ref="L59:L60" si="228">(C59*D59*K59/1000)</f>
        <v>0</v>
      </c>
      <c r="M59" s="16"/>
      <c r="N59" s="18"/>
      <c r="O59" s="19">
        <f t="shared" ref="O59:O60" si="229">(C59*D59*N59/1000)</f>
        <v>0</v>
      </c>
      <c r="P59" s="16"/>
      <c r="Q59" s="18"/>
      <c r="R59" s="19">
        <f t="shared" ref="R59:R60" si="230">(C59*D59*Q59/1000)</f>
        <v>0</v>
      </c>
      <c r="S59" s="20">
        <f t="shared" si="222"/>
        <v>5</v>
      </c>
      <c r="T59" s="19">
        <f t="shared" si="223"/>
        <v>1.365</v>
      </c>
      <c r="U59" s="21">
        <f t="shared" si="224"/>
        <v>0</v>
      </c>
      <c r="V59" s="19">
        <f t="shared" si="225"/>
        <v>0</v>
      </c>
      <c r="X59" s="29"/>
    </row>
    <row r="60" spans="1:24">
      <c r="A60" s="26" t="s">
        <v>13</v>
      </c>
      <c r="B60" s="26" t="s">
        <v>125</v>
      </c>
      <c r="C60" s="26">
        <v>27.3</v>
      </c>
      <c r="D60" s="27">
        <v>10.3</v>
      </c>
      <c r="E60" s="28">
        <v>4</v>
      </c>
      <c r="F60" s="16">
        <f t="shared" si="226"/>
        <v>1.1247600000000002</v>
      </c>
      <c r="G60" s="16"/>
      <c r="H60" s="18">
        <v>4</v>
      </c>
      <c r="I60" s="19">
        <f t="shared" si="227"/>
        <v>1.1247600000000002</v>
      </c>
      <c r="J60" s="16"/>
      <c r="K60" s="18"/>
      <c r="L60" s="19">
        <f t="shared" si="228"/>
        <v>0</v>
      </c>
      <c r="M60" s="16"/>
      <c r="N60" s="18"/>
      <c r="O60" s="19">
        <f t="shared" si="229"/>
        <v>0</v>
      </c>
      <c r="P60" s="16"/>
      <c r="Q60" s="18"/>
      <c r="R60" s="19">
        <f t="shared" si="230"/>
        <v>0</v>
      </c>
      <c r="S60" s="20">
        <f t="shared" si="222"/>
        <v>4</v>
      </c>
      <c r="T60" s="19">
        <f t="shared" si="223"/>
        <v>1.1247600000000002</v>
      </c>
      <c r="U60" s="21">
        <f t="shared" si="224"/>
        <v>0</v>
      </c>
      <c r="V60" s="19">
        <f t="shared" si="225"/>
        <v>0</v>
      </c>
      <c r="X60" s="29"/>
    </row>
    <row r="61" spans="1:24" s="50" customFormat="1">
      <c r="A61" s="36"/>
      <c r="B61" s="36"/>
      <c r="C61" s="36"/>
      <c r="D61" s="38"/>
      <c r="E61" s="31">
        <f t="shared" ref="E61:F61" si="231">SUM(E58:E60)</f>
        <v>14</v>
      </c>
      <c r="F61" s="38">
        <f t="shared" si="231"/>
        <v>3.9230100000000006</v>
      </c>
      <c r="G61" s="32"/>
      <c r="H61" s="31">
        <f t="shared" ref="H61" si="232">SUM(H58:H60)</f>
        <v>14</v>
      </c>
      <c r="I61" s="38">
        <f>SUM(I58:I60)</f>
        <v>3.9230100000000006</v>
      </c>
      <c r="J61" s="51"/>
      <c r="K61" s="31">
        <f t="shared" ref="K61" si="233">SUM(K58:K60)</f>
        <v>0</v>
      </c>
      <c r="L61" s="38">
        <f t="shared" ref="L61" si="234">SUM(L58:L60)</f>
        <v>0</v>
      </c>
      <c r="M61" s="51"/>
      <c r="N61" s="31">
        <f t="shared" ref="N61" si="235">SUM(N58:N60)</f>
        <v>0</v>
      </c>
      <c r="O61" s="38">
        <f t="shared" ref="O61" si="236">SUM(O58:O60)</f>
        <v>0</v>
      </c>
      <c r="P61" s="51"/>
      <c r="Q61" s="31">
        <f t="shared" ref="Q61" si="237">SUM(Q58:Q60)</f>
        <v>0</v>
      </c>
      <c r="R61" s="38">
        <f t="shared" ref="R61" si="238">SUM(R58:R60)</f>
        <v>0</v>
      </c>
      <c r="S61" s="31">
        <f t="shared" ref="S61" si="239">SUM(S58:S60)</f>
        <v>14</v>
      </c>
      <c r="T61" s="38">
        <f t="shared" ref="T61" si="240">SUM(T58:T60)</f>
        <v>3.9230100000000006</v>
      </c>
      <c r="U61" s="31">
        <f t="shared" ref="U61" si="241">SUM(U58:U60)</f>
        <v>0</v>
      </c>
      <c r="V61" s="38">
        <f t="shared" ref="V61" si="242">SUM(V58:V60)</f>
        <v>0</v>
      </c>
      <c r="X61" s="52"/>
    </row>
    <row r="62" spans="1:24">
      <c r="A62" s="26" t="s">
        <v>13</v>
      </c>
      <c r="B62" s="26" t="s">
        <v>174</v>
      </c>
      <c r="C62" s="26">
        <v>5.38</v>
      </c>
      <c r="D62" s="27">
        <v>10</v>
      </c>
      <c r="E62" s="28">
        <v>9</v>
      </c>
      <c r="F62" s="16">
        <f>(C62*D62*E62/1000)</f>
        <v>0.48419999999999996</v>
      </c>
      <c r="G62" s="16" t="s">
        <v>86</v>
      </c>
      <c r="H62" s="18">
        <v>8</v>
      </c>
      <c r="I62" s="19">
        <f>(C62*D62*H62/1000)</f>
        <v>0.4304</v>
      </c>
      <c r="J62" s="17" t="s">
        <v>93</v>
      </c>
      <c r="K62" s="18"/>
      <c r="L62" s="19">
        <f>(C62*D62*K62/1000)</f>
        <v>0</v>
      </c>
      <c r="M62" s="16"/>
      <c r="N62" s="18"/>
      <c r="O62" s="19">
        <f>(C62*D62*N62/1000)</f>
        <v>0</v>
      </c>
      <c r="P62" s="16"/>
      <c r="Q62" s="18"/>
      <c r="R62" s="19">
        <f>(C62*D62*Q62/1000)</f>
        <v>0</v>
      </c>
      <c r="S62" s="20">
        <f t="shared" ref="S62:S64" si="243">+H62+K62+Q62+N62</f>
        <v>8</v>
      </c>
      <c r="T62" s="19">
        <f t="shared" ref="T62:T64" si="244">+I62+L62+R62+O62</f>
        <v>0.4304</v>
      </c>
      <c r="U62" s="21">
        <f t="shared" ref="U62:U64" si="245">E62-S62</f>
        <v>1</v>
      </c>
      <c r="V62" s="19">
        <f t="shared" ref="V62:V64" si="246">F62-T62</f>
        <v>5.3799999999999959E-2</v>
      </c>
      <c r="X62" s="29"/>
    </row>
    <row r="63" spans="1:24">
      <c r="A63" s="26" t="s">
        <v>13</v>
      </c>
      <c r="B63" s="26" t="s">
        <v>174</v>
      </c>
      <c r="C63" s="26">
        <v>5.38</v>
      </c>
      <c r="D63" s="27">
        <v>11</v>
      </c>
      <c r="E63" s="28">
        <v>8</v>
      </c>
      <c r="F63" s="16">
        <f>(C63*D63*E63/1000)</f>
        <v>0.47343999999999997</v>
      </c>
      <c r="G63" s="16" t="s">
        <v>199</v>
      </c>
      <c r="H63" s="18">
        <v>6</v>
      </c>
      <c r="I63" s="19">
        <f>(C63*D63*H63/1000)</f>
        <v>0.35508000000000001</v>
      </c>
      <c r="J63" s="17" t="s">
        <v>200</v>
      </c>
      <c r="K63" s="18"/>
      <c r="L63" s="19">
        <f>(C63*D63*K63/1000)</f>
        <v>0</v>
      </c>
      <c r="M63" s="16"/>
      <c r="N63" s="18"/>
      <c r="O63" s="19">
        <f>(C63*D63*N63/1000)</f>
        <v>0</v>
      </c>
      <c r="P63" s="16"/>
      <c r="Q63" s="18"/>
      <c r="R63" s="19">
        <f>(C63*D63*Q63/1000)</f>
        <v>0</v>
      </c>
      <c r="S63" s="20">
        <f t="shared" si="243"/>
        <v>6</v>
      </c>
      <c r="T63" s="19">
        <f t="shared" si="244"/>
        <v>0.35508000000000001</v>
      </c>
      <c r="U63" s="21">
        <f t="shared" si="245"/>
        <v>2</v>
      </c>
      <c r="V63" s="19">
        <f t="shared" si="246"/>
        <v>0.11835999999999997</v>
      </c>
      <c r="X63" s="29"/>
    </row>
    <row r="64" spans="1:24">
      <c r="A64" s="26" t="s">
        <v>13</v>
      </c>
      <c r="B64" s="26" t="s">
        <v>174</v>
      </c>
      <c r="C64" s="26">
        <v>5.38</v>
      </c>
      <c r="D64" s="27">
        <v>9.5</v>
      </c>
      <c r="E64" s="28"/>
      <c r="F64" s="16">
        <f>(C64*D64*E64/1000)</f>
        <v>0</v>
      </c>
      <c r="G64" s="16"/>
      <c r="H64" s="18"/>
      <c r="I64" s="19">
        <f>(C64*D64*H64/1000)</f>
        <v>0</v>
      </c>
      <c r="J64" s="17"/>
      <c r="K64" s="18">
        <v>4</v>
      </c>
      <c r="L64" s="19">
        <f>(C64*D64*K64/1000)</f>
        <v>0.20444000000000001</v>
      </c>
      <c r="M64" s="16"/>
      <c r="N64" s="18"/>
      <c r="O64" s="19">
        <f>(C64*D64*N64/1000)</f>
        <v>0</v>
      </c>
      <c r="P64" s="16"/>
      <c r="Q64" s="18"/>
      <c r="R64" s="19">
        <f>(C64*D64*Q64/1000)</f>
        <v>0</v>
      </c>
      <c r="S64" s="20">
        <f t="shared" si="243"/>
        <v>4</v>
      </c>
      <c r="T64" s="19">
        <f t="shared" si="244"/>
        <v>0.20444000000000001</v>
      </c>
      <c r="U64" s="21">
        <f t="shared" si="245"/>
        <v>-4</v>
      </c>
      <c r="V64" s="19">
        <f t="shared" si="246"/>
        <v>-0.20444000000000001</v>
      </c>
      <c r="X64" s="29"/>
    </row>
    <row r="65" spans="1:24">
      <c r="A65" s="36"/>
      <c r="B65" s="36"/>
      <c r="C65" s="36"/>
      <c r="D65" s="38"/>
      <c r="E65" s="31">
        <f>SUM(E62:E64)</f>
        <v>17</v>
      </c>
      <c r="F65" s="38">
        <f>SUM(F62:F64)</f>
        <v>0.95763999999999994</v>
      </c>
      <c r="G65" s="17"/>
      <c r="H65" s="31">
        <f>SUM(H62:H64)</f>
        <v>14</v>
      </c>
      <c r="I65" s="38">
        <f>SUM(I62:I64)</f>
        <v>0.78547999999999996</v>
      </c>
      <c r="J65" s="17"/>
      <c r="K65" s="31">
        <f>SUM(K62:K64)</f>
        <v>4</v>
      </c>
      <c r="L65" s="38">
        <f>SUM(L62:L64)</f>
        <v>0.20444000000000001</v>
      </c>
      <c r="M65" s="17"/>
      <c r="N65" s="31">
        <f>SUM(N62:N64)</f>
        <v>0</v>
      </c>
      <c r="O65" s="38">
        <f>SUM(O62:O64)</f>
        <v>0</v>
      </c>
      <c r="P65" s="17"/>
      <c r="Q65" s="31">
        <f t="shared" ref="Q65:V65" si="247">SUM(Q62:Q64)</f>
        <v>0</v>
      </c>
      <c r="R65" s="38">
        <f t="shared" si="247"/>
        <v>0</v>
      </c>
      <c r="S65" s="31">
        <f t="shared" si="247"/>
        <v>18</v>
      </c>
      <c r="T65" s="38">
        <f t="shared" si="247"/>
        <v>0.98991999999999991</v>
      </c>
      <c r="U65" s="31">
        <f t="shared" si="247"/>
        <v>-1</v>
      </c>
      <c r="V65" s="38">
        <f t="shared" si="247"/>
        <v>-3.2280000000000086E-2</v>
      </c>
      <c r="X65" s="29"/>
    </row>
    <row r="66" spans="1:24">
      <c r="A66" s="26" t="s">
        <v>13</v>
      </c>
      <c r="B66" s="26" t="s">
        <v>34</v>
      </c>
      <c r="C66" s="26">
        <v>5.77</v>
      </c>
      <c r="D66" s="27">
        <v>10</v>
      </c>
      <c r="E66" s="28">
        <v>19</v>
      </c>
      <c r="F66" s="16">
        <f>(C66*D66*E66/1000)</f>
        <v>1.0963000000000001</v>
      </c>
      <c r="G66" s="16" t="s">
        <v>86</v>
      </c>
      <c r="H66" s="18"/>
      <c r="I66" s="19">
        <f>(C66*D66*H66/1000)</f>
        <v>0</v>
      </c>
      <c r="J66" s="16"/>
      <c r="K66" s="18"/>
      <c r="L66" s="19">
        <f>(C66*D66*K66/1000)</f>
        <v>0</v>
      </c>
      <c r="M66" s="16"/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 t="shared" ref="S66:S69" si="248">+H66+K66+Q66+N66</f>
        <v>0</v>
      </c>
      <c r="T66" s="19">
        <f t="shared" ref="T66:T69" si="249">+I66+L66+R66+O66</f>
        <v>0</v>
      </c>
      <c r="U66" s="21">
        <f t="shared" ref="U66:U69" si="250">E66-S66</f>
        <v>19</v>
      </c>
      <c r="V66" s="19">
        <f t="shared" ref="V66:V69" si="251">F66-T66</f>
        <v>1.0963000000000001</v>
      </c>
      <c r="X66" s="29"/>
    </row>
    <row r="67" spans="1:24">
      <c r="A67" s="26" t="s">
        <v>13</v>
      </c>
      <c r="B67" s="26" t="s">
        <v>34</v>
      </c>
      <c r="C67" s="26">
        <v>5.77</v>
      </c>
      <c r="D67" s="27">
        <v>2</v>
      </c>
      <c r="E67" s="28">
        <v>5</v>
      </c>
      <c r="F67" s="16">
        <f t="shared" ref="F67:F69" si="252">(C67*D67*E67/1000)</f>
        <v>5.7699999999999994E-2</v>
      </c>
      <c r="G67" s="16" t="s">
        <v>199</v>
      </c>
      <c r="H67" s="18"/>
      <c r="I67" s="19">
        <f t="shared" ref="I67:I69" si="253">(C67*D67*H67/1000)</f>
        <v>0</v>
      </c>
      <c r="J67" s="16"/>
      <c r="K67" s="18"/>
      <c r="L67" s="19">
        <f t="shared" ref="L67:L69" si="254">(C67*D67*K67/1000)</f>
        <v>0</v>
      </c>
      <c r="M67" s="16"/>
      <c r="N67" s="18"/>
      <c r="O67" s="19">
        <f t="shared" ref="O67:O69" si="255">(C67*D67*N67/1000)</f>
        <v>0</v>
      </c>
      <c r="P67" s="16"/>
      <c r="Q67" s="18"/>
      <c r="R67" s="19">
        <f t="shared" ref="R67:R69" si="256">(C67*D67*Q67/1000)</f>
        <v>0</v>
      </c>
      <c r="S67" s="20">
        <f t="shared" si="248"/>
        <v>0</v>
      </c>
      <c r="T67" s="19">
        <f t="shared" si="249"/>
        <v>0</v>
      </c>
      <c r="U67" s="21">
        <f t="shared" si="250"/>
        <v>5</v>
      </c>
      <c r="V67" s="19">
        <f t="shared" si="251"/>
        <v>5.7699999999999994E-2</v>
      </c>
      <c r="X67" s="29"/>
    </row>
    <row r="68" spans="1:24">
      <c r="A68" s="26" t="s">
        <v>13</v>
      </c>
      <c r="B68" s="26" t="s">
        <v>34</v>
      </c>
      <c r="C68" s="26">
        <v>5.77</v>
      </c>
      <c r="D68" s="27">
        <v>3</v>
      </c>
      <c r="E68" s="28">
        <v>12</v>
      </c>
      <c r="F68" s="16">
        <f t="shared" si="252"/>
        <v>0.20771999999999996</v>
      </c>
      <c r="G68" s="17"/>
      <c r="H68" s="18"/>
      <c r="I68" s="19">
        <f t="shared" si="253"/>
        <v>0</v>
      </c>
      <c r="J68" s="16"/>
      <c r="K68" s="18"/>
      <c r="L68" s="19">
        <f t="shared" si="254"/>
        <v>0</v>
      </c>
      <c r="M68" s="16"/>
      <c r="N68" s="18"/>
      <c r="O68" s="19">
        <f t="shared" si="255"/>
        <v>0</v>
      </c>
      <c r="P68" s="16"/>
      <c r="Q68" s="18"/>
      <c r="R68" s="19">
        <f t="shared" si="256"/>
        <v>0</v>
      </c>
      <c r="S68" s="20">
        <f t="shared" si="248"/>
        <v>0</v>
      </c>
      <c r="T68" s="19">
        <f t="shared" si="249"/>
        <v>0</v>
      </c>
      <c r="U68" s="21">
        <f t="shared" si="250"/>
        <v>12</v>
      </c>
      <c r="V68" s="19">
        <f t="shared" si="251"/>
        <v>0.20771999999999996</v>
      </c>
      <c r="X68" s="29"/>
    </row>
    <row r="69" spans="1:24">
      <c r="A69" s="26" t="s">
        <v>13</v>
      </c>
      <c r="B69" s="26" t="s">
        <v>34</v>
      </c>
      <c r="C69" s="26">
        <v>5.77</v>
      </c>
      <c r="D69" s="27">
        <v>12</v>
      </c>
      <c r="E69" s="28"/>
      <c r="F69" s="16">
        <f t="shared" si="252"/>
        <v>0</v>
      </c>
      <c r="G69" s="17"/>
      <c r="H69" s="18">
        <v>23</v>
      </c>
      <c r="I69" s="19">
        <f t="shared" si="253"/>
        <v>1.5925199999999999</v>
      </c>
      <c r="J69" s="16"/>
      <c r="K69" s="18"/>
      <c r="L69" s="19">
        <f t="shared" si="254"/>
        <v>0</v>
      </c>
      <c r="M69" s="16"/>
      <c r="N69" s="18"/>
      <c r="O69" s="19">
        <f t="shared" si="255"/>
        <v>0</v>
      </c>
      <c r="P69" s="16"/>
      <c r="Q69" s="18"/>
      <c r="R69" s="19">
        <f t="shared" si="256"/>
        <v>0</v>
      </c>
      <c r="S69" s="20">
        <f t="shared" si="248"/>
        <v>23</v>
      </c>
      <c r="T69" s="19">
        <f t="shared" si="249"/>
        <v>1.5925199999999999</v>
      </c>
      <c r="U69" s="21">
        <f t="shared" si="250"/>
        <v>-23</v>
      </c>
      <c r="V69" s="19">
        <f t="shared" si="251"/>
        <v>-1.5925199999999999</v>
      </c>
      <c r="X69" s="29"/>
    </row>
    <row r="70" spans="1:24">
      <c r="A70" s="36"/>
      <c r="B70" s="36"/>
      <c r="C70" s="36"/>
      <c r="D70" s="38"/>
      <c r="E70" s="31">
        <f t="shared" ref="E70:F70" si="257">SUM(E66:E69)</f>
        <v>36</v>
      </c>
      <c r="F70" s="38">
        <f t="shared" si="257"/>
        <v>1.36172</v>
      </c>
      <c r="G70" s="17"/>
      <c r="H70" s="31">
        <f t="shared" ref="H70" si="258">SUM(H66:H69)</f>
        <v>23</v>
      </c>
      <c r="I70" s="38">
        <f t="shared" ref="I70" si="259">SUM(I66:I69)</f>
        <v>1.5925199999999999</v>
      </c>
      <c r="J70" s="17"/>
      <c r="K70" s="31">
        <f t="shared" ref="K70" si="260">SUM(K66:K69)</f>
        <v>0</v>
      </c>
      <c r="L70" s="38">
        <f t="shared" ref="L70" si="261">SUM(L66:L69)</f>
        <v>0</v>
      </c>
      <c r="M70" s="17"/>
      <c r="N70" s="31">
        <f t="shared" ref="N70" si="262">SUM(N66:N69)</f>
        <v>0</v>
      </c>
      <c r="O70" s="38">
        <f t="shared" ref="O70" si="263">SUM(O66:O69)</f>
        <v>0</v>
      </c>
      <c r="P70" s="17"/>
      <c r="Q70" s="31">
        <f t="shared" ref="Q70" si="264">SUM(Q66:Q69)</f>
        <v>0</v>
      </c>
      <c r="R70" s="38">
        <f t="shared" ref="R70" si="265">SUM(R66:R69)</f>
        <v>0</v>
      </c>
      <c r="S70" s="31">
        <f t="shared" ref="S70" si="266">SUM(S66:S69)</f>
        <v>23</v>
      </c>
      <c r="T70" s="38">
        <f t="shared" ref="T70" si="267">SUM(T66:T69)</f>
        <v>1.5925199999999999</v>
      </c>
      <c r="U70" s="31">
        <f t="shared" ref="U70" si="268">SUM(U66:U69)</f>
        <v>13</v>
      </c>
      <c r="V70" s="38">
        <f t="shared" ref="V70" si="269">SUM(V66:V69)</f>
        <v>-0.23079999999999989</v>
      </c>
      <c r="X70" s="29"/>
    </row>
    <row r="71" spans="1:24">
      <c r="A71" s="26" t="s">
        <v>13</v>
      </c>
      <c r="B71" s="26" t="s">
        <v>35</v>
      </c>
      <c r="C71" s="26">
        <v>6.86</v>
      </c>
      <c r="D71" s="27">
        <v>11</v>
      </c>
      <c r="E71" s="28">
        <v>6</v>
      </c>
      <c r="F71" s="16">
        <f>(C71*D71*E71/1000)</f>
        <v>0.45276000000000005</v>
      </c>
      <c r="G71" s="17" t="s">
        <v>93</v>
      </c>
      <c r="H71" s="18">
        <v>6</v>
      </c>
      <c r="I71" s="19">
        <f>(C71*D71*H71/1000)</f>
        <v>0.45276000000000005</v>
      </c>
      <c r="J71" s="16"/>
      <c r="K71" s="18"/>
      <c r="L71" s="19">
        <f>(C71*D71*K71/1000)</f>
        <v>0</v>
      </c>
      <c r="M71" s="16"/>
      <c r="N71" s="18"/>
      <c r="O71" s="19">
        <f>(C71*D71*N71/1000)</f>
        <v>0</v>
      </c>
      <c r="P71" s="16"/>
      <c r="Q71" s="18"/>
      <c r="R71" s="19">
        <f>(C71*D71*Q71/1000)</f>
        <v>0</v>
      </c>
      <c r="S71" s="20">
        <f t="shared" ref="S71" si="270">+H71+K71+Q71+N71</f>
        <v>6</v>
      </c>
      <c r="T71" s="19">
        <f t="shared" ref="T71" si="271">+I71+L71+R71+O71</f>
        <v>0.45276000000000005</v>
      </c>
      <c r="U71" s="21">
        <f t="shared" ref="U71" si="272">E71-S71</f>
        <v>0</v>
      </c>
      <c r="V71" s="19">
        <f t="shared" ref="V71" si="273">F71-T71</f>
        <v>0</v>
      </c>
      <c r="X71" s="29"/>
    </row>
    <row r="72" spans="1:24">
      <c r="A72" s="36"/>
      <c r="B72" s="36"/>
      <c r="C72" s="36"/>
      <c r="D72" s="38"/>
      <c r="E72" s="31">
        <f t="shared" ref="E72:F72" si="274">SUM(E71)</f>
        <v>6</v>
      </c>
      <c r="F72" s="38">
        <f t="shared" si="274"/>
        <v>0.45276000000000005</v>
      </c>
      <c r="G72" s="17" t="s">
        <v>200</v>
      </c>
      <c r="H72" s="31">
        <f t="shared" ref="H72" si="275">SUM(H71)</f>
        <v>6</v>
      </c>
      <c r="I72" s="38">
        <f t="shared" ref="I72" si="276">SUM(I71)</f>
        <v>0.45276000000000005</v>
      </c>
      <c r="J72" s="17"/>
      <c r="K72" s="31">
        <f t="shared" ref="K72" si="277">SUM(K71)</f>
        <v>0</v>
      </c>
      <c r="L72" s="38">
        <f t="shared" ref="L72" si="278">SUM(L71)</f>
        <v>0</v>
      </c>
      <c r="M72" s="17"/>
      <c r="N72" s="31">
        <f t="shared" ref="N72" si="279">SUM(N71)</f>
        <v>0</v>
      </c>
      <c r="O72" s="38">
        <f t="shared" ref="O72" si="280">SUM(O71)</f>
        <v>0</v>
      </c>
      <c r="P72" s="17"/>
      <c r="Q72" s="31">
        <f t="shared" ref="Q72" si="281">SUM(Q71)</f>
        <v>0</v>
      </c>
      <c r="R72" s="38">
        <f t="shared" ref="R72" si="282">SUM(R71)</f>
        <v>0</v>
      </c>
      <c r="S72" s="31">
        <f t="shared" ref="S72" si="283">SUM(S71)</f>
        <v>6</v>
      </c>
      <c r="T72" s="38">
        <f t="shared" ref="T72" si="284">SUM(T71)</f>
        <v>0.45276000000000005</v>
      </c>
      <c r="U72" s="31">
        <f t="shared" ref="U72" si="285">SUM(U71)</f>
        <v>0</v>
      </c>
      <c r="V72" s="38">
        <f t="shared" ref="V72" si="286">SUM(V71)</f>
        <v>0</v>
      </c>
      <c r="X72" s="29"/>
    </row>
    <row r="73" spans="1:24">
      <c r="A73" s="26" t="s">
        <v>13</v>
      </c>
      <c r="B73" s="26" t="s">
        <v>57</v>
      </c>
      <c r="C73" s="26">
        <v>6.17</v>
      </c>
      <c r="D73" s="27">
        <v>12</v>
      </c>
      <c r="E73" s="28">
        <v>17</v>
      </c>
      <c r="F73" s="16">
        <f>(C73*D73*E73/1000)</f>
        <v>1.2586799999999998</v>
      </c>
      <c r="G73" s="17" t="s">
        <v>93</v>
      </c>
      <c r="H73" s="18">
        <v>17</v>
      </c>
      <c r="I73" s="19">
        <f>(C73*D73*H73/1000)</f>
        <v>1.2586799999999998</v>
      </c>
      <c r="J73" s="16"/>
      <c r="K73" s="18"/>
      <c r="L73" s="19">
        <f>(C73*D73*K73/1000)</f>
        <v>0</v>
      </c>
      <c r="M73" s="16"/>
      <c r="N73" s="18"/>
      <c r="O73" s="19">
        <f>(C73*D73*N73/1000)</f>
        <v>0</v>
      </c>
      <c r="P73" s="16"/>
      <c r="Q73" s="18"/>
      <c r="R73" s="19">
        <f>(C73*D73*Q73/1000)</f>
        <v>0</v>
      </c>
      <c r="S73" s="20">
        <f t="shared" ref="S73" si="287">+H73+K73+Q73+N73</f>
        <v>17</v>
      </c>
      <c r="T73" s="19">
        <f t="shared" ref="T73" si="288">+I73+L73+R73+O73</f>
        <v>1.2586799999999998</v>
      </c>
      <c r="U73" s="21">
        <f t="shared" ref="U73" si="289">E73-S73</f>
        <v>0</v>
      </c>
      <c r="V73" s="19">
        <f t="shared" ref="V73" si="290">F73-T73</f>
        <v>0</v>
      </c>
      <c r="X73" s="29"/>
    </row>
    <row r="74" spans="1:24">
      <c r="A74" s="36"/>
      <c r="B74" s="36"/>
      <c r="C74" s="36"/>
      <c r="D74" s="38"/>
      <c r="E74" s="31">
        <f t="shared" ref="E74:F74" si="291">SUM(E73)</f>
        <v>17</v>
      </c>
      <c r="F74" s="38">
        <f t="shared" si="291"/>
        <v>1.2586799999999998</v>
      </c>
      <c r="G74" s="17" t="s">
        <v>236</v>
      </c>
      <c r="H74" s="31">
        <f t="shared" ref="H74" si="292">SUM(H73)</f>
        <v>17</v>
      </c>
      <c r="I74" s="38">
        <f t="shared" ref="I74" si="293">SUM(I73)</f>
        <v>1.2586799999999998</v>
      </c>
      <c r="J74" s="17"/>
      <c r="K74" s="31">
        <f t="shared" ref="K74" si="294">SUM(K73)</f>
        <v>0</v>
      </c>
      <c r="L74" s="38">
        <f t="shared" ref="L74" si="295">SUM(L73)</f>
        <v>0</v>
      </c>
      <c r="M74" s="17"/>
      <c r="N74" s="31">
        <f t="shared" ref="N74" si="296">SUM(N73)</f>
        <v>0</v>
      </c>
      <c r="O74" s="38">
        <f t="shared" ref="O74" si="297">SUM(O73)</f>
        <v>0</v>
      </c>
      <c r="P74" s="17"/>
      <c r="Q74" s="31">
        <f t="shared" ref="Q74" si="298">SUM(Q73)</f>
        <v>0</v>
      </c>
      <c r="R74" s="38">
        <f t="shared" ref="R74" si="299">SUM(R73)</f>
        <v>0</v>
      </c>
      <c r="S74" s="31">
        <f t="shared" ref="S74" si="300">SUM(S73)</f>
        <v>17</v>
      </c>
      <c r="T74" s="38">
        <f t="shared" ref="T74" si="301">SUM(T73)</f>
        <v>1.2586799999999998</v>
      </c>
      <c r="U74" s="31">
        <f t="shared" ref="U74" si="302">SUM(U73)</f>
        <v>0</v>
      </c>
      <c r="V74" s="38">
        <f t="shared" ref="V74" si="303">SUM(V73)</f>
        <v>0</v>
      </c>
      <c r="X74" s="29"/>
    </row>
    <row r="75" spans="1:24">
      <c r="A75" s="26" t="s">
        <v>13</v>
      </c>
      <c r="B75" s="26" t="s">
        <v>58</v>
      </c>
      <c r="C75" s="26">
        <v>7.36</v>
      </c>
      <c r="D75" s="27">
        <v>12</v>
      </c>
      <c r="E75" s="28">
        <v>16</v>
      </c>
      <c r="F75" s="16">
        <f>(C75*D75*E75/1000)</f>
        <v>1.4131200000000002</v>
      </c>
      <c r="G75" s="17" t="s">
        <v>93</v>
      </c>
      <c r="H75" s="18">
        <v>16</v>
      </c>
      <c r="I75" s="19">
        <f>(C75*D75*H75/1000)</f>
        <v>1.4131200000000002</v>
      </c>
      <c r="J75" s="16"/>
      <c r="K75" s="18"/>
      <c r="L75" s="19">
        <f>(C75*D75*K75/1000)</f>
        <v>0</v>
      </c>
      <c r="M75" s="16"/>
      <c r="N75" s="18"/>
      <c r="O75" s="19">
        <f>(C75*D75*N75/1000)</f>
        <v>0</v>
      </c>
      <c r="P75" s="16"/>
      <c r="Q75" s="18"/>
      <c r="R75" s="19">
        <f>(C75*D75*Q75/1000)</f>
        <v>0</v>
      </c>
      <c r="S75" s="20">
        <f t="shared" ref="S75" si="304">+H75+K75+Q75+N75</f>
        <v>16</v>
      </c>
      <c r="T75" s="19">
        <f t="shared" ref="T75" si="305">+I75+L75+R75+O75</f>
        <v>1.4131200000000002</v>
      </c>
      <c r="U75" s="21">
        <f t="shared" ref="U75" si="306">E75-S75</f>
        <v>0</v>
      </c>
      <c r="V75" s="19">
        <f t="shared" ref="V75" si="307">F75-T75</f>
        <v>0</v>
      </c>
      <c r="X75" s="29"/>
    </row>
    <row r="76" spans="1:24">
      <c r="A76" s="36"/>
      <c r="B76" s="36"/>
      <c r="C76" s="36"/>
      <c r="D76" s="38"/>
      <c r="E76" s="31">
        <f t="shared" ref="E76:F76" si="308">SUM(E75)</f>
        <v>16</v>
      </c>
      <c r="F76" s="38">
        <f t="shared" si="308"/>
        <v>1.4131200000000002</v>
      </c>
      <c r="G76" s="17" t="s">
        <v>236</v>
      </c>
      <c r="H76" s="31">
        <f t="shared" ref="H76" si="309">SUM(H75)</f>
        <v>16</v>
      </c>
      <c r="I76" s="38">
        <f t="shared" ref="I76" si="310">SUM(I75)</f>
        <v>1.4131200000000002</v>
      </c>
      <c r="J76" s="17"/>
      <c r="K76" s="31">
        <f t="shared" ref="K76" si="311">SUM(K75)</f>
        <v>0</v>
      </c>
      <c r="L76" s="38">
        <f t="shared" ref="L76" si="312">SUM(L75)</f>
        <v>0</v>
      </c>
      <c r="M76" s="17"/>
      <c r="N76" s="31">
        <f t="shared" ref="N76" si="313">SUM(N75)</f>
        <v>0</v>
      </c>
      <c r="O76" s="38">
        <f t="shared" ref="O76" si="314">SUM(O75)</f>
        <v>0</v>
      </c>
      <c r="P76" s="17"/>
      <c r="Q76" s="31">
        <f t="shared" ref="Q76" si="315">SUM(Q75)</f>
        <v>0</v>
      </c>
      <c r="R76" s="38">
        <f t="shared" ref="R76" si="316">SUM(R75)</f>
        <v>0</v>
      </c>
      <c r="S76" s="31">
        <f t="shared" ref="S76" si="317">SUM(S75)</f>
        <v>16</v>
      </c>
      <c r="T76" s="38">
        <f t="shared" ref="T76" si="318">SUM(T75)</f>
        <v>1.4131200000000002</v>
      </c>
      <c r="U76" s="31">
        <f t="shared" ref="U76" si="319">SUM(U75)</f>
        <v>0</v>
      </c>
      <c r="V76" s="38">
        <f t="shared" ref="V76" si="320">SUM(V75)</f>
        <v>0</v>
      </c>
      <c r="X76" s="29"/>
    </row>
    <row r="77" spans="1:24">
      <c r="A77" s="26" t="s">
        <v>13</v>
      </c>
      <c r="B77" s="26" t="s">
        <v>26</v>
      </c>
      <c r="C77" s="26">
        <v>8.32</v>
      </c>
      <c r="D77" s="27">
        <v>8.8000000000000007</v>
      </c>
      <c r="E77" s="28">
        <v>8</v>
      </c>
      <c r="F77" s="16">
        <f>(C77*D77*E77/1000)</f>
        <v>0.58572800000000003</v>
      </c>
      <c r="G77" s="16" t="s">
        <v>93</v>
      </c>
      <c r="H77" s="18">
        <v>8</v>
      </c>
      <c r="I77" s="19">
        <f>(C77*D77*H77/1000)</f>
        <v>0.58572800000000003</v>
      </c>
      <c r="J77" s="16"/>
      <c r="K77" s="18"/>
      <c r="L77" s="19">
        <f>(C77*D77*K77/1000)</f>
        <v>0</v>
      </c>
      <c r="M77" s="16"/>
      <c r="N77" s="18"/>
      <c r="O77" s="19">
        <f>(C77*D77*N77/1000)</f>
        <v>0</v>
      </c>
      <c r="P77" s="16"/>
      <c r="Q77" s="18"/>
      <c r="R77" s="19">
        <f>(C77*D77*Q77/1000)</f>
        <v>0</v>
      </c>
      <c r="S77" s="20">
        <f t="shared" ref="S77" si="321">+H77+K77+Q77+N77</f>
        <v>8</v>
      </c>
      <c r="T77" s="19">
        <f t="shared" ref="T77" si="322">+I77+L77+R77+O77</f>
        <v>0.58572800000000003</v>
      </c>
      <c r="U77" s="21">
        <f t="shared" ref="U77" si="323">E77-S77</f>
        <v>0</v>
      </c>
      <c r="V77" s="19">
        <f t="shared" ref="V77" si="324">F77-T77</f>
        <v>0</v>
      </c>
      <c r="X77" s="29"/>
    </row>
    <row r="78" spans="1:24">
      <c r="A78" s="36"/>
      <c r="B78" s="36"/>
      <c r="C78" s="36"/>
      <c r="D78" s="38"/>
      <c r="E78" s="31">
        <f>SUM(E77)</f>
        <v>8</v>
      </c>
      <c r="F78" s="38">
        <f>SUM(F77)</f>
        <v>0.58572800000000003</v>
      </c>
      <c r="G78" s="16" t="s">
        <v>202</v>
      </c>
      <c r="H78" s="31">
        <f>SUM(H77)</f>
        <v>8</v>
      </c>
      <c r="I78" s="38">
        <f>SUM(I77)</f>
        <v>0.58572800000000003</v>
      </c>
      <c r="J78" s="17"/>
      <c r="K78" s="31">
        <f>SUM(K77)</f>
        <v>0</v>
      </c>
      <c r="L78" s="38">
        <f>SUM(L77)</f>
        <v>0</v>
      </c>
      <c r="M78" s="17"/>
      <c r="N78" s="31">
        <f>SUM(N77)</f>
        <v>0</v>
      </c>
      <c r="O78" s="38">
        <f>SUM(O77)</f>
        <v>0</v>
      </c>
      <c r="P78" s="17"/>
      <c r="Q78" s="31">
        <f t="shared" ref="Q78:V78" si="325">SUM(Q77)</f>
        <v>0</v>
      </c>
      <c r="R78" s="38">
        <f t="shared" si="325"/>
        <v>0</v>
      </c>
      <c r="S78" s="31">
        <f t="shared" si="325"/>
        <v>8</v>
      </c>
      <c r="T78" s="38">
        <f t="shared" si="325"/>
        <v>0.58572800000000003</v>
      </c>
      <c r="U78" s="31">
        <f t="shared" si="325"/>
        <v>0</v>
      </c>
      <c r="V78" s="38">
        <f t="shared" si="325"/>
        <v>0</v>
      </c>
      <c r="X78" s="29"/>
    </row>
    <row r="79" spans="1:24">
      <c r="A79" s="26" t="s">
        <v>13</v>
      </c>
      <c r="B79" s="26" t="s">
        <v>26</v>
      </c>
      <c r="C79" s="26">
        <v>8.32</v>
      </c>
      <c r="D79" s="27">
        <v>11.5</v>
      </c>
      <c r="E79" s="28">
        <v>11</v>
      </c>
      <c r="F79" s="16">
        <f>(C79*D79*E79/1000)</f>
        <v>1.0524800000000001</v>
      </c>
      <c r="G79" s="16" t="s">
        <v>93</v>
      </c>
      <c r="H79" s="18">
        <v>11</v>
      </c>
      <c r="I79" s="19">
        <f>(C79*D79*H79/1000)</f>
        <v>1.0524800000000001</v>
      </c>
      <c r="J79" s="16"/>
      <c r="K79" s="18"/>
      <c r="L79" s="19">
        <f>(C79*D79*K79/1000)</f>
        <v>0</v>
      </c>
      <c r="M79" s="16"/>
      <c r="N79" s="18"/>
      <c r="O79" s="19">
        <f>(C79*D79*N79/1000)</f>
        <v>0</v>
      </c>
      <c r="P79" s="16"/>
      <c r="Q79" s="18"/>
      <c r="R79" s="19">
        <f>(C79*D79*Q79/1000)</f>
        <v>0</v>
      </c>
      <c r="S79" s="20">
        <f t="shared" ref="S79" si="326">+H79+K79+Q79+N79</f>
        <v>11</v>
      </c>
      <c r="T79" s="19">
        <f t="shared" ref="T79" si="327">+I79+L79+R79+O79</f>
        <v>1.0524800000000001</v>
      </c>
      <c r="U79" s="21">
        <f t="shared" ref="U79" si="328">E79-S79</f>
        <v>0</v>
      </c>
      <c r="V79" s="19">
        <f t="shared" ref="V79" si="329">F79-T79</f>
        <v>0</v>
      </c>
      <c r="X79" s="29"/>
    </row>
    <row r="80" spans="1:24">
      <c r="A80" s="36"/>
      <c r="B80" s="36"/>
      <c r="C80" s="36"/>
      <c r="D80" s="38"/>
      <c r="E80" s="31">
        <f>SUM(E79)</f>
        <v>11</v>
      </c>
      <c r="F80" s="38">
        <f>SUM(F79)</f>
        <v>1.0524800000000001</v>
      </c>
      <c r="G80" s="16" t="s">
        <v>202</v>
      </c>
      <c r="H80" s="31">
        <f>SUM(H79)</f>
        <v>11</v>
      </c>
      <c r="I80" s="38">
        <f>SUM(I79)</f>
        <v>1.0524800000000001</v>
      </c>
      <c r="J80" s="17"/>
      <c r="K80" s="31">
        <f>SUM(K79)</f>
        <v>0</v>
      </c>
      <c r="L80" s="38">
        <f>SUM(L79)</f>
        <v>0</v>
      </c>
      <c r="M80" s="17"/>
      <c r="N80" s="31">
        <f>SUM(N79)</f>
        <v>0</v>
      </c>
      <c r="O80" s="38">
        <f>SUM(O79)</f>
        <v>0</v>
      </c>
      <c r="P80" s="17"/>
      <c r="Q80" s="31">
        <f t="shared" ref="Q80:V80" si="330">SUM(Q79)</f>
        <v>0</v>
      </c>
      <c r="R80" s="38">
        <f t="shared" si="330"/>
        <v>0</v>
      </c>
      <c r="S80" s="31">
        <f t="shared" si="330"/>
        <v>11</v>
      </c>
      <c r="T80" s="38">
        <f t="shared" si="330"/>
        <v>1.0524800000000001</v>
      </c>
      <c r="U80" s="31">
        <f t="shared" si="330"/>
        <v>0</v>
      </c>
      <c r="V80" s="38">
        <f t="shared" si="330"/>
        <v>0</v>
      </c>
      <c r="X80" s="29"/>
    </row>
    <row r="81" spans="1:24">
      <c r="A81" s="26" t="s">
        <v>14</v>
      </c>
      <c r="B81" s="26" t="s">
        <v>45</v>
      </c>
      <c r="C81" s="26">
        <v>9.26</v>
      </c>
      <c r="D81" s="27">
        <v>6.9</v>
      </c>
      <c r="E81" s="28">
        <v>4</v>
      </c>
      <c r="F81" s="16">
        <f>(C81*D81*E81/1000)</f>
        <v>0.25557599999999997</v>
      </c>
      <c r="G81" s="17"/>
      <c r="H81" s="18"/>
      <c r="I81" s="19">
        <f>(C81*D81*H81/1000)</f>
        <v>0</v>
      </c>
      <c r="J81" s="16"/>
      <c r="K81" s="18"/>
      <c r="L81" s="19">
        <f>(C81*D81*K81/1000)</f>
        <v>0</v>
      </c>
      <c r="M81" s="16"/>
      <c r="N81" s="18"/>
      <c r="O81" s="19">
        <f>(C81*D81*N81/1000)</f>
        <v>0</v>
      </c>
      <c r="P81" s="16"/>
      <c r="Q81" s="18"/>
      <c r="R81" s="19">
        <f>(C81*D81*Q81/1000)</f>
        <v>0</v>
      </c>
      <c r="S81" s="20">
        <f t="shared" ref="S81" si="331">+H81+K81+Q81+N81</f>
        <v>0</v>
      </c>
      <c r="T81" s="19">
        <f t="shared" ref="T81" si="332">+I81+L81+R81+O81</f>
        <v>0</v>
      </c>
      <c r="U81" s="21">
        <f t="shared" ref="U81" si="333">E81-S81</f>
        <v>4</v>
      </c>
      <c r="V81" s="19">
        <f t="shared" ref="V81" si="334">F81-T81</f>
        <v>0.25557599999999997</v>
      </c>
      <c r="X81" s="29"/>
    </row>
    <row r="82" spans="1:24">
      <c r="A82" s="36"/>
      <c r="B82" s="36"/>
      <c r="C82" s="36"/>
      <c r="D82" s="38"/>
      <c r="E82" s="31">
        <f>SUM(E81)</f>
        <v>4</v>
      </c>
      <c r="F82" s="38">
        <f>SUM(F81)</f>
        <v>0.25557599999999997</v>
      </c>
      <c r="G82" s="17"/>
      <c r="H82" s="31">
        <f>SUM(H81)</f>
        <v>0</v>
      </c>
      <c r="I82" s="38">
        <f>SUM(I81)</f>
        <v>0</v>
      </c>
      <c r="J82" s="17"/>
      <c r="K82" s="31">
        <f>SUM(K81)</f>
        <v>0</v>
      </c>
      <c r="L82" s="38">
        <f>SUM(L81)</f>
        <v>0</v>
      </c>
      <c r="M82" s="17"/>
      <c r="N82" s="31">
        <f>SUM(N81)</f>
        <v>0</v>
      </c>
      <c r="O82" s="38">
        <f>SUM(O81)</f>
        <v>0</v>
      </c>
      <c r="P82" s="17"/>
      <c r="Q82" s="31">
        <f t="shared" ref="Q82:V82" si="335">SUM(Q81)</f>
        <v>0</v>
      </c>
      <c r="R82" s="38">
        <f t="shared" si="335"/>
        <v>0</v>
      </c>
      <c r="S82" s="31">
        <f t="shared" si="335"/>
        <v>0</v>
      </c>
      <c r="T82" s="38">
        <f t="shared" si="335"/>
        <v>0</v>
      </c>
      <c r="U82" s="31">
        <f t="shared" si="335"/>
        <v>4</v>
      </c>
      <c r="V82" s="38">
        <f t="shared" si="335"/>
        <v>0.25557599999999997</v>
      </c>
      <c r="X82" s="29"/>
    </row>
    <row r="83" spans="1:24">
      <c r="A83" s="26" t="s">
        <v>14</v>
      </c>
      <c r="B83" s="26" t="s">
        <v>45</v>
      </c>
      <c r="C83" s="26">
        <v>9.26</v>
      </c>
      <c r="D83" s="27">
        <v>11.3</v>
      </c>
      <c r="E83" s="28">
        <v>18</v>
      </c>
      <c r="F83" s="16">
        <f>(C83*D83*E83/1000)</f>
        <v>1.8834840000000002</v>
      </c>
      <c r="G83" s="16" t="s">
        <v>89</v>
      </c>
      <c r="H83" s="18">
        <v>15</v>
      </c>
      <c r="I83" s="19">
        <f>(C83*D83*H83/1000)</f>
        <v>1.5695700000000001</v>
      </c>
      <c r="J83" s="16"/>
      <c r="K83" s="18"/>
      <c r="L83" s="19">
        <f>(C83*D83*K83/1000)</f>
        <v>0</v>
      </c>
      <c r="M83" s="16"/>
      <c r="N83" s="18"/>
      <c r="O83" s="19">
        <f>(C83*D83*N83/1000)</f>
        <v>0</v>
      </c>
      <c r="P83" s="16"/>
      <c r="Q83" s="18"/>
      <c r="R83" s="19">
        <f>(C83*D83*Q83/1000)</f>
        <v>0</v>
      </c>
      <c r="S83" s="20">
        <f t="shared" ref="S83" si="336">+H83+K83+Q83+N83</f>
        <v>15</v>
      </c>
      <c r="T83" s="19">
        <f t="shared" ref="T83" si="337">+I83+L83+R83+O83</f>
        <v>1.5695700000000001</v>
      </c>
      <c r="U83" s="21">
        <f t="shared" ref="U83" si="338">E83-S83</f>
        <v>3</v>
      </c>
      <c r="V83" s="19">
        <f t="shared" ref="V83" si="339">F83-T83</f>
        <v>0.31391400000000003</v>
      </c>
      <c r="X83" s="29"/>
    </row>
    <row r="84" spans="1:24">
      <c r="A84" s="26" t="s">
        <v>14</v>
      </c>
      <c r="B84" s="26" t="s">
        <v>45</v>
      </c>
      <c r="C84" s="26">
        <v>9.26</v>
      </c>
      <c r="D84" s="27">
        <v>8.8000000000000007</v>
      </c>
      <c r="E84" s="28"/>
      <c r="F84" s="16">
        <f t="shared" ref="F84:F86" si="340">(C84*D84*E84/1000)</f>
        <v>0</v>
      </c>
      <c r="G84" s="16" t="s">
        <v>206</v>
      </c>
      <c r="H84" s="18">
        <v>2</v>
      </c>
      <c r="I84" s="19">
        <f t="shared" ref="I84:I86" si="341">(C84*D84*H84/1000)</f>
        <v>0.16297600000000001</v>
      </c>
      <c r="J84" s="16"/>
      <c r="K84" s="18"/>
      <c r="L84" s="19">
        <f t="shared" ref="L84:L86" si="342">(C84*D84*K84/1000)</f>
        <v>0</v>
      </c>
      <c r="M84" s="16"/>
      <c r="N84" s="18"/>
      <c r="O84" s="19">
        <f t="shared" ref="O84:O86" si="343">(C84*D84*N84/1000)</f>
        <v>0</v>
      </c>
      <c r="P84" s="16"/>
      <c r="Q84" s="18"/>
      <c r="R84" s="19">
        <f t="shared" ref="R84:R86" si="344">(C84*D84*Q84/1000)</f>
        <v>0</v>
      </c>
      <c r="S84" s="20">
        <f t="shared" ref="S84:S86" si="345">+H84+K84+Q84+N84</f>
        <v>2</v>
      </c>
      <c r="T84" s="19">
        <f t="shared" ref="T84:T86" si="346">+I84+L84+R84+O84</f>
        <v>0.16297600000000001</v>
      </c>
      <c r="U84" s="21">
        <f t="shared" ref="U84:U86" si="347">E84-S84</f>
        <v>-2</v>
      </c>
      <c r="V84" s="19">
        <f t="shared" ref="V84:V86" si="348">F84-T84</f>
        <v>-0.16297600000000001</v>
      </c>
      <c r="X84" s="29"/>
    </row>
    <row r="85" spans="1:24">
      <c r="A85" s="26" t="s">
        <v>14</v>
      </c>
      <c r="B85" s="26" t="s">
        <v>45</v>
      </c>
      <c r="C85" s="26">
        <v>9.26</v>
      </c>
      <c r="D85" s="27">
        <v>9.8000000000000007</v>
      </c>
      <c r="E85" s="28"/>
      <c r="F85" s="16">
        <f t="shared" si="340"/>
        <v>0</v>
      </c>
      <c r="G85" s="16"/>
      <c r="H85" s="18">
        <v>1</v>
      </c>
      <c r="I85" s="19">
        <f t="shared" si="341"/>
        <v>9.0748000000000009E-2</v>
      </c>
      <c r="J85" s="16"/>
      <c r="K85" s="18"/>
      <c r="L85" s="19">
        <f t="shared" si="342"/>
        <v>0</v>
      </c>
      <c r="M85" s="16"/>
      <c r="N85" s="18"/>
      <c r="O85" s="19">
        <f t="shared" si="343"/>
        <v>0</v>
      </c>
      <c r="P85" s="16"/>
      <c r="Q85" s="18"/>
      <c r="R85" s="19">
        <f t="shared" si="344"/>
        <v>0</v>
      </c>
      <c r="S85" s="20">
        <f t="shared" si="345"/>
        <v>1</v>
      </c>
      <c r="T85" s="19">
        <f t="shared" si="346"/>
        <v>9.0748000000000009E-2</v>
      </c>
      <c r="U85" s="21">
        <f t="shared" si="347"/>
        <v>-1</v>
      </c>
      <c r="V85" s="19">
        <f t="shared" si="348"/>
        <v>-9.0748000000000009E-2</v>
      </c>
      <c r="X85" s="29"/>
    </row>
    <row r="86" spans="1:24">
      <c r="A86" s="26" t="s">
        <v>14</v>
      </c>
      <c r="B86" s="26" t="s">
        <v>45</v>
      </c>
      <c r="C86" s="26">
        <v>9.26</v>
      </c>
      <c r="D86" s="27">
        <v>9</v>
      </c>
      <c r="E86" s="28"/>
      <c r="F86" s="16">
        <f t="shared" si="340"/>
        <v>0</v>
      </c>
      <c r="G86" s="16"/>
      <c r="H86" s="18">
        <v>2</v>
      </c>
      <c r="I86" s="19">
        <f t="shared" si="341"/>
        <v>0.16667999999999999</v>
      </c>
      <c r="J86" s="16"/>
      <c r="K86" s="18"/>
      <c r="L86" s="19">
        <f t="shared" si="342"/>
        <v>0</v>
      </c>
      <c r="M86" s="16"/>
      <c r="N86" s="18"/>
      <c r="O86" s="19">
        <f t="shared" si="343"/>
        <v>0</v>
      </c>
      <c r="P86" s="16"/>
      <c r="Q86" s="18"/>
      <c r="R86" s="19">
        <f t="shared" si="344"/>
        <v>0</v>
      </c>
      <c r="S86" s="20">
        <f t="shared" si="345"/>
        <v>2</v>
      </c>
      <c r="T86" s="19">
        <f t="shared" si="346"/>
        <v>0.16667999999999999</v>
      </c>
      <c r="U86" s="21">
        <f t="shared" si="347"/>
        <v>-2</v>
      </c>
      <c r="V86" s="19">
        <f t="shared" si="348"/>
        <v>-0.16667999999999999</v>
      </c>
      <c r="X86" s="29"/>
    </row>
    <row r="87" spans="1:24">
      <c r="A87" s="36"/>
      <c r="B87" s="36"/>
      <c r="C87" s="36"/>
      <c r="D87" s="38"/>
      <c r="E87" s="31">
        <f t="shared" ref="E87:F87" si="349">SUM(E83:E86)</f>
        <v>18</v>
      </c>
      <c r="F87" s="38">
        <f t="shared" si="349"/>
        <v>1.8834840000000002</v>
      </c>
      <c r="G87" s="16"/>
      <c r="H87" s="31">
        <f t="shared" ref="H87" si="350">SUM(H83:H86)</f>
        <v>20</v>
      </c>
      <c r="I87" s="38">
        <f t="shared" ref="I87" si="351">SUM(I83:I86)</f>
        <v>1.9899740000000001</v>
      </c>
      <c r="J87" s="17"/>
      <c r="K87" s="31">
        <f t="shared" ref="K87" si="352">SUM(K83:K86)</f>
        <v>0</v>
      </c>
      <c r="L87" s="38">
        <f t="shared" ref="L87" si="353">SUM(L83:L86)</f>
        <v>0</v>
      </c>
      <c r="M87" s="17"/>
      <c r="N87" s="31">
        <f t="shared" ref="N87" si="354">SUM(N83:N86)</f>
        <v>0</v>
      </c>
      <c r="O87" s="38">
        <f t="shared" ref="O87" si="355">SUM(O83:O86)</f>
        <v>0</v>
      </c>
      <c r="P87" s="17"/>
      <c r="Q87" s="31">
        <f t="shared" ref="Q87" si="356">SUM(Q83:Q86)</f>
        <v>0</v>
      </c>
      <c r="R87" s="38">
        <f t="shared" ref="R87" si="357">SUM(R83:R86)</f>
        <v>0</v>
      </c>
      <c r="S87" s="31">
        <f t="shared" ref="S87" si="358">SUM(S83:S86)</f>
        <v>20</v>
      </c>
      <c r="T87" s="38">
        <f t="shared" ref="T87" si="359">SUM(T83:T86)</f>
        <v>1.9899740000000001</v>
      </c>
      <c r="U87" s="31">
        <f t="shared" ref="U87" si="360">SUM(U83:U86)</f>
        <v>-2</v>
      </c>
      <c r="V87" s="38">
        <f t="shared" ref="V87" si="361">SUM(V83:V86)</f>
        <v>-0.10648999999999999</v>
      </c>
      <c r="X87" s="29"/>
    </row>
    <row r="88" spans="1:24">
      <c r="A88" s="26" t="s">
        <v>14</v>
      </c>
      <c r="B88" s="26" t="s">
        <v>46</v>
      </c>
      <c r="C88" s="26">
        <v>10.73</v>
      </c>
      <c r="D88" s="27">
        <v>11.8</v>
      </c>
      <c r="E88" s="28">
        <v>18</v>
      </c>
      <c r="F88" s="16">
        <f>(C88*D88*E88/1000)</f>
        <v>2.2790520000000001</v>
      </c>
      <c r="G88" s="17" t="s">
        <v>93</v>
      </c>
      <c r="H88" s="18">
        <v>18</v>
      </c>
      <c r="I88" s="19">
        <f>(C88*D88*H88/1000)</f>
        <v>2.2790520000000001</v>
      </c>
      <c r="J88" s="16"/>
      <c r="K88" s="18"/>
      <c r="L88" s="19">
        <f>(C88*D88*K88/1000)</f>
        <v>0</v>
      </c>
      <c r="M88" s="16"/>
      <c r="N88" s="18"/>
      <c r="O88" s="19">
        <f>(C88*D88*N88/1000)</f>
        <v>0</v>
      </c>
      <c r="P88" s="16"/>
      <c r="Q88" s="18"/>
      <c r="R88" s="19">
        <f>(C88*D88*Q88/1000)</f>
        <v>0</v>
      </c>
      <c r="S88" s="20">
        <f t="shared" ref="S88" si="362">+H88+K88+Q88+N88</f>
        <v>18</v>
      </c>
      <c r="T88" s="19">
        <f t="shared" ref="T88" si="363">+I88+L88+R88+O88</f>
        <v>2.2790520000000001</v>
      </c>
      <c r="U88" s="21">
        <f t="shared" ref="U88" si="364">E88-S88</f>
        <v>0</v>
      </c>
      <c r="V88" s="19">
        <f t="shared" ref="V88" si="365">F88-T88</f>
        <v>0</v>
      </c>
      <c r="X88" s="29"/>
    </row>
    <row r="89" spans="1:24">
      <c r="A89" s="36"/>
      <c r="B89" s="36"/>
      <c r="C89" s="36"/>
      <c r="D89" s="38"/>
      <c r="E89" s="31">
        <f>SUM(E88)</f>
        <v>18</v>
      </c>
      <c r="F89" s="38">
        <f>SUM(F88)</f>
        <v>2.2790520000000001</v>
      </c>
      <c r="G89" s="17" t="s">
        <v>257</v>
      </c>
      <c r="H89" s="31">
        <f>SUM(H88)</f>
        <v>18</v>
      </c>
      <c r="I89" s="38">
        <f>SUM(I88)</f>
        <v>2.2790520000000001</v>
      </c>
      <c r="J89" s="17"/>
      <c r="K89" s="31">
        <f>SUM(K88)</f>
        <v>0</v>
      </c>
      <c r="L89" s="38">
        <f>SUM(L88)</f>
        <v>0</v>
      </c>
      <c r="M89" s="17"/>
      <c r="N89" s="31">
        <f>SUM(N88)</f>
        <v>0</v>
      </c>
      <c r="O89" s="38">
        <f>SUM(O88)</f>
        <v>0</v>
      </c>
      <c r="P89" s="17"/>
      <c r="Q89" s="31">
        <f t="shared" ref="Q89:V89" si="366">SUM(Q88)</f>
        <v>0</v>
      </c>
      <c r="R89" s="38">
        <f t="shared" si="366"/>
        <v>0</v>
      </c>
      <c r="S89" s="31">
        <f t="shared" si="366"/>
        <v>18</v>
      </c>
      <c r="T89" s="38">
        <f t="shared" si="366"/>
        <v>2.2790520000000001</v>
      </c>
      <c r="U89" s="31">
        <f t="shared" si="366"/>
        <v>0</v>
      </c>
      <c r="V89" s="38">
        <f t="shared" si="366"/>
        <v>0</v>
      </c>
      <c r="X89" s="29"/>
    </row>
    <row r="90" spans="1:24">
      <c r="A90" s="26" t="s">
        <v>14</v>
      </c>
      <c r="B90" s="26" t="s">
        <v>61</v>
      </c>
      <c r="C90" s="26">
        <v>12.18</v>
      </c>
      <c r="D90" s="27">
        <v>7.1</v>
      </c>
      <c r="E90" s="28">
        <v>16</v>
      </c>
      <c r="F90" s="16">
        <f>(C90*D90*E90/1000)</f>
        <v>1.383648</v>
      </c>
      <c r="G90" s="17" t="s">
        <v>93</v>
      </c>
      <c r="H90" s="18">
        <v>4</v>
      </c>
      <c r="I90" s="19">
        <f>(C90*D90*H90/1000)</f>
        <v>0.345912</v>
      </c>
      <c r="J90" s="16" t="s">
        <v>293</v>
      </c>
      <c r="K90" s="18"/>
      <c r="L90" s="19">
        <f>(C90*D90*K90/1000)</f>
        <v>0</v>
      </c>
      <c r="M90" s="16"/>
      <c r="N90" s="18"/>
      <c r="O90" s="19">
        <f>(C90*D90*N90/1000)</f>
        <v>0</v>
      </c>
      <c r="P90" s="16"/>
      <c r="Q90" s="18"/>
      <c r="R90" s="19">
        <f>(C90*D90*Q90/1000)</f>
        <v>0</v>
      </c>
      <c r="S90" s="20">
        <f t="shared" ref="S90:S99" si="367">+H90+K90+Q90+N90</f>
        <v>4</v>
      </c>
      <c r="T90" s="19">
        <f t="shared" ref="T90:T99" si="368">+I90+L90+R90+O90</f>
        <v>0.345912</v>
      </c>
      <c r="U90" s="21">
        <f t="shared" ref="U90:U99" si="369">E90-S90</f>
        <v>12</v>
      </c>
      <c r="V90" s="19">
        <f t="shared" ref="V90:V99" si="370">F90-T90</f>
        <v>1.037736</v>
      </c>
      <c r="X90" s="29"/>
    </row>
    <row r="91" spans="1:24">
      <c r="A91" s="26" t="s">
        <v>14</v>
      </c>
      <c r="B91" s="26" t="s">
        <v>61</v>
      </c>
      <c r="C91" s="26">
        <v>12.18</v>
      </c>
      <c r="D91" s="27">
        <v>9.1999999999999993</v>
      </c>
      <c r="E91" s="28">
        <v>8</v>
      </c>
      <c r="F91" s="16">
        <f t="shared" ref="F91:F96" si="371">(C91*D91*E91/1000)</f>
        <v>0.89644799999999991</v>
      </c>
      <c r="G91" s="16" t="s">
        <v>280</v>
      </c>
      <c r="H91" s="18"/>
      <c r="I91" s="19">
        <f t="shared" ref="I91:I96" si="372">(C91*D91*H91/1000)</f>
        <v>0</v>
      </c>
      <c r="J91" s="16" t="s">
        <v>294</v>
      </c>
      <c r="K91" s="18"/>
      <c r="L91" s="19">
        <f t="shared" ref="L91:L96" si="373">(C91*D91*K91/1000)</f>
        <v>0</v>
      </c>
      <c r="M91" s="16"/>
      <c r="N91" s="18"/>
      <c r="O91" s="19">
        <f t="shared" ref="O91:O96" si="374">(C91*D91*N91/1000)</f>
        <v>0</v>
      </c>
      <c r="P91" s="16"/>
      <c r="Q91" s="18"/>
      <c r="R91" s="19">
        <f t="shared" ref="R91:R96" si="375">(C91*D91*Q91/1000)</f>
        <v>0</v>
      </c>
      <c r="S91" s="20">
        <f t="shared" ref="S91:S98" si="376">+H91+K91+Q91+N91</f>
        <v>0</v>
      </c>
      <c r="T91" s="19">
        <f t="shared" ref="T91:T98" si="377">+I91+L91+R91+O91</f>
        <v>0</v>
      </c>
      <c r="U91" s="21">
        <f t="shared" ref="U91:U98" si="378">E91-S91</f>
        <v>8</v>
      </c>
      <c r="V91" s="19">
        <f t="shared" ref="V91:V98" si="379">F91-T91</f>
        <v>0.89644799999999991</v>
      </c>
      <c r="X91" s="29"/>
    </row>
    <row r="92" spans="1:24">
      <c r="A92" s="26" t="s">
        <v>14</v>
      </c>
      <c r="B92" s="26" t="s">
        <v>61</v>
      </c>
      <c r="C92" s="26">
        <v>12.18</v>
      </c>
      <c r="D92" s="27">
        <v>7.85</v>
      </c>
      <c r="E92" s="28"/>
      <c r="F92" s="16">
        <f t="shared" si="371"/>
        <v>0</v>
      </c>
      <c r="G92" s="16"/>
      <c r="H92" s="18">
        <v>1</v>
      </c>
      <c r="I92" s="19">
        <f t="shared" si="372"/>
        <v>9.5613000000000004E-2</v>
      </c>
      <c r="J92" s="16"/>
      <c r="K92" s="18"/>
      <c r="L92" s="19">
        <f t="shared" si="373"/>
        <v>0</v>
      </c>
      <c r="M92" s="16"/>
      <c r="N92" s="18"/>
      <c r="O92" s="19">
        <f t="shared" si="374"/>
        <v>0</v>
      </c>
      <c r="P92" s="16"/>
      <c r="Q92" s="18"/>
      <c r="R92" s="19">
        <f t="shared" si="375"/>
        <v>0</v>
      </c>
      <c r="S92" s="20">
        <f t="shared" si="376"/>
        <v>1</v>
      </c>
      <c r="T92" s="19">
        <f t="shared" si="377"/>
        <v>9.5613000000000004E-2</v>
      </c>
      <c r="U92" s="21">
        <f t="shared" si="378"/>
        <v>-1</v>
      </c>
      <c r="V92" s="19">
        <f t="shared" si="379"/>
        <v>-9.5613000000000004E-2</v>
      </c>
      <c r="X92" s="29"/>
    </row>
    <row r="93" spans="1:24">
      <c r="A93" s="26" t="s">
        <v>14</v>
      </c>
      <c r="B93" s="26" t="s">
        <v>61</v>
      </c>
      <c r="C93" s="26">
        <v>12.18</v>
      </c>
      <c r="D93" s="27">
        <v>12</v>
      </c>
      <c r="E93" s="28"/>
      <c r="F93" s="16">
        <f t="shared" si="371"/>
        <v>0</v>
      </c>
      <c r="G93" s="16"/>
      <c r="H93" s="18">
        <v>6</v>
      </c>
      <c r="I93" s="19">
        <f t="shared" si="372"/>
        <v>0.87696000000000007</v>
      </c>
      <c r="J93" s="16"/>
      <c r="K93" s="18"/>
      <c r="L93" s="19">
        <f t="shared" si="373"/>
        <v>0</v>
      </c>
      <c r="M93" s="16"/>
      <c r="N93" s="18"/>
      <c r="O93" s="19">
        <f t="shared" si="374"/>
        <v>0</v>
      </c>
      <c r="P93" s="16"/>
      <c r="Q93" s="18"/>
      <c r="R93" s="19">
        <f t="shared" si="375"/>
        <v>0</v>
      </c>
      <c r="S93" s="20">
        <f t="shared" si="376"/>
        <v>6</v>
      </c>
      <c r="T93" s="19">
        <f t="shared" si="377"/>
        <v>0.87696000000000007</v>
      </c>
      <c r="U93" s="21">
        <f t="shared" si="378"/>
        <v>-6</v>
      </c>
      <c r="V93" s="19">
        <f t="shared" si="379"/>
        <v>-0.87696000000000007</v>
      </c>
      <c r="X93" s="29"/>
    </row>
    <row r="94" spans="1:24">
      <c r="A94" s="26" t="s">
        <v>14</v>
      </c>
      <c r="B94" s="26" t="s">
        <v>61</v>
      </c>
      <c r="C94" s="26">
        <v>12.18</v>
      </c>
      <c r="D94" s="27">
        <v>10.1</v>
      </c>
      <c r="E94" s="28"/>
      <c r="F94" s="16">
        <f t="shared" si="371"/>
        <v>0</v>
      </c>
      <c r="G94" s="16"/>
      <c r="H94" s="18">
        <v>2</v>
      </c>
      <c r="I94" s="19">
        <f t="shared" si="372"/>
        <v>0.24603599999999998</v>
      </c>
      <c r="J94" s="16"/>
      <c r="K94" s="18"/>
      <c r="L94" s="19">
        <f t="shared" si="373"/>
        <v>0</v>
      </c>
      <c r="M94" s="16"/>
      <c r="N94" s="18"/>
      <c r="O94" s="19">
        <f t="shared" si="374"/>
        <v>0</v>
      </c>
      <c r="P94" s="16"/>
      <c r="Q94" s="18"/>
      <c r="R94" s="19">
        <f t="shared" si="375"/>
        <v>0</v>
      </c>
      <c r="S94" s="20">
        <f t="shared" si="376"/>
        <v>2</v>
      </c>
      <c r="T94" s="19">
        <f t="shared" si="377"/>
        <v>0.24603599999999998</v>
      </c>
      <c r="U94" s="21">
        <f t="shared" si="378"/>
        <v>-2</v>
      </c>
      <c r="V94" s="19">
        <f t="shared" si="379"/>
        <v>-0.24603599999999998</v>
      </c>
      <c r="X94" s="29"/>
    </row>
    <row r="95" spans="1:24">
      <c r="A95" s="26" t="s">
        <v>14</v>
      </c>
      <c r="B95" s="26" t="s">
        <v>61</v>
      </c>
      <c r="C95" s="26">
        <v>12.18</v>
      </c>
      <c r="D95" s="27">
        <v>6.4</v>
      </c>
      <c r="E95" s="28"/>
      <c r="F95" s="16">
        <f t="shared" si="371"/>
        <v>0</v>
      </c>
      <c r="G95" s="16"/>
      <c r="H95" s="18">
        <v>1</v>
      </c>
      <c r="I95" s="19">
        <f t="shared" si="372"/>
        <v>7.7951999999999994E-2</v>
      </c>
      <c r="J95" s="16"/>
      <c r="K95" s="18"/>
      <c r="L95" s="19">
        <f t="shared" si="373"/>
        <v>0</v>
      </c>
      <c r="M95" s="16"/>
      <c r="N95" s="18"/>
      <c r="O95" s="19">
        <f t="shared" si="374"/>
        <v>0</v>
      </c>
      <c r="P95" s="16"/>
      <c r="Q95" s="18"/>
      <c r="R95" s="19">
        <f t="shared" si="375"/>
        <v>0</v>
      </c>
      <c r="S95" s="20">
        <f t="shared" si="376"/>
        <v>1</v>
      </c>
      <c r="T95" s="19">
        <f t="shared" si="377"/>
        <v>7.7951999999999994E-2</v>
      </c>
      <c r="U95" s="21">
        <f t="shared" si="378"/>
        <v>-1</v>
      </c>
      <c r="V95" s="19">
        <f t="shared" si="379"/>
        <v>-7.7951999999999994E-2</v>
      </c>
      <c r="X95" s="29"/>
    </row>
    <row r="96" spans="1:24">
      <c r="A96" s="26" t="s">
        <v>14</v>
      </c>
      <c r="B96" s="26" t="s">
        <v>61</v>
      </c>
      <c r="C96" s="26">
        <v>12.18</v>
      </c>
      <c r="D96" s="27">
        <v>5.8</v>
      </c>
      <c r="E96" s="28"/>
      <c r="F96" s="16">
        <f t="shared" si="371"/>
        <v>0</v>
      </c>
      <c r="G96" s="16"/>
      <c r="H96" s="18">
        <v>1</v>
      </c>
      <c r="I96" s="19">
        <f t="shared" si="372"/>
        <v>7.0643999999999985E-2</v>
      </c>
      <c r="J96" s="16"/>
      <c r="K96" s="18"/>
      <c r="L96" s="19">
        <f t="shared" si="373"/>
        <v>0</v>
      </c>
      <c r="M96" s="16"/>
      <c r="N96" s="18"/>
      <c r="O96" s="19">
        <f t="shared" si="374"/>
        <v>0</v>
      </c>
      <c r="P96" s="16"/>
      <c r="Q96" s="18"/>
      <c r="R96" s="19">
        <f t="shared" si="375"/>
        <v>0</v>
      </c>
      <c r="S96" s="20">
        <f t="shared" si="376"/>
        <v>1</v>
      </c>
      <c r="T96" s="19">
        <f t="shared" si="377"/>
        <v>7.0643999999999985E-2</v>
      </c>
      <c r="U96" s="21">
        <f t="shared" si="378"/>
        <v>-1</v>
      </c>
      <c r="V96" s="19">
        <f t="shared" si="379"/>
        <v>-7.0643999999999985E-2</v>
      </c>
      <c r="X96" s="29"/>
    </row>
    <row r="97" spans="1:24">
      <c r="A97" s="26" t="s">
        <v>14</v>
      </c>
      <c r="B97" s="26" t="s">
        <v>61</v>
      </c>
      <c r="C97" s="26">
        <v>12.18</v>
      </c>
      <c r="D97" s="27">
        <v>6</v>
      </c>
      <c r="E97" s="28"/>
      <c r="F97" s="16">
        <f>(C97*D97*E97/1000)</f>
        <v>0</v>
      </c>
      <c r="G97" s="16"/>
      <c r="H97" s="18">
        <v>1</v>
      </c>
      <c r="I97" s="19">
        <f>(C97*D97*H97/1000)</f>
        <v>7.3079999999999992E-2</v>
      </c>
      <c r="J97" s="16"/>
      <c r="K97" s="18"/>
      <c r="L97" s="19">
        <f>(C97*D97*K97/1000)</f>
        <v>0</v>
      </c>
      <c r="M97" s="16"/>
      <c r="N97" s="18"/>
      <c r="O97" s="19">
        <f>(C97*D97*N97/1000)</f>
        <v>0</v>
      </c>
      <c r="P97" s="16"/>
      <c r="Q97" s="18"/>
      <c r="R97" s="19">
        <f>(C97*D97*Q97/1000)</f>
        <v>0</v>
      </c>
      <c r="S97" s="20">
        <f t="shared" si="376"/>
        <v>1</v>
      </c>
      <c r="T97" s="19">
        <f t="shared" si="377"/>
        <v>7.3079999999999992E-2</v>
      </c>
      <c r="U97" s="21">
        <f t="shared" si="378"/>
        <v>-1</v>
      </c>
      <c r="V97" s="19">
        <f t="shared" si="379"/>
        <v>-7.3079999999999992E-2</v>
      </c>
      <c r="X97" s="29"/>
    </row>
    <row r="98" spans="1:24">
      <c r="A98" s="26" t="s">
        <v>14</v>
      </c>
      <c r="B98" s="26" t="s">
        <v>61</v>
      </c>
      <c r="C98" s="26">
        <v>12.18</v>
      </c>
      <c r="D98" s="27">
        <v>6.5</v>
      </c>
      <c r="E98" s="28"/>
      <c r="F98" s="16">
        <f>(C98*D98*E98/1000)</f>
        <v>0</v>
      </c>
      <c r="G98" s="16"/>
      <c r="H98" s="18">
        <v>1</v>
      </c>
      <c r="I98" s="19">
        <f>(C98*D98*H98/1000)</f>
        <v>7.9170000000000004E-2</v>
      </c>
      <c r="J98" s="16"/>
      <c r="K98" s="18"/>
      <c r="L98" s="19">
        <f>(C98*D98*K98/1000)</f>
        <v>0</v>
      </c>
      <c r="M98" s="16"/>
      <c r="N98" s="18"/>
      <c r="O98" s="19">
        <f>(C98*D98*N98/1000)</f>
        <v>0</v>
      </c>
      <c r="P98" s="16"/>
      <c r="Q98" s="18"/>
      <c r="R98" s="19">
        <f>(C98*D98*Q98/1000)</f>
        <v>0</v>
      </c>
      <c r="S98" s="20">
        <f t="shared" si="376"/>
        <v>1</v>
      </c>
      <c r="T98" s="19">
        <f t="shared" si="377"/>
        <v>7.9170000000000004E-2</v>
      </c>
      <c r="U98" s="21">
        <f t="shared" si="378"/>
        <v>-1</v>
      </c>
      <c r="V98" s="19">
        <f t="shared" si="379"/>
        <v>-7.9170000000000004E-2</v>
      </c>
      <c r="X98" s="29"/>
    </row>
    <row r="99" spans="1:24">
      <c r="A99" s="26" t="s">
        <v>14</v>
      </c>
      <c r="B99" s="26" t="s">
        <v>61</v>
      </c>
      <c r="C99" s="26">
        <v>12.18</v>
      </c>
      <c r="D99" s="27">
        <v>11.75</v>
      </c>
      <c r="E99" s="28"/>
      <c r="F99" s="16">
        <f>(C99*D99*E99/1000)</f>
        <v>0</v>
      </c>
      <c r="G99" s="16"/>
      <c r="H99" s="18"/>
      <c r="I99" s="19">
        <f>(C99*D99*H99/1000)</f>
        <v>0</v>
      </c>
      <c r="J99" s="16"/>
      <c r="K99" s="18">
        <v>3</v>
      </c>
      <c r="L99" s="19">
        <f>(C99*D99*K99/1000)</f>
        <v>0.42934500000000003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 t="shared" si="367"/>
        <v>3</v>
      </c>
      <c r="T99" s="19">
        <f t="shared" si="368"/>
        <v>0.42934500000000003</v>
      </c>
      <c r="U99" s="21">
        <f t="shared" si="369"/>
        <v>-3</v>
      </c>
      <c r="V99" s="19">
        <f t="shared" si="370"/>
        <v>-0.42934500000000003</v>
      </c>
      <c r="X99" s="29"/>
    </row>
    <row r="100" spans="1:24">
      <c r="A100" s="36"/>
      <c r="B100" s="36"/>
      <c r="C100" s="36"/>
      <c r="D100" s="38"/>
      <c r="E100" s="31">
        <f t="shared" ref="E100:F100" si="380">SUM(E90:E99)</f>
        <v>24</v>
      </c>
      <c r="F100" s="38">
        <f t="shared" si="380"/>
        <v>2.2800959999999999</v>
      </c>
      <c r="G100" s="17"/>
      <c r="H100" s="31">
        <f t="shared" ref="H100" si="381">SUM(H90:H99)</f>
        <v>17</v>
      </c>
      <c r="I100" s="38">
        <f t="shared" ref="I100" si="382">SUM(I90:I99)</f>
        <v>1.865367</v>
      </c>
      <c r="J100" s="17"/>
      <c r="K100" s="31">
        <f t="shared" ref="K100" si="383">SUM(K90:K99)</f>
        <v>3</v>
      </c>
      <c r="L100" s="38">
        <f t="shared" ref="L100" si="384">SUM(L90:L99)</f>
        <v>0.42934500000000003</v>
      </c>
      <c r="M100" s="17"/>
      <c r="N100" s="31">
        <f t="shared" ref="N100" si="385">SUM(N90:N99)</f>
        <v>0</v>
      </c>
      <c r="O100" s="38">
        <f t="shared" ref="O100" si="386">SUM(O90:O99)</f>
        <v>0</v>
      </c>
      <c r="P100" s="17"/>
      <c r="Q100" s="31">
        <f t="shared" ref="Q100" si="387">SUM(Q90:Q99)</f>
        <v>0</v>
      </c>
      <c r="R100" s="38">
        <f t="shared" ref="R100" si="388">SUM(R90:R99)</f>
        <v>0</v>
      </c>
      <c r="S100" s="31">
        <f t="shared" ref="S100" si="389">SUM(S90:S99)</f>
        <v>20</v>
      </c>
      <c r="T100" s="38">
        <f t="shared" ref="T100" si="390">SUM(T90:T99)</f>
        <v>2.2947120000000001</v>
      </c>
      <c r="U100" s="31">
        <f t="shared" ref="U100" si="391">SUM(U90:U99)</f>
        <v>4</v>
      </c>
      <c r="V100" s="38">
        <f t="shared" ref="V100" si="392">SUM(V90:V99)</f>
        <v>-1.4616000000000129E-2</v>
      </c>
      <c r="X100" s="29"/>
    </row>
    <row r="101" spans="1:24">
      <c r="A101" s="26" t="s">
        <v>14</v>
      </c>
      <c r="B101" s="26" t="s">
        <v>174</v>
      </c>
      <c r="C101" s="26">
        <v>5.38</v>
      </c>
      <c r="D101" s="27">
        <v>10</v>
      </c>
      <c r="E101" s="28">
        <v>10</v>
      </c>
      <c r="F101" s="16">
        <f>(C101*D101*E101/1000)</f>
        <v>0.53800000000000003</v>
      </c>
      <c r="G101" s="17" t="s">
        <v>93</v>
      </c>
      <c r="H101" s="18">
        <v>10</v>
      </c>
      <c r="I101" s="19">
        <f>(C101*D101*H101/1000)</f>
        <v>0.53800000000000003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 t="shared" ref="S101:S103" si="393">+H101+K101+Q101+N101</f>
        <v>10</v>
      </c>
      <c r="T101" s="19">
        <f t="shared" ref="T101:T103" si="394">+I101+L101+R101+O101</f>
        <v>0.53800000000000003</v>
      </c>
      <c r="U101" s="21">
        <f t="shared" ref="U101:U103" si="395">E101-S101</f>
        <v>0</v>
      </c>
      <c r="V101" s="19">
        <f t="shared" ref="V101:V103" si="396">F101-T101</f>
        <v>0</v>
      </c>
      <c r="X101" s="29"/>
    </row>
    <row r="102" spans="1:24">
      <c r="A102" s="26" t="s">
        <v>14</v>
      </c>
      <c r="B102" s="26" t="s">
        <v>174</v>
      </c>
      <c r="C102" s="26">
        <v>5.38</v>
      </c>
      <c r="D102" s="27">
        <v>10.5</v>
      </c>
      <c r="E102" s="28">
        <v>9</v>
      </c>
      <c r="F102" s="16">
        <f>(C102*D102*E102/1000)</f>
        <v>0.50841000000000003</v>
      </c>
      <c r="G102" s="17" t="s">
        <v>200</v>
      </c>
      <c r="H102" s="18">
        <v>9</v>
      </c>
      <c r="I102" s="19">
        <f>(C102*D102*H102/1000)</f>
        <v>0.50841000000000003</v>
      </c>
      <c r="J102" s="16"/>
      <c r="K102" s="18"/>
      <c r="L102" s="19">
        <f>(C102*D102*K102/1000)</f>
        <v>0</v>
      </c>
      <c r="M102" s="16"/>
      <c r="N102" s="18"/>
      <c r="O102" s="19">
        <f>(C102*D102*N102/1000)</f>
        <v>0</v>
      </c>
      <c r="P102" s="16"/>
      <c r="Q102" s="18"/>
      <c r="R102" s="19">
        <f>(C102*D102*Q102/1000)</f>
        <v>0</v>
      </c>
      <c r="S102" s="20">
        <f t="shared" si="393"/>
        <v>9</v>
      </c>
      <c r="T102" s="19">
        <f t="shared" si="394"/>
        <v>0.50841000000000003</v>
      </c>
      <c r="U102" s="21">
        <f t="shared" si="395"/>
        <v>0</v>
      </c>
      <c r="V102" s="19">
        <f t="shared" si="396"/>
        <v>0</v>
      </c>
      <c r="X102" s="29"/>
    </row>
    <row r="103" spans="1:24">
      <c r="A103" s="26" t="s">
        <v>14</v>
      </c>
      <c r="B103" s="26" t="s">
        <v>174</v>
      </c>
      <c r="C103" s="26">
        <v>5.38</v>
      </c>
      <c r="D103" s="27">
        <v>12</v>
      </c>
      <c r="E103" s="28">
        <v>11</v>
      </c>
      <c r="F103" s="16">
        <f>(C103*D103*E103/1000)</f>
        <v>0.71016000000000012</v>
      </c>
      <c r="G103" s="17"/>
      <c r="H103" s="18">
        <v>11</v>
      </c>
      <c r="I103" s="19">
        <f>(C103*D103*H103/1000)</f>
        <v>0.71016000000000012</v>
      </c>
      <c r="J103" s="16"/>
      <c r="K103" s="18"/>
      <c r="L103" s="19">
        <f>(C103*D103*K103/1000)</f>
        <v>0</v>
      </c>
      <c r="M103" s="16"/>
      <c r="N103" s="18"/>
      <c r="O103" s="19">
        <f>(C103*D103*N103/1000)</f>
        <v>0</v>
      </c>
      <c r="P103" s="16"/>
      <c r="Q103" s="18"/>
      <c r="R103" s="19">
        <f>(C103*D103*Q103/1000)</f>
        <v>0</v>
      </c>
      <c r="S103" s="20">
        <f t="shared" si="393"/>
        <v>11</v>
      </c>
      <c r="T103" s="19">
        <f t="shared" si="394"/>
        <v>0.71016000000000012</v>
      </c>
      <c r="U103" s="21">
        <f t="shared" si="395"/>
        <v>0</v>
      </c>
      <c r="V103" s="19">
        <f t="shared" si="396"/>
        <v>0</v>
      </c>
      <c r="X103" s="29"/>
    </row>
    <row r="104" spans="1:24">
      <c r="A104" s="36"/>
      <c r="B104" s="36"/>
      <c r="C104" s="36"/>
      <c r="D104" s="38"/>
      <c r="E104" s="31">
        <f t="shared" ref="E104:F104" si="397">SUM(E101:E103)</f>
        <v>30</v>
      </c>
      <c r="F104" s="45">
        <f t="shared" si="397"/>
        <v>1.7565700000000002</v>
      </c>
      <c r="G104" s="17"/>
      <c r="H104" s="31">
        <f t="shared" ref="H104" si="398">SUM(H101:H103)</f>
        <v>30</v>
      </c>
      <c r="I104" s="38">
        <f t="shared" ref="I104" si="399">SUM(I101:I103)</f>
        <v>1.7565700000000002</v>
      </c>
      <c r="J104" s="17"/>
      <c r="K104" s="31">
        <f t="shared" ref="K104" si="400">SUM(K101:K103)</f>
        <v>0</v>
      </c>
      <c r="L104" s="38">
        <f t="shared" ref="L104" si="401">SUM(L101:L103)</f>
        <v>0</v>
      </c>
      <c r="M104" s="17"/>
      <c r="N104" s="31">
        <f t="shared" ref="N104" si="402">SUM(N101:N103)</f>
        <v>0</v>
      </c>
      <c r="O104" s="38">
        <f t="shared" ref="O104" si="403">SUM(O101:O103)</f>
        <v>0</v>
      </c>
      <c r="P104" s="17"/>
      <c r="Q104" s="31">
        <f t="shared" ref="Q104" si="404">SUM(Q101:Q103)</f>
        <v>0</v>
      </c>
      <c r="R104" s="38">
        <f t="shared" ref="R104" si="405">SUM(R101:R103)</f>
        <v>0</v>
      </c>
      <c r="S104" s="31">
        <f t="shared" ref="S104" si="406">SUM(S101:S103)</f>
        <v>30</v>
      </c>
      <c r="T104" s="38">
        <f t="shared" ref="T104" si="407">SUM(T101:T103)</f>
        <v>1.7565700000000002</v>
      </c>
      <c r="U104" s="31">
        <f t="shared" ref="U104" si="408">SUM(U101:U103)</f>
        <v>0</v>
      </c>
      <c r="V104" s="38">
        <f t="shared" ref="V104" si="409">SUM(V101:V103)</f>
        <v>0</v>
      </c>
      <c r="X104" s="29"/>
    </row>
    <row r="105" spans="1:24">
      <c r="A105" s="26" t="s">
        <v>14</v>
      </c>
      <c r="B105" s="26" t="s">
        <v>26</v>
      </c>
      <c r="C105" s="26">
        <v>8.32</v>
      </c>
      <c r="D105" s="27">
        <v>10</v>
      </c>
      <c r="E105" s="28">
        <v>21</v>
      </c>
      <c r="F105" s="16">
        <f>(C105*D105*E105/1000)</f>
        <v>1.7472000000000001</v>
      </c>
      <c r="G105" s="17"/>
      <c r="H105" s="18"/>
      <c r="I105" s="19">
        <f>(C105*D105*H105/1000)</f>
        <v>0</v>
      </c>
      <c r="J105" s="16"/>
      <c r="K105" s="18"/>
      <c r="L105" s="19">
        <f>(C105*D105*K105/1000)</f>
        <v>0</v>
      </c>
      <c r="M105" s="16"/>
      <c r="N105" s="18"/>
      <c r="O105" s="19">
        <f>(C105*D105*N105/1000)</f>
        <v>0</v>
      </c>
      <c r="P105" s="16"/>
      <c r="Q105" s="18"/>
      <c r="R105" s="19">
        <f>(C105*D105*Q105/1000)</f>
        <v>0</v>
      </c>
      <c r="S105" s="20">
        <f t="shared" ref="S105" si="410">+H105+K105+Q105+N105</f>
        <v>0</v>
      </c>
      <c r="T105" s="19">
        <f t="shared" ref="T105" si="411">+I105+L105+R105+O105</f>
        <v>0</v>
      </c>
      <c r="U105" s="21">
        <f t="shared" ref="U105" si="412">E105-S105</f>
        <v>21</v>
      </c>
      <c r="V105" s="19">
        <f t="shared" ref="V105" si="413">F105-T105</f>
        <v>1.7472000000000001</v>
      </c>
      <c r="X105" s="29"/>
    </row>
    <row r="106" spans="1:24">
      <c r="A106" s="36"/>
      <c r="B106" s="36"/>
      <c r="C106" s="36"/>
      <c r="D106" s="38"/>
      <c r="E106" s="31">
        <f t="shared" ref="E106:F106" si="414">SUM(E105)</f>
        <v>21</v>
      </c>
      <c r="F106" s="38">
        <f t="shared" si="414"/>
        <v>1.7472000000000001</v>
      </c>
      <c r="G106" s="17"/>
      <c r="H106" s="31">
        <f t="shared" ref="H106" si="415">SUM(H105)</f>
        <v>0</v>
      </c>
      <c r="I106" s="38">
        <f t="shared" ref="I106" si="416">SUM(I105)</f>
        <v>0</v>
      </c>
      <c r="J106" s="17"/>
      <c r="K106" s="31">
        <f t="shared" ref="K106" si="417">SUM(K105)</f>
        <v>0</v>
      </c>
      <c r="L106" s="38">
        <f t="shared" ref="L106" si="418">SUM(L105)</f>
        <v>0</v>
      </c>
      <c r="M106" s="17"/>
      <c r="N106" s="31">
        <f t="shared" ref="N106" si="419">SUM(N105)</f>
        <v>0</v>
      </c>
      <c r="O106" s="38">
        <f t="shared" ref="O106" si="420">SUM(O105)</f>
        <v>0</v>
      </c>
      <c r="P106" s="17"/>
      <c r="Q106" s="31">
        <f t="shared" ref="Q106" si="421">SUM(Q105)</f>
        <v>0</v>
      </c>
      <c r="R106" s="38">
        <f t="shared" ref="R106" si="422">SUM(R105)</f>
        <v>0</v>
      </c>
      <c r="S106" s="31">
        <f t="shared" ref="S106" si="423">SUM(S105)</f>
        <v>0</v>
      </c>
      <c r="T106" s="38">
        <f t="shared" ref="T106" si="424">SUM(T105)</f>
        <v>0</v>
      </c>
      <c r="U106" s="31">
        <f t="shared" ref="U106" si="425">SUM(U105)</f>
        <v>21</v>
      </c>
      <c r="V106" s="38">
        <f t="shared" ref="V106" si="426">SUM(V105)</f>
        <v>1.7472000000000001</v>
      </c>
      <c r="X106" s="29"/>
    </row>
    <row r="107" spans="1:24">
      <c r="A107" s="26" t="s">
        <v>14</v>
      </c>
      <c r="B107" s="26" t="s">
        <v>26</v>
      </c>
      <c r="C107" s="26">
        <v>8.32</v>
      </c>
      <c r="D107" s="27">
        <v>10</v>
      </c>
      <c r="E107" s="28">
        <v>11</v>
      </c>
      <c r="F107" s="16">
        <f t="shared" ref="F107:F131" si="427">(C107*D107*E107/1000)</f>
        <v>0.91520000000000001</v>
      </c>
      <c r="G107" s="17" t="s">
        <v>93</v>
      </c>
      <c r="H107" s="18"/>
      <c r="I107" s="19">
        <f t="shared" ref="I107:I131" si="428">(C107*D107*H107/1000)</f>
        <v>0</v>
      </c>
      <c r="J107" s="16"/>
      <c r="K107" s="18"/>
      <c r="L107" s="19">
        <f t="shared" ref="L107:L131" si="429">(C107*D107*K107/1000)</f>
        <v>0</v>
      </c>
      <c r="M107" s="16"/>
      <c r="N107" s="18"/>
      <c r="O107" s="19">
        <f t="shared" ref="O107:O131" si="430">(C107*D107*N107/1000)</f>
        <v>0</v>
      </c>
      <c r="P107" s="16"/>
      <c r="Q107" s="18"/>
      <c r="R107" s="19">
        <f t="shared" ref="R107:R131" si="431">(C107*D107*Q107/1000)</f>
        <v>0</v>
      </c>
      <c r="S107" s="20">
        <f t="shared" ref="S107:S131" si="432">+H107+K107+Q107+N107</f>
        <v>0</v>
      </c>
      <c r="T107" s="19">
        <f t="shared" ref="T107:T131" si="433">+I107+L107+R107+O107</f>
        <v>0</v>
      </c>
      <c r="U107" s="21">
        <f t="shared" ref="U107:U131" si="434">E107-S107</f>
        <v>11</v>
      </c>
      <c r="V107" s="19">
        <f t="shared" ref="V107:V131" si="435">F107-T107</f>
        <v>0.91520000000000001</v>
      </c>
      <c r="X107" s="29"/>
    </row>
    <row r="108" spans="1:24">
      <c r="A108" s="26" t="s">
        <v>14</v>
      </c>
      <c r="B108" s="26" t="s">
        <v>26</v>
      </c>
      <c r="C108" s="26">
        <v>8.32</v>
      </c>
      <c r="D108" s="27">
        <v>12</v>
      </c>
      <c r="E108" s="28">
        <v>11</v>
      </c>
      <c r="F108" s="16">
        <f t="shared" ref="F108:F130" si="436">(C108*D108*E108/1000)</f>
        <v>1.0982400000000001</v>
      </c>
      <c r="G108" s="17" t="s">
        <v>257</v>
      </c>
      <c r="H108" s="18"/>
      <c r="I108" s="19">
        <f t="shared" ref="I108:I130" si="437">(C108*D108*H108/1000)</f>
        <v>0</v>
      </c>
      <c r="J108" s="16"/>
      <c r="K108" s="18"/>
      <c r="L108" s="19">
        <f t="shared" ref="L108:L130" si="438">(C108*D108*K108/1000)</f>
        <v>0</v>
      </c>
      <c r="M108" s="16"/>
      <c r="N108" s="18"/>
      <c r="O108" s="19">
        <f t="shared" ref="O108:O130" si="439">(C108*D108*N108/1000)</f>
        <v>0</v>
      </c>
      <c r="P108" s="16"/>
      <c r="Q108" s="18"/>
      <c r="R108" s="19">
        <f t="shared" ref="R108:R130" si="440">(C108*D108*Q108/1000)</f>
        <v>0</v>
      </c>
      <c r="S108" s="20">
        <f t="shared" ref="S108:S130" si="441">+H108+K108+Q108+N108</f>
        <v>0</v>
      </c>
      <c r="T108" s="19">
        <f t="shared" ref="T108:T130" si="442">+I108+L108+R108+O108</f>
        <v>0</v>
      </c>
      <c r="U108" s="21">
        <f t="shared" ref="U108:U130" si="443">E108-S108</f>
        <v>11</v>
      </c>
      <c r="V108" s="19">
        <f t="shared" ref="V108:V130" si="444">F108-T108</f>
        <v>1.0982400000000001</v>
      </c>
      <c r="X108" s="29"/>
    </row>
    <row r="109" spans="1:24">
      <c r="A109" s="26" t="s">
        <v>14</v>
      </c>
      <c r="B109" s="26" t="s">
        <v>26</v>
      </c>
      <c r="C109" s="26">
        <v>8.32</v>
      </c>
      <c r="D109" s="27">
        <v>5.3</v>
      </c>
      <c r="E109" s="28"/>
      <c r="F109" s="16">
        <f t="shared" si="436"/>
        <v>0</v>
      </c>
      <c r="G109" s="17"/>
      <c r="H109" s="18">
        <v>1</v>
      </c>
      <c r="I109" s="19">
        <f t="shared" si="437"/>
        <v>4.4095999999999996E-2</v>
      </c>
      <c r="J109" s="16"/>
      <c r="K109" s="18"/>
      <c r="L109" s="19">
        <f t="shared" si="438"/>
        <v>0</v>
      </c>
      <c r="M109" s="16"/>
      <c r="N109" s="18"/>
      <c r="O109" s="19">
        <f t="shared" si="439"/>
        <v>0</v>
      </c>
      <c r="P109" s="16"/>
      <c r="Q109" s="18"/>
      <c r="R109" s="19">
        <f t="shared" si="440"/>
        <v>0</v>
      </c>
      <c r="S109" s="20">
        <f t="shared" si="441"/>
        <v>1</v>
      </c>
      <c r="T109" s="19">
        <f t="shared" si="442"/>
        <v>4.4095999999999996E-2</v>
      </c>
      <c r="U109" s="21">
        <f t="shared" si="443"/>
        <v>-1</v>
      </c>
      <c r="V109" s="19">
        <f t="shared" si="444"/>
        <v>-4.4095999999999996E-2</v>
      </c>
      <c r="X109" s="29"/>
    </row>
    <row r="110" spans="1:24">
      <c r="A110" s="26" t="s">
        <v>14</v>
      </c>
      <c r="B110" s="26" t="s">
        <v>26</v>
      </c>
      <c r="C110" s="26">
        <v>8.32</v>
      </c>
      <c r="D110" s="27">
        <v>6.3</v>
      </c>
      <c r="E110" s="28"/>
      <c r="F110" s="16">
        <f t="shared" si="436"/>
        <v>0</v>
      </c>
      <c r="G110" s="17"/>
      <c r="H110" s="18">
        <v>1</v>
      </c>
      <c r="I110" s="19">
        <f t="shared" si="437"/>
        <v>5.2415999999999997E-2</v>
      </c>
      <c r="J110" s="16"/>
      <c r="K110" s="18"/>
      <c r="L110" s="19">
        <f t="shared" si="438"/>
        <v>0</v>
      </c>
      <c r="M110" s="16"/>
      <c r="N110" s="18"/>
      <c r="O110" s="19">
        <f t="shared" si="439"/>
        <v>0</v>
      </c>
      <c r="P110" s="16"/>
      <c r="Q110" s="18"/>
      <c r="R110" s="19">
        <f t="shared" si="440"/>
        <v>0</v>
      </c>
      <c r="S110" s="20">
        <f t="shared" si="441"/>
        <v>1</v>
      </c>
      <c r="T110" s="19">
        <f t="shared" si="442"/>
        <v>5.2415999999999997E-2</v>
      </c>
      <c r="U110" s="21">
        <f t="shared" si="443"/>
        <v>-1</v>
      </c>
      <c r="V110" s="19">
        <f t="shared" si="444"/>
        <v>-5.2415999999999997E-2</v>
      </c>
      <c r="X110" s="29"/>
    </row>
    <row r="111" spans="1:24">
      <c r="A111" s="26" t="s">
        <v>14</v>
      </c>
      <c r="B111" s="26" t="s">
        <v>26</v>
      </c>
      <c r="C111" s="26">
        <v>8.32</v>
      </c>
      <c r="D111" s="27">
        <v>6.5</v>
      </c>
      <c r="E111" s="28"/>
      <c r="F111" s="16">
        <f t="shared" si="436"/>
        <v>0</v>
      </c>
      <c r="G111" s="17"/>
      <c r="H111" s="18">
        <v>1</v>
      </c>
      <c r="I111" s="19">
        <f t="shared" si="437"/>
        <v>5.4079999999999996E-2</v>
      </c>
      <c r="J111" s="16"/>
      <c r="K111" s="18"/>
      <c r="L111" s="19">
        <f t="shared" si="438"/>
        <v>0</v>
      </c>
      <c r="M111" s="16"/>
      <c r="N111" s="18"/>
      <c r="O111" s="19">
        <f t="shared" si="439"/>
        <v>0</v>
      </c>
      <c r="P111" s="16"/>
      <c r="Q111" s="18"/>
      <c r="R111" s="19">
        <f t="shared" si="440"/>
        <v>0</v>
      </c>
      <c r="S111" s="20">
        <f t="shared" si="441"/>
        <v>1</v>
      </c>
      <c r="T111" s="19">
        <f t="shared" si="442"/>
        <v>5.4079999999999996E-2</v>
      </c>
      <c r="U111" s="21">
        <f t="shared" si="443"/>
        <v>-1</v>
      </c>
      <c r="V111" s="19">
        <f t="shared" si="444"/>
        <v>-5.4079999999999996E-2</v>
      </c>
      <c r="X111" s="29"/>
    </row>
    <row r="112" spans="1:24">
      <c r="A112" s="26" t="s">
        <v>14</v>
      </c>
      <c r="B112" s="26" t="s">
        <v>26</v>
      </c>
      <c r="C112" s="26">
        <v>8.32</v>
      </c>
      <c r="D112" s="27">
        <v>6.6</v>
      </c>
      <c r="E112" s="28"/>
      <c r="F112" s="16">
        <f t="shared" si="436"/>
        <v>0</v>
      </c>
      <c r="G112" s="17"/>
      <c r="H112" s="18">
        <v>9</v>
      </c>
      <c r="I112" s="19">
        <f t="shared" si="437"/>
        <v>0.49420799999999998</v>
      </c>
      <c r="J112" s="16"/>
      <c r="K112" s="18"/>
      <c r="L112" s="19">
        <f t="shared" si="438"/>
        <v>0</v>
      </c>
      <c r="M112" s="16"/>
      <c r="N112" s="18"/>
      <c r="O112" s="19">
        <f t="shared" si="439"/>
        <v>0</v>
      </c>
      <c r="P112" s="16"/>
      <c r="Q112" s="18"/>
      <c r="R112" s="19">
        <f t="shared" si="440"/>
        <v>0</v>
      </c>
      <c r="S112" s="20">
        <f t="shared" si="441"/>
        <v>9</v>
      </c>
      <c r="T112" s="19">
        <f t="shared" si="442"/>
        <v>0.49420799999999998</v>
      </c>
      <c r="U112" s="21">
        <f t="shared" si="443"/>
        <v>-9</v>
      </c>
      <c r="V112" s="19">
        <f t="shared" si="444"/>
        <v>-0.49420799999999998</v>
      </c>
      <c r="X112" s="29"/>
    </row>
    <row r="113" spans="1:24">
      <c r="A113" s="26" t="s">
        <v>14</v>
      </c>
      <c r="B113" s="26" t="s">
        <v>26</v>
      </c>
      <c r="C113" s="26">
        <v>8.32</v>
      </c>
      <c r="D113" s="27">
        <v>7.7</v>
      </c>
      <c r="E113" s="28"/>
      <c r="F113" s="16">
        <f t="shared" ref="F113:F119" si="445">(C113*D113*E113/1000)</f>
        <v>0</v>
      </c>
      <c r="G113" s="17"/>
      <c r="H113" s="18">
        <v>1</v>
      </c>
      <c r="I113" s="19">
        <f t="shared" ref="I113:I119" si="446">(C113*D113*H113/1000)</f>
        <v>6.406400000000001E-2</v>
      </c>
      <c r="J113" s="16"/>
      <c r="K113" s="18"/>
      <c r="L113" s="19">
        <f>(C113*D113*K113/1000)</f>
        <v>0</v>
      </c>
      <c r="M113" s="16"/>
      <c r="N113" s="18"/>
      <c r="O113" s="19">
        <f t="shared" ref="O113:O119" si="447">(C113*D113*N113/1000)</f>
        <v>0</v>
      </c>
      <c r="P113" s="16"/>
      <c r="Q113" s="18"/>
      <c r="R113" s="19">
        <f t="shared" ref="R113:R119" si="448">(C113*D113*Q113/1000)</f>
        <v>0</v>
      </c>
      <c r="S113" s="20">
        <f t="shared" ref="S113:S119" si="449">+H113+K113+Q113+N113</f>
        <v>1</v>
      </c>
      <c r="T113" s="19">
        <f t="shared" ref="T113:T119" si="450">+I113+L113+R113+O113</f>
        <v>6.406400000000001E-2</v>
      </c>
      <c r="U113" s="21">
        <f t="shared" ref="U113:U119" si="451">E113-S113</f>
        <v>-1</v>
      </c>
      <c r="V113" s="19">
        <f t="shared" ref="V113:V119" si="452">F113-T113</f>
        <v>-6.406400000000001E-2</v>
      </c>
      <c r="X113" s="29"/>
    </row>
    <row r="114" spans="1:24">
      <c r="A114" s="26" t="s">
        <v>14</v>
      </c>
      <c r="B114" s="26" t="s">
        <v>26</v>
      </c>
      <c r="C114" s="26">
        <v>8.32</v>
      </c>
      <c r="D114" s="27">
        <v>9</v>
      </c>
      <c r="E114" s="28"/>
      <c r="F114" s="16">
        <f t="shared" si="445"/>
        <v>0</v>
      </c>
      <c r="G114" s="17"/>
      <c r="H114" s="18">
        <v>1</v>
      </c>
      <c r="I114" s="19">
        <f t="shared" si="446"/>
        <v>7.4880000000000002E-2</v>
      </c>
      <c r="J114" s="16"/>
      <c r="K114" s="18"/>
      <c r="L114" s="19">
        <f t="shared" ref="L114:L119" si="453">(C114*D114*K114/1000)</f>
        <v>0</v>
      </c>
      <c r="M114" s="16"/>
      <c r="N114" s="18"/>
      <c r="O114" s="19">
        <f t="shared" si="447"/>
        <v>0</v>
      </c>
      <c r="P114" s="16"/>
      <c r="Q114" s="18"/>
      <c r="R114" s="19">
        <f t="shared" si="448"/>
        <v>0</v>
      </c>
      <c r="S114" s="20">
        <f t="shared" si="449"/>
        <v>1</v>
      </c>
      <c r="T114" s="19">
        <f t="shared" si="450"/>
        <v>7.4880000000000002E-2</v>
      </c>
      <c r="U114" s="21">
        <f t="shared" si="451"/>
        <v>-1</v>
      </c>
      <c r="V114" s="19">
        <f t="shared" si="452"/>
        <v>-7.4880000000000002E-2</v>
      </c>
      <c r="X114" s="29"/>
    </row>
    <row r="115" spans="1:24">
      <c r="A115" s="26" t="s">
        <v>14</v>
      </c>
      <c r="B115" s="26" t="s">
        <v>26</v>
      </c>
      <c r="C115" s="26">
        <v>8.32</v>
      </c>
      <c r="D115" s="27">
        <v>9.1999999999999993</v>
      </c>
      <c r="E115" s="28"/>
      <c r="F115" s="16">
        <f t="shared" si="445"/>
        <v>0</v>
      </c>
      <c r="G115" s="17"/>
      <c r="H115" s="18">
        <v>8</v>
      </c>
      <c r="I115" s="19">
        <f t="shared" si="446"/>
        <v>0.61235200000000001</v>
      </c>
      <c r="J115" s="16"/>
      <c r="K115" s="18"/>
      <c r="L115" s="19">
        <f t="shared" si="453"/>
        <v>0</v>
      </c>
      <c r="M115" s="16"/>
      <c r="N115" s="18"/>
      <c r="O115" s="19">
        <f t="shared" si="447"/>
        <v>0</v>
      </c>
      <c r="P115" s="16"/>
      <c r="Q115" s="18"/>
      <c r="R115" s="19">
        <f t="shared" si="448"/>
        <v>0</v>
      </c>
      <c r="S115" s="20">
        <f t="shared" si="449"/>
        <v>8</v>
      </c>
      <c r="T115" s="19">
        <f t="shared" si="450"/>
        <v>0.61235200000000001</v>
      </c>
      <c r="U115" s="21">
        <f t="shared" si="451"/>
        <v>-8</v>
      </c>
      <c r="V115" s="19">
        <f t="shared" si="452"/>
        <v>-0.61235200000000001</v>
      </c>
      <c r="X115" s="29"/>
    </row>
    <row r="116" spans="1:24">
      <c r="A116" s="26" t="s">
        <v>14</v>
      </c>
      <c r="B116" s="26" t="s">
        <v>26</v>
      </c>
      <c r="C116" s="26">
        <v>8.32</v>
      </c>
      <c r="D116" s="27">
        <v>9.6</v>
      </c>
      <c r="E116" s="28"/>
      <c r="F116" s="16">
        <f t="shared" si="445"/>
        <v>0</v>
      </c>
      <c r="G116" s="17"/>
      <c r="H116" s="18">
        <v>1</v>
      </c>
      <c r="I116" s="19">
        <f t="shared" si="446"/>
        <v>7.9871999999999999E-2</v>
      </c>
      <c r="J116" s="16"/>
      <c r="K116" s="18"/>
      <c r="L116" s="19">
        <f t="shared" si="453"/>
        <v>0</v>
      </c>
      <c r="M116" s="16"/>
      <c r="N116" s="18"/>
      <c r="O116" s="19">
        <f t="shared" si="447"/>
        <v>0</v>
      </c>
      <c r="P116" s="16"/>
      <c r="Q116" s="18"/>
      <c r="R116" s="19">
        <f t="shared" si="448"/>
        <v>0</v>
      </c>
      <c r="S116" s="20">
        <f t="shared" si="449"/>
        <v>1</v>
      </c>
      <c r="T116" s="19">
        <f t="shared" si="450"/>
        <v>7.9871999999999999E-2</v>
      </c>
      <c r="U116" s="21">
        <f t="shared" si="451"/>
        <v>-1</v>
      </c>
      <c r="V116" s="19">
        <f t="shared" si="452"/>
        <v>-7.9871999999999999E-2</v>
      </c>
      <c r="X116" s="29"/>
    </row>
    <row r="117" spans="1:24">
      <c r="A117" s="26" t="s">
        <v>14</v>
      </c>
      <c r="B117" s="26" t="s">
        <v>26</v>
      </c>
      <c r="C117" s="26">
        <v>8.32</v>
      </c>
      <c r="D117" s="27">
        <v>9.6999999999999993</v>
      </c>
      <c r="E117" s="28"/>
      <c r="F117" s="16">
        <f t="shared" si="445"/>
        <v>0</v>
      </c>
      <c r="G117" s="17"/>
      <c r="H117" s="18">
        <v>3</v>
      </c>
      <c r="I117" s="19">
        <f t="shared" si="446"/>
        <v>0.24211199999999997</v>
      </c>
      <c r="J117" s="16"/>
      <c r="K117" s="18"/>
      <c r="L117" s="19">
        <f t="shared" si="453"/>
        <v>0</v>
      </c>
      <c r="M117" s="16"/>
      <c r="N117" s="18"/>
      <c r="O117" s="19">
        <f t="shared" si="447"/>
        <v>0</v>
      </c>
      <c r="P117" s="16"/>
      <c r="Q117" s="18"/>
      <c r="R117" s="19">
        <f t="shared" si="448"/>
        <v>0</v>
      </c>
      <c r="S117" s="20">
        <f t="shared" si="449"/>
        <v>3</v>
      </c>
      <c r="T117" s="19">
        <f t="shared" si="450"/>
        <v>0.24211199999999997</v>
      </c>
      <c r="U117" s="21">
        <f t="shared" si="451"/>
        <v>-3</v>
      </c>
      <c r="V117" s="19">
        <f t="shared" si="452"/>
        <v>-0.24211199999999997</v>
      </c>
      <c r="X117" s="29"/>
    </row>
    <row r="118" spans="1:24">
      <c r="A118" s="26" t="s">
        <v>14</v>
      </c>
      <c r="B118" s="26" t="s">
        <v>26</v>
      </c>
      <c r="C118" s="26">
        <v>8.32</v>
      </c>
      <c r="D118" s="27">
        <v>9.9</v>
      </c>
      <c r="E118" s="28"/>
      <c r="F118" s="16">
        <f t="shared" si="445"/>
        <v>0</v>
      </c>
      <c r="G118" s="17"/>
      <c r="H118" s="18">
        <v>4</v>
      </c>
      <c r="I118" s="19">
        <f t="shared" si="446"/>
        <v>0.32947200000000004</v>
      </c>
      <c r="J118" s="16"/>
      <c r="K118" s="18"/>
      <c r="L118" s="19">
        <f t="shared" si="453"/>
        <v>0</v>
      </c>
      <c r="M118" s="16"/>
      <c r="N118" s="18"/>
      <c r="O118" s="19">
        <f t="shared" si="447"/>
        <v>0</v>
      </c>
      <c r="P118" s="16"/>
      <c r="Q118" s="18"/>
      <c r="R118" s="19">
        <f t="shared" si="448"/>
        <v>0</v>
      </c>
      <c r="S118" s="20">
        <f t="shared" si="449"/>
        <v>4</v>
      </c>
      <c r="T118" s="19">
        <f t="shared" si="450"/>
        <v>0.32947200000000004</v>
      </c>
      <c r="U118" s="21">
        <f t="shared" si="451"/>
        <v>-4</v>
      </c>
      <c r="V118" s="19">
        <f t="shared" si="452"/>
        <v>-0.32947200000000004</v>
      </c>
      <c r="X118" s="29"/>
    </row>
    <row r="119" spans="1:24">
      <c r="A119" s="26" t="s">
        <v>14</v>
      </c>
      <c r="B119" s="26" t="s">
        <v>26</v>
      </c>
      <c r="C119" s="26">
        <v>8.32</v>
      </c>
      <c r="D119" s="27">
        <v>10</v>
      </c>
      <c r="E119" s="28"/>
      <c r="F119" s="16">
        <f t="shared" si="445"/>
        <v>0</v>
      </c>
      <c r="G119" s="17"/>
      <c r="H119" s="18">
        <v>2</v>
      </c>
      <c r="I119" s="19">
        <f t="shared" si="446"/>
        <v>0.16639999999999999</v>
      </c>
      <c r="J119" s="16"/>
      <c r="K119" s="18"/>
      <c r="L119" s="19">
        <f t="shared" si="453"/>
        <v>0</v>
      </c>
      <c r="M119" s="16"/>
      <c r="N119" s="18"/>
      <c r="O119" s="19">
        <f t="shared" si="447"/>
        <v>0</v>
      </c>
      <c r="P119" s="16"/>
      <c r="Q119" s="18"/>
      <c r="R119" s="19">
        <f t="shared" si="448"/>
        <v>0</v>
      </c>
      <c r="S119" s="20">
        <f t="shared" si="449"/>
        <v>2</v>
      </c>
      <c r="T119" s="19">
        <f t="shared" si="450"/>
        <v>0.16639999999999999</v>
      </c>
      <c r="U119" s="21">
        <f t="shared" si="451"/>
        <v>-2</v>
      </c>
      <c r="V119" s="19">
        <f t="shared" si="452"/>
        <v>-0.16639999999999999</v>
      </c>
      <c r="X119" s="29"/>
    </row>
    <row r="120" spans="1:24">
      <c r="A120" s="26" t="s">
        <v>14</v>
      </c>
      <c r="B120" s="26" t="s">
        <v>26</v>
      </c>
      <c r="C120" s="26">
        <v>8.32</v>
      </c>
      <c r="D120" s="27">
        <v>10.199999999999999</v>
      </c>
      <c r="E120" s="28"/>
      <c r="F120" s="16">
        <f t="shared" si="436"/>
        <v>0</v>
      </c>
      <c r="G120" s="17"/>
      <c r="H120" s="18">
        <v>2</v>
      </c>
      <c r="I120" s="19">
        <f t="shared" si="437"/>
        <v>0.16972799999999999</v>
      </c>
      <c r="J120" s="16"/>
      <c r="K120" s="18"/>
      <c r="L120" s="19">
        <f t="shared" si="438"/>
        <v>0</v>
      </c>
      <c r="M120" s="16"/>
      <c r="N120" s="18"/>
      <c r="O120" s="19">
        <f t="shared" si="439"/>
        <v>0</v>
      </c>
      <c r="P120" s="16"/>
      <c r="Q120" s="18"/>
      <c r="R120" s="19">
        <f t="shared" si="440"/>
        <v>0</v>
      </c>
      <c r="S120" s="20">
        <f t="shared" si="441"/>
        <v>2</v>
      </c>
      <c r="T120" s="19">
        <f t="shared" si="442"/>
        <v>0.16972799999999999</v>
      </c>
      <c r="U120" s="21">
        <f t="shared" si="443"/>
        <v>-2</v>
      </c>
      <c r="V120" s="19">
        <f t="shared" si="444"/>
        <v>-0.16972799999999999</v>
      </c>
      <c r="X120" s="29"/>
    </row>
    <row r="121" spans="1:24">
      <c r="A121" s="26" t="s">
        <v>14</v>
      </c>
      <c r="B121" s="26" t="s">
        <v>26</v>
      </c>
      <c r="C121" s="26">
        <v>8.32</v>
      </c>
      <c r="D121" s="27">
        <v>10.5</v>
      </c>
      <c r="E121" s="28"/>
      <c r="F121" s="16">
        <f t="shared" si="436"/>
        <v>0</v>
      </c>
      <c r="G121" s="17"/>
      <c r="H121" s="18">
        <v>3</v>
      </c>
      <c r="I121" s="19">
        <f t="shared" si="437"/>
        <v>0.26207999999999998</v>
      </c>
      <c r="J121" s="16"/>
      <c r="K121" s="18"/>
      <c r="L121" s="19">
        <f t="shared" si="438"/>
        <v>0</v>
      </c>
      <c r="M121" s="16"/>
      <c r="N121" s="18"/>
      <c r="O121" s="19">
        <f t="shared" si="439"/>
        <v>0</v>
      </c>
      <c r="P121" s="16"/>
      <c r="Q121" s="18"/>
      <c r="R121" s="19">
        <f t="shared" si="440"/>
        <v>0</v>
      </c>
      <c r="S121" s="20">
        <f t="shared" si="441"/>
        <v>3</v>
      </c>
      <c r="T121" s="19">
        <f t="shared" si="442"/>
        <v>0.26207999999999998</v>
      </c>
      <c r="U121" s="21">
        <f t="shared" si="443"/>
        <v>-3</v>
      </c>
      <c r="V121" s="19">
        <f t="shared" si="444"/>
        <v>-0.26207999999999998</v>
      </c>
      <c r="X121" s="29"/>
    </row>
    <row r="122" spans="1:24">
      <c r="A122" s="26" t="s">
        <v>14</v>
      </c>
      <c r="B122" s="26" t="s">
        <v>26</v>
      </c>
      <c r="C122" s="26">
        <v>8.32</v>
      </c>
      <c r="D122" s="27">
        <v>10.1</v>
      </c>
      <c r="E122" s="28"/>
      <c r="F122" s="16">
        <f t="shared" si="436"/>
        <v>0</v>
      </c>
      <c r="G122" s="17"/>
      <c r="H122" s="18">
        <v>2</v>
      </c>
      <c r="I122" s="19">
        <f t="shared" si="437"/>
        <v>0.16806399999999999</v>
      </c>
      <c r="J122" s="16"/>
      <c r="K122" s="18"/>
      <c r="L122" s="19">
        <f t="shared" si="438"/>
        <v>0</v>
      </c>
      <c r="M122" s="16"/>
      <c r="N122" s="18"/>
      <c r="O122" s="19">
        <f t="shared" si="439"/>
        <v>0</v>
      </c>
      <c r="P122" s="16"/>
      <c r="Q122" s="18"/>
      <c r="R122" s="19">
        <f t="shared" si="440"/>
        <v>0</v>
      </c>
      <c r="S122" s="20">
        <f t="shared" si="441"/>
        <v>2</v>
      </c>
      <c r="T122" s="19">
        <f t="shared" si="442"/>
        <v>0.16806399999999999</v>
      </c>
      <c r="U122" s="21">
        <f t="shared" si="443"/>
        <v>-2</v>
      </c>
      <c r="V122" s="19">
        <f t="shared" si="444"/>
        <v>-0.16806399999999999</v>
      </c>
      <c r="X122" s="29"/>
    </row>
    <row r="123" spans="1:24">
      <c r="A123" s="26" t="s">
        <v>14</v>
      </c>
      <c r="B123" s="26" t="s">
        <v>26</v>
      </c>
      <c r="C123" s="26">
        <v>8.32</v>
      </c>
      <c r="D123" s="27">
        <v>11</v>
      </c>
      <c r="E123" s="28"/>
      <c r="F123" s="16">
        <f t="shared" si="436"/>
        <v>0</v>
      </c>
      <c r="G123" s="17"/>
      <c r="H123" s="18">
        <v>3</v>
      </c>
      <c r="I123" s="19">
        <f t="shared" si="437"/>
        <v>0.27456000000000008</v>
      </c>
      <c r="J123" s="16"/>
      <c r="K123" s="18"/>
      <c r="L123" s="19">
        <f t="shared" si="438"/>
        <v>0</v>
      </c>
      <c r="M123" s="16"/>
      <c r="N123" s="18"/>
      <c r="O123" s="19">
        <f t="shared" si="439"/>
        <v>0</v>
      </c>
      <c r="P123" s="16"/>
      <c r="Q123" s="18"/>
      <c r="R123" s="19">
        <f t="shared" si="440"/>
        <v>0</v>
      </c>
      <c r="S123" s="20">
        <f t="shared" si="441"/>
        <v>3</v>
      </c>
      <c r="T123" s="19">
        <f t="shared" si="442"/>
        <v>0.27456000000000008</v>
      </c>
      <c r="U123" s="21">
        <f t="shared" si="443"/>
        <v>-3</v>
      </c>
      <c r="V123" s="19">
        <f t="shared" si="444"/>
        <v>-0.27456000000000008</v>
      </c>
      <c r="X123" s="29"/>
    </row>
    <row r="124" spans="1:24">
      <c r="A124" s="26" t="s">
        <v>14</v>
      </c>
      <c r="B124" s="26" t="s">
        <v>26</v>
      </c>
      <c r="C124" s="26">
        <v>8.32</v>
      </c>
      <c r="D124" s="27">
        <v>11.4</v>
      </c>
      <c r="E124" s="28"/>
      <c r="F124" s="16">
        <f t="shared" si="436"/>
        <v>0</v>
      </c>
      <c r="G124" s="17"/>
      <c r="H124" s="18">
        <v>4</v>
      </c>
      <c r="I124" s="19">
        <f t="shared" si="437"/>
        <v>0.37939200000000006</v>
      </c>
      <c r="J124" s="16"/>
      <c r="K124" s="18"/>
      <c r="L124" s="19">
        <f t="shared" si="438"/>
        <v>0</v>
      </c>
      <c r="M124" s="16"/>
      <c r="N124" s="18"/>
      <c r="O124" s="19">
        <f t="shared" si="439"/>
        <v>0</v>
      </c>
      <c r="P124" s="16"/>
      <c r="Q124" s="18"/>
      <c r="R124" s="19">
        <f t="shared" si="440"/>
        <v>0</v>
      </c>
      <c r="S124" s="20">
        <f t="shared" si="441"/>
        <v>4</v>
      </c>
      <c r="T124" s="19">
        <f t="shared" si="442"/>
        <v>0.37939200000000006</v>
      </c>
      <c r="U124" s="21">
        <f t="shared" si="443"/>
        <v>-4</v>
      </c>
      <c r="V124" s="19">
        <f t="shared" si="444"/>
        <v>-0.37939200000000006</v>
      </c>
      <c r="X124" s="29"/>
    </row>
    <row r="125" spans="1:24">
      <c r="A125" s="26" t="s">
        <v>14</v>
      </c>
      <c r="B125" s="26" t="s">
        <v>26</v>
      </c>
      <c r="C125" s="26">
        <v>8.32</v>
      </c>
      <c r="D125" s="27">
        <v>11.5</v>
      </c>
      <c r="E125" s="28"/>
      <c r="F125" s="16">
        <f t="shared" si="436"/>
        <v>0</v>
      </c>
      <c r="G125" s="17"/>
      <c r="H125" s="18">
        <v>1</v>
      </c>
      <c r="I125" s="19">
        <f t="shared" si="437"/>
        <v>9.5680000000000001E-2</v>
      </c>
      <c r="J125" s="16"/>
      <c r="K125" s="18"/>
      <c r="L125" s="19">
        <f t="shared" si="438"/>
        <v>0</v>
      </c>
      <c r="M125" s="16"/>
      <c r="N125" s="18"/>
      <c r="O125" s="19">
        <f t="shared" si="439"/>
        <v>0</v>
      </c>
      <c r="P125" s="16"/>
      <c r="Q125" s="18"/>
      <c r="R125" s="19">
        <f t="shared" si="440"/>
        <v>0</v>
      </c>
      <c r="S125" s="20">
        <f t="shared" si="441"/>
        <v>1</v>
      </c>
      <c r="T125" s="19">
        <f t="shared" si="442"/>
        <v>9.5680000000000001E-2</v>
      </c>
      <c r="U125" s="21">
        <f t="shared" si="443"/>
        <v>-1</v>
      </c>
      <c r="V125" s="19">
        <f t="shared" si="444"/>
        <v>-9.5680000000000001E-2</v>
      </c>
      <c r="X125" s="29"/>
    </row>
    <row r="126" spans="1:24">
      <c r="A126" s="26" t="s">
        <v>14</v>
      </c>
      <c r="B126" s="26" t="s">
        <v>26</v>
      </c>
      <c r="C126" s="26">
        <v>8.32</v>
      </c>
      <c r="D126" s="27">
        <v>11.8</v>
      </c>
      <c r="E126" s="28"/>
      <c r="F126" s="16">
        <f t="shared" si="436"/>
        <v>0</v>
      </c>
      <c r="G126" s="17"/>
      <c r="H126" s="18">
        <v>1</v>
      </c>
      <c r="I126" s="19">
        <f t="shared" si="437"/>
        <v>9.8176000000000013E-2</v>
      </c>
      <c r="J126" s="16"/>
      <c r="K126" s="18"/>
      <c r="L126" s="19">
        <f t="shared" si="438"/>
        <v>0</v>
      </c>
      <c r="M126" s="16"/>
      <c r="N126" s="18"/>
      <c r="O126" s="19">
        <f t="shared" si="439"/>
        <v>0</v>
      </c>
      <c r="P126" s="16"/>
      <c r="Q126" s="18"/>
      <c r="R126" s="19">
        <f t="shared" si="440"/>
        <v>0</v>
      </c>
      <c r="S126" s="20">
        <f t="shared" si="441"/>
        <v>1</v>
      </c>
      <c r="T126" s="19">
        <f t="shared" si="442"/>
        <v>9.8176000000000013E-2</v>
      </c>
      <c r="U126" s="21">
        <f t="shared" si="443"/>
        <v>-1</v>
      </c>
      <c r="V126" s="19">
        <f t="shared" si="444"/>
        <v>-9.8176000000000013E-2</v>
      </c>
      <c r="X126" s="29"/>
    </row>
    <row r="127" spans="1:24">
      <c r="A127" s="26" t="s">
        <v>14</v>
      </c>
      <c r="B127" s="26" t="s">
        <v>26</v>
      </c>
      <c r="C127" s="26">
        <v>8.32</v>
      </c>
      <c r="D127" s="27"/>
      <c r="E127" s="28"/>
      <c r="F127" s="16">
        <f t="shared" si="436"/>
        <v>0</v>
      </c>
      <c r="G127" s="17"/>
      <c r="H127" s="18"/>
      <c r="I127" s="19">
        <f t="shared" si="437"/>
        <v>0</v>
      </c>
      <c r="J127" s="16"/>
      <c r="K127" s="18"/>
      <c r="L127" s="19">
        <f t="shared" si="438"/>
        <v>0</v>
      </c>
      <c r="M127" s="16"/>
      <c r="N127" s="18"/>
      <c r="O127" s="19">
        <f t="shared" si="439"/>
        <v>0</v>
      </c>
      <c r="P127" s="16"/>
      <c r="Q127" s="18"/>
      <c r="R127" s="19">
        <f t="shared" si="440"/>
        <v>0</v>
      </c>
      <c r="S127" s="20">
        <f t="shared" si="441"/>
        <v>0</v>
      </c>
      <c r="T127" s="19">
        <f t="shared" si="442"/>
        <v>0</v>
      </c>
      <c r="U127" s="21">
        <f t="shared" si="443"/>
        <v>0</v>
      </c>
      <c r="V127" s="19">
        <f t="shared" si="444"/>
        <v>0</v>
      </c>
      <c r="X127" s="29"/>
    </row>
    <row r="128" spans="1:24">
      <c r="A128" s="26" t="s">
        <v>14</v>
      </c>
      <c r="B128" s="26" t="s">
        <v>26</v>
      </c>
      <c r="C128" s="26">
        <v>8.32</v>
      </c>
      <c r="D128" s="27"/>
      <c r="E128" s="28"/>
      <c r="F128" s="16">
        <f t="shared" si="436"/>
        <v>0</v>
      </c>
      <c r="G128" s="17"/>
      <c r="H128" s="18"/>
      <c r="I128" s="19">
        <f t="shared" si="437"/>
        <v>0</v>
      </c>
      <c r="J128" s="16"/>
      <c r="K128" s="18"/>
      <c r="L128" s="19">
        <f t="shared" si="438"/>
        <v>0</v>
      </c>
      <c r="M128" s="16"/>
      <c r="N128" s="18"/>
      <c r="O128" s="19">
        <f t="shared" si="439"/>
        <v>0</v>
      </c>
      <c r="P128" s="16"/>
      <c r="Q128" s="18"/>
      <c r="R128" s="19">
        <f t="shared" si="440"/>
        <v>0</v>
      </c>
      <c r="S128" s="20">
        <f t="shared" si="441"/>
        <v>0</v>
      </c>
      <c r="T128" s="19">
        <f t="shared" si="442"/>
        <v>0</v>
      </c>
      <c r="U128" s="21">
        <f t="shared" si="443"/>
        <v>0</v>
      </c>
      <c r="V128" s="19">
        <f t="shared" si="444"/>
        <v>0</v>
      </c>
      <c r="X128" s="29"/>
    </row>
    <row r="129" spans="1:24">
      <c r="A129" s="26" t="s">
        <v>14</v>
      </c>
      <c r="B129" s="26" t="s">
        <v>26</v>
      </c>
      <c r="C129" s="26">
        <v>8.32</v>
      </c>
      <c r="D129" s="27"/>
      <c r="E129" s="28"/>
      <c r="F129" s="16">
        <f t="shared" si="436"/>
        <v>0</v>
      </c>
      <c r="G129" s="17"/>
      <c r="H129" s="18"/>
      <c r="I129" s="19">
        <f t="shared" si="437"/>
        <v>0</v>
      </c>
      <c r="J129" s="16"/>
      <c r="K129" s="18"/>
      <c r="L129" s="19">
        <f t="shared" si="438"/>
        <v>0</v>
      </c>
      <c r="M129" s="16"/>
      <c r="N129" s="18"/>
      <c r="O129" s="19">
        <f t="shared" si="439"/>
        <v>0</v>
      </c>
      <c r="P129" s="16"/>
      <c r="Q129" s="18"/>
      <c r="R129" s="19">
        <f t="shared" si="440"/>
        <v>0</v>
      </c>
      <c r="S129" s="20">
        <f t="shared" si="441"/>
        <v>0</v>
      </c>
      <c r="T129" s="19">
        <f t="shared" si="442"/>
        <v>0</v>
      </c>
      <c r="U129" s="21">
        <f t="shared" si="443"/>
        <v>0</v>
      </c>
      <c r="V129" s="19">
        <f t="shared" si="444"/>
        <v>0</v>
      </c>
      <c r="X129" s="29"/>
    </row>
    <row r="130" spans="1:24">
      <c r="A130" s="26" t="s">
        <v>14</v>
      </c>
      <c r="B130" s="26" t="s">
        <v>26</v>
      </c>
      <c r="C130" s="26">
        <v>8.32</v>
      </c>
      <c r="D130" s="27"/>
      <c r="E130" s="28"/>
      <c r="F130" s="16">
        <f t="shared" si="436"/>
        <v>0</v>
      </c>
      <c r="G130" s="17"/>
      <c r="H130" s="18"/>
      <c r="I130" s="19">
        <f t="shared" si="437"/>
        <v>0</v>
      </c>
      <c r="J130" s="16"/>
      <c r="K130" s="18"/>
      <c r="L130" s="19">
        <f t="shared" si="438"/>
        <v>0</v>
      </c>
      <c r="M130" s="16"/>
      <c r="N130" s="18"/>
      <c r="O130" s="19">
        <f t="shared" si="439"/>
        <v>0</v>
      </c>
      <c r="P130" s="16"/>
      <c r="Q130" s="18"/>
      <c r="R130" s="19">
        <f t="shared" si="440"/>
        <v>0</v>
      </c>
      <c r="S130" s="20">
        <f t="shared" si="441"/>
        <v>0</v>
      </c>
      <c r="T130" s="19">
        <f t="shared" si="442"/>
        <v>0</v>
      </c>
      <c r="U130" s="21">
        <f t="shared" si="443"/>
        <v>0</v>
      </c>
      <c r="V130" s="19">
        <f t="shared" si="444"/>
        <v>0</v>
      </c>
      <c r="X130" s="29"/>
    </row>
    <row r="131" spans="1:24">
      <c r="A131" s="26" t="s">
        <v>14</v>
      </c>
      <c r="B131" s="26" t="s">
        <v>26</v>
      </c>
      <c r="C131" s="26">
        <v>8.32</v>
      </c>
      <c r="D131" s="27"/>
      <c r="E131" s="28"/>
      <c r="F131" s="16">
        <f t="shared" si="427"/>
        <v>0</v>
      </c>
      <c r="G131" s="17"/>
      <c r="H131" s="18"/>
      <c r="I131" s="19">
        <f t="shared" si="428"/>
        <v>0</v>
      </c>
      <c r="J131" s="16"/>
      <c r="K131" s="18"/>
      <c r="L131" s="19">
        <f t="shared" si="429"/>
        <v>0</v>
      </c>
      <c r="M131" s="16"/>
      <c r="N131" s="18"/>
      <c r="O131" s="19">
        <f t="shared" si="430"/>
        <v>0</v>
      </c>
      <c r="P131" s="16"/>
      <c r="Q131" s="18"/>
      <c r="R131" s="19">
        <f t="shared" si="431"/>
        <v>0</v>
      </c>
      <c r="S131" s="20">
        <f t="shared" si="432"/>
        <v>0</v>
      </c>
      <c r="T131" s="19">
        <f t="shared" si="433"/>
        <v>0</v>
      </c>
      <c r="U131" s="21">
        <f t="shared" si="434"/>
        <v>0</v>
      </c>
      <c r="V131" s="19">
        <f t="shared" si="435"/>
        <v>0</v>
      </c>
      <c r="X131" s="29"/>
    </row>
    <row r="132" spans="1:24">
      <c r="A132" s="36"/>
      <c r="B132" s="36"/>
      <c r="C132" s="36"/>
      <c r="D132" s="38"/>
      <c r="E132" s="31">
        <f t="shared" ref="E132:F132" si="454">SUM(E107:E131)</f>
        <v>22</v>
      </c>
      <c r="F132" s="38">
        <f t="shared" si="454"/>
        <v>2.0134400000000001</v>
      </c>
      <c r="G132" s="17"/>
      <c r="H132" s="31">
        <f t="shared" ref="H132" si="455">SUM(H107:H131)</f>
        <v>48</v>
      </c>
      <c r="I132" s="38">
        <f t="shared" ref="I132" si="456">SUM(I107:I131)</f>
        <v>3.6616320000000009</v>
      </c>
      <c r="J132" s="17"/>
      <c r="K132" s="31">
        <f t="shared" ref="K132" si="457">SUM(K107:K131)</f>
        <v>0</v>
      </c>
      <c r="L132" s="38">
        <f t="shared" ref="L132" si="458">SUM(L107:L131)</f>
        <v>0</v>
      </c>
      <c r="M132" s="17"/>
      <c r="N132" s="31">
        <f t="shared" ref="N132" si="459">SUM(N107:N131)</f>
        <v>0</v>
      </c>
      <c r="O132" s="38">
        <f t="shared" ref="O132" si="460">SUM(O107:O131)</f>
        <v>0</v>
      </c>
      <c r="P132" s="17"/>
      <c r="Q132" s="31">
        <f t="shared" ref="Q132" si="461">SUM(Q107:Q131)</f>
        <v>0</v>
      </c>
      <c r="R132" s="38">
        <f t="shared" ref="R132" si="462">SUM(R107:R131)</f>
        <v>0</v>
      </c>
      <c r="S132" s="31">
        <f t="shared" ref="S132" si="463">SUM(S107:S131)</f>
        <v>48</v>
      </c>
      <c r="T132" s="38">
        <f t="shared" ref="T132" si="464">SUM(T107:T131)</f>
        <v>3.6616320000000009</v>
      </c>
      <c r="U132" s="31">
        <f t="shared" ref="U132" si="465">SUM(U107:U131)</f>
        <v>-26</v>
      </c>
      <c r="V132" s="38">
        <f t="shared" ref="V132" si="466">SUM(V107:V131)</f>
        <v>-1.6481919999999997</v>
      </c>
      <c r="X132" s="29"/>
    </row>
    <row r="133" spans="1:24">
      <c r="A133" s="33"/>
      <c r="B133" s="33"/>
      <c r="C133" s="34"/>
      <c r="D133" s="34"/>
      <c r="E133" s="34">
        <f>SUM(E6:E132)/2</f>
        <v>608</v>
      </c>
      <c r="F133" s="35">
        <f>SUM(F6:F132)/2</f>
        <v>69.025477000000009</v>
      </c>
      <c r="G133" s="26"/>
      <c r="H133" s="34">
        <f>SUM(H6:H132)/2</f>
        <v>458</v>
      </c>
      <c r="I133" s="35">
        <f>SUM(I6:I132)/2</f>
        <v>52.174586000000005</v>
      </c>
      <c r="J133" s="26"/>
      <c r="K133" s="34">
        <f>SUM(K6:K132)/2</f>
        <v>106</v>
      </c>
      <c r="L133" s="35">
        <f>SUM(L6:L132)/2</f>
        <v>13.776813000000004</v>
      </c>
      <c r="M133" s="26"/>
      <c r="N133" s="34">
        <f>SUM(N6:N132)/2</f>
        <v>27</v>
      </c>
      <c r="O133" s="35">
        <f>SUM(O6:O132)/2</f>
        <v>3.3637800000000002</v>
      </c>
      <c r="P133" s="26"/>
      <c r="Q133" s="34">
        <f t="shared" ref="Q133:V133" si="467">SUM(Q6:Q132)/2</f>
        <v>6</v>
      </c>
      <c r="R133" s="35">
        <f t="shared" si="467"/>
        <v>0.71131200000000006</v>
      </c>
      <c r="S133" s="34">
        <f t="shared" si="467"/>
        <v>597</v>
      </c>
      <c r="T133" s="35">
        <f t="shared" si="467"/>
        <v>70.026490999999979</v>
      </c>
      <c r="U133" s="34">
        <f t="shared" si="467"/>
        <v>11</v>
      </c>
      <c r="V133" s="35">
        <f t="shared" si="467"/>
        <v>-1.0010139999999996</v>
      </c>
    </row>
    <row r="148" spans="18:18">
      <c r="R148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4"/>
  <dimension ref="A1:AB366"/>
  <sheetViews>
    <sheetView zoomScale="75" zoomScaleNormal="75" workbookViewId="0">
      <pane ySplit="5" topLeftCell="A42" activePane="bottomLeft" state="frozen"/>
      <selection pane="bottomLeft" activeCell="G58" sqref="G58:G5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  <col min="24" max="24" width="9.88671875" bestFit="1" customWidth="1"/>
    <col min="26" max="26" width="9.88671875" bestFit="1" customWidth="1"/>
    <col min="28" max="28" width="10.44140625" bestFit="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138</v>
      </c>
      <c r="H1" s="144"/>
      <c r="I1" s="145" t="s">
        <v>188</v>
      </c>
      <c r="J1" s="144"/>
      <c r="K1" s="3"/>
      <c r="L1" s="4"/>
      <c r="M1" s="4"/>
      <c r="N1" s="3"/>
      <c r="O1" s="4"/>
      <c r="P1" s="146" t="str">
        <f>+F2</f>
        <v>LOI- 337  15.06.23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147</v>
      </c>
      <c r="B2" s="8"/>
      <c r="C2" s="9"/>
      <c r="D2" s="9"/>
      <c r="E2" s="10"/>
      <c r="F2" s="146" t="s">
        <v>187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LOI- 337  15.06.23</v>
      </c>
      <c r="V2" s="146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26">
        <v>9.26</v>
      </c>
      <c r="D6" s="27">
        <v>7.8</v>
      </c>
      <c r="E6" s="28">
        <v>43</v>
      </c>
      <c r="F6" s="16">
        <f t="shared" ref="F6:F15" si="0">(C6*D6*E6/1000)</f>
        <v>3.1058039999999996</v>
      </c>
      <c r="G6" s="17" t="s">
        <v>89</v>
      </c>
      <c r="H6" s="18">
        <v>44</v>
      </c>
      <c r="I6" s="19">
        <f t="shared" ref="I6:I15" si="1">(C6*D6*H6/1000)</f>
        <v>3.1780319999999995</v>
      </c>
      <c r="J6" s="16" t="s">
        <v>89</v>
      </c>
      <c r="K6" s="18"/>
      <c r="L6" s="19">
        <f t="shared" ref="L6:L15" si="2">(C6*D6*K6/1000)</f>
        <v>0</v>
      </c>
      <c r="M6" s="16"/>
      <c r="N6" s="18"/>
      <c r="O6" s="19">
        <f t="shared" ref="O6:O15" si="3">(C6*D6*N6/1000)</f>
        <v>0</v>
      </c>
      <c r="P6" s="16"/>
      <c r="Q6" s="18"/>
      <c r="R6" s="19">
        <f t="shared" ref="R6:R15" si="4">(C6*D6*Q6/1000)</f>
        <v>0</v>
      </c>
      <c r="S6" s="20">
        <f t="shared" ref="S6:S15" si="5">+H6+K6+Q6+N6</f>
        <v>44</v>
      </c>
      <c r="T6" s="19">
        <f t="shared" ref="T6:T15" si="6">+I6+L6+R6+O6</f>
        <v>3.1780319999999995</v>
      </c>
      <c r="U6" s="21">
        <f t="shared" ref="U6:U15" si="7">E6-S6</f>
        <v>-1</v>
      </c>
      <c r="V6" s="19">
        <f t="shared" ref="V6:V15" si="8">F6-T6</f>
        <v>-7.2227999999999959E-2</v>
      </c>
      <c r="X6" s="29"/>
    </row>
    <row r="7" spans="1:24">
      <c r="A7" s="26" t="s">
        <v>13</v>
      </c>
      <c r="B7" s="26" t="s">
        <v>45</v>
      </c>
      <c r="C7" s="26">
        <v>9.26</v>
      </c>
      <c r="D7" s="27">
        <v>8.1999999999999993</v>
      </c>
      <c r="E7" s="28">
        <v>22</v>
      </c>
      <c r="F7" s="16">
        <f t="shared" si="0"/>
        <v>1.6705039999999998</v>
      </c>
      <c r="G7" s="17" t="s">
        <v>204</v>
      </c>
      <c r="H7" s="18">
        <v>19</v>
      </c>
      <c r="I7" s="19">
        <f t="shared" si="1"/>
        <v>1.4427079999999999</v>
      </c>
      <c r="J7" s="16" t="s">
        <v>207</v>
      </c>
      <c r="K7" s="18">
        <v>3</v>
      </c>
      <c r="L7" s="19">
        <f t="shared" si="2"/>
        <v>0.22779599999999997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22</v>
      </c>
      <c r="T7" s="19">
        <f t="shared" si="6"/>
        <v>1.6705039999999998</v>
      </c>
      <c r="U7" s="21">
        <f t="shared" si="7"/>
        <v>0</v>
      </c>
      <c r="V7" s="19">
        <f t="shared" si="8"/>
        <v>0</v>
      </c>
      <c r="X7" s="29"/>
    </row>
    <row r="8" spans="1:24">
      <c r="A8" s="26" t="s">
        <v>13</v>
      </c>
      <c r="B8" s="26" t="s">
        <v>45</v>
      </c>
      <c r="C8" s="26">
        <v>9.26</v>
      </c>
      <c r="D8" s="27">
        <v>8.8000000000000007</v>
      </c>
      <c r="E8" s="28">
        <v>87</v>
      </c>
      <c r="F8" s="16">
        <f t="shared" si="0"/>
        <v>7.0894560000000002</v>
      </c>
      <c r="G8" s="17"/>
      <c r="H8" s="18">
        <v>25</v>
      </c>
      <c r="I8" s="19">
        <f t="shared" si="1"/>
        <v>2.0371999999999999</v>
      </c>
      <c r="J8" s="16"/>
      <c r="K8" s="18">
        <f>6+39</f>
        <v>45</v>
      </c>
      <c r="L8" s="19">
        <f t="shared" si="2"/>
        <v>3.66696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70</v>
      </c>
      <c r="T8" s="19">
        <f t="shared" si="6"/>
        <v>5.7041599999999999</v>
      </c>
      <c r="U8" s="21">
        <f t="shared" si="7"/>
        <v>17</v>
      </c>
      <c r="V8" s="19">
        <f t="shared" si="8"/>
        <v>1.3852960000000003</v>
      </c>
      <c r="X8" s="29"/>
    </row>
    <row r="9" spans="1:24">
      <c r="A9" s="26" t="s">
        <v>13</v>
      </c>
      <c r="B9" s="26" t="s">
        <v>45</v>
      </c>
      <c r="C9" s="26">
        <v>9.26</v>
      </c>
      <c r="D9" s="27">
        <v>9.5</v>
      </c>
      <c r="E9" s="28">
        <v>18</v>
      </c>
      <c r="F9" s="16">
        <f t="shared" si="0"/>
        <v>1.5834600000000001</v>
      </c>
      <c r="G9" s="17"/>
      <c r="H9" s="18">
        <v>18</v>
      </c>
      <c r="I9" s="19">
        <f t="shared" si="1"/>
        <v>1.5834600000000001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18</v>
      </c>
      <c r="T9" s="19">
        <f t="shared" si="6"/>
        <v>1.5834600000000001</v>
      </c>
      <c r="U9" s="21">
        <f t="shared" si="7"/>
        <v>0</v>
      </c>
      <c r="V9" s="19">
        <f t="shared" si="8"/>
        <v>0</v>
      </c>
      <c r="X9" s="29"/>
    </row>
    <row r="10" spans="1:24">
      <c r="A10" s="26" t="s">
        <v>13</v>
      </c>
      <c r="B10" s="26" t="s">
        <v>45</v>
      </c>
      <c r="C10" s="26">
        <v>9.26</v>
      </c>
      <c r="D10" s="27">
        <v>11.2</v>
      </c>
      <c r="E10" s="28">
        <v>36</v>
      </c>
      <c r="F10" s="16">
        <f t="shared" si="0"/>
        <v>3.7336319999999996</v>
      </c>
      <c r="G10" s="17"/>
      <c r="H10" s="18">
        <v>34</v>
      </c>
      <c r="I10" s="19">
        <f t="shared" si="1"/>
        <v>3.5262079999999996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34</v>
      </c>
      <c r="T10" s="19">
        <f t="shared" si="6"/>
        <v>3.5262079999999996</v>
      </c>
      <c r="U10" s="21">
        <f t="shared" si="7"/>
        <v>2</v>
      </c>
      <c r="V10" s="19">
        <f t="shared" si="8"/>
        <v>0.20742400000000005</v>
      </c>
      <c r="X10" s="29"/>
    </row>
    <row r="11" spans="1:24">
      <c r="A11" s="26" t="s">
        <v>13</v>
      </c>
      <c r="B11" s="26" t="s">
        <v>45</v>
      </c>
      <c r="C11" s="26">
        <v>9.26</v>
      </c>
      <c r="D11" s="27">
        <v>12</v>
      </c>
      <c r="E11" s="28">
        <v>62</v>
      </c>
      <c r="F11" s="16">
        <f t="shared" ref="F11:F14" si="9">(C11*D11*E11/1000)</f>
        <v>6.8894400000000005</v>
      </c>
      <c r="G11" s="17"/>
      <c r="H11" s="18">
        <v>62</v>
      </c>
      <c r="I11" s="19">
        <f t="shared" ref="I11:I14" si="10">(C11*D11*H11/1000)</f>
        <v>6.8894400000000005</v>
      </c>
      <c r="J11" s="16"/>
      <c r="K11" s="18">
        <v>10</v>
      </c>
      <c r="L11" s="19">
        <f t="shared" ref="L11:L14" si="11">(C11*D11*K11/1000)</f>
        <v>1.1112</v>
      </c>
      <c r="M11" s="16"/>
      <c r="N11" s="18"/>
      <c r="O11" s="19">
        <f t="shared" ref="O11:O14" si="12">(C11*D11*N11/1000)</f>
        <v>0</v>
      </c>
      <c r="P11" s="16"/>
      <c r="Q11" s="18"/>
      <c r="R11" s="19">
        <f t="shared" ref="R11:R14" si="13">(C11*D11*Q11/1000)</f>
        <v>0</v>
      </c>
      <c r="S11" s="20">
        <f t="shared" ref="S11:S14" si="14">+H11+K11+Q11+N11</f>
        <v>72</v>
      </c>
      <c r="T11" s="19">
        <f t="shared" ref="T11:T14" si="15">+I11+L11+R11+O11</f>
        <v>8.0006400000000006</v>
      </c>
      <c r="U11" s="21">
        <f t="shared" ref="U11:U14" si="16">E11-S11</f>
        <v>-10</v>
      </c>
      <c r="V11" s="19">
        <f t="shared" ref="V11:V14" si="17">F11-T11</f>
        <v>-1.1112000000000002</v>
      </c>
      <c r="X11" s="29"/>
    </row>
    <row r="12" spans="1:24">
      <c r="A12" s="26" t="s">
        <v>13</v>
      </c>
      <c r="B12" s="26" t="s">
        <v>45</v>
      </c>
      <c r="C12" s="26">
        <v>9.26</v>
      </c>
      <c r="D12" s="27">
        <v>11.9</v>
      </c>
      <c r="E12" s="28"/>
      <c r="F12" s="16">
        <f t="shared" si="9"/>
        <v>0</v>
      </c>
      <c r="G12" s="17"/>
      <c r="H12" s="18"/>
      <c r="I12" s="19">
        <f t="shared" si="10"/>
        <v>0</v>
      </c>
      <c r="J12" s="16"/>
      <c r="K12" s="18">
        <v>3</v>
      </c>
      <c r="L12" s="19">
        <f t="shared" si="11"/>
        <v>0.33058199999999999</v>
      </c>
      <c r="M12" s="16"/>
      <c r="N12" s="18"/>
      <c r="O12" s="19">
        <f t="shared" si="12"/>
        <v>0</v>
      </c>
      <c r="P12" s="16"/>
      <c r="Q12" s="18"/>
      <c r="R12" s="19">
        <f t="shared" si="13"/>
        <v>0</v>
      </c>
      <c r="S12" s="20">
        <f t="shared" si="14"/>
        <v>3</v>
      </c>
      <c r="T12" s="19">
        <f t="shared" si="15"/>
        <v>0.33058199999999999</v>
      </c>
      <c r="U12" s="21">
        <f t="shared" si="16"/>
        <v>-3</v>
      </c>
      <c r="V12" s="19">
        <f t="shared" si="17"/>
        <v>-0.33058199999999999</v>
      </c>
      <c r="X12" s="29"/>
    </row>
    <row r="13" spans="1:24">
      <c r="A13" s="26" t="s">
        <v>13</v>
      </c>
      <c r="B13" s="26" t="s">
        <v>45</v>
      </c>
      <c r="C13" s="26">
        <v>9.26</v>
      </c>
      <c r="D13" s="27">
        <v>10.5</v>
      </c>
      <c r="E13" s="28"/>
      <c r="F13" s="16">
        <f t="shared" si="9"/>
        <v>0</v>
      </c>
      <c r="G13" s="17"/>
      <c r="H13" s="18"/>
      <c r="I13" s="19">
        <f t="shared" si="10"/>
        <v>0</v>
      </c>
      <c r="J13" s="16"/>
      <c r="K13" s="18">
        <v>2</v>
      </c>
      <c r="L13" s="19">
        <f t="shared" si="11"/>
        <v>0.19446000000000002</v>
      </c>
      <c r="M13" s="16"/>
      <c r="N13" s="18"/>
      <c r="O13" s="19">
        <f t="shared" si="12"/>
        <v>0</v>
      </c>
      <c r="P13" s="16"/>
      <c r="Q13" s="18"/>
      <c r="R13" s="19">
        <f t="shared" si="13"/>
        <v>0</v>
      </c>
      <c r="S13" s="20">
        <f t="shared" si="14"/>
        <v>2</v>
      </c>
      <c r="T13" s="19">
        <f t="shared" si="15"/>
        <v>0.19446000000000002</v>
      </c>
      <c r="U13" s="21">
        <f t="shared" si="16"/>
        <v>-2</v>
      </c>
      <c r="V13" s="19">
        <f t="shared" si="17"/>
        <v>-0.19446000000000002</v>
      </c>
      <c r="X13" s="29"/>
    </row>
    <row r="14" spans="1:24">
      <c r="A14" s="26" t="s">
        <v>13</v>
      </c>
      <c r="B14" s="26" t="s">
        <v>45</v>
      </c>
      <c r="C14" s="26">
        <v>9.26</v>
      </c>
      <c r="D14" s="27"/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/>
      <c r="L14" s="19">
        <f t="shared" si="11"/>
        <v>0</v>
      </c>
      <c r="M14" s="16"/>
      <c r="N14" s="18"/>
      <c r="O14" s="19">
        <f t="shared" si="12"/>
        <v>0</v>
      </c>
      <c r="P14" s="16"/>
      <c r="Q14" s="18"/>
      <c r="R14" s="19">
        <f t="shared" si="13"/>
        <v>0</v>
      </c>
      <c r="S14" s="20">
        <f t="shared" si="14"/>
        <v>0</v>
      </c>
      <c r="T14" s="19">
        <f t="shared" si="15"/>
        <v>0</v>
      </c>
      <c r="U14" s="21">
        <f t="shared" si="16"/>
        <v>0</v>
      </c>
      <c r="V14" s="19">
        <f t="shared" si="17"/>
        <v>0</v>
      </c>
      <c r="X14" s="29"/>
    </row>
    <row r="15" spans="1:24">
      <c r="A15" s="26" t="s">
        <v>13</v>
      </c>
      <c r="B15" s="26" t="s">
        <v>45</v>
      </c>
      <c r="C15" s="26">
        <v>9.26</v>
      </c>
      <c r="D15" s="27"/>
      <c r="E15" s="28"/>
      <c r="F15" s="16">
        <f t="shared" si="0"/>
        <v>0</v>
      </c>
      <c r="G15" s="17"/>
      <c r="H15" s="18"/>
      <c r="I15" s="19">
        <f t="shared" si="1"/>
        <v>0</v>
      </c>
      <c r="J15" s="16"/>
      <c r="K15" s="18"/>
      <c r="L15" s="19">
        <f t="shared" si="2"/>
        <v>0</v>
      </c>
      <c r="M15" s="16"/>
      <c r="N15" s="18"/>
      <c r="O15" s="19">
        <f t="shared" si="3"/>
        <v>0</v>
      </c>
      <c r="P15" s="16"/>
      <c r="Q15" s="18"/>
      <c r="R15" s="19">
        <f t="shared" si="4"/>
        <v>0</v>
      </c>
      <c r="S15" s="20">
        <f t="shared" si="5"/>
        <v>0</v>
      </c>
      <c r="T15" s="19">
        <f t="shared" si="6"/>
        <v>0</v>
      </c>
      <c r="U15" s="21">
        <f t="shared" si="7"/>
        <v>0</v>
      </c>
      <c r="V15" s="19">
        <f t="shared" si="8"/>
        <v>0</v>
      </c>
      <c r="X15" s="29"/>
    </row>
    <row r="16" spans="1:24">
      <c r="A16" s="36"/>
      <c r="B16" s="36"/>
      <c r="C16" s="36"/>
      <c r="D16" s="38"/>
      <c r="E16" s="31">
        <f>SUM(E6:E15)</f>
        <v>268</v>
      </c>
      <c r="F16" s="38">
        <f>SUM(F6:F15)</f>
        <v>24.072295999999998</v>
      </c>
      <c r="G16" s="17"/>
      <c r="H16" s="31">
        <f>SUM(H6:H15)</f>
        <v>202</v>
      </c>
      <c r="I16" s="38">
        <f>SUM(I6:I15)</f>
        <v>18.657048</v>
      </c>
      <c r="J16" s="16"/>
      <c r="K16" s="31">
        <f>SUM(K6:K15)</f>
        <v>63</v>
      </c>
      <c r="L16" s="38">
        <f>SUM(L6:L15)</f>
        <v>5.5309980000000003</v>
      </c>
      <c r="M16" s="16"/>
      <c r="N16" s="31">
        <f>SUM(N6:N15)</f>
        <v>0</v>
      </c>
      <c r="O16" s="38">
        <f>SUM(O6:O15)</f>
        <v>0</v>
      </c>
      <c r="P16" s="16"/>
      <c r="Q16" s="31">
        <f t="shared" ref="Q16:V16" si="18">SUM(Q6:Q15)</f>
        <v>0</v>
      </c>
      <c r="R16" s="38">
        <f t="shared" si="18"/>
        <v>0</v>
      </c>
      <c r="S16" s="31">
        <f t="shared" si="18"/>
        <v>265</v>
      </c>
      <c r="T16" s="38">
        <f t="shared" si="18"/>
        <v>24.188046</v>
      </c>
      <c r="U16" s="31">
        <f t="shared" si="18"/>
        <v>3</v>
      </c>
      <c r="V16" s="38">
        <f t="shared" si="18"/>
        <v>-0.1157499999999998</v>
      </c>
      <c r="X16" s="29"/>
    </row>
    <row r="17" spans="1:24">
      <c r="A17" s="26" t="s">
        <v>13</v>
      </c>
      <c r="B17" s="26" t="s">
        <v>46</v>
      </c>
      <c r="C17" s="26">
        <v>10.7</v>
      </c>
      <c r="D17" s="27">
        <v>7.1</v>
      </c>
      <c r="E17" s="28">
        <v>81</v>
      </c>
      <c r="F17" s="16">
        <f t="shared" ref="F17:F27" si="19">(C17*D17*E17/1000)</f>
        <v>6.1535699999999984</v>
      </c>
      <c r="G17" s="17" t="s">
        <v>93</v>
      </c>
      <c r="H17" s="18">
        <v>65</v>
      </c>
      <c r="I17" s="19">
        <f t="shared" ref="I17:I27" si="20">(C17*D17*H17/1000)</f>
        <v>4.9380499999999996</v>
      </c>
      <c r="J17" s="16" t="s">
        <v>93</v>
      </c>
      <c r="K17" s="18">
        <v>4</v>
      </c>
      <c r="L17" s="19">
        <f t="shared" ref="L17:L27" si="21">(C17*D17*K17/1000)</f>
        <v>0.30387999999999993</v>
      </c>
      <c r="M17" s="16"/>
      <c r="N17" s="18"/>
      <c r="O17" s="19">
        <f t="shared" ref="O17:O27" si="22">(C17*D17*N17/1000)</f>
        <v>0</v>
      </c>
      <c r="P17" s="16"/>
      <c r="Q17" s="18"/>
      <c r="R17" s="19">
        <f t="shared" ref="R17:R27" si="23">(C17*D17*Q17/1000)</f>
        <v>0</v>
      </c>
      <c r="S17" s="20">
        <f t="shared" ref="S17:S27" si="24">+H17+K17+Q17+N17</f>
        <v>69</v>
      </c>
      <c r="T17" s="19">
        <f t="shared" ref="T17:T27" si="25">+I17+L17+R17+O17</f>
        <v>5.24193</v>
      </c>
      <c r="U17" s="21">
        <f t="shared" ref="U17:U27" si="26">E17-S17</f>
        <v>12</v>
      </c>
      <c r="V17" s="19">
        <f t="shared" ref="V17:V27" si="27">F17-T17</f>
        <v>0.91163999999999845</v>
      </c>
      <c r="X17" s="29"/>
    </row>
    <row r="18" spans="1:24">
      <c r="A18" s="26" t="s">
        <v>13</v>
      </c>
      <c r="B18" s="26" t="s">
        <v>46</v>
      </c>
      <c r="C18" s="26">
        <v>10.7</v>
      </c>
      <c r="D18" s="27">
        <v>7.8</v>
      </c>
      <c r="E18" s="28">
        <v>38</v>
      </c>
      <c r="F18" s="16">
        <f t="shared" si="19"/>
        <v>3.1714799999999994</v>
      </c>
      <c r="G18" s="17" t="s">
        <v>204</v>
      </c>
      <c r="H18" s="18">
        <v>23</v>
      </c>
      <c r="I18" s="19">
        <f t="shared" si="20"/>
        <v>1.9195799999999998</v>
      </c>
      <c r="J18" s="16" t="s">
        <v>206</v>
      </c>
      <c r="K18" s="18">
        <v>8</v>
      </c>
      <c r="L18" s="19">
        <f t="shared" si="21"/>
        <v>0.66767999999999994</v>
      </c>
      <c r="M18" s="16"/>
      <c r="N18" s="18"/>
      <c r="O18" s="19">
        <f t="shared" si="22"/>
        <v>0</v>
      </c>
      <c r="P18" s="16"/>
      <c r="Q18" s="18"/>
      <c r="R18" s="19">
        <f t="shared" si="23"/>
        <v>0</v>
      </c>
      <c r="S18" s="20">
        <f t="shared" si="24"/>
        <v>31</v>
      </c>
      <c r="T18" s="19">
        <f t="shared" si="25"/>
        <v>2.5872599999999997</v>
      </c>
      <c r="U18" s="21">
        <f t="shared" si="26"/>
        <v>7</v>
      </c>
      <c r="V18" s="19">
        <f t="shared" si="27"/>
        <v>0.58421999999999974</v>
      </c>
      <c r="X18" s="29"/>
    </row>
    <row r="19" spans="1:24">
      <c r="A19" s="26" t="s">
        <v>13</v>
      </c>
      <c r="B19" s="26" t="s">
        <v>46</v>
      </c>
      <c r="C19" s="26">
        <v>10.7</v>
      </c>
      <c r="D19" s="27">
        <v>9.6999999999999993</v>
      </c>
      <c r="E19" s="28">
        <v>104</v>
      </c>
      <c r="F19" s="16">
        <f t="shared" si="19"/>
        <v>10.79416</v>
      </c>
      <c r="G19" s="17"/>
      <c r="H19" s="18">
        <v>48</v>
      </c>
      <c r="I19" s="19">
        <f t="shared" si="20"/>
        <v>4.9819199999999997</v>
      </c>
      <c r="J19" s="16"/>
      <c r="K19" s="18">
        <v>50</v>
      </c>
      <c r="L19" s="19">
        <f t="shared" si="21"/>
        <v>5.1894999999999998</v>
      </c>
      <c r="M19" s="16"/>
      <c r="N19" s="18"/>
      <c r="O19" s="19">
        <f t="shared" si="22"/>
        <v>0</v>
      </c>
      <c r="P19" s="16"/>
      <c r="Q19" s="18"/>
      <c r="R19" s="19">
        <f t="shared" si="23"/>
        <v>0</v>
      </c>
      <c r="S19" s="20">
        <f t="shared" si="24"/>
        <v>98</v>
      </c>
      <c r="T19" s="19">
        <f t="shared" si="25"/>
        <v>10.171419999999999</v>
      </c>
      <c r="U19" s="21">
        <f t="shared" si="26"/>
        <v>6</v>
      </c>
      <c r="V19" s="19">
        <f t="shared" si="27"/>
        <v>0.62274000000000029</v>
      </c>
      <c r="X19" s="29"/>
    </row>
    <row r="20" spans="1:24">
      <c r="A20" s="26" t="s">
        <v>13</v>
      </c>
      <c r="B20" s="26" t="s">
        <v>46</v>
      </c>
      <c r="C20" s="26">
        <v>10.7</v>
      </c>
      <c r="D20" s="27">
        <v>9.9</v>
      </c>
      <c r="E20" s="28">
        <v>64</v>
      </c>
      <c r="F20" s="16">
        <f t="shared" si="19"/>
        <v>6.7795199999999998</v>
      </c>
      <c r="G20" s="17"/>
      <c r="H20" s="18">
        <v>47</v>
      </c>
      <c r="I20" s="19">
        <f t="shared" si="20"/>
        <v>4.9787100000000004</v>
      </c>
      <c r="J20" s="16"/>
      <c r="K20" s="18">
        <v>25</v>
      </c>
      <c r="L20" s="19">
        <f t="shared" si="21"/>
        <v>2.64825</v>
      </c>
      <c r="M20" s="16"/>
      <c r="N20" s="18"/>
      <c r="O20" s="19">
        <f t="shared" si="22"/>
        <v>0</v>
      </c>
      <c r="P20" s="16"/>
      <c r="Q20" s="18"/>
      <c r="R20" s="19">
        <f t="shared" si="23"/>
        <v>0</v>
      </c>
      <c r="S20" s="20">
        <f t="shared" si="24"/>
        <v>72</v>
      </c>
      <c r="T20" s="19">
        <f t="shared" si="25"/>
        <v>7.6269600000000004</v>
      </c>
      <c r="U20" s="21">
        <f t="shared" si="26"/>
        <v>-8</v>
      </c>
      <c r="V20" s="19">
        <f t="shared" si="27"/>
        <v>-0.84744000000000064</v>
      </c>
      <c r="X20" s="29"/>
    </row>
    <row r="21" spans="1:24">
      <c r="A21" s="26" t="s">
        <v>13</v>
      </c>
      <c r="B21" s="26" t="s">
        <v>46</v>
      </c>
      <c r="C21" s="26">
        <v>10.7</v>
      </c>
      <c r="D21" s="27">
        <v>11.2</v>
      </c>
      <c r="E21" s="28">
        <v>21</v>
      </c>
      <c r="F21" s="16">
        <f t="shared" si="19"/>
        <v>2.5166399999999998</v>
      </c>
      <c r="G21" s="17"/>
      <c r="H21" s="18">
        <v>4</v>
      </c>
      <c r="I21" s="19">
        <f t="shared" si="20"/>
        <v>0.47935999999999995</v>
      </c>
      <c r="J21" s="16"/>
      <c r="K21" s="18">
        <v>17</v>
      </c>
      <c r="L21" s="19">
        <f t="shared" si="21"/>
        <v>2.0372799999999995</v>
      </c>
      <c r="M21" s="16"/>
      <c r="N21" s="18"/>
      <c r="O21" s="19">
        <f t="shared" si="22"/>
        <v>0</v>
      </c>
      <c r="P21" s="16"/>
      <c r="Q21" s="18"/>
      <c r="R21" s="19">
        <f t="shared" si="23"/>
        <v>0</v>
      </c>
      <c r="S21" s="20">
        <f t="shared" si="24"/>
        <v>21</v>
      </c>
      <c r="T21" s="19">
        <f t="shared" si="25"/>
        <v>2.5166399999999993</v>
      </c>
      <c r="U21" s="21">
        <f t="shared" si="26"/>
        <v>0</v>
      </c>
      <c r="V21" s="19">
        <f t="shared" si="27"/>
        <v>0</v>
      </c>
      <c r="X21" s="29"/>
    </row>
    <row r="22" spans="1:24">
      <c r="A22" s="26" t="s">
        <v>13</v>
      </c>
      <c r="B22" s="26" t="s">
        <v>46</v>
      </c>
      <c r="C22" s="26">
        <v>10.7</v>
      </c>
      <c r="D22" s="27">
        <v>11.7</v>
      </c>
      <c r="E22" s="28">
        <v>64</v>
      </c>
      <c r="F22" s="16">
        <f t="shared" si="19"/>
        <v>8.0121599999999997</v>
      </c>
      <c r="G22" s="17"/>
      <c r="H22" s="18">
        <v>51</v>
      </c>
      <c r="I22" s="19">
        <f t="shared" si="20"/>
        <v>6.38469</v>
      </c>
      <c r="J22" s="16"/>
      <c r="K22" s="18">
        <v>27</v>
      </c>
      <c r="L22" s="19">
        <f t="shared" si="21"/>
        <v>3.3801299999999999</v>
      </c>
      <c r="M22" s="16"/>
      <c r="N22" s="18"/>
      <c r="O22" s="19">
        <f t="shared" si="22"/>
        <v>0</v>
      </c>
      <c r="P22" s="16"/>
      <c r="Q22" s="18"/>
      <c r="R22" s="19">
        <f t="shared" si="23"/>
        <v>0</v>
      </c>
      <c r="S22" s="20">
        <f t="shared" si="24"/>
        <v>78</v>
      </c>
      <c r="T22" s="19">
        <f t="shared" si="25"/>
        <v>9.7648200000000003</v>
      </c>
      <c r="U22" s="21">
        <f t="shared" si="26"/>
        <v>-14</v>
      </c>
      <c r="V22" s="19">
        <f t="shared" si="27"/>
        <v>-1.7526600000000006</v>
      </c>
      <c r="X22" s="29"/>
    </row>
    <row r="23" spans="1:24">
      <c r="A23" s="26" t="s">
        <v>13</v>
      </c>
      <c r="B23" s="26" t="s">
        <v>46</v>
      </c>
      <c r="C23" s="26">
        <v>10.7</v>
      </c>
      <c r="D23" s="27">
        <v>12</v>
      </c>
      <c r="E23" s="28">
        <v>7</v>
      </c>
      <c r="F23" s="16">
        <f t="shared" ref="F23:F26" si="28">(C23*D23*E23/1000)</f>
        <v>0.89879999999999982</v>
      </c>
      <c r="G23" s="17"/>
      <c r="H23" s="18"/>
      <c r="I23" s="19">
        <f t="shared" ref="I23:I26" si="29">(C23*D23*H23/1000)</f>
        <v>0</v>
      </c>
      <c r="J23" s="16"/>
      <c r="K23" s="18"/>
      <c r="L23" s="19">
        <f t="shared" ref="L23:L26" si="30">(C23*D23*K23/1000)</f>
        <v>0</v>
      </c>
      <c r="M23" s="16"/>
      <c r="N23" s="18"/>
      <c r="O23" s="19">
        <f t="shared" ref="O23:O26" si="31">(C23*D23*N23/1000)</f>
        <v>0</v>
      </c>
      <c r="P23" s="16"/>
      <c r="Q23" s="18"/>
      <c r="R23" s="19">
        <f t="shared" ref="R23:R26" si="32">(C23*D23*Q23/1000)</f>
        <v>0</v>
      </c>
      <c r="S23" s="20">
        <f t="shared" ref="S23:S26" si="33">+H23+K23+Q23+N23</f>
        <v>0</v>
      </c>
      <c r="T23" s="19">
        <f t="shared" ref="T23:T26" si="34">+I23+L23+R23+O23</f>
        <v>0</v>
      </c>
      <c r="U23" s="21">
        <f t="shared" ref="U23:U26" si="35">E23-S23</f>
        <v>7</v>
      </c>
      <c r="V23" s="19">
        <f t="shared" ref="V23:V26" si="36">F23-T23</f>
        <v>0.89879999999999982</v>
      </c>
      <c r="X23" s="29"/>
    </row>
    <row r="24" spans="1:24">
      <c r="A24" s="26" t="s">
        <v>13</v>
      </c>
      <c r="B24" s="26" t="s">
        <v>46</v>
      </c>
      <c r="C24" s="26">
        <v>10.7</v>
      </c>
      <c r="D24" s="27">
        <v>10.5</v>
      </c>
      <c r="E24" s="28"/>
      <c r="F24" s="16">
        <f t="shared" si="28"/>
        <v>0</v>
      </c>
      <c r="G24" s="17"/>
      <c r="H24" s="18"/>
      <c r="I24" s="19">
        <f t="shared" si="29"/>
        <v>0</v>
      </c>
      <c r="J24" s="16"/>
      <c r="K24" s="18">
        <v>3</v>
      </c>
      <c r="L24" s="19">
        <f t="shared" si="30"/>
        <v>0.33704999999999996</v>
      </c>
      <c r="M24" s="16"/>
      <c r="N24" s="18"/>
      <c r="O24" s="19">
        <f t="shared" si="31"/>
        <v>0</v>
      </c>
      <c r="P24" s="16"/>
      <c r="Q24" s="18"/>
      <c r="R24" s="19">
        <f t="shared" si="32"/>
        <v>0</v>
      </c>
      <c r="S24" s="20">
        <f t="shared" si="33"/>
        <v>3</v>
      </c>
      <c r="T24" s="19">
        <f t="shared" si="34"/>
        <v>0.33704999999999996</v>
      </c>
      <c r="U24" s="21">
        <f t="shared" si="35"/>
        <v>-3</v>
      </c>
      <c r="V24" s="19">
        <f t="shared" si="36"/>
        <v>-0.33704999999999996</v>
      </c>
      <c r="X24" s="29"/>
    </row>
    <row r="25" spans="1:24">
      <c r="A25" s="26" t="s">
        <v>13</v>
      </c>
      <c r="B25" s="26" t="s">
        <v>46</v>
      </c>
      <c r="C25" s="26">
        <v>10.7</v>
      </c>
      <c r="D25" s="27">
        <v>6.8</v>
      </c>
      <c r="E25" s="28"/>
      <c r="F25" s="16">
        <f t="shared" si="28"/>
        <v>0</v>
      </c>
      <c r="G25" s="17"/>
      <c r="H25" s="18"/>
      <c r="I25" s="19">
        <f t="shared" si="29"/>
        <v>0</v>
      </c>
      <c r="J25" s="16"/>
      <c r="K25" s="18">
        <v>1</v>
      </c>
      <c r="L25" s="19">
        <f t="shared" si="30"/>
        <v>7.2759999999999991E-2</v>
      </c>
      <c r="M25" s="16"/>
      <c r="N25" s="18"/>
      <c r="O25" s="19">
        <f t="shared" si="31"/>
        <v>0</v>
      </c>
      <c r="P25" s="16"/>
      <c r="Q25" s="18"/>
      <c r="R25" s="19">
        <f t="shared" si="32"/>
        <v>0</v>
      </c>
      <c r="S25" s="20">
        <f t="shared" si="33"/>
        <v>1</v>
      </c>
      <c r="T25" s="19">
        <f t="shared" si="34"/>
        <v>7.2759999999999991E-2</v>
      </c>
      <c r="U25" s="21">
        <f t="shared" si="35"/>
        <v>-1</v>
      </c>
      <c r="V25" s="19">
        <f t="shared" si="36"/>
        <v>-7.2759999999999991E-2</v>
      </c>
      <c r="X25" s="29"/>
    </row>
    <row r="26" spans="1:24">
      <c r="A26" s="26" t="s">
        <v>13</v>
      </c>
      <c r="B26" s="26" t="s">
        <v>46</v>
      </c>
      <c r="C26" s="26">
        <v>10.7</v>
      </c>
      <c r="D26" s="27">
        <v>7.5</v>
      </c>
      <c r="E26" s="28"/>
      <c r="F26" s="16">
        <f t="shared" si="28"/>
        <v>0</v>
      </c>
      <c r="G26" s="17"/>
      <c r="H26" s="18"/>
      <c r="I26" s="19">
        <f t="shared" si="29"/>
        <v>0</v>
      </c>
      <c r="J26" s="16"/>
      <c r="K26" s="18">
        <v>1</v>
      </c>
      <c r="L26" s="19">
        <f t="shared" si="30"/>
        <v>8.0250000000000002E-2</v>
      </c>
      <c r="M26" s="16"/>
      <c r="N26" s="18"/>
      <c r="O26" s="19">
        <f t="shared" si="31"/>
        <v>0</v>
      </c>
      <c r="P26" s="16"/>
      <c r="Q26" s="18"/>
      <c r="R26" s="19">
        <f t="shared" si="32"/>
        <v>0</v>
      </c>
      <c r="S26" s="20">
        <f t="shared" si="33"/>
        <v>1</v>
      </c>
      <c r="T26" s="19">
        <f t="shared" si="34"/>
        <v>8.0250000000000002E-2</v>
      </c>
      <c r="U26" s="21">
        <f t="shared" si="35"/>
        <v>-1</v>
      </c>
      <c r="V26" s="19">
        <f t="shared" si="36"/>
        <v>-8.0250000000000002E-2</v>
      </c>
      <c r="X26" s="29"/>
    </row>
    <row r="27" spans="1:24">
      <c r="A27" s="26" t="s">
        <v>13</v>
      </c>
      <c r="B27" s="26" t="s">
        <v>46</v>
      </c>
      <c r="C27" s="26">
        <v>10.7</v>
      </c>
      <c r="D27" s="27"/>
      <c r="E27" s="28"/>
      <c r="F27" s="16">
        <f t="shared" si="19"/>
        <v>0</v>
      </c>
      <c r="G27" s="17"/>
      <c r="H27" s="18"/>
      <c r="I27" s="19">
        <f t="shared" si="20"/>
        <v>0</v>
      </c>
      <c r="J27" s="16"/>
      <c r="K27" s="18"/>
      <c r="L27" s="19">
        <f t="shared" si="21"/>
        <v>0</v>
      </c>
      <c r="M27" s="16"/>
      <c r="N27" s="18"/>
      <c r="O27" s="19">
        <f t="shared" si="22"/>
        <v>0</v>
      </c>
      <c r="P27" s="16"/>
      <c r="Q27" s="18"/>
      <c r="R27" s="19">
        <f t="shared" si="23"/>
        <v>0</v>
      </c>
      <c r="S27" s="20">
        <f t="shared" si="24"/>
        <v>0</v>
      </c>
      <c r="T27" s="19">
        <f t="shared" si="25"/>
        <v>0</v>
      </c>
      <c r="U27" s="21">
        <f t="shared" si="26"/>
        <v>0</v>
      </c>
      <c r="V27" s="19">
        <f t="shared" si="27"/>
        <v>0</v>
      </c>
      <c r="X27" s="29"/>
    </row>
    <row r="28" spans="1:24">
      <c r="A28" s="36"/>
      <c r="B28" s="36"/>
      <c r="C28" s="36"/>
      <c r="D28" s="38"/>
      <c r="E28" s="31">
        <f>SUM(E17:E27)</f>
        <v>379</v>
      </c>
      <c r="F28" s="38">
        <f>SUM(F17:F27)</f>
        <v>38.326329999999992</v>
      </c>
      <c r="G28" s="17"/>
      <c r="H28" s="31">
        <f>SUM(H17:H27)</f>
        <v>238</v>
      </c>
      <c r="I28" s="38">
        <f>SUM(I17:I27)</f>
        <v>23.682309999999998</v>
      </c>
      <c r="J28" s="16"/>
      <c r="K28" s="31">
        <f>SUM(K17:K27)</f>
        <v>136</v>
      </c>
      <c r="L28" s="38">
        <f>SUM(L17:L27)</f>
        <v>14.716779999999998</v>
      </c>
      <c r="M28" s="16"/>
      <c r="N28" s="31">
        <f>SUM(N17:N27)</f>
        <v>0</v>
      </c>
      <c r="O28" s="38">
        <f>SUM(O17:O27)</f>
        <v>0</v>
      </c>
      <c r="P28" s="16"/>
      <c r="Q28" s="31">
        <f t="shared" ref="Q28:V28" si="37">SUM(Q17:Q27)</f>
        <v>0</v>
      </c>
      <c r="R28" s="38">
        <f t="shared" si="37"/>
        <v>0</v>
      </c>
      <c r="S28" s="31">
        <f t="shared" si="37"/>
        <v>374</v>
      </c>
      <c r="T28" s="38">
        <f t="shared" si="37"/>
        <v>38.399090000000001</v>
      </c>
      <c r="U28" s="31">
        <f t="shared" si="37"/>
        <v>5</v>
      </c>
      <c r="V28" s="38">
        <f t="shared" si="37"/>
        <v>-7.2760000000002836E-2</v>
      </c>
      <c r="X28" s="29"/>
    </row>
    <row r="29" spans="1:24">
      <c r="A29" s="26" t="s">
        <v>13</v>
      </c>
      <c r="B29" s="26" t="s">
        <v>61</v>
      </c>
      <c r="C29" s="26">
        <v>12.2</v>
      </c>
      <c r="D29" s="27">
        <v>6.5</v>
      </c>
      <c r="E29" s="28">
        <v>22</v>
      </c>
      <c r="F29" s="16">
        <f t="shared" ref="F29:F56" si="38">(C29*D29*E29/1000)</f>
        <v>1.7445999999999999</v>
      </c>
      <c r="G29" s="17" t="s">
        <v>114</v>
      </c>
      <c r="H29" s="18">
        <v>17</v>
      </c>
      <c r="I29" s="19">
        <f t="shared" ref="I29:I56" si="39">(C29*D29*H29/1000)</f>
        <v>1.3480999999999999</v>
      </c>
      <c r="J29" s="16" t="s">
        <v>89</v>
      </c>
      <c r="K29" s="18"/>
      <c r="L29" s="19">
        <f t="shared" ref="L29:L56" si="40">(C29*D29*K29/1000)</f>
        <v>0</v>
      </c>
      <c r="M29" s="17" t="s">
        <v>89</v>
      </c>
      <c r="N29" s="18"/>
      <c r="O29" s="19">
        <f t="shared" ref="O29:O56" si="41">(C29*D29*N29/1000)</f>
        <v>0</v>
      </c>
      <c r="P29" s="16" t="s">
        <v>93</v>
      </c>
      <c r="Q29" s="18"/>
      <c r="R29" s="19">
        <f t="shared" ref="R29:R56" si="42">(C29*D29*Q29/1000)</f>
        <v>0</v>
      </c>
      <c r="S29" s="20">
        <f t="shared" ref="S29:S56" si="43">+H29+K29+Q29+N29</f>
        <v>17</v>
      </c>
      <c r="T29" s="19">
        <f t="shared" ref="T29:T56" si="44">+I29+L29+R29+O29</f>
        <v>1.3480999999999999</v>
      </c>
      <c r="U29" s="21">
        <f t="shared" ref="U29:U56" si="45">E29-S29</f>
        <v>5</v>
      </c>
      <c r="V29" s="19">
        <f t="shared" ref="V29:V56" si="46">F29-T29</f>
        <v>0.39650000000000007</v>
      </c>
      <c r="X29" s="29"/>
    </row>
    <row r="30" spans="1:24">
      <c r="A30" s="26" t="s">
        <v>13</v>
      </c>
      <c r="B30" s="26" t="s">
        <v>61</v>
      </c>
      <c r="C30" s="26">
        <v>12.2</v>
      </c>
      <c r="D30" s="27">
        <v>7.5</v>
      </c>
      <c r="E30" s="28">
        <v>128</v>
      </c>
      <c r="F30" s="16">
        <f t="shared" si="38"/>
        <v>11.712</v>
      </c>
      <c r="G30" s="17" t="s">
        <v>202</v>
      </c>
      <c r="H30" s="18">
        <v>117</v>
      </c>
      <c r="I30" s="19">
        <f t="shared" si="39"/>
        <v>10.705500000000001</v>
      </c>
      <c r="J30" s="16" t="s">
        <v>207</v>
      </c>
      <c r="K30" s="18">
        <v>4</v>
      </c>
      <c r="L30" s="19">
        <f t="shared" si="40"/>
        <v>0.36599999999999999</v>
      </c>
      <c r="M30" s="17" t="s">
        <v>208</v>
      </c>
      <c r="N30" s="18"/>
      <c r="O30" s="19">
        <f t="shared" si="41"/>
        <v>0</v>
      </c>
      <c r="P30" s="16" t="s">
        <v>257</v>
      </c>
      <c r="Q30" s="18"/>
      <c r="R30" s="19">
        <f t="shared" si="42"/>
        <v>0</v>
      </c>
      <c r="S30" s="20">
        <f t="shared" si="43"/>
        <v>121</v>
      </c>
      <c r="T30" s="19">
        <f t="shared" si="44"/>
        <v>11.0715</v>
      </c>
      <c r="U30" s="21">
        <f t="shared" si="45"/>
        <v>7</v>
      </c>
      <c r="V30" s="19">
        <f t="shared" si="46"/>
        <v>0.6404999999999994</v>
      </c>
      <c r="X30" s="29"/>
    </row>
    <row r="31" spans="1:24">
      <c r="A31" s="26" t="s">
        <v>13</v>
      </c>
      <c r="B31" s="26" t="s">
        <v>61</v>
      </c>
      <c r="C31" s="26">
        <v>12.2</v>
      </c>
      <c r="D31" s="27">
        <v>8.8000000000000007</v>
      </c>
      <c r="E31" s="28">
        <v>64</v>
      </c>
      <c r="F31" s="16">
        <f t="shared" si="38"/>
        <v>6.8710399999999998</v>
      </c>
      <c r="G31" s="17" t="s">
        <v>93</v>
      </c>
      <c r="H31" s="18">
        <v>61</v>
      </c>
      <c r="I31" s="19">
        <f t="shared" si="39"/>
        <v>6.5489600000000001</v>
      </c>
      <c r="J31" s="16"/>
      <c r="K31" s="18"/>
      <c r="L31" s="19">
        <f t="shared" si="40"/>
        <v>0</v>
      </c>
      <c r="M31" s="16" t="s">
        <v>89</v>
      </c>
      <c r="N31" s="18"/>
      <c r="O31" s="19">
        <f t="shared" si="41"/>
        <v>0</v>
      </c>
      <c r="P31" s="17" t="s">
        <v>93</v>
      </c>
      <c r="Q31" s="18"/>
      <c r="R31" s="19">
        <f t="shared" si="42"/>
        <v>0</v>
      </c>
      <c r="S31" s="20">
        <f t="shared" si="43"/>
        <v>61</v>
      </c>
      <c r="T31" s="19">
        <f t="shared" si="44"/>
        <v>6.5489600000000001</v>
      </c>
      <c r="U31" s="21">
        <f t="shared" si="45"/>
        <v>3</v>
      </c>
      <c r="V31" s="19">
        <f t="shared" si="46"/>
        <v>0.3220799999999997</v>
      </c>
      <c r="X31" s="29"/>
    </row>
    <row r="32" spans="1:24">
      <c r="A32" s="26" t="s">
        <v>13</v>
      </c>
      <c r="B32" s="26" t="s">
        <v>61</v>
      </c>
      <c r="C32" s="26">
        <v>12.2</v>
      </c>
      <c r="D32" s="27">
        <v>9.1</v>
      </c>
      <c r="E32" s="28">
        <v>12</v>
      </c>
      <c r="F32" s="16">
        <f t="shared" si="38"/>
        <v>1.3322400000000001</v>
      </c>
      <c r="G32" s="17" t="s">
        <v>204</v>
      </c>
      <c r="H32" s="18">
        <v>11</v>
      </c>
      <c r="I32" s="19">
        <f t="shared" si="39"/>
        <v>1.22122</v>
      </c>
      <c r="J32" s="16"/>
      <c r="K32" s="18"/>
      <c r="L32" s="19">
        <f t="shared" si="40"/>
        <v>0</v>
      </c>
      <c r="M32" s="16" t="s">
        <v>209</v>
      </c>
      <c r="N32" s="18"/>
      <c r="O32" s="19">
        <f t="shared" si="41"/>
        <v>0</v>
      </c>
      <c r="P32" s="17" t="s">
        <v>281</v>
      </c>
      <c r="Q32" s="18"/>
      <c r="R32" s="19">
        <f t="shared" si="42"/>
        <v>0</v>
      </c>
      <c r="S32" s="20">
        <f t="shared" si="43"/>
        <v>11</v>
      </c>
      <c r="T32" s="19">
        <f t="shared" si="44"/>
        <v>1.22122</v>
      </c>
      <c r="U32" s="21">
        <f t="shared" si="45"/>
        <v>1</v>
      </c>
      <c r="V32" s="19">
        <f t="shared" si="46"/>
        <v>0.11102000000000012</v>
      </c>
      <c r="X32" s="29"/>
    </row>
    <row r="33" spans="1:24">
      <c r="A33" s="26" t="s">
        <v>13</v>
      </c>
      <c r="B33" s="26" t="s">
        <v>61</v>
      </c>
      <c r="C33" s="26">
        <v>12.2</v>
      </c>
      <c r="D33" s="27">
        <v>10.1</v>
      </c>
      <c r="E33" s="28">
        <v>89</v>
      </c>
      <c r="F33" s="16">
        <f t="shared" si="38"/>
        <v>10.966579999999999</v>
      </c>
      <c r="G33" s="16" t="s">
        <v>205</v>
      </c>
      <c r="H33" s="18">
        <v>73</v>
      </c>
      <c r="I33" s="19">
        <f t="shared" si="39"/>
        <v>8.9950599999999987</v>
      </c>
      <c r="J33" s="16"/>
      <c r="K33" s="18">
        <v>9</v>
      </c>
      <c r="L33" s="19">
        <f t="shared" si="40"/>
        <v>1.1089799999999999</v>
      </c>
      <c r="M33" s="16" t="s">
        <v>93</v>
      </c>
      <c r="N33" s="18">
        <f>1+1</f>
        <v>2</v>
      </c>
      <c r="O33" s="19">
        <f t="shared" si="41"/>
        <v>0.24643999999999996</v>
      </c>
      <c r="P33" s="16"/>
      <c r="Q33" s="18"/>
      <c r="R33" s="19">
        <f t="shared" si="42"/>
        <v>0</v>
      </c>
      <c r="S33" s="20">
        <f t="shared" si="43"/>
        <v>84</v>
      </c>
      <c r="T33" s="19">
        <f t="shared" si="44"/>
        <v>10.350479999999997</v>
      </c>
      <c r="U33" s="21">
        <f t="shared" si="45"/>
        <v>5</v>
      </c>
      <c r="V33" s="19">
        <f t="shared" si="46"/>
        <v>0.6161000000000012</v>
      </c>
      <c r="X33" s="29"/>
    </row>
    <row r="34" spans="1:24">
      <c r="A34" s="26" t="s">
        <v>13</v>
      </c>
      <c r="B34" s="26" t="s">
        <v>61</v>
      </c>
      <c r="C34" s="26">
        <v>12.2</v>
      </c>
      <c r="D34" s="27">
        <v>11</v>
      </c>
      <c r="E34" s="28">
        <v>351</v>
      </c>
      <c r="F34" s="16">
        <f t="shared" si="38"/>
        <v>47.104199999999999</v>
      </c>
      <c r="G34" s="16" t="s">
        <v>204</v>
      </c>
      <c r="H34" s="18">
        <v>158</v>
      </c>
      <c r="I34" s="19">
        <f t="shared" si="39"/>
        <v>21.203599999999998</v>
      </c>
      <c r="J34" s="16"/>
      <c r="K34" s="18">
        <v>74</v>
      </c>
      <c r="L34" s="19">
        <f t="shared" si="40"/>
        <v>9.9307999999999996</v>
      </c>
      <c r="M34" s="16" t="s">
        <v>209</v>
      </c>
      <c r="N34" s="18">
        <f>8+17+42</f>
        <v>67</v>
      </c>
      <c r="O34" s="19">
        <f t="shared" si="41"/>
        <v>8.9914000000000005</v>
      </c>
      <c r="P34" s="16"/>
      <c r="Q34" s="18"/>
      <c r="R34" s="19">
        <f t="shared" si="42"/>
        <v>0</v>
      </c>
      <c r="S34" s="20">
        <f t="shared" si="43"/>
        <v>299</v>
      </c>
      <c r="T34" s="19">
        <f t="shared" si="44"/>
        <v>40.125799999999998</v>
      </c>
      <c r="U34" s="21">
        <f t="shared" si="45"/>
        <v>52</v>
      </c>
      <c r="V34" s="19">
        <f t="shared" si="46"/>
        <v>6.9784000000000006</v>
      </c>
      <c r="X34" s="29"/>
    </row>
    <row r="35" spans="1:24">
      <c r="A35" s="26" t="s">
        <v>13</v>
      </c>
      <c r="B35" s="26" t="s">
        <v>61</v>
      </c>
      <c r="C35" s="26">
        <v>12.2</v>
      </c>
      <c r="D35" s="27">
        <v>11.2</v>
      </c>
      <c r="E35" s="28">
        <v>20</v>
      </c>
      <c r="F35" s="16">
        <f t="shared" si="38"/>
        <v>2.7327999999999997</v>
      </c>
      <c r="G35" s="16" t="s">
        <v>93</v>
      </c>
      <c r="H35" s="18">
        <v>27</v>
      </c>
      <c r="I35" s="19">
        <f t="shared" si="39"/>
        <v>3.6892799999999997</v>
      </c>
      <c r="J35" s="16"/>
      <c r="K35" s="18"/>
      <c r="L35" s="19">
        <f t="shared" si="40"/>
        <v>0</v>
      </c>
      <c r="M35" s="16"/>
      <c r="N35" s="18">
        <f>2+1</f>
        <v>3</v>
      </c>
      <c r="O35" s="19">
        <f t="shared" si="41"/>
        <v>0.40991999999999995</v>
      </c>
      <c r="P35" s="16"/>
      <c r="Q35" s="18"/>
      <c r="R35" s="19">
        <f t="shared" si="42"/>
        <v>0</v>
      </c>
      <c r="S35" s="20">
        <f t="shared" si="43"/>
        <v>30</v>
      </c>
      <c r="T35" s="19">
        <f t="shared" si="44"/>
        <v>4.0991999999999997</v>
      </c>
      <c r="U35" s="21">
        <f t="shared" si="45"/>
        <v>-10</v>
      </c>
      <c r="V35" s="19">
        <f t="shared" si="46"/>
        <v>-1.3664000000000001</v>
      </c>
      <c r="X35" s="29"/>
    </row>
    <row r="36" spans="1:24">
      <c r="A36" s="26" t="s">
        <v>13</v>
      </c>
      <c r="B36" s="26" t="s">
        <v>61</v>
      </c>
      <c r="C36" s="26">
        <v>12.2</v>
      </c>
      <c r="D36" s="27">
        <v>11.8</v>
      </c>
      <c r="E36" s="28">
        <v>44</v>
      </c>
      <c r="F36" s="16">
        <f t="shared" ref="F36:F55" si="47">(C36*D36*E36/1000)</f>
        <v>6.3342400000000003</v>
      </c>
      <c r="G36" s="16" t="s">
        <v>206</v>
      </c>
      <c r="H36" s="18">
        <v>41</v>
      </c>
      <c r="I36" s="19">
        <f t="shared" ref="I36:I55" si="48">(C36*D36*H36/1000)</f>
        <v>5.9023600000000007</v>
      </c>
      <c r="J36" s="16"/>
      <c r="K36" s="18"/>
      <c r="L36" s="19">
        <f t="shared" ref="L36:L55" si="49">(C36*D36*K36/1000)</f>
        <v>0</v>
      </c>
      <c r="M36" s="16"/>
      <c r="N36" s="18"/>
      <c r="O36" s="19">
        <f t="shared" ref="O36:O55" si="50">(C36*D36*N36/1000)</f>
        <v>0</v>
      </c>
      <c r="P36" s="16"/>
      <c r="Q36" s="18"/>
      <c r="R36" s="19">
        <f t="shared" ref="R36:R55" si="51">(C36*D36*Q36/1000)</f>
        <v>0</v>
      </c>
      <c r="S36" s="20">
        <f t="shared" ref="S36:S55" si="52">+H36+K36+Q36+N36</f>
        <v>41</v>
      </c>
      <c r="T36" s="19">
        <f t="shared" ref="T36:T55" si="53">+I36+L36+R36+O36</f>
        <v>5.9023600000000007</v>
      </c>
      <c r="U36" s="21">
        <f t="shared" ref="U36:U55" si="54">E36-S36</f>
        <v>3</v>
      </c>
      <c r="V36" s="19">
        <f t="shared" ref="V36:V55" si="55">F36-T36</f>
        <v>0.4318799999999996</v>
      </c>
      <c r="X36" s="29"/>
    </row>
    <row r="37" spans="1:24">
      <c r="A37" s="26" t="s">
        <v>13</v>
      </c>
      <c r="B37" s="26" t="s">
        <v>61</v>
      </c>
      <c r="C37" s="26">
        <v>12.2</v>
      </c>
      <c r="D37" s="27">
        <v>6.3</v>
      </c>
      <c r="E37" s="28">
        <v>44</v>
      </c>
      <c r="F37" s="16">
        <f t="shared" si="47"/>
        <v>3.38184</v>
      </c>
      <c r="G37" s="16" t="s">
        <v>89</v>
      </c>
      <c r="H37" s="18">
        <v>1</v>
      </c>
      <c r="I37" s="19">
        <f t="shared" si="48"/>
        <v>7.6859999999999998E-2</v>
      </c>
      <c r="J37" s="16"/>
      <c r="K37" s="18"/>
      <c r="L37" s="19">
        <f t="shared" si="49"/>
        <v>0</v>
      </c>
      <c r="M37" s="16"/>
      <c r="N37" s="18"/>
      <c r="O37" s="19">
        <f t="shared" si="50"/>
        <v>0</v>
      </c>
      <c r="P37" s="16"/>
      <c r="Q37" s="18"/>
      <c r="R37" s="19">
        <f t="shared" si="51"/>
        <v>0</v>
      </c>
      <c r="S37" s="20">
        <f t="shared" si="52"/>
        <v>1</v>
      </c>
      <c r="T37" s="19">
        <f t="shared" si="53"/>
        <v>7.6859999999999998E-2</v>
      </c>
      <c r="U37" s="21">
        <f t="shared" si="54"/>
        <v>43</v>
      </c>
      <c r="V37" s="19">
        <f t="shared" si="55"/>
        <v>3.30498</v>
      </c>
      <c r="X37" s="29"/>
    </row>
    <row r="38" spans="1:24">
      <c r="A38" s="26" t="s">
        <v>13</v>
      </c>
      <c r="B38" s="26" t="s">
        <v>61</v>
      </c>
      <c r="C38" s="26">
        <v>12.2</v>
      </c>
      <c r="D38" s="27">
        <v>6.7</v>
      </c>
      <c r="E38" s="28"/>
      <c r="F38" s="16">
        <f t="shared" si="47"/>
        <v>0</v>
      </c>
      <c r="G38" s="16"/>
      <c r="H38" s="18"/>
      <c r="I38" s="19">
        <f t="shared" si="48"/>
        <v>0</v>
      </c>
      <c r="J38" s="16"/>
      <c r="K38" s="18"/>
      <c r="L38" s="19">
        <f t="shared" si="49"/>
        <v>0</v>
      </c>
      <c r="M38" s="16"/>
      <c r="N38" s="18"/>
      <c r="O38" s="19">
        <f t="shared" si="50"/>
        <v>0</v>
      </c>
      <c r="P38" s="16"/>
      <c r="Q38" s="18">
        <v>1</v>
      </c>
      <c r="R38" s="19">
        <f t="shared" si="51"/>
        <v>8.1739999999999993E-2</v>
      </c>
      <c r="S38" s="20">
        <f t="shared" si="52"/>
        <v>1</v>
      </c>
      <c r="T38" s="19">
        <f t="shared" si="53"/>
        <v>8.1739999999999993E-2</v>
      </c>
      <c r="U38" s="21">
        <f t="shared" si="54"/>
        <v>-1</v>
      </c>
      <c r="V38" s="19">
        <f t="shared" si="55"/>
        <v>-8.1739999999999993E-2</v>
      </c>
      <c r="X38" s="29"/>
    </row>
    <row r="39" spans="1:24">
      <c r="A39" s="26" t="s">
        <v>13</v>
      </c>
      <c r="B39" s="26" t="s">
        <v>61</v>
      </c>
      <c r="C39" s="26">
        <v>12.2</v>
      </c>
      <c r="D39" s="27">
        <v>8.9</v>
      </c>
      <c r="E39" s="28"/>
      <c r="F39" s="16">
        <f t="shared" si="47"/>
        <v>0</v>
      </c>
      <c r="G39" s="16"/>
      <c r="H39" s="18"/>
      <c r="I39" s="19">
        <f t="shared" si="48"/>
        <v>0</v>
      </c>
      <c r="J39" s="16"/>
      <c r="K39" s="18"/>
      <c r="L39" s="19">
        <f t="shared" si="49"/>
        <v>0</v>
      </c>
      <c r="M39" s="16"/>
      <c r="N39" s="18"/>
      <c r="O39" s="19">
        <f t="shared" si="50"/>
        <v>0</v>
      </c>
      <c r="P39" s="16"/>
      <c r="Q39" s="18">
        <v>2</v>
      </c>
      <c r="R39" s="19">
        <f t="shared" si="51"/>
        <v>0.21715999999999999</v>
      </c>
      <c r="S39" s="20">
        <f t="shared" si="52"/>
        <v>2</v>
      </c>
      <c r="T39" s="19">
        <f t="shared" si="53"/>
        <v>0.21715999999999999</v>
      </c>
      <c r="U39" s="21">
        <f t="shared" si="54"/>
        <v>-2</v>
      </c>
      <c r="V39" s="19">
        <f t="shared" si="55"/>
        <v>-0.21715999999999999</v>
      </c>
      <c r="X39" s="29"/>
    </row>
    <row r="40" spans="1:24">
      <c r="A40" s="26" t="s">
        <v>13</v>
      </c>
      <c r="B40" s="26" t="s">
        <v>61</v>
      </c>
      <c r="C40" s="26">
        <v>12.2</v>
      </c>
      <c r="D40" s="27">
        <v>9</v>
      </c>
      <c r="E40" s="28"/>
      <c r="F40" s="16">
        <f t="shared" si="47"/>
        <v>0</v>
      </c>
      <c r="G40" s="16"/>
      <c r="H40" s="18"/>
      <c r="I40" s="19">
        <f t="shared" si="48"/>
        <v>0</v>
      </c>
      <c r="J40" s="16"/>
      <c r="K40" s="18"/>
      <c r="L40" s="19">
        <f t="shared" si="49"/>
        <v>0</v>
      </c>
      <c r="M40" s="16"/>
      <c r="N40" s="18"/>
      <c r="O40" s="19">
        <f t="shared" si="50"/>
        <v>0</v>
      </c>
      <c r="P40" s="16"/>
      <c r="Q40" s="18">
        <v>1</v>
      </c>
      <c r="R40" s="19">
        <f t="shared" si="51"/>
        <v>0.10979999999999999</v>
      </c>
      <c r="S40" s="20">
        <f t="shared" si="52"/>
        <v>1</v>
      </c>
      <c r="T40" s="19">
        <f t="shared" si="53"/>
        <v>0.10979999999999999</v>
      </c>
      <c r="U40" s="21">
        <f t="shared" si="54"/>
        <v>-1</v>
      </c>
      <c r="V40" s="19">
        <f t="shared" si="55"/>
        <v>-0.10979999999999999</v>
      </c>
      <c r="X40" s="29"/>
    </row>
    <row r="41" spans="1:24">
      <c r="A41" s="26" t="s">
        <v>13</v>
      </c>
      <c r="B41" s="26" t="s">
        <v>61</v>
      </c>
      <c r="C41" s="26">
        <v>12.2</v>
      </c>
      <c r="D41" s="27">
        <v>9.5</v>
      </c>
      <c r="E41" s="28"/>
      <c r="F41" s="16">
        <f t="shared" si="47"/>
        <v>0</v>
      </c>
      <c r="G41" s="16"/>
      <c r="H41" s="18"/>
      <c r="I41" s="19">
        <f t="shared" si="48"/>
        <v>0</v>
      </c>
      <c r="J41" s="16"/>
      <c r="K41" s="18"/>
      <c r="L41" s="19">
        <f t="shared" si="49"/>
        <v>0</v>
      </c>
      <c r="M41" s="16"/>
      <c r="N41" s="18"/>
      <c r="O41" s="19">
        <f t="shared" si="50"/>
        <v>0</v>
      </c>
      <c r="P41" s="16"/>
      <c r="Q41" s="18">
        <v>9</v>
      </c>
      <c r="R41" s="19">
        <f t="shared" si="51"/>
        <v>1.0430999999999999</v>
      </c>
      <c r="S41" s="20">
        <f t="shared" si="52"/>
        <v>9</v>
      </c>
      <c r="T41" s="19">
        <f t="shared" si="53"/>
        <v>1.0430999999999999</v>
      </c>
      <c r="U41" s="21">
        <f t="shared" si="54"/>
        <v>-9</v>
      </c>
      <c r="V41" s="19">
        <f t="shared" si="55"/>
        <v>-1.0430999999999999</v>
      </c>
      <c r="X41" s="29"/>
    </row>
    <row r="42" spans="1:24">
      <c r="A42" s="26" t="s">
        <v>13</v>
      </c>
      <c r="B42" s="26" t="s">
        <v>61</v>
      </c>
      <c r="C42" s="26">
        <v>12.2</v>
      </c>
      <c r="D42" s="27">
        <v>9.6999999999999993</v>
      </c>
      <c r="E42" s="28"/>
      <c r="F42" s="16">
        <f t="shared" si="47"/>
        <v>0</v>
      </c>
      <c r="G42" s="16"/>
      <c r="H42" s="18"/>
      <c r="I42" s="19">
        <f t="shared" si="48"/>
        <v>0</v>
      </c>
      <c r="J42" s="16"/>
      <c r="K42" s="18"/>
      <c r="L42" s="19">
        <f t="shared" si="49"/>
        <v>0</v>
      </c>
      <c r="M42" s="16"/>
      <c r="N42" s="18"/>
      <c r="O42" s="19">
        <f t="shared" si="50"/>
        <v>0</v>
      </c>
      <c r="P42" s="16"/>
      <c r="Q42" s="18">
        <v>1</v>
      </c>
      <c r="R42" s="19">
        <f t="shared" si="51"/>
        <v>0.11833999999999999</v>
      </c>
      <c r="S42" s="20">
        <f t="shared" si="52"/>
        <v>1</v>
      </c>
      <c r="T42" s="19">
        <f t="shared" si="53"/>
        <v>0.11833999999999999</v>
      </c>
      <c r="U42" s="21">
        <f t="shared" si="54"/>
        <v>-1</v>
      </c>
      <c r="V42" s="19">
        <f t="shared" si="55"/>
        <v>-0.11833999999999999</v>
      </c>
      <c r="X42" s="29"/>
    </row>
    <row r="43" spans="1:24">
      <c r="A43" s="26" t="s">
        <v>13</v>
      </c>
      <c r="B43" s="26" t="s">
        <v>61</v>
      </c>
      <c r="C43" s="26">
        <v>12.2</v>
      </c>
      <c r="D43" s="27">
        <v>10</v>
      </c>
      <c r="E43" s="28"/>
      <c r="F43" s="16">
        <f t="shared" si="47"/>
        <v>0</v>
      </c>
      <c r="G43" s="16"/>
      <c r="H43" s="18"/>
      <c r="I43" s="19">
        <f t="shared" si="48"/>
        <v>0</v>
      </c>
      <c r="J43" s="16"/>
      <c r="K43" s="18"/>
      <c r="L43" s="19">
        <f t="shared" si="49"/>
        <v>0</v>
      </c>
      <c r="M43" s="16"/>
      <c r="N43" s="18"/>
      <c r="O43" s="19">
        <f t="shared" si="50"/>
        <v>0</v>
      </c>
      <c r="P43" s="16"/>
      <c r="Q43" s="18">
        <v>4</v>
      </c>
      <c r="R43" s="19">
        <f t="shared" si="51"/>
        <v>0.48799999999999999</v>
      </c>
      <c r="S43" s="20">
        <f t="shared" si="52"/>
        <v>4</v>
      </c>
      <c r="T43" s="19">
        <f t="shared" si="53"/>
        <v>0.48799999999999999</v>
      </c>
      <c r="U43" s="21">
        <f t="shared" si="54"/>
        <v>-4</v>
      </c>
      <c r="V43" s="19">
        <f t="shared" si="55"/>
        <v>-0.48799999999999999</v>
      </c>
      <c r="X43" s="29"/>
    </row>
    <row r="44" spans="1:24">
      <c r="A44" s="26" t="s">
        <v>13</v>
      </c>
      <c r="B44" s="26" t="s">
        <v>61</v>
      </c>
      <c r="C44" s="26">
        <v>12.2</v>
      </c>
      <c r="D44" s="27">
        <v>10.1</v>
      </c>
      <c r="E44" s="28"/>
      <c r="F44" s="16">
        <f t="shared" si="47"/>
        <v>0</v>
      </c>
      <c r="G44" s="16"/>
      <c r="H44" s="18"/>
      <c r="I44" s="19">
        <f t="shared" si="48"/>
        <v>0</v>
      </c>
      <c r="J44" s="16"/>
      <c r="K44" s="18"/>
      <c r="L44" s="19">
        <f t="shared" si="49"/>
        <v>0</v>
      </c>
      <c r="M44" s="16"/>
      <c r="N44" s="18"/>
      <c r="O44" s="19">
        <f t="shared" si="50"/>
        <v>0</v>
      </c>
      <c r="P44" s="16"/>
      <c r="Q44" s="18">
        <v>3</v>
      </c>
      <c r="R44" s="19">
        <f t="shared" si="51"/>
        <v>0.36965999999999999</v>
      </c>
      <c r="S44" s="20">
        <f t="shared" si="52"/>
        <v>3</v>
      </c>
      <c r="T44" s="19">
        <f t="shared" si="53"/>
        <v>0.36965999999999999</v>
      </c>
      <c r="U44" s="21">
        <f t="shared" si="54"/>
        <v>-3</v>
      </c>
      <c r="V44" s="19">
        <f t="shared" si="55"/>
        <v>-0.36965999999999999</v>
      </c>
      <c r="X44" s="29"/>
    </row>
    <row r="45" spans="1:24">
      <c r="A45" s="26" t="s">
        <v>13</v>
      </c>
      <c r="B45" s="26" t="s">
        <v>61</v>
      </c>
      <c r="C45" s="26">
        <v>12.2</v>
      </c>
      <c r="D45" s="27">
        <v>10.3</v>
      </c>
      <c r="E45" s="28"/>
      <c r="F45" s="16">
        <f t="shared" si="47"/>
        <v>0</v>
      </c>
      <c r="G45" s="16"/>
      <c r="H45" s="18"/>
      <c r="I45" s="19">
        <f t="shared" si="48"/>
        <v>0</v>
      </c>
      <c r="J45" s="16"/>
      <c r="K45" s="18"/>
      <c r="L45" s="19">
        <f t="shared" si="49"/>
        <v>0</v>
      </c>
      <c r="M45" s="16"/>
      <c r="N45" s="18"/>
      <c r="O45" s="19">
        <f t="shared" si="50"/>
        <v>0</v>
      </c>
      <c r="P45" s="16"/>
      <c r="Q45" s="18">
        <v>1</v>
      </c>
      <c r="R45" s="19">
        <f t="shared" si="51"/>
        <v>0.12565999999999999</v>
      </c>
      <c r="S45" s="20">
        <f t="shared" si="52"/>
        <v>1</v>
      </c>
      <c r="T45" s="19">
        <f t="shared" si="53"/>
        <v>0.12565999999999999</v>
      </c>
      <c r="U45" s="21">
        <f t="shared" si="54"/>
        <v>-1</v>
      </c>
      <c r="V45" s="19">
        <f t="shared" si="55"/>
        <v>-0.12565999999999999</v>
      </c>
      <c r="X45" s="29"/>
    </row>
    <row r="46" spans="1:24">
      <c r="A46" s="26" t="s">
        <v>13</v>
      </c>
      <c r="B46" s="26" t="s">
        <v>61</v>
      </c>
      <c r="C46" s="26">
        <v>12.2</v>
      </c>
      <c r="D46" s="27">
        <v>11</v>
      </c>
      <c r="E46" s="28"/>
      <c r="F46" s="16">
        <f t="shared" si="47"/>
        <v>0</v>
      </c>
      <c r="G46" s="16"/>
      <c r="H46" s="18"/>
      <c r="I46" s="19">
        <f t="shared" si="48"/>
        <v>0</v>
      </c>
      <c r="J46" s="16"/>
      <c r="K46" s="18"/>
      <c r="L46" s="19">
        <f t="shared" si="49"/>
        <v>0</v>
      </c>
      <c r="M46" s="16"/>
      <c r="N46" s="18"/>
      <c r="O46" s="19">
        <f t="shared" si="50"/>
        <v>0</v>
      </c>
      <c r="P46" s="16"/>
      <c r="Q46" s="18">
        <v>20</v>
      </c>
      <c r="R46" s="19">
        <f t="shared" si="51"/>
        <v>2.6840000000000002</v>
      </c>
      <c r="S46" s="20">
        <f t="shared" si="52"/>
        <v>20</v>
      </c>
      <c r="T46" s="19">
        <f t="shared" si="53"/>
        <v>2.6840000000000002</v>
      </c>
      <c r="U46" s="21">
        <f t="shared" si="54"/>
        <v>-20</v>
      </c>
      <c r="V46" s="19">
        <f t="shared" si="55"/>
        <v>-2.6840000000000002</v>
      </c>
      <c r="X46" s="29"/>
    </row>
    <row r="47" spans="1:24">
      <c r="A47" s="26" t="s">
        <v>13</v>
      </c>
      <c r="B47" s="26" t="s">
        <v>61</v>
      </c>
      <c r="C47" s="26">
        <v>12.2</v>
      </c>
      <c r="D47" s="27">
        <v>12</v>
      </c>
      <c r="E47" s="28"/>
      <c r="F47" s="16">
        <f t="shared" si="47"/>
        <v>0</v>
      </c>
      <c r="G47" s="16"/>
      <c r="H47" s="18"/>
      <c r="I47" s="19">
        <f t="shared" si="48"/>
        <v>0</v>
      </c>
      <c r="J47" s="16"/>
      <c r="K47" s="18"/>
      <c r="L47" s="19">
        <f t="shared" si="49"/>
        <v>0</v>
      </c>
      <c r="M47" s="16"/>
      <c r="N47" s="18"/>
      <c r="O47" s="19">
        <f t="shared" si="50"/>
        <v>0</v>
      </c>
      <c r="P47" s="16"/>
      <c r="Q47" s="18">
        <v>2</v>
      </c>
      <c r="R47" s="19">
        <f t="shared" si="51"/>
        <v>0.29279999999999995</v>
      </c>
      <c r="S47" s="20">
        <f t="shared" si="52"/>
        <v>2</v>
      </c>
      <c r="T47" s="19">
        <f t="shared" si="53"/>
        <v>0.29279999999999995</v>
      </c>
      <c r="U47" s="21">
        <f t="shared" si="54"/>
        <v>-2</v>
      </c>
      <c r="V47" s="19">
        <f t="shared" si="55"/>
        <v>-0.29279999999999995</v>
      </c>
      <c r="X47" s="29"/>
    </row>
    <row r="48" spans="1:24">
      <c r="A48" s="26" t="s">
        <v>13</v>
      </c>
      <c r="B48" s="26" t="s">
        <v>61</v>
      </c>
      <c r="C48" s="26">
        <v>12.2</v>
      </c>
      <c r="D48" s="27">
        <v>6</v>
      </c>
      <c r="E48" s="28"/>
      <c r="F48" s="16">
        <f t="shared" si="47"/>
        <v>0</v>
      </c>
      <c r="G48" s="16"/>
      <c r="H48" s="18"/>
      <c r="I48" s="19">
        <f t="shared" si="48"/>
        <v>0</v>
      </c>
      <c r="J48" s="16"/>
      <c r="K48" s="18"/>
      <c r="L48" s="19">
        <f t="shared" si="49"/>
        <v>0</v>
      </c>
      <c r="M48" s="16"/>
      <c r="N48" s="18"/>
      <c r="O48" s="19">
        <f t="shared" si="50"/>
        <v>0</v>
      </c>
      <c r="P48" s="16"/>
      <c r="Q48" s="18">
        <v>7</v>
      </c>
      <c r="R48" s="19">
        <f t="shared" si="51"/>
        <v>0.51239999999999986</v>
      </c>
      <c r="S48" s="20">
        <f t="shared" si="52"/>
        <v>7</v>
      </c>
      <c r="T48" s="19">
        <f t="shared" si="53"/>
        <v>0.51239999999999986</v>
      </c>
      <c r="U48" s="21">
        <f t="shared" si="54"/>
        <v>-7</v>
      </c>
      <c r="V48" s="19">
        <f t="shared" si="55"/>
        <v>-0.51239999999999986</v>
      </c>
      <c r="X48" s="29"/>
    </row>
    <row r="49" spans="1:24">
      <c r="A49" s="26" t="s">
        <v>13</v>
      </c>
      <c r="B49" s="26" t="s">
        <v>61</v>
      </c>
      <c r="C49" s="26">
        <v>12.2</v>
      </c>
      <c r="D49" s="27">
        <v>9</v>
      </c>
      <c r="E49" s="28"/>
      <c r="F49" s="16">
        <f t="shared" si="47"/>
        <v>0</v>
      </c>
      <c r="G49" s="16"/>
      <c r="H49" s="18"/>
      <c r="I49" s="19">
        <f t="shared" si="48"/>
        <v>0</v>
      </c>
      <c r="J49" s="16"/>
      <c r="K49" s="18"/>
      <c r="L49" s="19">
        <f t="shared" si="49"/>
        <v>0</v>
      </c>
      <c r="M49" s="16"/>
      <c r="N49" s="18"/>
      <c r="O49" s="19">
        <f t="shared" si="50"/>
        <v>0</v>
      </c>
      <c r="P49" s="16"/>
      <c r="Q49" s="18">
        <v>1</v>
      </c>
      <c r="R49" s="19">
        <f t="shared" si="51"/>
        <v>0.10979999999999999</v>
      </c>
      <c r="S49" s="20">
        <f t="shared" si="52"/>
        <v>1</v>
      </c>
      <c r="T49" s="19">
        <f t="shared" si="53"/>
        <v>0.10979999999999999</v>
      </c>
      <c r="U49" s="21">
        <f t="shared" si="54"/>
        <v>-1</v>
      </c>
      <c r="V49" s="19">
        <f t="shared" si="55"/>
        <v>-0.10979999999999999</v>
      </c>
      <c r="X49" s="29"/>
    </row>
    <row r="50" spans="1:24">
      <c r="A50" s="26" t="s">
        <v>13</v>
      </c>
      <c r="B50" s="26" t="s">
        <v>61</v>
      </c>
      <c r="C50" s="26">
        <v>12.2</v>
      </c>
      <c r="D50" s="27">
        <v>10</v>
      </c>
      <c r="E50" s="28"/>
      <c r="F50" s="16">
        <f t="shared" si="47"/>
        <v>0</v>
      </c>
      <c r="G50" s="16"/>
      <c r="H50" s="18"/>
      <c r="I50" s="19">
        <f t="shared" si="48"/>
        <v>0</v>
      </c>
      <c r="J50" s="16"/>
      <c r="K50" s="18"/>
      <c r="L50" s="19">
        <f t="shared" si="49"/>
        <v>0</v>
      </c>
      <c r="M50" s="16"/>
      <c r="N50" s="18"/>
      <c r="O50" s="19">
        <f t="shared" si="50"/>
        <v>0</v>
      </c>
      <c r="P50" s="16"/>
      <c r="Q50" s="18">
        <v>1</v>
      </c>
      <c r="R50" s="19">
        <f t="shared" si="51"/>
        <v>0.122</v>
      </c>
      <c r="S50" s="20">
        <f t="shared" si="52"/>
        <v>1</v>
      </c>
      <c r="T50" s="19">
        <f t="shared" si="53"/>
        <v>0.122</v>
      </c>
      <c r="U50" s="21">
        <f t="shared" si="54"/>
        <v>-1</v>
      </c>
      <c r="V50" s="19">
        <f t="shared" si="55"/>
        <v>-0.122</v>
      </c>
      <c r="X50" s="29"/>
    </row>
    <row r="51" spans="1:24">
      <c r="A51" s="26" t="s">
        <v>13</v>
      </c>
      <c r="B51" s="26" t="s">
        <v>61</v>
      </c>
      <c r="C51" s="26">
        <v>12.2</v>
      </c>
      <c r="D51" s="27">
        <v>9.6</v>
      </c>
      <c r="E51" s="28"/>
      <c r="F51" s="16">
        <f t="shared" si="47"/>
        <v>0</v>
      </c>
      <c r="G51" s="16"/>
      <c r="H51" s="18"/>
      <c r="I51" s="19">
        <f t="shared" si="48"/>
        <v>0</v>
      </c>
      <c r="J51" s="16"/>
      <c r="K51" s="18"/>
      <c r="L51" s="19">
        <f t="shared" si="49"/>
        <v>0</v>
      </c>
      <c r="M51" s="16"/>
      <c r="N51" s="18"/>
      <c r="O51" s="19">
        <f t="shared" si="50"/>
        <v>0</v>
      </c>
      <c r="P51" s="16"/>
      <c r="Q51" s="18">
        <v>3</v>
      </c>
      <c r="R51" s="19">
        <f t="shared" si="51"/>
        <v>0.35135999999999995</v>
      </c>
      <c r="S51" s="20">
        <f t="shared" si="52"/>
        <v>3</v>
      </c>
      <c r="T51" s="19">
        <f t="shared" si="53"/>
        <v>0.35135999999999995</v>
      </c>
      <c r="U51" s="21">
        <f t="shared" si="54"/>
        <v>-3</v>
      </c>
      <c r="V51" s="19">
        <f t="shared" si="55"/>
        <v>-0.35135999999999995</v>
      </c>
      <c r="X51" s="29"/>
    </row>
    <row r="52" spans="1:24">
      <c r="A52" s="26" t="s">
        <v>13</v>
      </c>
      <c r="B52" s="26" t="s">
        <v>61</v>
      </c>
      <c r="C52" s="26">
        <v>12.2</v>
      </c>
      <c r="D52" s="27">
        <v>8.5</v>
      </c>
      <c r="E52" s="28"/>
      <c r="F52" s="16">
        <f t="shared" si="47"/>
        <v>0</v>
      </c>
      <c r="G52" s="16"/>
      <c r="H52" s="18"/>
      <c r="I52" s="19">
        <f t="shared" si="48"/>
        <v>0</v>
      </c>
      <c r="J52" s="16"/>
      <c r="K52" s="18"/>
      <c r="L52" s="19">
        <f t="shared" si="49"/>
        <v>0</v>
      </c>
      <c r="M52" s="16"/>
      <c r="N52" s="18"/>
      <c r="O52" s="19">
        <f t="shared" si="50"/>
        <v>0</v>
      </c>
      <c r="P52" s="16"/>
      <c r="Q52" s="18">
        <v>1</v>
      </c>
      <c r="R52" s="19">
        <f t="shared" si="51"/>
        <v>0.10369999999999999</v>
      </c>
      <c r="S52" s="20">
        <f t="shared" si="52"/>
        <v>1</v>
      </c>
      <c r="T52" s="19">
        <f t="shared" si="53"/>
        <v>0.10369999999999999</v>
      </c>
      <c r="U52" s="21">
        <f t="shared" si="54"/>
        <v>-1</v>
      </c>
      <c r="V52" s="19">
        <f t="shared" si="55"/>
        <v>-0.10369999999999999</v>
      </c>
      <c r="X52" s="29"/>
    </row>
    <row r="53" spans="1:24">
      <c r="A53" s="26" t="s">
        <v>13</v>
      </c>
      <c r="B53" s="26" t="s">
        <v>61</v>
      </c>
      <c r="C53" s="26">
        <v>12.2</v>
      </c>
      <c r="D53" s="27">
        <v>8</v>
      </c>
      <c r="E53" s="28"/>
      <c r="F53" s="16">
        <f t="shared" si="47"/>
        <v>0</v>
      </c>
      <c r="G53" s="16"/>
      <c r="H53" s="18"/>
      <c r="I53" s="19">
        <f t="shared" si="48"/>
        <v>0</v>
      </c>
      <c r="J53" s="16"/>
      <c r="K53" s="18"/>
      <c r="L53" s="19">
        <f t="shared" si="49"/>
        <v>0</v>
      </c>
      <c r="M53" s="16"/>
      <c r="N53" s="18"/>
      <c r="O53" s="19">
        <f t="shared" si="50"/>
        <v>0</v>
      </c>
      <c r="P53" s="16"/>
      <c r="Q53" s="18">
        <v>1</v>
      </c>
      <c r="R53" s="19">
        <f t="shared" si="51"/>
        <v>9.7599999999999992E-2</v>
      </c>
      <c r="S53" s="20">
        <f t="shared" si="52"/>
        <v>1</v>
      </c>
      <c r="T53" s="19">
        <f t="shared" si="53"/>
        <v>9.7599999999999992E-2</v>
      </c>
      <c r="U53" s="21">
        <f t="shared" si="54"/>
        <v>-1</v>
      </c>
      <c r="V53" s="19">
        <f t="shared" si="55"/>
        <v>-9.7599999999999992E-2</v>
      </c>
      <c r="X53" s="29"/>
    </row>
    <row r="54" spans="1:24">
      <c r="A54" s="26" t="s">
        <v>13</v>
      </c>
      <c r="B54" s="26" t="s">
        <v>61</v>
      </c>
      <c r="C54" s="26">
        <v>12.2</v>
      </c>
      <c r="D54" s="27">
        <v>7.2</v>
      </c>
      <c r="E54" s="28"/>
      <c r="F54" s="16">
        <f t="shared" si="47"/>
        <v>0</v>
      </c>
      <c r="G54" s="16"/>
      <c r="H54" s="18"/>
      <c r="I54" s="19">
        <f t="shared" si="48"/>
        <v>0</v>
      </c>
      <c r="J54" s="16"/>
      <c r="K54" s="18"/>
      <c r="L54" s="19">
        <f t="shared" si="49"/>
        <v>0</v>
      </c>
      <c r="M54" s="16"/>
      <c r="N54" s="18"/>
      <c r="O54" s="19">
        <f t="shared" si="50"/>
        <v>0</v>
      </c>
      <c r="P54" s="16"/>
      <c r="Q54" s="18">
        <v>1</v>
      </c>
      <c r="R54" s="19">
        <f t="shared" si="51"/>
        <v>8.7840000000000001E-2</v>
      </c>
      <c r="S54" s="20">
        <f t="shared" si="52"/>
        <v>1</v>
      </c>
      <c r="T54" s="19">
        <f t="shared" si="53"/>
        <v>8.7840000000000001E-2</v>
      </c>
      <c r="U54" s="21">
        <f t="shared" si="54"/>
        <v>-1</v>
      </c>
      <c r="V54" s="19">
        <f t="shared" si="55"/>
        <v>-8.7840000000000001E-2</v>
      </c>
      <c r="X54" s="29"/>
    </row>
    <row r="55" spans="1:24">
      <c r="A55" s="26" t="s">
        <v>13</v>
      </c>
      <c r="B55" s="26" t="s">
        <v>61</v>
      </c>
      <c r="C55" s="26">
        <v>12.2</v>
      </c>
      <c r="D55" s="27">
        <v>11.5</v>
      </c>
      <c r="E55" s="28"/>
      <c r="F55" s="16">
        <f t="shared" si="47"/>
        <v>0</v>
      </c>
      <c r="G55" s="16"/>
      <c r="H55" s="18"/>
      <c r="I55" s="19">
        <f t="shared" si="48"/>
        <v>0</v>
      </c>
      <c r="J55" s="16"/>
      <c r="K55" s="18"/>
      <c r="L55" s="19">
        <f t="shared" si="49"/>
        <v>0</v>
      </c>
      <c r="M55" s="16"/>
      <c r="N55" s="18"/>
      <c r="O55" s="19">
        <f t="shared" si="50"/>
        <v>0</v>
      </c>
      <c r="P55" s="16"/>
      <c r="Q55" s="18">
        <v>9</v>
      </c>
      <c r="R55" s="19">
        <f t="shared" si="51"/>
        <v>1.2626999999999997</v>
      </c>
      <c r="S55" s="20">
        <f t="shared" si="52"/>
        <v>9</v>
      </c>
      <c r="T55" s="19">
        <f t="shared" si="53"/>
        <v>1.2626999999999997</v>
      </c>
      <c r="U55" s="21">
        <f t="shared" si="54"/>
        <v>-9</v>
      </c>
      <c r="V55" s="19">
        <f t="shared" si="55"/>
        <v>-1.2626999999999997</v>
      </c>
      <c r="X55" s="29"/>
    </row>
    <row r="56" spans="1:24">
      <c r="A56" s="26" t="s">
        <v>13</v>
      </c>
      <c r="B56" s="26" t="s">
        <v>61</v>
      </c>
      <c r="C56" s="26">
        <v>12.2</v>
      </c>
      <c r="D56" s="27"/>
      <c r="E56" s="28"/>
      <c r="F56" s="16">
        <f t="shared" si="38"/>
        <v>0</v>
      </c>
      <c r="G56" s="16"/>
      <c r="H56" s="18"/>
      <c r="I56" s="19">
        <f t="shared" si="39"/>
        <v>0</v>
      </c>
      <c r="J56" s="16"/>
      <c r="K56" s="18"/>
      <c r="L56" s="19">
        <f t="shared" si="40"/>
        <v>0</v>
      </c>
      <c r="M56" s="16"/>
      <c r="N56" s="18"/>
      <c r="O56" s="19">
        <f t="shared" si="41"/>
        <v>0</v>
      </c>
      <c r="P56" s="16"/>
      <c r="Q56" s="18"/>
      <c r="R56" s="19">
        <f t="shared" si="42"/>
        <v>0</v>
      </c>
      <c r="S56" s="20">
        <f t="shared" si="43"/>
        <v>0</v>
      </c>
      <c r="T56" s="19">
        <f t="shared" si="44"/>
        <v>0</v>
      </c>
      <c r="U56" s="21">
        <f t="shared" si="45"/>
        <v>0</v>
      </c>
      <c r="V56" s="19">
        <f t="shared" si="46"/>
        <v>0</v>
      </c>
      <c r="X56" s="29"/>
    </row>
    <row r="57" spans="1:24">
      <c r="A57" s="36"/>
      <c r="B57" s="36"/>
      <c r="C57" s="36"/>
      <c r="D57" s="38"/>
      <c r="E57" s="31">
        <f>SUM(E29:E56)</f>
        <v>774</v>
      </c>
      <c r="F57" s="38">
        <f>SUM(F29:F56)</f>
        <v>92.179539999999989</v>
      </c>
      <c r="G57" s="16"/>
      <c r="H57" s="31">
        <f>SUM(H29:H56)</f>
        <v>506</v>
      </c>
      <c r="I57" s="38">
        <f>SUM(I29:I56)</f>
        <v>59.690939999999998</v>
      </c>
      <c r="J57" s="16"/>
      <c r="K57" s="31">
        <f>SUM(K29:K56)</f>
        <v>87</v>
      </c>
      <c r="L57" s="38">
        <f>SUM(L29:L56)</f>
        <v>11.40578</v>
      </c>
      <c r="M57" s="16"/>
      <c r="N57" s="31">
        <f>SUM(N29:N56)</f>
        <v>72</v>
      </c>
      <c r="O57" s="38">
        <f>SUM(O29:O56)</f>
        <v>9.6477599999999999</v>
      </c>
      <c r="P57" s="16"/>
      <c r="Q57" s="31">
        <f t="shared" ref="Q57:V57" si="56">SUM(Q29:Q56)</f>
        <v>68</v>
      </c>
      <c r="R57" s="38">
        <f t="shared" si="56"/>
        <v>8.1776599999999995</v>
      </c>
      <c r="S57" s="31">
        <f t="shared" si="56"/>
        <v>733</v>
      </c>
      <c r="T57" s="38">
        <f t="shared" si="56"/>
        <v>88.922139999999985</v>
      </c>
      <c r="U57" s="31">
        <f t="shared" si="56"/>
        <v>41</v>
      </c>
      <c r="V57" s="38">
        <f t="shared" si="56"/>
        <v>3.2574000000000041</v>
      </c>
      <c r="X57" s="29"/>
    </row>
    <row r="58" spans="1:24">
      <c r="A58" s="26" t="s">
        <v>13</v>
      </c>
      <c r="B58" s="26" t="s">
        <v>180</v>
      </c>
      <c r="C58" s="26">
        <v>13.6</v>
      </c>
      <c r="D58" s="27">
        <v>7.8</v>
      </c>
      <c r="E58" s="28">
        <v>2</v>
      </c>
      <c r="F58" s="16">
        <f>(C58*D58*E58/1000)</f>
        <v>0.21215999999999999</v>
      </c>
      <c r="G58" s="17" t="s">
        <v>93</v>
      </c>
      <c r="H58" s="18"/>
      <c r="I58" s="19">
        <f>(C58*D58*H58/1000)</f>
        <v>0</v>
      </c>
      <c r="J58" s="16"/>
      <c r="K58" s="18"/>
      <c r="L58" s="19">
        <f>(C58*D58*K58/1000)</f>
        <v>0</v>
      </c>
      <c r="M58" s="16"/>
      <c r="N58" s="18"/>
      <c r="O58" s="19">
        <f>(C58*D58*N58/1000)</f>
        <v>0</v>
      </c>
      <c r="P58" s="16"/>
      <c r="Q58" s="18"/>
      <c r="R58" s="19">
        <f>(C58*D58*Q58/1000)</f>
        <v>0</v>
      </c>
      <c r="S58" s="20">
        <f>+H58+K58+Q58+N58</f>
        <v>0</v>
      </c>
      <c r="T58" s="19">
        <f>+I58+L58+R58+O58</f>
        <v>0</v>
      </c>
      <c r="U58" s="21">
        <f>E58-S58</f>
        <v>2</v>
      </c>
      <c r="V58" s="19">
        <f>F58-T58</f>
        <v>0.21215999999999999</v>
      </c>
      <c r="X58" s="29"/>
    </row>
    <row r="59" spans="1:24">
      <c r="A59" s="26" t="s">
        <v>13</v>
      </c>
      <c r="B59" s="26" t="s">
        <v>180</v>
      </c>
      <c r="C59" s="26">
        <v>13.6</v>
      </c>
      <c r="D59" s="27">
        <v>9</v>
      </c>
      <c r="E59" s="28"/>
      <c r="F59" s="16">
        <f t="shared" ref="F59:F60" si="57">(C59*D59*E59/1000)</f>
        <v>0</v>
      </c>
      <c r="G59" s="17" t="s">
        <v>281</v>
      </c>
      <c r="H59" s="18">
        <v>1</v>
      </c>
      <c r="I59" s="19">
        <f t="shared" ref="I59:I60" si="58">(C59*D59*H59/1000)</f>
        <v>0.12239999999999999</v>
      </c>
      <c r="J59" s="16"/>
      <c r="K59" s="18"/>
      <c r="L59" s="19">
        <f t="shared" ref="L59:L60" si="59">(C59*D59*K59/1000)</f>
        <v>0</v>
      </c>
      <c r="M59" s="16"/>
      <c r="N59" s="18"/>
      <c r="O59" s="19">
        <f t="shared" ref="O59:O60" si="60">(C59*D59*N59/1000)</f>
        <v>0</v>
      </c>
      <c r="P59" s="16"/>
      <c r="Q59" s="18"/>
      <c r="R59" s="19">
        <f t="shared" ref="R59:R60" si="61">(C59*D59*Q59/1000)</f>
        <v>0</v>
      </c>
      <c r="S59" s="20">
        <f t="shared" ref="S59:S60" si="62">+H59+K59+Q59+N59</f>
        <v>1</v>
      </c>
      <c r="T59" s="19">
        <f t="shared" ref="T59:T60" si="63">+I59+L59+R59+O59</f>
        <v>0.12239999999999999</v>
      </c>
      <c r="U59" s="21">
        <f t="shared" ref="U59:U60" si="64">E59-S59</f>
        <v>-1</v>
      </c>
      <c r="V59" s="19">
        <f t="shared" ref="V59:V60" si="65">F59-T59</f>
        <v>-0.12239999999999999</v>
      </c>
      <c r="X59" s="29"/>
    </row>
    <row r="60" spans="1:24">
      <c r="A60" s="26" t="s">
        <v>13</v>
      </c>
      <c r="B60" s="26" t="s">
        <v>180</v>
      </c>
      <c r="C60" s="26">
        <v>13.6</v>
      </c>
      <c r="D60" s="27">
        <v>9.1999999999999993</v>
      </c>
      <c r="E60" s="28"/>
      <c r="F60" s="16">
        <f t="shared" si="57"/>
        <v>0</v>
      </c>
      <c r="G60" s="17"/>
      <c r="H60" s="18">
        <v>1</v>
      </c>
      <c r="I60" s="19">
        <f t="shared" si="58"/>
        <v>0.12511999999999998</v>
      </c>
      <c r="J60" s="16"/>
      <c r="K60" s="18"/>
      <c r="L60" s="19">
        <f t="shared" si="59"/>
        <v>0</v>
      </c>
      <c r="M60" s="16"/>
      <c r="N60" s="18"/>
      <c r="O60" s="19">
        <f t="shared" si="60"/>
        <v>0</v>
      </c>
      <c r="P60" s="16"/>
      <c r="Q60" s="18"/>
      <c r="R60" s="19">
        <f t="shared" si="61"/>
        <v>0</v>
      </c>
      <c r="S60" s="20">
        <f t="shared" si="62"/>
        <v>1</v>
      </c>
      <c r="T60" s="19">
        <f t="shared" si="63"/>
        <v>0.12511999999999998</v>
      </c>
      <c r="U60" s="21">
        <f t="shared" si="64"/>
        <v>-1</v>
      </c>
      <c r="V60" s="19">
        <f t="shared" si="65"/>
        <v>-0.12511999999999998</v>
      </c>
      <c r="X60" s="29"/>
    </row>
    <row r="61" spans="1:24">
      <c r="A61" s="36"/>
      <c r="B61" s="36"/>
      <c r="C61" s="36"/>
      <c r="D61" s="38"/>
      <c r="E61" s="31">
        <f t="shared" ref="E61:F61" si="66">SUM(E58:E60)</f>
        <v>2</v>
      </c>
      <c r="F61" s="38">
        <f t="shared" si="66"/>
        <v>0.21215999999999999</v>
      </c>
      <c r="G61" s="17"/>
      <c r="H61" s="31">
        <f t="shared" ref="H61" si="67">SUM(H58:H60)</f>
        <v>2</v>
      </c>
      <c r="I61" s="38">
        <f t="shared" ref="I61" si="68">SUM(I58:I60)</f>
        <v>0.24751999999999996</v>
      </c>
      <c r="J61" s="16"/>
      <c r="K61" s="31">
        <f t="shared" ref="K61" si="69">SUM(K58:K60)</f>
        <v>0</v>
      </c>
      <c r="L61" s="38">
        <f t="shared" ref="L61" si="70">SUM(L58:L60)</f>
        <v>0</v>
      </c>
      <c r="M61" s="16"/>
      <c r="N61" s="31">
        <f t="shared" ref="N61" si="71">SUM(N58:N60)</f>
        <v>0</v>
      </c>
      <c r="O61" s="38">
        <f t="shared" ref="O61" si="72">SUM(O58:O60)</f>
        <v>0</v>
      </c>
      <c r="P61" s="16"/>
      <c r="Q61" s="31">
        <f t="shared" ref="Q61" si="73">SUM(Q58:Q60)</f>
        <v>0</v>
      </c>
      <c r="R61" s="38">
        <f t="shared" ref="R61" si="74">SUM(R58:R60)</f>
        <v>0</v>
      </c>
      <c r="S61" s="31">
        <f t="shared" ref="S61" si="75">SUM(S58:S60)</f>
        <v>2</v>
      </c>
      <c r="T61" s="38">
        <f t="shared" ref="T61" si="76">SUM(T58:T60)</f>
        <v>0.24751999999999996</v>
      </c>
      <c r="U61" s="31">
        <f t="shared" ref="U61" si="77">SUM(U58:U60)</f>
        <v>0</v>
      </c>
      <c r="V61" s="38">
        <f t="shared" ref="V61" si="78">SUM(V58:V60)</f>
        <v>-3.5359999999999989E-2</v>
      </c>
      <c r="X61" s="29"/>
    </row>
    <row r="62" spans="1:24">
      <c r="A62" s="26" t="s">
        <v>13</v>
      </c>
      <c r="B62" s="26" t="s">
        <v>18</v>
      </c>
      <c r="C62" s="26">
        <v>16.600000000000001</v>
      </c>
      <c r="D62" s="27">
        <v>6.8</v>
      </c>
      <c r="E62" s="28">
        <v>9</v>
      </c>
      <c r="F62" s="16">
        <f t="shared" ref="F62:F63" si="79">(C62*D62*E62/1000)</f>
        <v>1.0159200000000002</v>
      </c>
      <c r="G62" s="17" t="s">
        <v>93</v>
      </c>
      <c r="H62" s="18">
        <v>9</v>
      </c>
      <c r="I62" s="19">
        <f t="shared" ref="I62:I63" si="80">(C62*D62*H62/1000)</f>
        <v>1.0159200000000002</v>
      </c>
      <c r="J62" s="16" t="s">
        <v>93</v>
      </c>
      <c r="K62" s="18"/>
      <c r="L62" s="19">
        <f t="shared" ref="L62:L63" si="81">(C62*D62*K62/1000)</f>
        <v>0</v>
      </c>
      <c r="M62" s="16"/>
      <c r="N62" s="18"/>
      <c r="O62" s="19">
        <f t="shared" ref="O62:O63" si="82">(C62*D62*N62/1000)</f>
        <v>0</v>
      </c>
      <c r="P62" s="16"/>
      <c r="Q62" s="18"/>
      <c r="R62" s="19">
        <f t="shared" ref="R62:R63" si="83">(C62*D62*Q62/1000)</f>
        <v>0</v>
      </c>
      <c r="S62" s="20">
        <f t="shared" ref="S62:S63" si="84">+H62+K62+Q62+N62</f>
        <v>9</v>
      </c>
      <c r="T62" s="19">
        <f t="shared" ref="T62:T63" si="85">+I62+L62+R62+O62</f>
        <v>1.0159200000000002</v>
      </c>
      <c r="U62" s="21">
        <f t="shared" ref="U62:U63" si="86">E62-S62</f>
        <v>0</v>
      </c>
      <c r="V62" s="19">
        <f t="shared" ref="V62:V63" si="87">F62-T62</f>
        <v>0</v>
      </c>
      <c r="X62" s="29"/>
    </row>
    <row r="63" spans="1:24">
      <c r="A63" s="26" t="s">
        <v>13</v>
      </c>
      <c r="B63" s="26" t="s">
        <v>18</v>
      </c>
      <c r="C63" s="26">
        <v>16.600000000000001</v>
      </c>
      <c r="D63" s="27">
        <v>11.9</v>
      </c>
      <c r="E63" s="28">
        <v>26</v>
      </c>
      <c r="F63" s="16">
        <f t="shared" si="79"/>
        <v>5.1360400000000013</v>
      </c>
      <c r="G63" s="17" t="s">
        <v>204</v>
      </c>
      <c r="H63" s="18">
        <v>7</v>
      </c>
      <c r="I63" s="19">
        <f t="shared" si="80"/>
        <v>1.3827800000000001</v>
      </c>
      <c r="J63" s="16" t="s">
        <v>206</v>
      </c>
      <c r="K63" s="18">
        <v>19</v>
      </c>
      <c r="L63" s="19">
        <f t="shared" si="81"/>
        <v>3.75326</v>
      </c>
      <c r="M63" s="16"/>
      <c r="N63" s="18"/>
      <c r="O63" s="19">
        <f t="shared" si="82"/>
        <v>0</v>
      </c>
      <c r="P63" s="16"/>
      <c r="Q63" s="18"/>
      <c r="R63" s="19">
        <f t="shared" si="83"/>
        <v>0</v>
      </c>
      <c r="S63" s="20">
        <f t="shared" si="84"/>
        <v>26</v>
      </c>
      <c r="T63" s="19">
        <f t="shared" si="85"/>
        <v>5.1360400000000004</v>
      </c>
      <c r="U63" s="21">
        <f t="shared" si="86"/>
        <v>0</v>
      </c>
      <c r="V63" s="19">
        <f t="shared" si="87"/>
        <v>0</v>
      </c>
      <c r="X63" s="29"/>
    </row>
    <row r="64" spans="1:24">
      <c r="A64" s="36"/>
      <c r="B64" s="36"/>
      <c r="C64" s="36"/>
      <c r="D64" s="38"/>
      <c r="E64" s="31">
        <f>SUM(E62:E63)</f>
        <v>35</v>
      </c>
      <c r="F64" s="38">
        <f>SUM(F62:F63)</f>
        <v>6.1519600000000016</v>
      </c>
      <c r="G64" s="17"/>
      <c r="H64" s="31">
        <f>SUM(H62:H63)</f>
        <v>16</v>
      </c>
      <c r="I64" s="38">
        <f>SUM(I62:I63)</f>
        <v>2.3987000000000003</v>
      </c>
      <c r="J64" s="16"/>
      <c r="K64" s="31">
        <f>SUM(K62:K63)</f>
        <v>19</v>
      </c>
      <c r="L64" s="38">
        <f>SUM(L62:L63)</f>
        <v>3.75326</v>
      </c>
      <c r="M64" s="16"/>
      <c r="N64" s="31">
        <f>SUM(N62:N63)</f>
        <v>0</v>
      </c>
      <c r="O64" s="38">
        <f>SUM(O62:O63)</f>
        <v>0</v>
      </c>
      <c r="P64" s="16"/>
      <c r="Q64" s="31">
        <f t="shared" ref="Q64:V64" si="88">SUM(Q62:Q63)</f>
        <v>0</v>
      </c>
      <c r="R64" s="38">
        <f t="shared" si="88"/>
        <v>0</v>
      </c>
      <c r="S64" s="31">
        <f t="shared" si="88"/>
        <v>35</v>
      </c>
      <c r="T64" s="38">
        <f t="shared" si="88"/>
        <v>6.1519600000000008</v>
      </c>
      <c r="U64" s="31">
        <f t="shared" si="88"/>
        <v>0</v>
      </c>
      <c r="V64" s="38">
        <f t="shared" si="88"/>
        <v>0</v>
      </c>
      <c r="X64" s="29"/>
    </row>
    <row r="65" spans="1:24">
      <c r="A65" s="26" t="s">
        <v>13</v>
      </c>
      <c r="B65" s="26" t="s">
        <v>32</v>
      </c>
      <c r="C65" s="26">
        <v>11.8</v>
      </c>
      <c r="D65" s="27">
        <v>10.1</v>
      </c>
      <c r="E65" s="28">
        <v>172</v>
      </c>
      <c r="F65" s="16">
        <f t="shared" ref="F65:F75" si="89">(C65*D65*E65/1000)</f>
        <v>20.498960000000004</v>
      </c>
      <c r="G65" s="16" t="s">
        <v>89</v>
      </c>
      <c r="H65" s="18">
        <v>78</v>
      </c>
      <c r="I65" s="19">
        <f t="shared" ref="I65:I75" si="90">(C65*D65*H65/1000)</f>
        <v>9.2960400000000014</v>
      </c>
      <c r="J65" s="16" t="s">
        <v>114</v>
      </c>
      <c r="K65" s="18">
        <v>89</v>
      </c>
      <c r="L65" s="19">
        <f t="shared" ref="L65:L75" si="91">(C65*D65*K65/1000)</f>
        <v>10.60702</v>
      </c>
      <c r="M65" s="16"/>
      <c r="N65" s="18"/>
      <c r="O65" s="19">
        <f t="shared" ref="O65:O75" si="92">(C65*D65*N65/1000)</f>
        <v>0</v>
      </c>
      <c r="P65" s="16"/>
      <c r="Q65" s="18"/>
      <c r="R65" s="19">
        <f t="shared" ref="R65:R75" si="93">(C65*D65*Q65/1000)</f>
        <v>0</v>
      </c>
      <c r="S65" s="20">
        <f t="shared" ref="S65:S75" si="94">+H65+K65+Q65+N65</f>
        <v>167</v>
      </c>
      <c r="T65" s="19">
        <f t="shared" ref="T65:T75" si="95">+I65+L65+R65+O65</f>
        <v>19.903060000000004</v>
      </c>
      <c r="U65" s="21">
        <f t="shared" ref="U65:U75" si="96">E65-S65</f>
        <v>5</v>
      </c>
      <c r="V65" s="19">
        <f t="shared" ref="V65:V75" si="97">F65-T65</f>
        <v>0.59590000000000032</v>
      </c>
      <c r="X65" s="29"/>
    </row>
    <row r="66" spans="1:24">
      <c r="A66" s="26" t="s">
        <v>13</v>
      </c>
      <c r="B66" s="26" t="s">
        <v>32</v>
      </c>
      <c r="C66" s="26">
        <v>11.8</v>
      </c>
      <c r="D66" s="27">
        <v>11.2</v>
      </c>
      <c r="E66" s="28">
        <v>26</v>
      </c>
      <c r="F66" s="16">
        <f t="shared" ref="F66:F74" si="98">(C66*D66*E66/1000)</f>
        <v>3.4361599999999997</v>
      </c>
      <c r="G66" s="16" t="s">
        <v>200</v>
      </c>
      <c r="H66" s="18">
        <v>3</v>
      </c>
      <c r="I66" s="19">
        <f t="shared" ref="I66:I74" si="99">(C66*D66*H66/1000)</f>
        <v>0.39648</v>
      </c>
      <c r="J66" s="16" t="s">
        <v>201</v>
      </c>
      <c r="K66" s="18">
        <v>19</v>
      </c>
      <c r="L66" s="19">
        <f t="shared" ref="L66:L74" si="100">(C66*D66*K66/1000)</f>
        <v>2.5110399999999999</v>
      </c>
      <c r="M66" s="16"/>
      <c r="N66" s="18"/>
      <c r="O66" s="19">
        <f t="shared" ref="O66:O74" si="101">(C66*D66*N66/1000)</f>
        <v>0</v>
      </c>
      <c r="P66" s="16"/>
      <c r="Q66" s="18"/>
      <c r="R66" s="19">
        <f t="shared" ref="R66:R74" si="102">(C66*D66*Q66/1000)</f>
        <v>0</v>
      </c>
      <c r="S66" s="20">
        <f t="shared" ref="S66:S74" si="103">+H66+K66+Q66+N66</f>
        <v>22</v>
      </c>
      <c r="T66" s="19">
        <f t="shared" ref="T66:T74" si="104">+I66+L66+R66+O66</f>
        <v>2.9075199999999999</v>
      </c>
      <c r="U66" s="21">
        <f t="shared" ref="U66:U74" si="105">E66-S66</f>
        <v>4</v>
      </c>
      <c r="V66" s="19">
        <f t="shared" ref="V66:V74" si="106">F66-T66</f>
        <v>0.52863999999999978</v>
      </c>
      <c r="X66" s="29"/>
    </row>
    <row r="67" spans="1:24">
      <c r="A67" s="26" t="s">
        <v>13</v>
      </c>
      <c r="B67" s="26" t="s">
        <v>32</v>
      </c>
      <c r="C67" s="26">
        <v>11.8</v>
      </c>
      <c r="D67" s="27">
        <v>9.8000000000000007</v>
      </c>
      <c r="E67" s="28"/>
      <c r="F67" s="16">
        <f t="shared" si="98"/>
        <v>0</v>
      </c>
      <c r="G67" s="16"/>
      <c r="H67" s="18"/>
      <c r="I67" s="19">
        <f t="shared" si="99"/>
        <v>0</v>
      </c>
      <c r="J67" s="16"/>
      <c r="K67" s="18">
        <v>6</v>
      </c>
      <c r="L67" s="19">
        <f t="shared" si="100"/>
        <v>0.69384000000000012</v>
      </c>
      <c r="M67" s="16"/>
      <c r="N67" s="18"/>
      <c r="O67" s="19">
        <f t="shared" si="101"/>
        <v>0</v>
      </c>
      <c r="P67" s="16"/>
      <c r="Q67" s="18"/>
      <c r="R67" s="19">
        <f t="shared" si="102"/>
        <v>0</v>
      </c>
      <c r="S67" s="20">
        <f t="shared" si="103"/>
        <v>6</v>
      </c>
      <c r="T67" s="19">
        <f t="shared" si="104"/>
        <v>0.69384000000000012</v>
      </c>
      <c r="U67" s="21">
        <f t="shared" si="105"/>
        <v>-6</v>
      </c>
      <c r="V67" s="19">
        <f t="shared" si="106"/>
        <v>-0.69384000000000012</v>
      </c>
      <c r="X67" s="29"/>
    </row>
    <row r="68" spans="1:24">
      <c r="A68" s="26" t="s">
        <v>13</v>
      </c>
      <c r="B68" s="26" t="s">
        <v>32</v>
      </c>
      <c r="C68" s="26">
        <v>11.8</v>
      </c>
      <c r="D68" s="27">
        <v>9.9</v>
      </c>
      <c r="E68" s="28"/>
      <c r="F68" s="16">
        <f t="shared" si="98"/>
        <v>0</v>
      </c>
      <c r="G68" s="16"/>
      <c r="H68" s="18"/>
      <c r="I68" s="19">
        <f t="shared" si="99"/>
        <v>0</v>
      </c>
      <c r="J68" s="16"/>
      <c r="K68" s="18">
        <v>1</v>
      </c>
      <c r="L68" s="19">
        <f t="shared" si="100"/>
        <v>0.11682000000000001</v>
      </c>
      <c r="M68" s="16"/>
      <c r="N68" s="18"/>
      <c r="O68" s="19">
        <f t="shared" si="101"/>
        <v>0</v>
      </c>
      <c r="P68" s="16"/>
      <c r="Q68" s="18"/>
      <c r="R68" s="19">
        <f t="shared" si="102"/>
        <v>0</v>
      </c>
      <c r="S68" s="20">
        <f t="shared" si="103"/>
        <v>1</v>
      </c>
      <c r="T68" s="19">
        <f t="shared" si="104"/>
        <v>0.11682000000000001</v>
      </c>
      <c r="U68" s="21">
        <f t="shared" si="105"/>
        <v>-1</v>
      </c>
      <c r="V68" s="19">
        <f t="shared" si="106"/>
        <v>-0.11682000000000001</v>
      </c>
      <c r="X68" s="29"/>
    </row>
    <row r="69" spans="1:24">
      <c r="A69" s="26" t="s">
        <v>13</v>
      </c>
      <c r="B69" s="26" t="s">
        <v>32</v>
      </c>
      <c r="C69" s="26">
        <v>11.8</v>
      </c>
      <c r="D69" s="27">
        <v>9.6999999999999993</v>
      </c>
      <c r="E69" s="28"/>
      <c r="F69" s="16">
        <f t="shared" si="98"/>
        <v>0</v>
      </c>
      <c r="G69" s="16"/>
      <c r="H69" s="18"/>
      <c r="I69" s="19">
        <f t="shared" si="99"/>
        <v>0</v>
      </c>
      <c r="J69" s="16"/>
      <c r="K69" s="18">
        <v>3</v>
      </c>
      <c r="L69" s="19">
        <f t="shared" si="100"/>
        <v>0.34338000000000002</v>
      </c>
      <c r="M69" s="16"/>
      <c r="N69" s="18"/>
      <c r="O69" s="19">
        <f t="shared" si="101"/>
        <v>0</v>
      </c>
      <c r="P69" s="16"/>
      <c r="Q69" s="18"/>
      <c r="R69" s="19">
        <f t="shared" si="102"/>
        <v>0</v>
      </c>
      <c r="S69" s="20">
        <f t="shared" si="103"/>
        <v>3</v>
      </c>
      <c r="T69" s="19">
        <f t="shared" si="104"/>
        <v>0.34338000000000002</v>
      </c>
      <c r="U69" s="21">
        <f t="shared" si="105"/>
        <v>-3</v>
      </c>
      <c r="V69" s="19">
        <f t="shared" si="106"/>
        <v>-0.34338000000000002</v>
      </c>
      <c r="X69" s="29"/>
    </row>
    <row r="70" spans="1:24">
      <c r="A70" s="26" t="s">
        <v>13</v>
      </c>
      <c r="B70" s="26" t="s">
        <v>32</v>
      </c>
      <c r="C70" s="26">
        <v>11.8</v>
      </c>
      <c r="D70" s="27">
        <v>9</v>
      </c>
      <c r="E70" s="28"/>
      <c r="F70" s="16">
        <f t="shared" si="98"/>
        <v>0</v>
      </c>
      <c r="G70" s="16"/>
      <c r="H70" s="18"/>
      <c r="I70" s="19">
        <f t="shared" si="99"/>
        <v>0</v>
      </c>
      <c r="J70" s="16"/>
      <c r="K70" s="18">
        <v>1</v>
      </c>
      <c r="L70" s="19">
        <f t="shared" si="100"/>
        <v>0.1062</v>
      </c>
      <c r="M70" s="16"/>
      <c r="N70" s="18"/>
      <c r="O70" s="19">
        <f t="shared" si="101"/>
        <v>0</v>
      </c>
      <c r="P70" s="16"/>
      <c r="Q70" s="18"/>
      <c r="R70" s="19">
        <f t="shared" si="102"/>
        <v>0</v>
      </c>
      <c r="S70" s="20">
        <f t="shared" si="103"/>
        <v>1</v>
      </c>
      <c r="T70" s="19">
        <f t="shared" si="104"/>
        <v>0.1062</v>
      </c>
      <c r="U70" s="21">
        <f t="shared" si="105"/>
        <v>-1</v>
      </c>
      <c r="V70" s="19">
        <f t="shared" si="106"/>
        <v>-0.1062</v>
      </c>
      <c r="X70" s="29"/>
    </row>
    <row r="71" spans="1:24">
      <c r="A71" s="26" t="s">
        <v>13</v>
      </c>
      <c r="B71" s="26" t="s">
        <v>32</v>
      </c>
      <c r="C71" s="26">
        <v>11.8</v>
      </c>
      <c r="D71" s="27"/>
      <c r="E71" s="28"/>
      <c r="F71" s="16">
        <f t="shared" si="98"/>
        <v>0</v>
      </c>
      <c r="G71" s="16"/>
      <c r="H71" s="18"/>
      <c r="I71" s="19">
        <f t="shared" si="99"/>
        <v>0</v>
      </c>
      <c r="J71" s="16"/>
      <c r="K71" s="18"/>
      <c r="L71" s="19">
        <f t="shared" si="100"/>
        <v>0</v>
      </c>
      <c r="M71" s="16"/>
      <c r="N71" s="18"/>
      <c r="O71" s="19">
        <f t="shared" si="101"/>
        <v>0</v>
      </c>
      <c r="P71" s="16"/>
      <c r="Q71" s="18"/>
      <c r="R71" s="19">
        <f t="shared" si="102"/>
        <v>0</v>
      </c>
      <c r="S71" s="20">
        <f t="shared" si="103"/>
        <v>0</v>
      </c>
      <c r="T71" s="19">
        <f t="shared" si="104"/>
        <v>0</v>
      </c>
      <c r="U71" s="21">
        <f t="shared" si="105"/>
        <v>0</v>
      </c>
      <c r="V71" s="19">
        <f t="shared" si="106"/>
        <v>0</v>
      </c>
      <c r="X71" s="29"/>
    </row>
    <row r="72" spans="1:24">
      <c r="A72" s="26" t="s">
        <v>13</v>
      </c>
      <c r="B72" s="26" t="s">
        <v>32</v>
      </c>
      <c r="C72" s="26">
        <v>11.8</v>
      </c>
      <c r="D72" s="27"/>
      <c r="E72" s="28"/>
      <c r="F72" s="16">
        <f t="shared" si="98"/>
        <v>0</v>
      </c>
      <c r="G72" s="16"/>
      <c r="H72" s="18"/>
      <c r="I72" s="19">
        <f t="shared" si="99"/>
        <v>0</v>
      </c>
      <c r="J72" s="16"/>
      <c r="K72" s="18"/>
      <c r="L72" s="19">
        <f t="shared" si="100"/>
        <v>0</v>
      </c>
      <c r="M72" s="16"/>
      <c r="N72" s="18"/>
      <c r="O72" s="19">
        <f t="shared" si="101"/>
        <v>0</v>
      </c>
      <c r="P72" s="16"/>
      <c r="Q72" s="18"/>
      <c r="R72" s="19">
        <f t="shared" si="102"/>
        <v>0</v>
      </c>
      <c r="S72" s="20">
        <f t="shared" si="103"/>
        <v>0</v>
      </c>
      <c r="T72" s="19">
        <f t="shared" si="104"/>
        <v>0</v>
      </c>
      <c r="U72" s="21">
        <f t="shared" si="105"/>
        <v>0</v>
      </c>
      <c r="V72" s="19">
        <f t="shared" si="106"/>
        <v>0</v>
      </c>
      <c r="X72" s="29"/>
    </row>
    <row r="73" spans="1:24">
      <c r="A73" s="26" t="s">
        <v>13</v>
      </c>
      <c r="B73" s="26" t="s">
        <v>32</v>
      </c>
      <c r="C73" s="26">
        <v>11.8</v>
      </c>
      <c r="D73" s="27"/>
      <c r="E73" s="28"/>
      <c r="F73" s="16">
        <f t="shared" si="98"/>
        <v>0</v>
      </c>
      <c r="G73" s="16"/>
      <c r="H73" s="18"/>
      <c r="I73" s="19">
        <f t="shared" si="99"/>
        <v>0</v>
      </c>
      <c r="J73" s="16"/>
      <c r="K73" s="18"/>
      <c r="L73" s="19">
        <f t="shared" si="100"/>
        <v>0</v>
      </c>
      <c r="M73" s="16"/>
      <c r="N73" s="18"/>
      <c r="O73" s="19">
        <f t="shared" si="101"/>
        <v>0</v>
      </c>
      <c r="P73" s="16"/>
      <c r="Q73" s="18"/>
      <c r="R73" s="19">
        <f t="shared" si="102"/>
        <v>0</v>
      </c>
      <c r="S73" s="20">
        <f t="shared" si="103"/>
        <v>0</v>
      </c>
      <c r="T73" s="19">
        <f t="shared" si="104"/>
        <v>0</v>
      </c>
      <c r="U73" s="21">
        <f t="shared" si="105"/>
        <v>0</v>
      </c>
      <c r="V73" s="19">
        <f t="shared" si="106"/>
        <v>0</v>
      </c>
      <c r="X73" s="29"/>
    </row>
    <row r="74" spans="1:24">
      <c r="A74" s="26" t="s">
        <v>13</v>
      </c>
      <c r="B74" s="26" t="s">
        <v>32</v>
      </c>
      <c r="C74" s="26">
        <v>11.8</v>
      </c>
      <c r="D74" s="27"/>
      <c r="E74" s="28"/>
      <c r="F74" s="16">
        <f t="shared" si="98"/>
        <v>0</v>
      </c>
      <c r="G74" s="16"/>
      <c r="H74" s="18"/>
      <c r="I74" s="19">
        <f t="shared" si="99"/>
        <v>0</v>
      </c>
      <c r="J74" s="16"/>
      <c r="K74" s="18"/>
      <c r="L74" s="19">
        <f t="shared" si="100"/>
        <v>0</v>
      </c>
      <c r="M74" s="16"/>
      <c r="N74" s="18"/>
      <c r="O74" s="19">
        <f t="shared" si="101"/>
        <v>0</v>
      </c>
      <c r="P74" s="16"/>
      <c r="Q74" s="18"/>
      <c r="R74" s="19">
        <f t="shared" si="102"/>
        <v>0</v>
      </c>
      <c r="S74" s="20">
        <f t="shared" si="103"/>
        <v>0</v>
      </c>
      <c r="T74" s="19">
        <f t="shared" si="104"/>
        <v>0</v>
      </c>
      <c r="U74" s="21">
        <f t="shared" si="105"/>
        <v>0</v>
      </c>
      <c r="V74" s="19">
        <f t="shared" si="106"/>
        <v>0</v>
      </c>
      <c r="X74" s="29"/>
    </row>
    <row r="75" spans="1:24">
      <c r="A75" s="26" t="s">
        <v>13</v>
      </c>
      <c r="B75" s="26" t="s">
        <v>32</v>
      </c>
      <c r="C75" s="26">
        <v>11.8</v>
      </c>
      <c r="D75" s="27"/>
      <c r="E75" s="28"/>
      <c r="F75" s="16">
        <f t="shared" si="89"/>
        <v>0</v>
      </c>
      <c r="G75" s="16"/>
      <c r="H75" s="18"/>
      <c r="I75" s="19">
        <f t="shared" si="90"/>
        <v>0</v>
      </c>
      <c r="J75" s="16"/>
      <c r="K75" s="18"/>
      <c r="L75" s="19">
        <f t="shared" si="91"/>
        <v>0</v>
      </c>
      <c r="M75" s="16"/>
      <c r="N75" s="18"/>
      <c r="O75" s="19">
        <f t="shared" si="92"/>
        <v>0</v>
      </c>
      <c r="P75" s="16"/>
      <c r="Q75" s="18"/>
      <c r="R75" s="19">
        <f t="shared" si="93"/>
        <v>0</v>
      </c>
      <c r="S75" s="20">
        <f t="shared" si="94"/>
        <v>0</v>
      </c>
      <c r="T75" s="19">
        <f t="shared" si="95"/>
        <v>0</v>
      </c>
      <c r="U75" s="21">
        <f t="shared" si="96"/>
        <v>0</v>
      </c>
      <c r="V75" s="19">
        <f t="shared" si="97"/>
        <v>0</v>
      </c>
      <c r="X75" s="29"/>
    </row>
    <row r="76" spans="1:24">
      <c r="A76" s="36"/>
      <c r="B76" s="36"/>
      <c r="C76" s="36"/>
      <c r="D76" s="38"/>
      <c r="E76" s="31">
        <f>SUM(E65:E75)</f>
        <v>198</v>
      </c>
      <c r="F76" s="38">
        <f>SUM(F65:F75)</f>
        <v>23.935120000000005</v>
      </c>
      <c r="G76" s="17"/>
      <c r="H76" s="31">
        <f>SUM(H65:H75)</f>
        <v>81</v>
      </c>
      <c r="I76" s="38">
        <f>SUM(I65:I75)</f>
        <v>9.6925200000000018</v>
      </c>
      <c r="J76" s="16"/>
      <c r="K76" s="31">
        <f>SUM(K65:K75)</f>
        <v>119</v>
      </c>
      <c r="L76" s="38">
        <f>SUM(L65:L75)</f>
        <v>14.378299999999999</v>
      </c>
      <c r="M76" s="16"/>
      <c r="N76" s="31">
        <f>SUM(N65:N75)</f>
        <v>0</v>
      </c>
      <c r="O76" s="38">
        <f>SUM(O65:O75)</f>
        <v>0</v>
      </c>
      <c r="P76" s="16"/>
      <c r="Q76" s="31">
        <f t="shared" ref="Q76:V76" si="107">SUM(Q65:Q75)</f>
        <v>0</v>
      </c>
      <c r="R76" s="38">
        <f t="shared" si="107"/>
        <v>0</v>
      </c>
      <c r="S76" s="31">
        <f t="shared" si="107"/>
        <v>200</v>
      </c>
      <c r="T76" s="38">
        <f t="shared" si="107"/>
        <v>24.070820000000005</v>
      </c>
      <c r="U76" s="31">
        <f t="shared" si="107"/>
        <v>-2</v>
      </c>
      <c r="V76" s="38">
        <f t="shared" si="107"/>
        <v>-0.1357000000000001</v>
      </c>
      <c r="X76" s="29"/>
    </row>
    <row r="77" spans="1:24">
      <c r="A77" s="26" t="s">
        <v>13</v>
      </c>
      <c r="B77" s="26" t="s">
        <v>25</v>
      </c>
      <c r="C77" s="26">
        <v>13.4</v>
      </c>
      <c r="D77" s="27">
        <v>8</v>
      </c>
      <c r="E77" s="28">
        <v>16</v>
      </c>
      <c r="F77" s="16">
        <f t="shared" ref="F77:F99" si="108">(C77*D77*E77/1000)</f>
        <v>1.7152000000000001</v>
      </c>
      <c r="G77" s="17" t="s">
        <v>89</v>
      </c>
      <c r="H77" s="18">
        <v>9</v>
      </c>
      <c r="I77" s="19">
        <f t="shared" ref="I77:I99" si="109">(C77*D77*H77/1000)</f>
        <v>0.9648000000000001</v>
      </c>
      <c r="J77" s="16" t="s">
        <v>89</v>
      </c>
      <c r="K77" s="18">
        <v>1</v>
      </c>
      <c r="L77" s="19">
        <f t="shared" ref="L77:L99" si="110">(C77*D77*K77/1000)</f>
        <v>0.1072</v>
      </c>
      <c r="M77" s="16" t="s">
        <v>89</v>
      </c>
      <c r="N77" s="18"/>
      <c r="O77" s="19">
        <f t="shared" ref="O77:O99" si="111">(C77*D77*N77/1000)</f>
        <v>0</v>
      </c>
      <c r="P77" s="16"/>
      <c r="Q77" s="18"/>
      <c r="R77" s="19">
        <f t="shared" ref="R77:R99" si="112">(C77*D77*Q77/1000)</f>
        <v>0</v>
      </c>
      <c r="S77" s="20">
        <f t="shared" ref="S77:S99" si="113">+H77+K77+Q77+N77</f>
        <v>10</v>
      </c>
      <c r="T77" s="19">
        <f t="shared" ref="T77:T99" si="114">+I77+L77+R77+O77</f>
        <v>1.0720000000000001</v>
      </c>
      <c r="U77" s="21">
        <f t="shared" ref="U77:U99" si="115">E77-S77</f>
        <v>6</v>
      </c>
      <c r="V77" s="19">
        <f t="shared" ref="V77:V99" si="116">F77-T77</f>
        <v>0.64319999999999999</v>
      </c>
      <c r="X77" s="29"/>
    </row>
    <row r="78" spans="1:24">
      <c r="A78" s="26" t="s">
        <v>13</v>
      </c>
      <c r="B78" s="26" t="s">
        <v>25</v>
      </c>
      <c r="C78" s="26">
        <v>13.4</v>
      </c>
      <c r="D78" s="27">
        <v>10.199999999999999</v>
      </c>
      <c r="E78" s="28">
        <v>172</v>
      </c>
      <c r="F78" s="16">
        <f t="shared" si="108"/>
        <v>23.508960000000002</v>
      </c>
      <c r="G78" s="17" t="s">
        <v>199</v>
      </c>
      <c r="H78" s="18">
        <v>12</v>
      </c>
      <c r="I78" s="19">
        <f t="shared" si="109"/>
        <v>1.6401600000000001</v>
      </c>
      <c r="J78" s="16" t="s">
        <v>200</v>
      </c>
      <c r="K78" s="18">
        <f>36+46+47</f>
        <v>129</v>
      </c>
      <c r="L78" s="19">
        <f t="shared" si="110"/>
        <v>17.631720000000001</v>
      </c>
      <c r="M78" s="16" t="s">
        <v>206</v>
      </c>
      <c r="N78" s="18"/>
      <c r="O78" s="19">
        <f t="shared" si="111"/>
        <v>0</v>
      </c>
      <c r="P78" s="16"/>
      <c r="Q78" s="18"/>
      <c r="R78" s="19">
        <f t="shared" si="112"/>
        <v>0</v>
      </c>
      <c r="S78" s="20">
        <f t="shared" si="113"/>
        <v>141</v>
      </c>
      <c r="T78" s="19">
        <f t="shared" si="114"/>
        <v>19.271880000000003</v>
      </c>
      <c r="U78" s="21">
        <f t="shared" si="115"/>
        <v>31</v>
      </c>
      <c r="V78" s="19">
        <f t="shared" si="116"/>
        <v>4.2370799999999988</v>
      </c>
      <c r="X78" s="29"/>
    </row>
    <row r="79" spans="1:24">
      <c r="A79" s="26" t="s">
        <v>13</v>
      </c>
      <c r="B79" s="26" t="s">
        <v>25</v>
      </c>
      <c r="C79" s="26">
        <v>13.4</v>
      </c>
      <c r="D79" s="27">
        <v>10.5</v>
      </c>
      <c r="E79" s="28">
        <v>36</v>
      </c>
      <c r="F79" s="16">
        <f t="shared" si="108"/>
        <v>5.0652000000000008</v>
      </c>
      <c r="G79" s="17"/>
      <c r="H79" s="18"/>
      <c r="I79" s="19">
        <f t="shared" si="109"/>
        <v>0</v>
      </c>
      <c r="J79" s="16" t="s">
        <v>93</v>
      </c>
      <c r="K79" s="18">
        <f>20+17</f>
        <v>37</v>
      </c>
      <c r="L79" s="19">
        <f t="shared" si="110"/>
        <v>5.2059000000000006</v>
      </c>
      <c r="M79" s="16"/>
      <c r="N79" s="18"/>
      <c r="O79" s="19">
        <f t="shared" si="111"/>
        <v>0</v>
      </c>
      <c r="P79" s="16" t="s">
        <v>93</v>
      </c>
      <c r="Q79" s="18"/>
      <c r="R79" s="19">
        <f t="shared" si="112"/>
        <v>0</v>
      </c>
      <c r="S79" s="20">
        <f t="shared" si="113"/>
        <v>37</v>
      </c>
      <c r="T79" s="19">
        <f t="shared" si="114"/>
        <v>5.2059000000000006</v>
      </c>
      <c r="U79" s="21">
        <f t="shared" si="115"/>
        <v>-1</v>
      </c>
      <c r="V79" s="19">
        <f t="shared" si="116"/>
        <v>-0.14069999999999983</v>
      </c>
      <c r="X79" s="29"/>
    </row>
    <row r="80" spans="1:24">
      <c r="A80" s="26" t="s">
        <v>13</v>
      </c>
      <c r="B80" s="26" t="s">
        <v>25</v>
      </c>
      <c r="C80" s="26">
        <v>13.4</v>
      </c>
      <c r="D80" s="27">
        <v>11.8</v>
      </c>
      <c r="E80" s="28">
        <v>17</v>
      </c>
      <c r="F80" s="16">
        <f t="shared" si="108"/>
        <v>2.68804</v>
      </c>
      <c r="G80" s="17"/>
      <c r="H80" s="18">
        <v>9</v>
      </c>
      <c r="I80" s="19">
        <f t="shared" si="109"/>
        <v>1.4230799999999999</v>
      </c>
      <c r="J80" s="16" t="s">
        <v>200</v>
      </c>
      <c r="K80" s="18">
        <f>5+1</f>
        <v>6</v>
      </c>
      <c r="L80" s="19">
        <f t="shared" si="110"/>
        <v>0.94872000000000001</v>
      </c>
      <c r="M80" s="16"/>
      <c r="N80" s="18"/>
      <c r="O80" s="19">
        <f t="shared" si="111"/>
        <v>0</v>
      </c>
      <c r="P80" s="16" t="s">
        <v>257</v>
      </c>
      <c r="Q80" s="18"/>
      <c r="R80" s="19">
        <f t="shared" si="112"/>
        <v>0</v>
      </c>
      <c r="S80" s="20">
        <f t="shared" si="113"/>
        <v>15</v>
      </c>
      <c r="T80" s="19">
        <f t="shared" si="114"/>
        <v>2.3717999999999999</v>
      </c>
      <c r="U80" s="21">
        <f t="shared" si="115"/>
        <v>2</v>
      </c>
      <c r="V80" s="19">
        <f t="shared" si="116"/>
        <v>0.31624000000000008</v>
      </c>
      <c r="X80" s="29"/>
    </row>
    <row r="81" spans="1:24">
      <c r="A81" s="26" t="s">
        <v>13</v>
      </c>
      <c r="B81" s="26" t="s">
        <v>25</v>
      </c>
      <c r="C81" s="26">
        <v>13.4</v>
      </c>
      <c r="D81" s="27">
        <v>11.9</v>
      </c>
      <c r="E81" s="28">
        <v>172</v>
      </c>
      <c r="F81" s="16">
        <f t="shared" ref="F81:F98" si="117">(C81*D81*E81/1000)</f>
        <v>27.427120000000002</v>
      </c>
      <c r="G81" s="17"/>
      <c r="H81" s="18">
        <f>1+19</f>
        <v>20</v>
      </c>
      <c r="I81" s="19">
        <f t="shared" ref="I81:I98" si="118">(C81*D81*H81/1000)</f>
        <v>3.1892000000000005</v>
      </c>
      <c r="J81" s="16"/>
      <c r="K81" s="18">
        <f>54+51+12</f>
        <v>117</v>
      </c>
      <c r="L81" s="19">
        <f t="shared" ref="L81:L98" si="119">(C81*D81*K81/1000)</f>
        <v>18.65682</v>
      </c>
      <c r="M81" s="16"/>
      <c r="N81" s="18"/>
      <c r="O81" s="19">
        <f t="shared" ref="O81:O98" si="120">(C81*D81*N81/1000)</f>
        <v>0</v>
      </c>
      <c r="P81" s="16"/>
      <c r="Q81" s="18"/>
      <c r="R81" s="19">
        <f t="shared" ref="R81:R98" si="121">(C81*D81*Q81/1000)</f>
        <v>0</v>
      </c>
      <c r="S81" s="20">
        <f t="shared" ref="S81:S98" si="122">+H81+K81+Q81+N81</f>
        <v>137</v>
      </c>
      <c r="T81" s="19">
        <f t="shared" ref="T81:T98" si="123">+I81+L81+R81+O81</f>
        <v>21.846019999999999</v>
      </c>
      <c r="U81" s="21">
        <f t="shared" ref="U81:U98" si="124">E81-S81</f>
        <v>35</v>
      </c>
      <c r="V81" s="19">
        <f t="shared" ref="V81:V98" si="125">F81-T81</f>
        <v>5.5811000000000028</v>
      </c>
      <c r="X81" s="29"/>
    </row>
    <row r="82" spans="1:24">
      <c r="A82" s="26" t="s">
        <v>13</v>
      </c>
      <c r="B82" s="26" t="s">
        <v>25</v>
      </c>
      <c r="C82" s="26">
        <v>13.4</v>
      </c>
      <c r="D82" s="27">
        <v>8</v>
      </c>
      <c r="E82" s="28"/>
      <c r="F82" s="16">
        <f t="shared" si="117"/>
        <v>0</v>
      </c>
      <c r="G82" s="17"/>
      <c r="H82" s="18"/>
      <c r="I82" s="19">
        <f t="shared" si="118"/>
        <v>0</v>
      </c>
      <c r="J82" s="16"/>
      <c r="K82" s="18"/>
      <c r="L82" s="19">
        <f t="shared" si="119"/>
        <v>0</v>
      </c>
      <c r="M82" s="16"/>
      <c r="N82" s="18"/>
      <c r="O82" s="19">
        <f t="shared" si="120"/>
        <v>0</v>
      </c>
      <c r="P82" s="16"/>
      <c r="Q82" s="18"/>
      <c r="R82" s="19">
        <f t="shared" si="121"/>
        <v>0</v>
      </c>
      <c r="S82" s="20">
        <f t="shared" si="122"/>
        <v>0</v>
      </c>
      <c r="T82" s="19">
        <f t="shared" si="123"/>
        <v>0</v>
      </c>
      <c r="U82" s="21">
        <f t="shared" si="124"/>
        <v>0</v>
      </c>
      <c r="V82" s="19">
        <f t="shared" si="125"/>
        <v>0</v>
      </c>
      <c r="X82" s="29"/>
    </row>
    <row r="83" spans="1:24">
      <c r="A83" s="26" t="s">
        <v>13</v>
      </c>
      <c r="B83" s="26" t="s">
        <v>25</v>
      </c>
      <c r="C83" s="26">
        <v>13.4</v>
      </c>
      <c r="D83" s="27">
        <v>11.7</v>
      </c>
      <c r="E83" s="28"/>
      <c r="F83" s="16">
        <f t="shared" si="117"/>
        <v>0</v>
      </c>
      <c r="G83" s="17"/>
      <c r="H83" s="18"/>
      <c r="I83" s="19">
        <f t="shared" si="118"/>
        <v>0</v>
      </c>
      <c r="J83" s="16"/>
      <c r="K83" s="18">
        <v>1</v>
      </c>
      <c r="L83" s="19">
        <f t="shared" si="119"/>
        <v>0.15678</v>
      </c>
      <c r="M83" s="16"/>
      <c r="N83" s="18"/>
      <c r="O83" s="19">
        <f t="shared" si="120"/>
        <v>0</v>
      </c>
      <c r="P83" s="16"/>
      <c r="Q83" s="18"/>
      <c r="R83" s="19">
        <f t="shared" si="121"/>
        <v>0</v>
      </c>
      <c r="S83" s="20">
        <f t="shared" si="122"/>
        <v>1</v>
      </c>
      <c r="T83" s="19">
        <f t="shared" si="123"/>
        <v>0.15678</v>
      </c>
      <c r="U83" s="21">
        <f t="shared" si="124"/>
        <v>-1</v>
      </c>
      <c r="V83" s="19">
        <f t="shared" si="125"/>
        <v>-0.15678</v>
      </c>
      <c r="X83" s="29"/>
    </row>
    <row r="84" spans="1:24">
      <c r="A84" s="26" t="s">
        <v>13</v>
      </c>
      <c r="B84" s="26" t="s">
        <v>25</v>
      </c>
      <c r="C84" s="26">
        <v>13.4</v>
      </c>
      <c r="D84" s="27">
        <v>12</v>
      </c>
      <c r="E84" s="28"/>
      <c r="F84" s="16">
        <f t="shared" si="117"/>
        <v>0</v>
      </c>
      <c r="G84" s="17"/>
      <c r="H84" s="18"/>
      <c r="I84" s="19">
        <f t="shared" si="118"/>
        <v>0</v>
      </c>
      <c r="J84" s="16"/>
      <c r="K84" s="18"/>
      <c r="L84" s="19">
        <f t="shared" si="119"/>
        <v>0</v>
      </c>
      <c r="M84" s="16"/>
      <c r="N84" s="18">
        <v>15</v>
      </c>
      <c r="O84" s="19">
        <f t="shared" si="120"/>
        <v>2.4119999999999999</v>
      </c>
      <c r="P84" s="16"/>
      <c r="Q84" s="18"/>
      <c r="R84" s="19">
        <f t="shared" si="121"/>
        <v>0</v>
      </c>
      <c r="S84" s="20">
        <f t="shared" si="122"/>
        <v>15</v>
      </c>
      <c r="T84" s="19">
        <f t="shared" si="123"/>
        <v>2.4119999999999999</v>
      </c>
      <c r="U84" s="21">
        <f t="shared" si="124"/>
        <v>-15</v>
      </c>
      <c r="V84" s="19">
        <f t="shared" si="125"/>
        <v>-2.4119999999999999</v>
      </c>
      <c r="X84" s="29"/>
    </row>
    <row r="85" spans="1:24">
      <c r="A85" s="26" t="s">
        <v>13</v>
      </c>
      <c r="B85" s="26" t="s">
        <v>25</v>
      </c>
      <c r="C85" s="26">
        <v>13.4</v>
      </c>
      <c r="D85" s="27">
        <v>9.5</v>
      </c>
      <c r="E85" s="28"/>
      <c r="F85" s="16">
        <f t="shared" si="117"/>
        <v>0</v>
      </c>
      <c r="G85" s="17"/>
      <c r="H85" s="18"/>
      <c r="I85" s="19">
        <f t="shared" si="118"/>
        <v>0</v>
      </c>
      <c r="J85" s="16"/>
      <c r="K85" s="18"/>
      <c r="L85" s="19">
        <f t="shared" si="119"/>
        <v>0</v>
      </c>
      <c r="M85" s="16"/>
      <c r="N85" s="18">
        <v>1</v>
      </c>
      <c r="O85" s="19">
        <f t="shared" si="120"/>
        <v>0.1273</v>
      </c>
      <c r="P85" s="16"/>
      <c r="Q85" s="18"/>
      <c r="R85" s="19">
        <f t="shared" si="121"/>
        <v>0</v>
      </c>
      <c r="S85" s="20">
        <f t="shared" si="122"/>
        <v>1</v>
      </c>
      <c r="T85" s="19">
        <f t="shared" si="123"/>
        <v>0.1273</v>
      </c>
      <c r="U85" s="21">
        <f t="shared" si="124"/>
        <v>-1</v>
      </c>
      <c r="V85" s="19">
        <f t="shared" si="125"/>
        <v>-0.1273</v>
      </c>
      <c r="X85" s="29"/>
    </row>
    <row r="86" spans="1:24">
      <c r="A86" s="26" t="s">
        <v>13</v>
      </c>
      <c r="B86" s="26" t="s">
        <v>25</v>
      </c>
      <c r="C86" s="26">
        <v>13.4</v>
      </c>
      <c r="D86" s="27">
        <v>10</v>
      </c>
      <c r="E86" s="28"/>
      <c r="F86" s="16">
        <f t="shared" si="117"/>
        <v>0</v>
      </c>
      <c r="G86" s="17"/>
      <c r="H86" s="18"/>
      <c r="I86" s="19">
        <f t="shared" si="118"/>
        <v>0</v>
      </c>
      <c r="J86" s="16"/>
      <c r="K86" s="18"/>
      <c r="L86" s="19">
        <f t="shared" si="119"/>
        <v>0</v>
      </c>
      <c r="M86" s="16"/>
      <c r="N86" s="18">
        <v>6</v>
      </c>
      <c r="O86" s="19">
        <f t="shared" si="120"/>
        <v>0.80400000000000005</v>
      </c>
      <c r="P86" s="16"/>
      <c r="Q86" s="18"/>
      <c r="R86" s="19">
        <f t="shared" si="121"/>
        <v>0</v>
      </c>
      <c r="S86" s="20">
        <f t="shared" si="122"/>
        <v>6</v>
      </c>
      <c r="T86" s="19">
        <f t="shared" si="123"/>
        <v>0.80400000000000005</v>
      </c>
      <c r="U86" s="21">
        <f t="shared" si="124"/>
        <v>-6</v>
      </c>
      <c r="V86" s="19">
        <f t="shared" si="125"/>
        <v>-0.80400000000000005</v>
      </c>
      <c r="X86" s="29"/>
    </row>
    <row r="87" spans="1:24">
      <c r="A87" s="26" t="s">
        <v>13</v>
      </c>
      <c r="B87" s="26" t="s">
        <v>25</v>
      </c>
      <c r="C87" s="26">
        <v>13.4</v>
      </c>
      <c r="D87" s="27">
        <v>11</v>
      </c>
      <c r="E87" s="28"/>
      <c r="F87" s="16">
        <f t="shared" si="117"/>
        <v>0</v>
      </c>
      <c r="G87" s="17"/>
      <c r="H87" s="18"/>
      <c r="I87" s="19">
        <f t="shared" si="118"/>
        <v>0</v>
      </c>
      <c r="J87" s="16"/>
      <c r="K87" s="18"/>
      <c r="L87" s="19">
        <f t="shared" si="119"/>
        <v>0</v>
      </c>
      <c r="M87" s="16"/>
      <c r="N87" s="18">
        <v>3</v>
      </c>
      <c r="O87" s="19">
        <f t="shared" si="120"/>
        <v>0.44220000000000004</v>
      </c>
      <c r="P87" s="16"/>
      <c r="Q87" s="18"/>
      <c r="R87" s="19">
        <f t="shared" si="121"/>
        <v>0</v>
      </c>
      <c r="S87" s="20">
        <f t="shared" si="122"/>
        <v>3</v>
      </c>
      <c r="T87" s="19">
        <f t="shared" si="123"/>
        <v>0.44220000000000004</v>
      </c>
      <c r="U87" s="21">
        <f t="shared" si="124"/>
        <v>-3</v>
      </c>
      <c r="V87" s="19">
        <f t="shared" si="125"/>
        <v>-0.44220000000000004</v>
      </c>
      <c r="X87" s="29"/>
    </row>
    <row r="88" spans="1:24">
      <c r="A88" s="26" t="s">
        <v>13</v>
      </c>
      <c r="B88" s="26" t="s">
        <v>25</v>
      </c>
      <c r="C88" s="26">
        <v>13.4</v>
      </c>
      <c r="D88" s="27">
        <v>11.5</v>
      </c>
      <c r="E88" s="28"/>
      <c r="F88" s="16">
        <f t="shared" si="117"/>
        <v>0</v>
      </c>
      <c r="G88" s="17"/>
      <c r="H88" s="18"/>
      <c r="I88" s="19">
        <f t="shared" si="118"/>
        <v>0</v>
      </c>
      <c r="J88" s="16"/>
      <c r="K88" s="18"/>
      <c r="L88" s="19">
        <f t="shared" si="119"/>
        <v>0</v>
      </c>
      <c r="M88" s="16"/>
      <c r="N88" s="18">
        <v>3</v>
      </c>
      <c r="O88" s="19">
        <f t="shared" si="120"/>
        <v>0.46229999999999993</v>
      </c>
      <c r="P88" s="16"/>
      <c r="Q88" s="18"/>
      <c r="R88" s="19">
        <f t="shared" si="121"/>
        <v>0</v>
      </c>
      <c r="S88" s="20">
        <f t="shared" si="122"/>
        <v>3</v>
      </c>
      <c r="T88" s="19">
        <f t="shared" si="123"/>
        <v>0.46229999999999993</v>
      </c>
      <c r="U88" s="21">
        <f t="shared" si="124"/>
        <v>-3</v>
      </c>
      <c r="V88" s="19">
        <f t="shared" si="125"/>
        <v>-0.46229999999999993</v>
      </c>
      <c r="X88" s="29"/>
    </row>
    <row r="89" spans="1:24">
      <c r="A89" s="26" t="s">
        <v>13</v>
      </c>
      <c r="B89" s="26" t="s">
        <v>25</v>
      </c>
      <c r="C89" s="26">
        <v>13.4</v>
      </c>
      <c r="D89" s="27">
        <v>7.6</v>
      </c>
      <c r="E89" s="28"/>
      <c r="F89" s="16">
        <f t="shared" si="117"/>
        <v>0</v>
      </c>
      <c r="G89" s="17"/>
      <c r="H89" s="18"/>
      <c r="I89" s="19">
        <f t="shared" si="118"/>
        <v>0</v>
      </c>
      <c r="J89" s="16"/>
      <c r="K89" s="18"/>
      <c r="L89" s="19">
        <f t="shared" si="119"/>
        <v>0</v>
      </c>
      <c r="M89" s="16"/>
      <c r="N89" s="18"/>
      <c r="O89" s="19">
        <f t="shared" si="120"/>
        <v>0</v>
      </c>
      <c r="P89" s="16"/>
      <c r="Q89" s="18">
        <v>5</v>
      </c>
      <c r="R89" s="19">
        <f t="shared" si="121"/>
        <v>0.5092000000000001</v>
      </c>
      <c r="S89" s="20">
        <f t="shared" si="122"/>
        <v>5</v>
      </c>
      <c r="T89" s="19">
        <f t="shared" si="123"/>
        <v>0.5092000000000001</v>
      </c>
      <c r="U89" s="21">
        <f t="shared" si="124"/>
        <v>-5</v>
      </c>
      <c r="V89" s="19">
        <f t="shared" si="125"/>
        <v>-0.5092000000000001</v>
      </c>
      <c r="X89" s="29"/>
    </row>
    <row r="90" spans="1:24">
      <c r="A90" s="26" t="s">
        <v>13</v>
      </c>
      <c r="B90" s="26" t="s">
        <v>25</v>
      </c>
      <c r="C90" s="26">
        <v>13.4</v>
      </c>
      <c r="D90" s="27">
        <v>9.5</v>
      </c>
      <c r="E90" s="28"/>
      <c r="F90" s="16">
        <f t="shared" si="117"/>
        <v>0</v>
      </c>
      <c r="G90" s="17"/>
      <c r="H90" s="18"/>
      <c r="I90" s="19">
        <f t="shared" si="118"/>
        <v>0</v>
      </c>
      <c r="J90" s="16"/>
      <c r="K90" s="18"/>
      <c r="L90" s="19">
        <f t="shared" si="119"/>
        <v>0</v>
      </c>
      <c r="M90" s="16"/>
      <c r="N90" s="18"/>
      <c r="O90" s="19">
        <f t="shared" si="120"/>
        <v>0</v>
      </c>
      <c r="P90" s="16"/>
      <c r="Q90" s="18">
        <v>15</v>
      </c>
      <c r="R90" s="19">
        <f t="shared" si="121"/>
        <v>1.9095</v>
      </c>
      <c r="S90" s="20">
        <f t="shared" si="122"/>
        <v>15</v>
      </c>
      <c r="T90" s="19">
        <f t="shared" si="123"/>
        <v>1.9095</v>
      </c>
      <c r="U90" s="21">
        <f t="shared" si="124"/>
        <v>-15</v>
      </c>
      <c r="V90" s="19">
        <f t="shared" si="125"/>
        <v>-1.9095</v>
      </c>
      <c r="X90" s="29"/>
    </row>
    <row r="91" spans="1:24">
      <c r="A91" s="26" t="s">
        <v>13</v>
      </c>
      <c r="B91" s="26" t="s">
        <v>25</v>
      </c>
      <c r="C91" s="26">
        <v>13.4</v>
      </c>
      <c r="D91" s="27">
        <v>10</v>
      </c>
      <c r="E91" s="28"/>
      <c r="F91" s="16">
        <f t="shared" ref="F91:F93" si="126">(C91*D91*E91/1000)</f>
        <v>0</v>
      </c>
      <c r="G91" s="17"/>
      <c r="H91" s="18"/>
      <c r="I91" s="19">
        <f t="shared" ref="I91:I93" si="127">(C91*D91*H91/1000)</f>
        <v>0</v>
      </c>
      <c r="J91" s="16"/>
      <c r="K91" s="18"/>
      <c r="L91" s="19">
        <f t="shared" ref="L91:L93" si="128">(C91*D91*K91/1000)</f>
        <v>0</v>
      </c>
      <c r="M91" s="16"/>
      <c r="N91" s="18"/>
      <c r="O91" s="19">
        <f t="shared" ref="O91:O93" si="129">(C91*D91*N91/1000)</f>
        <v>0</v>
      </c>
      <c r="P91" s="16"/>
      <c r="Q91" s="18">
        <v>5</v>
      </c>
      <c r="R91" s="19">
        <f t="shared" ref="R91:R93" si="130">(C91*D91*Q91/1000)</f>
        <v>0.67</v>
      </c>
      <c r="S91" s="20">
        <f t="shared" ref="S91:S93" si="131">+H91+K91+Q91+N91</f>
        <v>5</v>
      </c>
      <c r="T91" s="19">
        <f t="shared" ref="T91:T93" si="132">+I91+L91+R91+O91</f>
        <v>0.67</v>
      </c>
      <c r="U91" s="21">
        <f t="shared" ref="U91:U93" si="133">E91-S91</f>
        <v>-5</v>
      </c>
      <c r="V91" s="19">
        <f t="shared" ref="V91:V93" si="134">F91-T91</f>
        <v>-0.67</v>
      </c>
      <c r="X91" s="29"/>
    </row>
    <row r="92" spans="1:24">
      <c r="A92" s="26" t="s">
        <v>13</v>
      </c>
      <c r="B92" s="26" t="s">
        <v>25</v>
      </c>
      <c r="C92" s="26">
        <v>13.4</v>
      </c>
      <c r="D92" s="27">
        <v>10.1</v>
      </c>
      <c r="E92" s="28"/>
      <c r="F92" s="16">
        <f t="shared" si="126"/>
        <v>0</v>
      </c>
      <c r="G92" s="17"/>
      <c r="H92" s="18"/>
      <c r="I92" s="19">
        <f t="shared" si="127"/>
        <v>0</v>
      </c>
      <c r="J92" s="16"/>
      <c r="K92" s="18"/>
      <c r="L92" s="19">
        <f t="shared" si="128"/>
        <v>0</v>
      </c>
      <c r="M92" s="16"/>
      <c r="N92" s="18"/>
      <c r="O92" s="19">
        <f t="shared" si="129"/>
        <v>0</v>
      </c>
      <c r="P92" s="16"/>
      <c r="Q92" s="18">
        <v>3</v>
      </c>
      <c r="R92" s="19">
        <f t="shared" si="130"/>
        <v>0.40601999999999999</v>
      </c>
      <c r="S92" s="20">
        <f t="shared" si="131"/>
        <v>3</v>
      </c>
      <c r="T92" s="19">
        <f t="shared" si="132"/>
        <v>0.40601999999999999</v>
      </c>
      <c r="U92" s="21">
        <f t="shared" si="133"/>
        <v>-3</v>
      </c>
      <c r="V92" s="19">
        <f t="shared" si="134"/>
        <v>-0.40601999999999999</v>
      </c>
      <c r="X92" s="29"/>
    </row>
    <row r="93" spans="1:24">
      <c r="A93" s="26" t="s">
        <v>13</v>
      </c>
      <c r="B93" s="26" t="s">
        <v>25</v>
      </c>
      <c r="C93" s="26">
        <v>13.4</v>
      </c>
      <c r="D93" s="27">
        <v>11.2</v>
      </c>
      <c r="E93" s="28"/>
      <c r="F93" s="16">
        <f t="shared" si="126"/>
        <v>0</v>
      </c>
      <c r="G93" s="17"/>
      <c r="H93" s="18"/>
      <c r="I93" s="19">
        <f t="shared" si="127"/>
        <v>0</v>
      </c>
      <c r="J93" s="16"/>
      <c r="K93" s="18"/>
      <c r="L93" s="19">
        <f t="shared" si="128"/>
        <v>0</v>
      </c>
      <c r="M93" s="16"/>
      <c r="N93" s="18"/>
      <c r="O93" s="19">
        <f t="shared" si="129"/>
        <v>0</v>
      </c>
      <c r="P93" s="16"/>
      <c r="Q93" s="18">
        <v>4</v>
      </c>
      <c r="R93" s="19">
        <f t="shared" si="130"/>
        <v>0.60031999999999996</v>
      </c>
      <c r="S93" s="20">
        <f t="shared" si="131"/>
        <v>4</v>
      </c>
      <c r="T93" s="19">
        <f t="shared" si="132"/>
        <v>0.60031999999999996</v>
      </c>
      <c r="U93" s="21">
        <f t="shared" si="133"/>
        <v>-4</v>
      </c>
      <c r="V93" s="19">
        <f t="shared" si="134"/>
        <v>-0.60031999999999996</v>
      </c>
      <c r="X93" s="29"/>
    </row>
    <row r="94" spans="1:24">
      <c r="A94" s="26" t="s">
        <v>13</v>
      </c>
      <c r="B94" s="26" t="s">
        <v>25</v>
      </c>
      <c r="C94" s="26">
        <v>13.4</v>
      </c>
      <c r="D94" s="27">
        <v>11.4</v>
      </c>
      <c r="E94" s="28"/>
      <c r="F94" s="16">
        <f t="shared" si="117"/>
        <v>0</v>
      </c>
      <c r="G94" s="17"/>
      <c r="H94" s="18"/>
      <c r="I94" s="19">
        <f t="shared" si="118"/>
        <v>0</v>
      </c>
      <c r="J94" s="16"/>
      <c r="K94" s="18"/>
      <c r="L94" s="19">
        <f t="shared" si="119"/>
        <v>0</v>
      </c>
      <c r="M94" s="16"/>
      <c r="N94" s="18"/>
      <c r="O94" s="19">
        <f t="shared" si="120"/>
        <v>0</v>
      </c>
      <c r="P94" s="16"/>
      <c r="Q94" s="18">
        <v>3</v>
      </c>
      <c r="R94" s="19">
        <f t="shared" si="121"/>
        <v>0.45828000000000008</v>
      </c>
      <c r="S94" s="20">
        <f t="shared" si="122"/>
        <v>3</v>
      </c>
      <c r="T94" s="19">
        <f t="shared" si="123"/>
        <v>0.45828000000000008</v>
      </c>
      <c r="U94" s="21">
        <f t="shared" si="124"/>
        <v>-3</v>
      </c>
      <c r="V94" s="19">
        <f t="shared" si="125"/>
        <v>-0.45828000000000008</v>
      </c>
      <c r="X94" s="29"/>
    </row>
    <row r="95" spans="1:24">
      <c r="A95" s="26" t="s">
        <v>13</v>
      </c>
      <c r="B95" s="26" t="s">
        <v>25</v>
      </c>
      <c r="C95" s="26">
        <v>13.4</v>
      </c>
      <c r="D95" s="27">
        <v>11.5</v>
      </c>
      <c r="E95" s="28"/>
      <c r="F95" s="16">
        <f t="shared" si="117"/>
        <v>0</v>
      </c>
      <c r="G95" s="17"/>
      <c r="H95" s="18"/>
      <c r="I95" s="19">
        <f t="shared" si="118"/>
        <v>0</v>
      </c>
      <c r="J95" s="16"/>
      <c r="K95" s="18"/>
      <c r="L95" s="19">
        <f t="shared" si="119"/>
        <v>0</v>
      </c>
      <c r="M95" s="16"/>
      <c r="N95" s="18"/>
      <c r="O95" s="19">
        <f t="shared" si="120"/>
        <v>0</v>
      </c>
      <c r="P95" s="16"/>
      <c r="Q95" s="18">
        <v>3</v>
      </c>
      <c r="R95" s="19">
        <f t="shared" si="121"/>
        <v>0.46229999999999993</v>
      </c>
      <c r="S95" s="20">
        <f t="shared" si="122"/>
        <v>3</v>
      </c>
      <c r="T95" s="19">
        <f t="shared" si="123"/>
        <v>0.46229999999999993</v>
      </c>
      <c r="U95" s="21">
        <f t="shared" si="124"/>
        <v>-3</v>
      </c>
      <c r="V95" s="19">
        <f t="shared" si="125"/>
        <v>-0.46229999999999993</v>
      </c>
      <c r="X95" s="29"/>
    </row>
    <row r="96" spans="1:24">
      <c r="A96" s="26" t="s">
        <v>13</v>
      </c>
      <c r="B96" s="26" t="s">
        <v>25</v>
      </c>
      <c r="C96" s="26">
        <v>13.4</v>
      </c>
      <c r="D96" s="27">
        <v>11.7</v>
      </c>
      <c r="E96" s="28"/>
      <c r="F96" s="16">
        <f t="shared" si="117"/>
        <v>0</v>
      </c>
      <c r="G96" s="17"/>
      <c r="H96" s="18"/>
      <c r="I96" s="19">
        <f t="shared" si="118"/>
        <v>0</v>
      </c>
      <c r="J96" s="16"/>
      <c r="K96" s="18"/>
      <c r="L96" s="19">
        <f t="shared" si="119"/>
        <v>0</v>
      </c>
      <c r="M96" s="16"/>
      <c r="N96" s="18"/>
      <c r="O96" s="19">
        <f t="shared" si="120"/>
        <v>0</v>
      </c>
      <c r="P96" s="16"/>
      <c r="Q96" s="18">
        <v>7</v>
      </c>
      <c r="R96" s="19">
        <f t="shared" si="121"/>
        <v>1.0974600000000001</v>
      </c>
      <c r="S96" s="20">
        <f t="shared" si="122"/>
        <v>7</v>
      </c>
      <c r="T96" s="19">
        <f t="shared" si="123"/>
        <v>1.0974600000000001</v>
      </c>
      <c r="U96" s="21">
        <f t="shared" si="124"/>
        <v>-7</v>
      </c>
      <c r="V96" s="19">
        <f t="shared" si="125"/>
        <v>-1.0974600000000001</v>
      </c>
      <c r="X96" s="29"/>
    </row>
    <row r="97" spans="1:28">
      <c r="A97" s="26" t="s">
        <v>13</v>
      </c>
      <c r="B97" s="26" t="s">
        <v>25</v>
      </c>
      <c r="C97" s="26">
        <v>13.4</v>
      </c>
      <c r="D97" s="27">
        <v>12</v>
      </c>
      <c r="E97" s="28"/>
      <c r="F97" s="16">
        <f t="shared" si="117"/>
        <v>0</v>
      </c>
      <c r="G97" s="17"/>
      <c r="H97" s="18"/>
      <c r="I97" s="19">
        <f t="shared" si="118"/>
        <v>0</v>
      </c>
      <c r="J97" s="16"/>
      <c r="K97" s="18"/>
      <c r="L97" s="19">
        <f t="shared" si="119"/>
        <v>0</v>
      </c>
      <c r="M97" s="16"/>
      <c r="N97" s="18"/>
      <c r="O97" s="19">
        <f t="shared" si="120"/>
        <v>0</v>
      </c>
      <c r="P97" s="16"/>
      <c r="Q97" s="18">
        <v>1</v>
      </c>
      <c r="R97" s="19">
        <f t="shared" si="121"/>
        <v>0.1608</v>
      </c>
      <c r="S97" s="20">
        <f t="shared" si="122"/>
        <v>1</v>
      </c>
      <c r="T97" s="19">
        <f t="shared" si="123"/>
        <v>0.1608</v>
      </c>
      <c r="U97" s="21">
        <f t="shared" si="124"/>
        <v>-1</v>
      </c>
      <c r="V97" s="19">
        <f t="shared" si="125"/>
        <v>-0.1608</v>
      </c>
      <c r="X97" s="29"/>
    </row>
    <row r="98" spans="1:28">
      <c r="A98" s="26" t="s">
        <v>13</v>
      </c>
      <c r="B98" s="26" t="s">
        <v>25</v>
      </c>
      <c r="C98" s="26">
        <v>13.4</v>
      </c>
      <c r="D98" s="27"/>
      <c r="E98" s="28"/>
      <c r="F98" s="16">
        <f t="shared" si="117"/>
        <v>0</v>
      </c>
      <c r="G98" s="17"/>
      <c r="H98" s="18"/>
      <c r="I98" s="19">
        <f t="shared" si="118"/>
        <v>0</v>
      </c>
      <c r="J98" s="16"/>
      <c r="K98" s="18"/>
      <c r="L98" s="19">
        <f t="shared" si="119"/>
        <v>0</v>
      </c>
      <c r="M98" s="16"/>
      <c r="N98" s="18"/>
      <c r="O98" s="19">
        <f t="shared" si="120"/>
        <v>0</v>
      </c>
      <c r="P98" s="16"/>
      <c r="Q98" s="18"/>
      <c r="R98" s="19">
        <f t="shared" si="121"/>
        <v>0</v>
      </c>
      <c r="S98" s="20">
        <f t="shared" si="122"/>
        <v>0</v>
      </c>
      <c r="T98" s="19">
        <f t="shared" si="123"/>
        <v>0</v>
      </c>
      <c r="U98" s="21">
        <f t="shared" si="124"/>
        <v>0</v>
      </c>
      <c r="V98" s="19">
        <f t="shared" si="125"/>
        <v>0</v>
      </c>
      <c r="X98" s="29"/>
    </row>
    <row r="99" spans="1:28">
      <c r="A99" s="26" t="s">
        <v>13</v>
      </c>
      <c r="B99" s="26" t="s">
        <v>25</v>
      </c>
      <c r="C99" s="26">
        <v>13.4</v>
      </c>
      <c r="D99" s="27"/>
      <c r="E99" s="28"/>
      <c r="F99" s="16">
        <f t="shared" si="108"/>
        <v>0</v>
      </c>
      <c r="G99" s="17"/>
      <c r="H99" s="18"/>
      <c r="I99" s="19">
        <f t="shared" si="109"/>
        <v>0</v>
      </c>
      <c r="J99" s="16"/>
      <c r="K99" s="18"/>
      <c r="L99" s="19">
        <f t="shared" si="110"/>
        <v>0</v>
      </c>
      <c r="M99" s="16"/>
      <c r="N99" s="18"/>
      <c r="O99" s="19">
        <f t="shared" si="111"/>
        <v>0</v>
      </c>
      <c r="P99" s="16"/>
      <c r="Q99" s="18"/>
      <c r="R99" s="19">
        <f t="shared" si="112"/>
        <v>0</v>
      </c>
      <c r="S99" s="20">
        <f t="shared" si="113"/>
        <v>0</v>
      </c>
      <c r="T99" s="19">
        <f t="shared" si="114"/>
        <v>0</v>
      </c>
      <c r="U99" s="21">
        <f t="shared" si="115"/>
        <v>0</v>
      </c>
      <c r="V99" s="19">
        <f t="shared" si="116"/>
        <v>0</v>
      </c>
      <c r="X99" s="29"/>
    </row>
    <row r="100" spans="1:28">
      <c r="A100" s="36"/>
      <c r="B100" s="36"/>
      <c r="C100" s="36"/>
      <c r="D100" s="38"/>
      <c r="E100" s="31">
        <f>SUM(E77:E99)</f>
        <v>413</v>
      </c>
      <c r="F100" s="38">
        <f>SUM(F77:F99)</f>
        <v>60.404520000000005</v>
      </c>
      <c r="G100" s="17"/>
      <c r="H100" s="31">
        <f>SUM(H77:H99)</f>
        <v>50</v>
      </c>
      <c r="I100" s="38">
        <f>SUM(I77:I99)</f>
        <v>7.2172400000000003</v>
      </c>
      <c r="J100" s="16"/>
      <c r="K100" s="31">
        <f>SUM(K77:K99)</f>
        <v>291</v>
      </c>
      <c r="L100" s="38">
        <f>SUM(L77:L99)</f>
        <v>42.707139999999995</v>
      </c>
      <c r="M100" s="16"/>
      <c r="N100" s="31">
        <f>SUM(N77:N99)</f>
        <v>28</v>
      </c>
      <c r="O100" s="38">
        <f>SUM(O77:O99)</f>
        <v>4.2477999999999998</v>
      </c>
      <c r="P100" s="16"/>
      <c r="Q100" s="31">
        <f t="shared" ref="Q100:V100" si="135">SUM(Q77:Q99)</f>
        <v>46</v>
      </c>
      <c r="R100" s="38">
        <f t="shared" si="135"/>
        <v>6.2738800000000001</v>
      </c>
      <c r="S100" s="31">
        <f t="shared" si="135"/>
        <v>415</v>
      </c>
      <c r="T100" s="38">
        <f t="shared" si="135"/>
        <v>60.446059999999996</v>
      </c>
      <c r="U100" s="31">
        <f t="shared" si="135"/>
        <v>-2</v>
      </c>
      <c r="V100" s="38">
        <f t="shared" si="135"/>
        <v>-4.1539999999996302E-2</v>
      </c>
      <c r="X100" s="29"/>
      <c r="Z100" s="50" t="s">
        <v>194</v>
      </c>
      <c r="AA100" s="50"/>
      <c r="AB100" s="50"/>
    </row>
    <row r="101" spans="1:28">
      <c r="A101" s="26" t="s">
        <v>13</v>
      </c>
      <c r="B101" s="26" t="s">
        <v>33</v>
      </c>
      <c r="C101" s="26">
        <v>15</v>
      </c>
      <c r="D101" s="27">
        <v>7</v>
      </c>
      <c r="E101" s="28">
        <v>64</v>
      </c>
      <c r="F101" s="16">
        <f t="shared" ref="F101:F117" si="136">(C101*D101*E101/1000)</f>
        <v>6.72</v>
      </c>
      <c r="G101" s="17" t="s">
        <v>89</v>
      </c>
      <c r="H101" s="18">
        <v>30</v>
      </c>
      <c r="I101" s="19">
        <f t="shared" ref="I101:I117" si="137">(C101*D101*H101/1000)</f>
        <v>3.15</v>
      </c>
      <c r="J101" s="16" t="s">
        <v>93</v>
      </c>
      <c r="K101" s="18">
        <v>24</v>
      </c>
      <c r="L101" s="19">
        <f t="shared" ref="L101:L117" si="138">(C101*D101*K101/1000)</f>
        <v>2.52</v>
      </c>
      <c r="M101" s="16" t="s">
        <v>114</v>
      </c>
      <c r="N101" s="18">
        <v>13</v>
      </c>
      <c r="O101" s="19">
        <f t="shared" ref="O101:O117" si="139">(C101*D101*N101/1000)</f>
        <v>1.365</v>
      </c>
      <c r="P101" s="16" t="s">
        <v>93</v>
      </c>
      <c r="Q101" s="18"/>
      <c r="R101" s="19">
        <f t="shared" ref="R101:R103" si="140">(C101*D101*Q101/1000)</f>
        <v>0</v>
      </c>
      <c r="S101" s="20">
        <f>+H101+K101+Q101+N101</f>
        <v>67</v>
      </c>
      <c r="T101" s="19">
        <f t="shared" ref="T101:T117" si="141">+I101+L101+R101+O101</f>
        <v>7.0350000000000001</v>
      </c>
      <c r="U101" s="21">
        <f>E101-S101</f>
        <v>-3</v>
      </c>
      <c r="V101" s="19">
        <f t="shared" ref="V101:V117" si="142">F101-T101</f>
        <v>-0.31500000000000039</v>
      </c>
      <c r="X101" s="29"/>
    </row>
    <row r="102" spans="1:28">
      <c r="A102" s="26" t="s">
        <v>13</v>
      </c>
      <c r="B102" s="26" t="s">
        <v>33</v>
      </c>
      <c r="C102" s="26">
        <v>15</v>
      </c>
      <c r="D102" s="27">
        <v>8.6999999999999993</v>
      </c>
      <c r="E102" s="28">
        <v>32</v>
      </c>
      <c r="F102" s="16">
        <f t="shared" si="136"/>
        <v>4.1760000000000002</v>
      </c>
      <c r="G102" s="17" t="s">
        <v>199</v>
      </c>
      <c r="H102" s="18">
        <v>9</v>
      </c>
      <c r="I102" s="19">
        <f t="shared" si="137"/>
        <v>1.1745000000000001</v>
      </c>
      <c r="J102" s="16" t="s">
        <v>201</v>
      </c>
      <c r="K102" s="18">
        <v>20</v>
      </c>
      <c r="L102" s="19">
        <f t="shared" si="138"/>
        <v>2.61</v>
      </c>
      <c r="M102" s="16" t="s">
        <v>201</v>
      </c>
      <c r="N102" s="18">
        <v>3</v>
      </c>
      <c r="O102" s="19">
        <f t="shared" si="139"/>
        <v>0.39150000000000001</v>
      </c>
      <c r="P102" s="16" t="s">
        <v>206</v>
      </c>
      <c r="Q102" s="18">
        <v>5</v>
      </c>
      <c r="R102" s="19">
        <f t="shared" si="140"/>
        <v>0.65249999999999997</v>
      </c>
      <c r="S102" s="20">
        <f>+H102+K102+Q102+N102</f>
        <v>37</v>
      </c>
      <c r="T102" s="19">
        <f t="shared" si="141"/>
        <v>4.8285</v>
      </c>
      <c r="U102" s="21">
        <f t="shared" ref="U102:U117" si="143">E102-S102</f>
        <v>-5</v>
      </c>
      <c r="V102" s="19">
        <f t="shared" si="142"/>
        <v>-0.65249999999999986</v>
      </c>
      <c r="X102" s="29"/>
      <c r="Z102" t="s">
        <v>191</v>
      </c>
      <c r="AA102" t="s">
        <v>192</v>
      </c>
      <c r="AB102" t="s">
        <v>193</v>
      </c>
    </row>
    <row r="103" spans="1:28">
      <c r="A103" s="26" t="s">
        <v>13</v>
      </c>
      <c r="B103" s="26" t="s">
        <v>33</v>
      </c>
      <c r="C103" s="26">
        <v>15</v>
      </c>
      <c r="D103" s="27">
        <v>10.199999999999999</v>
      </c>
      <c r="E103" s="28">
        <v>344</v>
      </c>
      <c r="F103" s="16">
        <f t="shared" si="136"/>
        <v>52.631999999999998</v>
      </c>
      <c r="G103" s="17"/>
      <c r="H103" s="18">
        <v>99</v>
      </c>
      <c r="I103" s="19">
        <f t="shared" si="137"/>
        <v>15.147</v>
      </c>
      <c r="J103" s="16"/>
      <c r="K103" s="18">
        <v>117</v>
      </c>
      <c r="L103" s="19">
        <f t="shared" si="138"/>
        <v>17.901</v>
      </c>
      <c r="M103" s="16"/>
      <c r="N103" s="18">
        <v>20</v>
      </c>
      <c r="O103" s="19">
        <f t="shared" si="139"/>
        <v>3.06</v>
      </c>
      <c r="P103" s="16"/>
      <c r="Q103" s="18"/>
      <c r="R103" s="19">
        <f t="shared" si="140"/>
        <v>0</v>
      </c>
      <c r="S103" s="20">
        <f>+H103+K103+Q103+N103</f>
        <v>236</v>
      </c>
      <c r="T103" s="19">
        <f t="shared" si="141"/>
        <v>36.108000000000004</v>
      </c>
      <c r="U103" s="21">
        <f t="shared" si="143"/>
        <v>108</v>
      </c>
      <c r="V103" s="19">
        <f t="shared" si="142"/>
        <v>16.523999999999994</v>
      </c>
      <c r="W103">
        <v>6761</v>
      </c>
      <c r="X103" s="46">
        <v>344</v>
      </c>
      <c r="Y103" s="46">
        <v>150</v>
      </c>
      <c r="Z103" s="47">
        <f>+Y103+W103</f>
        <v>6911</v>
      </c>
      <c r="AA103" s="48">
        <v>344</v>
      </c>
      <c r="AB103" s="47">
        <f>Z103*AA103*C102/1000</f>
        <v>35660.76</v>
      </c>
    </row>
    <row r="104" spans="1:28">
      <c r="A104" s="26" t="s">
        <v>13</v>
      </c>
      <c r="B104" s="26" t="s">
        <v>33</v>
      </c>
      <c r="C104" s="26">
        <v>15</v>
      </c>
      <c r="D104" s="27">
        <v>11.4</v>
      </c>
      <c r="E104" s="28">
        <v>12</v>
      </c>
      <c r="F104" s="16">
        <f t="shared" ref="F104:F116" si="144">(C104*D104*E104/1000)</f>
        <v>2.052</v>
      </c>
      <c r="G104" s="17"/>
      <c r="H104" s="18"/>
      <c r="I104" s="19">
        <f t="shared" ref="I104:I116" si="145">(C104*D104*H104/1000)</f>
        <v>0</v>
      </c>
      <c r="J104" s="16"/>
      <c r="K104" s="18">
        <v>8</v>
      </c>
      <c r="L104" s="19">
        <f t="shared" ref="L104:L116" si="146">(C104*D104*K104/1000)</f>
        <v>1.3680000000000001</v>
      </c>
      <c r="M104" s="16"/>
      <c r="N104" s="18"/>
      <c r="O104" s="19">
        <f t="shared" ref="O104:O116" si="147">(C104*D104*N104/1000)</f>
        <v>0</v>
      </c>
      <c r="P104" s="16"/>
      <c r="Q104" s="18"/>
      <c r="R104" s="19">
        <f t="shared" ref="R104:R116" si="148">(C104*D104*Q104/1000)</f>
        <v>0</v>
      </c>
      <c r="S104" s="20">
        <f t="shared" ref="S104:S116" si="149">+H104+K104+Q104+N104</f>
        <v>8</v>
      </c>
      <c r="T104" s="19">
        <f t="shared" ref="T104:T116" si="150">+I104+L104+R104+O104</f>
        <v>1.3680000000000001</v>
      </c>
      <c r="U104" s="21">
        <f t="shared" ref="U104:U116" si="151">E104-S104</f>
        <v>4</v>
      </c>
      <c r="V104" s="19">
        <f t="shared" ref="V104:V116" si="152">F104-T104</f>
        <v>0.68399999999999994</v>
      </c>
      <c r="W104">
        <v>3250</v>
      </c>
      <c r="X104" s="46">
        <v>344</v>
      </c>
      <c r="Y104" s="46">
        <v>150</v>
      </c>
      <c r="Z104" s="46"/>
    </row>
    <row r="105" spans="1:28">
      <c r="A105" s="26" t="s">
        <v>13</v>
      </c>
      <c r="B105" s="26" t="s">
        <v>33</v>
      </c>
      <c r="C105" s="26">
        <v>15</v>
      </c>
      <c r="D105" s="27">
        <v>6.91</v>
      </c>
      <c r="E105" s="28"/>
      <c r="F105" s="16">
        <f t="shared" si="144"/>
        <v>0</v>
      </c>
      <c r="G105" s="17"/>
      <c r="H105" s="18">
        <v>37</v>
      </c>
      <c r="I105" s="19">
        <f t="shared" si="145"/>
        <v>3.8350500000000003</v>
      </c>
      <c r="J105" s="16"/>
      <c r="K105" s="18">
        <f>6+49</f>
        <v>55</v>
      </c>
      <c r="L105" s="19">
        <f t="shared" si="146"/>
        <v>5.7007500000000002</v>
      </c>
      <c r="M105" s="16"/>
      <c r="N105" s="18"/>
      <c r="O105" s="19">
        <f t="shared" si="147"/>
        <v>0</v>
      </c>
      <c r="P105" s="17" t="s">
        <v>93</v>
      </c>
      <c r="Q105" s="18"/>
      <c r="R105" s="19">
        <f t="shared" si="148"/>
        <v>0</v>
      </c>
      <c r="S105" s="20">
        <f t="shared" si="149"/>
        <v>92</v>
      </c>
      <c r="T105" s="19">
        <f t="shared" si="150"/>
        <v>9.5358000000000001</v>
      </c>
      <c r="U105" s="21">
        <f t="shared" si="151"/>
        <v>-92</v>
      </c>
      <c r="V105" s="19">
        <f t="shared" si="152"/>
        <v>-9.5358000000000001</v>
      </c>
      <c r="W105">
        <v>3250</v>
      </c>
      <c r="X105" s="46">
        <v>344</v>
      </c>
      <c r="Y105" s="46">
        <v>150</v>
      </c>
      <c r="Z105" s="46"/>
    </row>
    <row r="106" spans="1:28">
      <c r="A106" s="26" t="s">
        <v>13</v>
      </c>
      <c r="B106" s="26" t="s">
        <v>33</v>
      </c>
      <c r="C106" s="26">
        <v>15</v>
      </c>
      <c r="D106" s="27">
        <v>6.65</v>
      </c>
      <c r="E106" s="28"/>
      <c r="F106" s="16">
        <f t="shared" si="144"/>
        <v>0</v>
      </c>
      <c r="G106" s="17"/>
      <c r="H106" s="18">
        <v>21</v>
      </c>
      <c r="I106" s="19">
        <f t="shared" si="145"/>
        <v>2.0947499999999999</v>
      </c>
      <c r="J106" s="16"/>
      <c r="K106" s="18">
        <v>18</v>
      </c>
      <c r="L106" s="19">
        <f t="shared" si="146"/>
        <v>1.7955000000000001</v>
      </c>
      <c r="M106" s="16"/>
      <c r="N106" s="18"/>
      <c r="O106" s="19">
        <f t="shared" si="147"/>
        <v>0</v>
      </c>
      <c r="P106" s="17" t="s">
        <v>279</v>
      </c>
      <c r="Q106" s="18"/>
      <c r="R106" s="19">
        <f t="shared" si="148"/>
        <v>0</v>
      </c>
      <c r="S106" s="20">
        <f t="shared" si="149"/>
        <v>39</v>
      </c>
      <c r="T106" s="19">
        <f t="shared" si="150"/>
        <v>3.89025</v>
      </c>
      <c r="U106" s="21">
        <f t="shared" si="151"/>
        <v>-39</v>
      </c>
      <c r="V106" s="19">
        <f t="shared" si="152"/>
        <v>-3.89025</v>
      </c>
      <c r="W106">
        <v>3250</v>
      </c>
      <c r="X106" s="46">
        <v>344</v>
      </c>
      <c r="Y106" s="46">
        <v>150</v>
      </c>
      <c r="Z106" s="46"/>
    </row>
    <row r="107" spans="1:28">
      <c r="A107" s="26" t="s">
        <v>13</v>
      </c>
      <c r="B107" s="26" t="s">
        <v>33</v>
      </c>
      <c r="C107" s="26">
        <v>15</v>
      </c>
      <c r="D107" s="27">
        <v>8.4</v>
      </c>
      <c r="E107" s="28"/>
      <c r="F107" s="16">
        <f t="shared" si="144"/>
        <v>0</v>
      </c>
      <c r="G107" s="17"/>
      <c r="H107" s="18"/>
      <c r="I107" s="19">
        <f t="shared" si="145"/>
        <v>0</v>
      </c>
      <c r="J107" s="16"/>
      <c r="K107" s="18"/>
      <c r="L107" s="19">
        <f t="shared" si="146"/>
        <v>0</v>
      </c>
      <c r="M107" s="16"/>
      <c r="N107" s="18"/>
      <c r="O107" s="19">
        <f t="shared" si="147"/>
        <v>0</v>
      </c>
      <c r="P107" s="16"/>
      <c r="Q107" s="18">
        <v>2</v>
      </c>
      <c r="R107" s="19">
        <f t="shared" si="148"/>
        <v>0.252</v>
      </c>
      <c r="S107" s="20">
        <f t="shared" si="149"/>
        <v>2</v>
      </c>
      <c r="T107" s="19">
        <f t="shared" si="150"/>
        <v>0.252</v>
      </c>
      <c r="U107" s="21">
        <f t="shared" si="151"/>
        <v>-2</v>
      </c>
      <c r="V107" s="19">
        <f t="shared" si="152"/>
        <v>-0.252</v>
      </c>
      <c r="W107">
        <v>3250</v>
      </c>
      <c r="X107" s="46">
        <v>344</v>
      </c>
      <c r="Y107" s="46">
        <v>150</v>
      </c>
      <c r="Z107" s="46"/>
    </row>
    <row r="108" spans="1:28">
      <c r="A108" s="26" t="s">
        <v>13</v>
      </c>
      <c r="B108" s="26" t="s">
        <v>33</v>
      </c>
      <c r="C108" s="26">
        <v>15</v>
      </c>
      <c r="D108" s="27">
        <v>8</v>
      </c>
      <c r="E108" s="28"/>
      <c r="F108" s="16">
        <f t="shared" si="144"/>
        <v>0</v>
      </c>
      <c r="G108" s="17"/>
      <c r="H108" s="18"/>
      <c r="I108" s="19">
        <f t="shared" si="145"/>
        <v>0</v>
      </c>
      <c r="J108" s="16"/>
      <c r="K108" s="18"/>
      <c r="L108" s="19">
        <f t="shared" si="146"/>
        <v>0</v>
      </c>
      <c r="M108" s="16"/>
      <c r="N108" s="18"/>
      <c r="O108" s="19">
        <f t="shared" si="147"/>
        <v>0</v>
      </c>
      <c r="P108" s="16"/>
      <c r="Q108" s="18">
        <v>1</v>
      </c>
      <c r="R108" s="19">
        <f t="shared" si="148"/>
        <v>0.12</v>
      </c>
      <c r="S108" s="20">
        <f t="shared" si="149"/>
        <v>1</v>
      </c>
      <c r="T108" s="19">
        <f t="shared" si="150"/>
        <v>0.12</v>
      </c>
      <c r="U108" s="21">
        <f t="shared" si="151"/>
        <v>-1</v>
      </c>
      <c r="V108" s="19">
        <f t="shared" si="152"/>
        <v>-0.12</v>
      </c>
      <c r="W108">
        <v>3250</v>
      </c>
      <c r="X108" s="46">
        <v>344</v>
      </c>
      <c r="Y108" s="46">
        <v>150</v>
      </c>
      <c r="Z108" s="46"/>
    </row>
    <row r="109" spans="1:28">
      <c r="A109" s="26" t="s">
        <v>13</v>
      </c>
      <c r="B109" s="26" t="s">
        <v>33</v>
      </c>
      <c r="C109" s="26">
        <v>15</v>
      </c>
      <c r="D109" s="27">
        <v>6.6</v>
      </c>
      <c r="E109" s="28"/>
      <c r="F109" s="16">
        <f t="shared" si="144"/>
        <v>0</v>
      </c>
      <c r="G109" s="17"/>
      <c r="H109" s="18"/>
      <c r="I109" s="19">
        <f t="shared" si="145"/>
        <v>0</v>
      </c>
      <c r="J109" s="16"/>
      <c r="K109" s="18"/>
      <c r="L109" s="19">
        <f t="shared" si="146"/>
        <v>0</v>
      </c>
      <c r="M109" s="16"/>
      <c r="N109" s="18"/>
      <c r="O109" s="19">
        <f t="shared" si="147"/>
        <v>0</v>
      </c>
      <c r="P109" s="16"/>
      <c r="Q109" s="18">
        <v>1</v>
      </c>
      <c r="R109" s="19">
        <f t="shared" si="148"/>
        <v>9.9000000000000005E-2</v>
      </c>
      <c r="S109" s="20">
        <f t="shared" si="149"/>
        <v>1</v>
      </c>
      <c r="T109" s="19">
        <f t="shared" si="150"/>
        <v>9.9000000000000005E-2</v>
      </c>
      <c r="U109" s="21">
        <f t="shared" si="151"/>
        <v>-1</v>
      </c>
      <c r="V109" s="19">
        <f t="shared" si="152"/>
        <v>-9.9000000000000005E-2</v>
      </c>
      <c r="W109">
        <v>3250</v>
      </c>
      <c r="X109" s="46">
        <v>344</v>
      </c>
      <c r="Y109" s="46">
        <v>150</v>
      </c>
      <c r="Z109" s="46"/>
    </row>
    <row r="110" spans="1:28">
      <c r="A110" s="26" t="s">
        <v>13</v>
      </c>
      <c r="B110" s="26" t="s">
        <v>33</v>
      </c>
      <c r="C110" s="26">
        <v>15</v>
      </c>
      <c r="D110" s="27">
        <v>6.2</v>
      </c>
      <c r="E110" s="28"/>
      <c r="F110" s="16">
        <f t="shared" si="144"/>
        <v>0</v>
      </c>
      <c r="G110" s="17"/>
      <c r="H110" s="18"/>
      <c r="I110" s="19">
        <f t="shared" si="145"/>
        <v>0</v>
      </c>
      <c r="J110" s="16"/>
      <c r="K110" s="18"/>
      <c r="L110" s="19">
        <f t="shared" si="146"/>
        <v>0</v>
      </c>
      <c r="M110" s="16"/>
      <c r="N110" s="18"/>
      <c r="O110" s="19">
        <f t="shared" si="147"/>
        <v>0</v>
      </c>
      <c r="P110" s="16"/>
      <c r="Q110" s="18">
        <v>1</v>
      </c>
      <c r="R110" s="19">
        <f t="shared" si="148"/>
        <v>9.2999999999999999E-2</v>
      </c>
      <c r="S110" s="20">
        <f t="shared" si="149"/>
        <v>1</v>
      </c>
      <c r="T110" s="19">
        <f t="shared" si="150"/>
        <v>9.2999999999999999E-2</v>
      </c>
      <c r="U110" s="21">
        <f t="shared" si="151"/>
        <v>-1</v>
      </c>
      <c r="V110" s="19">
        <f t="shared" si="152"/>
        <v>-9.2999999999999999E-2</v>
      </c>
      <c r="W110">
        <v>3250</v>
      </c>
      <c r="X110" s="46">
        <v>344</v>
      </c>
      <c r="Y110" s="46">
        <v>150</v>
      </c>
      <c r="Z110" s="46"/>
    </row>
    <row r="111" spans="1:28">
      <c r="A111" s="26" t="s">
        <v>13</v>
      </c>
      <c r="B111" s="26" t="s">
        <v>33</v>
      </c>
      <c r="C111" s="26">
        <v>15</v>
      </c>
      <c r="D111" s="27">
        <v>6</v>
      </c>
      <c r="E111" s="28"/>
      <c r="F111" s="16">
        <f t="shared" si="144"/>
        <v>0</v>
      </c>
      <c r="G111" s="17"/>
      <c r="H111" s="18"/>
      <c r="I111" s="19">
        <f t="shared" si="145"/>
        <v>0</v>
      </c>
      <c r="J111" s="16"/>
      <c r="K111" s="18"/>
      <c r="L111" s="19">
        <f t="shared" si="146"/>
        <v>0</v>
      </c>
      <c r="M111" s="16"/>
      <c r="N111" s="18"/>
      <c r="O111" s="19">
        <f t="shared" si="147"/>
        <v>0</v>
      </c>
      <c r="P111" s="16"/>
      <c r="Q111" s="18">
        <f>4+1</f>
        <v>5</v>
      </c>
      <c r="R111" s="19">
        <f t="shared" si="148"/>
        <v>0.45</v>
      </c>
      <c r="S111" s="20">
        <f t="shared" si="149"/>
        <v>5</v>
      </c>
      <c r="T111" s="19">
        <f t="shared" si="150"/>
        <v>0.45</v>
      </c>
      <c r="U111" s="21">
        <f t="shared" si="151"/>
        <v>-5</v>
      </c>
      <c r="V111" s="19">
        <f t="shared" si="152"/>
        <v>-0.45</v>
      </c>
      <c r="W111">
        <v>3250</v>
      </c>
      <c r="X111" s="46">
        <v>344</v>
      </c>
      <c r="Y111" s="46">
        <v>150</v>
      </c>
      <c r="Z111" s="46"/>
    </row>
    <row r="112" spans="1:28">
      <c r="A112" s="26" t="s">
        <v>13</v>
      </c>
      <c r="B112" s="26" t="s">
        <v>33</v>
      </c>
      <c r="C112" s="26">
        <v>15</v>
      </c>
      <c r="D112" s="27">
        <v>12</v>
      </c>
      <c r="E112" s="28"/>
      <c r="F112" s="16">
        <f t="shared" si="144"/>
        <v>0</v>
      </c>
      <c r="G112" s="17"/>
      <c r="H112" s="18"/>
      <c r="I112" s="19">
        <f t="shared" si="145"/>
        <v>0</v>
      </c>
      <c r="J112" s="16"/>
      <c r="K112" s="18"/>
      <c r="L112" s="19">
        <f t="shared" si="146"/>
        <v>0</v>
      </c>
      <c r="M112" s="16"/>
      <c r="N112" s="18"/>
      <c r="O112" s="19">
        <f t="shared" si="147"/>
        <v>0</v>
      </c>
      <c r="P112" s="16"/>
      <c r="Q112" s="18">
        <v>1</v>
      </c>
      <c r="R112" s="19">
        <f t="shared" si="148"/>
        <v>0.18</v>
      </c>
      <c r="S112" s="20">
        <f t="shared" si="149"/>
        <v>1</v>
      </c>
      <c r="T112" s="19">
        <f t="shared" si="150"/>
        <v>0.18</v>
      </c>
      <c r="U112" s="21">
        <f t="shared" si="151"/>
        <v>-1</v>
      </c>
      <c r="V112" s="19">
        <f t="shared" si="152"/>
        <v>-0.18</v>
      </c>
      <c r="W112">
        <v>3250</v>
      </c>
      <c r="X112" s="46">
        <v>344</v>
      </c>
      <c r="Y112" s="46">
        <v>150</v>
      </c>
      <c r="Z112" s="46"/>
    </row>
    <row r="113" spans="1:28">
      <c r="A113" s="26" t="s">
        <v>13</v>
      </c>
      <c r="B113" s="26" t="s">
        <v>33</v>
      </c>
      <c r="C113" s="26">
        <v>15</v>
      </c>
      <c r="D113" s="27">
        <v>11.4</v>
      </c>
      <c r="E113" s="28"/>
      <c r="F113" s="16">
        <f t="shared" si="144"/>
        <v>0</v>
      </c>
      <c r="G113" s="17"/>
      <c r="H113" s="18"/>
      <c r="I113" s="19">
        <f t="shared" si="145"/>
        <v>0</v>
      </c>
      <c r="J113" s="16"/>
      <c r="K113" s="18"/>
      <c r="L113" s="19">
        <f t="shared" si="146"/>
        <v>0</v>
      </c>
      <c r="M113" s="16"/>
      <c r="N113" s="18"/>
      <c r="O113" s="19">
        <f t="shared" si="147"/>
        <v>0</v>
      </c>
      <c r="P113" s="16"/>
      <c r="Q113" s="18">
        <v>7</v>
      </c>
      <c r="R113" s="19">
        <f t="shared" si="148"/>
        <v>1.1970000000000001</v>
      </c>
      <c r="S113" s="20">
        <f t="shared" si="149"/>
        <v>7</v>
      </c>
      <c r="T113" s="19">
        <f t="shared" si="150"/>
        <v>1.1970000000000001</v>
      </c>
      <c r="U113" s="21">
        <f t="shared" si="151"/>
        <v>-7</v>
      </c>
      <c r="V113" s="19">
        <f t="shared" si="152"/>
        <v>-1.1970000000000001</v>
      </c>
      <c r="W113">
        <v>3250</v>
      </c>
      <c r="X113" s="46">
        <v>344</v>
      </c>
      <c r="Y113" s="46">
        <v>150</v>
      </c>
      <c r="Z113" s="46"/>
    </row>
    <row r="114" spans="1:28">
      <c r="A114" s="26" t="s">
        <v>13</v>
      </c>
      <c r="B114" s="26" t="s">
        <v>33</v>
      </c>
      <c r="C114" s="26">
        <v>15</v>
      </c>
      <c r="D114" s="27">
        <v>9.8000000000000007</v>
      </c>
      <c r="E114" s="28"/>
      <c r="F114" s="16">
        <f t="shared" si="144"/>
        <v>0</v>
      </c>
      <c r="G114" s="17"/>
      <c r="H114" s="18"/>
      <c r="I114" s="19">
        <f t="shared" si="145"/>
        <v>0</v>
      </c>
      <c r="J114" s="16"/>
      <c r="K114" s="18"/>
      <c r="L114" s="19">
        <f t="shared" si="146"/>
        <v>0</v>
      </c>
      <c r="M114" s="16"/>
      <c r="N114" s="18"/>
      <c r="O114" s="19">
        <f t="shared" si="147"/>
        <v>0</v>
      </c>
      <c r="P114" s="16"/>
      <c r="Q114" s="18">
        <v>1</v>
      </c>
      <c r="R114" s="19">
        <f t="shared" si="148"/>
        <v>0.14699999999999999</v>
      </c>
      <c r="S114" s="20">
        <f t="shared" si="149"/>
        <v>1</v>
      </c>
      <c r="T114" s="19">
        <f t="shared" si="150"/>
        <v>0.14699999999999999</v>
      </c>
      <c r="U114" s="21">
        <f t="shared" si="151"/>
        <v>-1</v>
      </c>
      <c r="V114" s="19">
        <f t="shared" si="152"/>
        <v>-0.14699999999999999</v>
      </c>
      <c r="W114">
        <v>3250</v>
      </c>
      <c r="X114" s="46">
        <v>344</v>
      </c>
      <c r="Y114" s="46">
        <v>150</v>
      </c>
      <c r="Z114" s="46"/>
    </row>
    <row r="115" spans="1:28">
      <c r="A115" s="26" t="s">
        <v>13</v>
      </c>
      <c r="B115" s="26" t="s">
        <v>33</v>
      </c>
      <c r="C115" s="26">
        <v>15</v>
      </c>
      <c r="D115" s="27">
        <v>9.9</v>
      </c>
      <c r="E115" s="28"/>
      <c r="F115" s="16">
        <f t="shared" si="144"/>
        <v>0</v>
      </c>
      <c r="G115" s="17"/>
      <c r="H115" s="18"/>
      <c r="I115" s="19">
        <f t="shared" si="145"/>
        <v>0</v>
      </c>
      <c r="J115" s="16"/>
      <c r="K115" s="18"/>
      <c r="L115" s="19">
        <f t="shared" si="146"/>
        <v>0</v>
      </c>
      <c r="M115" s="16"/>
      <c r="N115" s="18"/>
      <c r="O115" s="19">
        <f t="shared" si="147"/>
        <v>0</v>
      </c>
      <c r="P115" s="16"/>
      <c r="Q115" s="18">
        <v>2</v>
      </c>
      <c r="R115" s="19">
        <f t="shared" si="148"/>
        <v>0.29699999999999999</v>
      </c>
      <c r="S115" s="20">
        <f t="shared" si="149"/>
        <v>2</v>
      </c>
      <c r="T115" s="19">
        <f t="shared" si="150"/>
        <v>0.29699999999999999</v>
      </c>
      <c r="U115" s="21">
        <f t="shared" si="151"/>
        <v>-2</v>
      </c>
      <c r="V115" s="19">
        <f t="shared" si="152"/>
        <v>-0.29699999999999999</v>
      </c>
      <c r="W115">
        <v>3250</v>
      </c>
      <c r="X115" s="46">
        <v>344</v>
      </c>
      <c r="Y115" s="46">
        <v>150</v>
      </c>
      <c r="Z115" s="46"/>
    </row>
    <row r="116" spans="1:28">
      <c r="A116" s="26" t="s">
        <v>13</v>
      </c>
      <c r="B116" s="26" t="s">
        <v>33</v>
      </c>
      <c r="C116" s="26">
        <v>15</v>
      </c>
      <c r="D116" s="27">
        <v>10</v>
      </c>
      <c r="E116" s="28"/>
      <c r="F116" s="16">
        <f t="shared" si="144"/>
        <v>0</v>
      </c>
      <c r="G116" s="17"/>
      <c r="H116" s="18"/>
      <c r="I116" s="19">
        <f t="shared" si="145"/>
        <v>0</v>
      </c>
      <c r="J116" s="16"/>
      <c r="K116" s="18"/>
      <c r="L116" s="19">
        <f t="shared" si="146"/>
        <v>0</v>
      </c>
      <c r="M116" s="16"/>
      <c r="N116" s="18"/>
      <c r="O116" s="19">
        <f t="shared" si="147"/>
        <v>0</v>
      </c>
      <c r="P116" s="16"/>
      <c r="Q116" s="18">
        <v>1</v>
      </c>
      <c r="R116" s="19">
        <f t="shared" si="148"/>
        <v>0.15</v>
      </c>
      <c r="S116" s="20">
        <f t="shared" si="149"/>
        <v>1</v>
      </c>
      <c r="T116" s="19">
        <f t="shared" si="150"/>
        <v>0.15</v>
      </c>
      <c r="U116" s="21">
        <f t="shared" si="151"/>
        <v>-1</v>
      </c>
      <c r="V116" s="19">
        <f t="shared" si="152"/>
        <v>-0.15</v>
      </c>
      <c r="W116">
        <v>3250</v>
      </c>
      <c r="X116" s="46">
        <v>344</v>
      </c>
      <c r="Y116" s="46">
        <v>150</v>
      </c>
      <c r="Z116" s="46"/>
    </row>
    <row r="117" spans="1:28">
      <c r="A117" s="26" t="s">
        <v>13</v>
      </c>
      <c r="B117" s="26" t="s">
        <v>33</v>
      </c>
      <c r="C117" s="26">
        <v>15</v>
      </c>
      <c r="D117" s="27"/>
      <c r="E117" s="28"/>
      <c r="F117" s="16">
        <f t="shared" si="136"/>
        <v>0</v>
      </c>
      <c r="G117" s="17"/>
      <c r="H117" s="18"/>
      <c r="I117" s="19">
        <f t="shared" si="137"/>
        <v>0</v>
      </c>
      <c r="J117" s="16"/>
      <c r="K117" s="18"/>
      <c r="L117" s="19">
        <f t="shared" si="138"/>
        <v>0</v>
      </c>
      <c r="M117" s="16"/>
      <c r="N117" s="18"/>
      <c r="O117" s="19">
        <f t="shared" si="139"/>
        <v>0</v>
      </c>
      <c r="P117" s="16"/>
      <c r="Q117" s="18"/>
      <c r="R117" s="19">
        <f>(C117*D117*Q117/1000)</f>
        <v>0</v>
      </c>
      <c r="S117" s="20">
        <f t="shared" ref="S117" si="153">+H117+K117+Q117+N117</f>
        <v>0</v>
      </c>
      <c r="T117" s="19">
        <f t="shared" si="141"/>
        <v>0</v>
      </c>
      <c r="U117" s="21">
        <f t="shared" si="143"/>
        <v>0</v>
      </c>
      <c r="V117" s="19">
        <f t="shared" si="142"/>
        <v>0</v>
      </c>
      <c r="W117">
        <v>3250</v>
      </c>
      <c r="X117" s="46">
        <v>344</v>
      </c>
      <c r="Y117" s="46">
        <v>150</v>
      </c>
      <c r="Z117" s="46"/>
    </row>
    <row r="118" spans="1:28">
      <c r="A118" s="36"/>
      <c r="B118" s="36"/>
      <c r="C118" s="36"/>
      <c r="D118" s="38"/>
      <c r="E118" s="31">
        <f>SUM(E101:E117)</f>
        <v>452</v>
      </c>
      <c r="F118" s="38">
        <f>SUM(F101:F117)</f>
        <v>65.58</v>
      </c>
      <c r="G118" s="17"/>
      <c r="H118" s="31">
        <f>SUM(H101:H117)</f>
        <v>196</v>
      </c>
      <c r="I118" s="38">
        <f>SUM(I101:I117)</f>
        <v>25.401299999999999</v>
      </c>
      <c r="J118" s="16"/>
      <c r="K118" s="31">
        <f>SUM(K101:K117)</f>
        <v>242</v>
      </c>
      <c r="L118" s="38">
        <f>SUM(L101:L117)</f>
        <v>31.895249999999997</v>
      </c>
      <c r="M118" s="16"/>
      <c r="N118" s="31">
        <f>SUM(N101:N117)</f>
        <v>36</v>
      </c>
      <c r="O118" s="38">
        <f>SUM(O101:O117)</f>
        <v>4.8164999999999996</v>
      </c>
      <c r="P118" s="16"/>
      <c r="Q118" s="31">
        <f>SUM(Q101:Q117)</f>
        <v>27</v>
      </c>
      <c r="R118" s="38">
        <f t="shared" ref="R118:U118" si="154">SUM(R101:R117)</f>
        <v>3.6374999999999997</v>
      </c>
      <c r="S118" s="31">
        <f t="shared" si="154"/>
        <v>501</v>
      </c>
      <c r="T118" s="38">
        <f t="shared" si="154"/>
        <v>65.750550000000018</v>
      </c>
      <c r="U118" s="31">
        <f t="shared" si="154"/>
        <v>-49</v>
      </c>
      <c r="V118" s="38">
        <f>SUM(V101:V117)</f>
        <v>-0.17055000000000634</v>
      </c>
      <c r="X118" s="29">
        <f>W117*2</f>
        <v>6500</v>
      </c>
      <c r="Y118" s="46">
        <v>150</v>
      </c>
      <c r="Z118" s="47">
        <f>+Y118+X118</f>
        <v>6650</v>
      </c>
      <c r="AA118" s="49">
        <v>172</v>
      </c>
      <c r="AB118" s="49">
        <f>Z118*AA118*C117/1000</f>
        <v>17157</v>
      </c>
    </row>
    <row r="119" spans="1:28">
      <c r="A119" s="26" t="s">
        <v>13</v>
      </c>
      <c r="B119" s="26" t="s">
        <v>47</v>
      </c>
      <c r="C119" s="26">
        <v>18.2</v>
      </c>
      <c r="D119" s="27">
        <v>11.7</v>
      </c>
      <c r="E119" s="28">
        <v>64</v>
      </c>
      <c r="F119" s="16">
        <f t="shared" ref="F119:F120" si="155">(C119*D119*E119/1000)</f>
        <v>13.628159999999998</v>
      </c>
      <c r="G119" s="16" t="s">
        <v>86</v>
      </c>
      <c r="H119" s="18">
        <v>12</v>
      </c>
      <c r="I119" s="19">
        <f t="shared" ref="I119:I120" si="156">(C119*D119*H119/1000)</f>
        <v>2.5552799999999998</v>
      </c>
      <c r="J119" s="17" t="s">
        <v>86</v>
      </c>
      <c r="K119" s="18">
        <f>17+8</f>
        <v>25</v>
      </c>
      <c r="L119" s="19">
        <f t="shared" ref="L119:L120" si="157">(C119*D119*K119/1000)</f>
        <v>5.3234999999999992</v>
      </c>
      <c r="M119" s="17" t="s">
        <v>89</v>
      </c>
      <c r="N119" s="18">
        <v>25</v>
      </c>
      <c r="O119" s="19">
        <f t="shared" ref="O119:O120" si="158">(C119*D119*N119/1000)</f>
        <v>5.3234999999999992</v>
      </c>
      <c r="P119" s="16"/>
      <c r="Q119" s="18"/>
      <c r="R119" s="19">
        <f t="shared" ref="R119:R120" si="159">(C119*D119*Q119/1000)</f>
        <v>0</v>
      </c>
      <c r="S119" s="20">
        <f t="shared" ref="S119:S120" si="160">+H119+K119+Q119+N119</f>
        <v>62</v>
      </c>
      <c r="T119" s="19">
        <f t="shared" ref="T119:T120" si="161">+I119+L119+R119+O119</f>
        <v>13.202279999999998</v>
      </c>
      <c r="U119" s="21">
        <f t="shared" ref="U119:U120" si="162">E119-S119</f>
        <v>2</v>
      </c>
      <c r="V119" s="19">
        <f t="shared" ref="V119:V120" si="163">F119-T119</f>
        <v>0.42587999999999937</v>
      </c>
      <c r="X119" s="29"/>
    </row>
    <row r="120" spans="1:28">
      <c r="A120" s="26" t="s">
        <v>13</v>
      </c>
      <c r="B120" s="26" t="s">
        <v>47</v>
      </c>
      <c r="C120" s="26">
        <v>18.2</v>
      </c>
      <c r="D120" s="27">
        <v>11.9</v>
      </c>
      <c r="E120" s="28">
        <v>7</v>
      </c>
      <c r="F120" s="16">
        <f t="shared" si="155"/>
        <v>1.51606</v>
      </c>
      <c r="G120" s="16" t="s">
        <v>207</v>
      </c>
      <c r="H120" s="18">
        <v>6</v>
      </c>
      <c r="I120" s="19">
        <f t="shared" si="156"/>
        <v>1.29948</v>
      </c>
      <c r="J120" s="17" t="s">
        <v>208</v>
      </c>
      <c r="K120" s="18"/>
      <c r="L120" s="19">
        <f t="shared" si="157"/>
        <v>0</v>
      </c>
      <c r="M120" s="17" t="s">
        <v>208</v>
      </c>
      <c r="N120" s="18">
        <v>3</v>
      </c>
      <c r="O120" s="19">
        <f t="shared" si="158"/>
        <v>0.64973999999999998</v>
      </c>
      <c r="P120" s="16"/>
      <c r="Q120" s="18"/>
      <c r="R120" s="19">
        <f t="shared" si="159"/>
        <v>0</v>
      </c>
      <c r="S120" s="20">
        <f t="shared" si="160"/>
        <v>9</v>
      </c>
      <c r="T120" s="19">
        <f t="shared" si="161"/>
        <v>1.94922</v>
      </c>
      <c r="U120" s="21">
        <f t="shared" si="162"/>
        <v>-2</v>
      </c>
      <c r="V120" s="19">
        <f t="shared" si="163"/>
        <v>-0.43315999999999999</v>
      </c>
      <c r="X120" s="29"/>
    </row>
    <row r="121" spans="1:28">
      <c r="A121" s="36"/>
      <c r="B121" s="36"/>
      <c r="C121" s="36"/>
      <c r="D121" s="38"/>
      <c r="E121" s="31">
        <f>SUM(E119:E120)</f>
        <v>71</v>
      </c>
      <c r="F121" s="38">
        <f>SUM(F119:F120)</f>
        <v>15.144219999999997</v>
      </c>
      <c r="G121" s="16"/>
      <c r="H121" s="31">
        <f>SUM(H119:H120)</f>
        <v>18</v>
      </c>
      <c r="I121" s="38">
        <f>SUM(I119:I120)</f>
        <v>3.8547599999999997</v>
      </c>
      <c r="J121" s="16"/>
      <c r="K121" s="31">
        <f>SUM(K119:K120)</f>
        <v>25</v>
      </c>
      <c r="L121" s="38">
        <f>SUM(L119:L120)</f>
        <v>5.3234999999999992</v>
      </c>
      <c r="M121" s="16"/>
      <c r="N121" s="31">
        <f>SUM(N119:N120)</f>
        <v>28</v>
      </c>
      <c r="O121" s="38">
        <f>SUM(O119:O120)</f>
        <v>5.9732399999999988</v>
      </c>
      <c r="P121" s="16"/>
      <c r="Q121" s="31">
        <f t="shared" ref="Q121:V121" si="164">SUM(Q119:Q120)</f>
        <v>0</v>
      </c>
      <c r="R121" s="38">
        <f t="shared" si="164"/>
        <v>0</v>
      </c>
      <c r="S121" s="31">
        <f t="shared" si="164"/>
        <v>71</v>
      </c>
      <c r="T121" s="38">
        <f t="shared" si="164"/>
        <v>15.151499999999999</v>
      </c>
      <c r="U121" s="31">
        <f t="shared" si="164"/>
        <v>0</v>
      </c>
      <c r="V121" s="38">
        <f t="shared" si="164"/>
        <v>-7.2800000000006193E-3</v>
      </c>
      <c r="X121" s="29"/>
    </row>
    <row r="122" spans="1:28">
      <c r="A122" s="26" t="s">
        <v>13</v>
      </c>
      <c r="B122" s="26" t="s">
        <v>49</v>
      </c>
      <c r="C122" s="26">
        <v>14.7</v>
      </c>
      <c r="D122" s="27">
        <v>6.25</v>
      </c>
      <c r="E122" s="28">
        <v>48</v>
      </c>
      <c r="F122" s="16">
        <f t="shared" ref="F122:F126" si="165">(C122*D122*E122/1000)</f>
        <v>4.41</v>
      </c>
      <c r="G122" s="17" t="s">
        <v>86</v>
      </c>
      <c r="H122" s="18">
        <v>47</v>
      </c>
      <c r="I122" s="19">
        <f t="shared" ref="I122:I126" si="166">(C122*D122*H122/1000)</f>
        <v>4.3181250000000002</v>
      </c>
      <c r="J122" s="16"/>
      <c r="K122" s="18"/>
      <c r="L122" s="19">
        <f t="shared" ref="L122:L126" si="167">(C122*D122*K122/1000)</f>
        <v>0</v>
      </c>
      <c r="M122" s="16"/>
      <c r="N122" s="18"/>
      <c r="O122" s="19">
        <f t="shared" ref="O122:O126" si="168">(C122*D122*N122/1000)</f>
        <v>0</v>
      </c>
      <c r="P122" s="16"/>
      <c r="Q122" s="18"/>
      <c r="R122" s="19">
        <f t="shared" ref="R122:R126" si="169">(C122*D122*Q122/1000)</f>
        <v>0</v>
      </c>
      <c r="S122" s="20">
        <f t="shared" ref="S122:S126" si="170">+H122+K122+Q122+N122</f>
        <v>47</v>
      </c>
      <c r="T122" s="19">
        <f t="shared" ref="T122:T126" si="171">+I122+L122+R122+O122</f>
        <v>4.3181250000000002</v>
      </c>
      <c r="U122" s="21">
        <f t="shared" ref="U122:U126" si="172">E122-S122</f>
        <v>1</v>
      </c>
      <c r="V122" s="19">
        <f t="shared" ref="V122:V126" si="173">F122-T122</f>
        <v>9.1874999999999929E-2</v>
      </c>
      <c r="X122" s="29"/>
    </row>
    <row r="123" spans="1:28">
      <c r="A123" s="26" t="s">
        <v>13</v>
      </c>
      <c r="B123" s="26" t="s">
        <v>49</v>
      </c>
      <c r="C123" s="26">
        <v>14.7</v>
      </c>
      <c r="D123" s="27">
        <v>8.9</v>
      </c>
      <c r="E123" s="28">
        <v>64</v>
      </c>
      <c r="F123" s="16">
        <f t="shared" si="165"/>
        <v>8.3731200000000001</v>
      </c>
      <c r="G123" s="17" t="s">
        <v>208</v>
      </c>
      <c r="H123" s="18">
        <v>61</v>
      </c>
      <c r="I123" s="19">
        <f t="shared" si="166"/>
        <v>7.9806300000000014</v>
      </c>
      <c r="J123" s="16"/>
      <c r="K123" s="18"/>
      <c r="L123" s="19">
        <f t="shared" si="167"/>
        <v>0</v>
      </c>
      <c r="M123" s="16"/>
      <c r="N123" s="18"/>
      <c r="O123" s="19">
        <f t="shared" si="168"/>
        <v>0</v>
      </c>
      <c r="P123" s="16"/>
      <c r="Q123" s="18"/>
      <c r="R123" s="19">
        <f t="shared" si="169"/>
        <v>0</v>
      </c>
      <c r="S123" s="20">
        <f t="shared" si="170"/>
        <v>61</v>
      </c>
      <c r="T123" s="19">
        <f t="shared" si="171"/>
        <v>7.9806300000000014</v>
      </c>
      <c r="U123" s="21">
        <f t="shared" si="172"/>
        <v>3</v>
      </c>
      <c r="V123" s="19">
        <f t="shared" si="173"/>
        <v>0.39248999999999867</v>
      </c>
      <c r="X123" s="29"/>
    </row>
    <row r="124" spans="1:28">
      <c r="A124" s="26" t="s">
        <v>13</v>
      </c>
      <c r="B124" s="26" t="s">
        <v>49</v>
      </c>
      <c r="C124" s="26">
        <v>14.7</v>
      </c>
      <c r="D124" s="27">
        <v>10.9</v>
      </c>
      <c r="E124" s="28">
        <v>32</v>
      </c>
      <c r="F124" s="16">
        <f t="shared" ref="F124:F125" si="174">(C124*D124*E124/1000)</f>
        <v>5.1273599999999995</v>
      </c>
      <c r="G124" s="17"/>
      <c r="H124" s="18">
        <v>32</v>
      </c>
      <c r="I124" s="19">
        <f t="shared" ref="I124:I125" si="175">(C124*D124*H124/1000)</f>
        <v>5.1273599999999995</v>
      </c>
      <c r="J124" s="16"/>
      <c r="K124" s="18"/>
      <c r="L124" s="19">
        <f t="shared" ref="L124:L125" si="176">(C124*D124*K124/1000)</f>
        <v>0</v>
      </c>
      <c r="M124" s="16"/>
      <c r="N124" s="18"/>
      <c r="O124" s="19">
        <f t="shared" ref="O124:O125" si="177">(C124*D124*N124/1000)</f>
        <v>0</v>
      </c>
      <c r="P124" s="16"/>
      <c r="Q124" s="18"/>
      <c r="R124" s="19">
        <f t="shared" ref="R124:R125" si="178">(C124*D124*Q124/1000)</f>
        <v>0</v>
      </c>
      <c r="S124" s="20">
        <f t="shared" ref="S124:S125" si="179">+H124+K124+Q124+N124</f>
        <v>32</v>
      </c>
      <c r="T124" s="19">
        <f t="shared" ref="T124:T125" si="180">+I124+L124+R124+O124</f>
        <v>5.1273599999999995</v>
      </c>
      <c r="U124" s="21">
        <f t="shared" ref="U124:U125" si="181">E124-S124</f>
        <v>0</v>
      </c>
      <c r="V124" s="19">
        <f t="shared" ref="V124:V125" si="182">F124-T124</f>
        <v>0</v>
      </c>
      <c r="X124" s="29"/>
    </row>
    <row r="125" spans="1:28">
      <c r="A125" s="26" t="s">
        <v>13</v>
      </c>
      <c r="B125" s="26" t="s">
        <v>49</v>
      </c>
      <c r="C125" s="26">
        <v>14.7</v>
      </c>
      <c r="D125" s="27">
        <v>7.85</v>
      </c>
      <c r="E125" s="28"/>
      <c r="F125" s="16">
        <f t="shared" si="174"/>
        <v>0</v>
      </c>
      <c r="G125" s="17"/>
      <c r="H125" s="18">
        <v>1</v>
      </c>
      <c r="I125" s="19">
        <f t="shared" si="175"/>
        <v>0.115395</v>
      </c>
      <c r="J125" s="16"/>
      <c r="K125" s="18"/>
      <c r="L125" s="19">
        <f t="shared" si="176"/>
        <v>0</v>
      </c>
      <c r="M125" s="16"/>
      <c r="N125" s="18"/>
      <c r="O125" s="19">
        <f t="shared" si="177"/>
        <v>0</v>
      </c>
      <c r="P125" s="16"/>
      <c r="Q125" s="18"/>
      <c r="R125" s="19">
        <f t="shared" si="178"/>
        <v>0</v>
      </c>
      <c r="S125" s="20">
        <f t="shared" si="179"/>
        <v>1</v>
      </c>
      <c r="T125" s="19">
        <f t="shared" si="180"/>
        <v>0.115395</v>
      </c>
      <c r="U125" s="21">
        <f t="shared" si="181"/>
        <v>-1</v>
      </c>
      <c r="V125" s="19">
        <f t="shared" si="182"/>
        <v>-0.115395</v>
      </c>
      <c r="X125" s="29"/>
    </row>
    <row r="126" spans="1:28">
      <c r="A126" s="26" t="s">
        <v>13</v>
      </c>
      <c r="B126" s="26" t="s">
        <v>49</v>
      </c>
      <c r="C126" s="26">
        <v>14.7</v>
      </c>
      <c r="D126" s="27">
        <v>9.5</v>
      </c>
      <c r="E126" s="28"/>
      <c r="F126" s="16">
        <f t="shared" si="165"/>
        <v>0</v>
      </c>
      <c r="G126" s="17"/>
      <c r="H126" s="18">
        <v>3</v>
      </c>
      <c r="I126" s="19">
        <f t="shared" si="166"/>
        <v>0.41895000000000004</v>
      </c>
      <c r="J126" s="16"/>
      <c r="K126" s="18"/>
      <c r="L126" s="19">
        <f t="shared" si="167"/>
        <v>0</v>
      </c>
      <c r="M126" s="16"/>
      <c r="N126" s="18"/>
      <c r="O126" s="19">
        <f t="shared" si="168"/>
        <v>0</v>
      </c>
      <c r="P126" s="16"/>
      <c r="Q126" s="18"/>
      <c r="R126" s="19">
        <f t="shared" si="169"/>
        <v>0</v>
      </c>
      <c r="S126" s="20">
        <f t="shared" si="170"/>
        <v>3</v>
      </c>
      <c r="T126" s="19">
        <f t="shared" si="171"/>
        <v>0.41895000000000004</v>
      </c>
      <c r="U126" s="21">
        <f t="shared" si="172"/>
        <v>-3</v>
      </c>
      <c r="V126" s="19">
        <f t="shared" si="173"/>
        <v>-0.41895000000000004</v>
      </c>
      <c r="X126" s="29"/>
    </row>
    <row r="127" spans="1:28">
      <c r="A127" s="36"/>
      <c r="B127" s="36"/>
      <c r="C127" s="36"/>
      <c r="D127" s="38"/>
      <c r="E127" s="31">
        <f>SUM(E122:E126)</f>
        <v>144</v>
      </c>
      <c r="F127" s="38">
        <f>SUM(F122:F126)</f>
        <v>17.91048</v>
      </c>
      <c r="G127" s="17"/>
      <c r="H127" s="31">
        <f>SUM(H122:H126)</f>
        <v>144</v>
      </c>
      <c r="I127" s="38">
        <f>SUM(I122:I126)</f>
        <v>17.960460000000001</v>
      </c>
      <c r="J127" s="16"/>
      <c r="K127" s="31">
        <f>SUM(K122:K126)</f>
        <v>0</v>
      </c>
      <c r="L127" s="38">
        <f>SUM(L122:L126)</f>
        <v>0</v>
      </c>
      <c r="M127" s="16"/>
      <c r="N127" s="31">
        <f>SUM(N122:N126)</f>
        <v>0</v>
      </c>
      <c r="O127" s="38">
        <f>SUM(O122:O126)</f>
        <v>0</v>
      </c>
      <c r="P127" s="16"/>
      <c r="Q127" s="31">
        <f t="shared" ref="Q127:V127" si="183">SUM(Q122:Q126)</f>
        <v>0</v>
      </c>
      <c r="R127" s="38">
        <f t="shared" si="183"/>
        <v>0</v>
      </c>
      <c r="S127" s="31">
        <f t="shared" si="183"/>
        <v>144</v>
      </c>
      <c r="T127" s="38">
        <f t="shared" si="183"/>
        <v>17.960460000000001</v>
      </c>
      <c r="U127" s="31">
        <f t="shared" si="183"/>
        <v>0</v>
      </c>
      <c r="V127" s="38">
        <f t="shared" si="183"/>
        <v>-4.9980000000001468E-2</v>
      </c>
      <c r="X127" s="29"/>
    </row>
    <row r="128" spans="1:28">
      <c r="A128" s="26" t="s">
        <v>13</v>
      </c>
      <c r="B128" s="26" t="s">
        <v>50</v>
      </c>
      <c r="C128" s="26">
        <v>16.5</v>
      </c>
      <c r="D128" s="27">
        <v>6.3</v>
      </c>
      <c r="E128" s="28">
        <v>77</v>
      </c>
      <c r="F128" s="16">
        <f t="shared" ref="F128:F153" si="184">(C128*D128*E128/1000)</f>
        <v>8.004150000000001</v>
      </c>
      <c r="G128" s="17" t="s">
        <v>64</v>
      </c>
      <c r="H128" s="18">
        <f>16+12</f>
        <v>28</v>
      </c>
      <c r="I128" s="19">
        <f t="shared" ref="I128:I153" si="185">(C128*D128*H128/1000)</f>
        <v>2.9106000000000001</v>
      </c>
      <c r="J128" s="16" t="s">
        <v>89</v>
      </c>
      <c r="K128" s="18"/>
      <c r="L128" s="19">
        <f t="shared" ref="L128:L153" si="186">(C128*D128*K128/1000)</f>
        <v>0</v>
      </c>
      <c r="M128" s="16" t="s">
        <v>86</v>
      </c>
      <c r="N128" s="18">
        <v>41</v>
      </c>
      <c r="O128" s="19">
        <f t="shared" ref="O128:O153" si="187">(C128*D128*N128/1000)</f>
        <v>4.2619499999999997</v>
      </c>
      <c r="P128" s="17" t="s">
        <v>89</v>
      </c>
      <c r="Q128" s="18">
        <f>3+7</f>
        <v>10</v>
      </c>
      <c r="R128" s="19">
        <f t="shared" ref="R128:R153" si="188">(C128*D128*Q128/1000)</f>
        <v>1.0395000000000001</v>
      </c>
      <c r="S128" s="20">
        <f t="shared" ref="S128:S153" si="189">+H128+K128+Q128+N128</f>
        <v>79</v>
      </c>
      <c r="T128" s="19">
        <f t="shared" ref="T128:T153" si="190">+I128+L128+R128+O128</f>
        <v>8.2120499999999996</v>
      </c>
      <c r="U128" s="21">
        <f t="shared" ref="U128:U153" si="191">E128-S128</f>
        <v>-2</v>
      </c>
      <c r="V128" s="19">
        <f t="shared" ref="V128:V153" si="192">F128-T128</f>
        <v>-0.20789999999999864</v>
      </c>
      <c r="X128" s="29"/>
    </row>
    <row r="129" spans="1:24">
      <c r="A129" s="26" t="s">
        <v>13</v>
      </c>
      <c r="B129" s="26" t="s">
        <v>50</v>
      </c>
      <c r="C129" s="26">
        <v>16.5</v>
      </c>
      <c r="D129" s="27">
        <v>7.1</v>
      </c>
      <c r="E129" s="28">
        <v>12</v>
      </c>
      <c r="F129" s="16">
        <f t="shared" si="184"/>
        <v>1.4057999999999999</v>
      </c>
      <c r="G129" s="17" t="s">
        <v>206</v>
      </c>
      <c r="H129" s="18"/>
      <c r="I129" s="19">
        <f t="shared" si="185"/>
        <v>0</v>
      </c>
      <c r="J129" s="16" t="s">
        <v>207</v>
      </c>
      <c r="K129" s="18">
        <v>2</v>
      </c>
      <c r="L129" s="19">
        <f t="shared" si="186"/>
        <v>0.23429999999999998</v>
      </c>
      <c r="M129" s="16" t="s">
        <v>207</v>
      </c>
      <c r="N129" s="18">
        <v>11</v>
      </c>
      <c r="O129" s="19">
        <f t="shared" si="187"/>
        <v>1.2886499999999999</v>
      </c>
      <c r="P129" s="17" t="s">
        <v>208</v>
      </c>
      <c r="Q129" s="18">
        <v>3</v>
      </c>
      <c r="R129" s="19">
        <f t="shared" si="188"/>
        <v>0.35144999999999998</v>
      </c>
      <c r="S129" s="20">
        <f t="shared" si="189"/>
        <v>16</v>
      </c>
      <c r="T129" s="19">
        <f t="shared" si="190"/>
        <v>1.8743999999999998</v>
      </c>
      <c r="U129" s="21">
        <f t="shared" si="191"/>
        <v>-4</v>
      </c>
      <c r="V129" s="19">
        <f t="shared" si="192"/>
        <v>-0.46859999999999991</v>
      </c>
      <c r="X129" s="29"/>
    </row>
    <row r="130" spans="1:24">
      <c r="A130" s="26" t="s">
        <v>13</v>
      </c>
      <c r="B130" s="26" t="s">
        <v>50</v>
      </c>
      <c r="C130" s="26">
        <v>16.5</v>
      </c>
      <c r="D130" s="27">
        <v>7.7</v>
      </c>
      <c r="E130" s="28">
        <v>25</v>
      </c>
      <c r="F130" s="16">
        <f t="shared" si="184"/>
        <v>3.17625</v>
      </c>
      <c r="G130" s="17" t="s">
        <v>93</v>
      </c>
      <c r="H130" s="18">
        <v>3</v>
      </c>
      <c r="I130" s="19">
        <f t="shared" si="185"/>
        <v>0.38114999999999999</v>
      </c>
      <c r="J130" s="17" t="s">
        <v>93</v>
      </c>
      <c r="K130" s="18"/>
      <c r="L130" s="19">
        <f t="shared" si="186"/>
        <v>0</v>
      </c>
      <c r="M130" s="17" t="s">
        <v>86</v>
      </c>
      <c r="N130" s="18"/>
      <c r="O130" s="19">
        <f t="shared" si="187"/>
        <v>0</v>
      </c>
      <c r="P130" s="16" t="s">
        <v>93</v>
      </c>
      <c r="Q130" s="18">
        <f>2+12+1</f>
        <v>15</v>
      </c>
      <c r="R130" s="19">
        <f t="shared" si="188"/>
        <v>1.9057500000000001</v>
      </c>
      <c r="S130" s="20">
        <f t="shared" si="189"/>
        <v>18</v>
      </c>
      <c r="T130" s="19">
        <f t="shared" si="190"/>
        <v>2.2869000000000002</v>
      </c>
      <c r="U130" s="21">
        <f t="shared" si="191"/>
        <v>7</v>
      </c>
      <c r="V130" s="19">
        <f t="shared" si="192"/>
        <v>0.88934999999999986</v>
      </c>
      <c r="X130" s="29"/>
    </row>
    <row r="131" spans="1:24">
      <c r="A131" s="26" t="s">
        <v>13</v>
      </c>
      <c r="B131" s="26" t="s">
        <v>50</v>
      </c>
      <c r="C131" s="26">
        <v>16.5</v>
      </c>
      <c r="D131" s="27">
        <v>8.8000000000000007</v>
      </c>
      <c r="E131" s="28">
        <v>64</v>
      </c>
      <c r="F131" s="16">
        <f t="shared" si="184"/>
        <v>9.2928000000000015</v>
      </c>
      <c r="G131" s="17" t="s">
        <v>235</v>
      </c>
      <c r="H131" s="18">
        <v>22</v>
      </c>
      <c r="I131" s="19">
        <f t="shared" si="185"/>
        <v>3.1944000000000004</v>
      </c>
      <c r="J131" s="17" t="s">
        <v>236</v>
      </c>
      <c r="K131" s="18"/>
      <c r="L131" s="19">
        <f t="shared" si="186"/>
        <v>0</v>
      </c>
      <c r="M131" s="17" t="s">
        <v>208</v>
      </c>
      <c r="N131" s="18">
        <v>19</v>
      </c>
      <c r="O131" s="19">
        <f t="shared" si="187"/>
        <v>2.7588000000000004</v>
      </c>
      <c r="P131" s="16" t="s">
        <v>209</v>
      </c>
      <c r="Q131" s="18">
        <v>2</v>
      </c>
      <c r="R131" s="19">
        <f t="shared" si="188"/>
        <v>0.29040000000000005</v>
      </c>
      <c r="S131" s="20">
        <f t="shared" si="189"/>
        <v>43</v>
      </c>
      <c r="T131" s="19">
        <f t="shared" si="190"/>
        <v>6.2436000000000007</v>
      </c>
      <c r="U131" s="21">
        <f t="shared" si="191"/>
        <v>21</v>
      </c>
      <c r="V131" s="19">
        <f t="shared" si="192"/>
        <v>3.0492000000000008</v>
      </c>
      <c r="X131" s="29"/>
    </row>
    <row r="132" spans="1:24">
      <c r="A132" s="26" t="s">
        <v>13</v>
      </c>
      <c r="B132" s="26" t="s">
        <v>50</v>
      </c>
      <c r="C132" s="26">
        <v>16.5</v>
      </c>
      <c r="D132" s="27">
        <v>8.9</v>
      </c>
      <c r="E132" s="28">
        <v>172</v>
      </c>
      <c r="F132" s="16">
        <f t="shared" si="184"/>
        <v>25.258200000000002</v>
      </c>
      <c r="G132" s="17"/>
      <c r="H132" s="18">
        <v>48</v>
      </c>
      <c r="I132" s="19">
        <f t="shared" si="185"/>
        <v>7.0487999999999991</v>
      </c>
      <c r="J132" s="16"/>
      <c r="K132" s="18">
        <v>13</v>
      </c>
      <c r="L132" s="19">
        <f t="shared" si="186"/>
        <v>1.9090499999999999</v>
      </c>
      <c r="M132" s="16"/>
      <c r="N132" s="18">
        <v>68</v>
      </c>
      <c r="O132" s="19">
        <f t="shared" si="187"/>
        <v>9.9857999999999993</v>
      </c>
      <c r="P132" s="16"/>
      <c r="Q132" s="18">
        <f>1+15+3</f>
        <v>19</v>
      </c>
      <c r="R132" s="19">
        <f t="shared" si="188"/>
        <v>2.7901500000000001</v>
      </c>
      <c r="S132" s="20">
        <f t="shared" si="189"/>
        <v>148</v>
      </c>
      <c r="T132" s="19">
        <f t="shared" si="190"/>
        <v>21.733799999999999</v>
      </c>
      <c r="U132" s="21">
        <f t="shared" si="191"/>
        <v>24</v>
      </c>
      <c r="V132" s="19">
        <f t="shared" si="192"/>
        <v>3.5244000000000035</v>
      </c>
      <c r="X132" s="29"/>
    </row>
    <row r="133" spans="1:24">
      <c r="A133" s="26" t="s">
        <v>13</v>
      </c>
      <c r="B133" s="26" t="s">
        <v>50</v>
      </c>
      <c r="C133" s="26">
        <v>16.5</v>
      </c>
      <c r="D133" s="27">
        <v>9.1999999999999993</v>
      </c>
      <c r="E133" s="28">
        <v>30</v>
      </c>
      <c r="F133" s="16">
        <f t="shared" si="184"/>
        <v>4.5539999999999994</v>
      </c>
      <c r="G133" s="17"/>
      <c r="H133" s="18">
        <v>10</v>
      </c>
      <c r="I133" s="19">
        <f t="shared" si="185"/>
        <v>1.5179999999999998</v>
      </c>
      <c r="J133" s="16"/>
      <c r="K133" s="18"/>
      <c r="L133" s="19">
        <f t="shared" si="186"/>
        <v>0</v>
      </c>
      <c r="M133" s="16"/>
      <c r="N133" s="18"/>
      <c r="O133" s="19">
        <f t="shared" si="187"/>
        <v>0</v>
      </c>
      <c r="P133" s="16" t="s">
        <v>93</v>
      </c>
      <c r="Q133" s="18">
        <f>1+18</f>
        <v>19</v>
      </c>
      <c r="R133" s="19">
        <f t="shared" si="188"/>
        <v>2.8841999999999999</v>
      </c>
      <c r="S133" s="20">
        <f t="shared" si="189"/>
        <v>29</v>
      </c>
      <c r="T133" s="19">
        <f t="shared" si="190"/>
        <v>4.4021999999999997</v>
      </c>
      <c r="U133" s="21">
        <f t="shared" si="191"/>
        <v>1</v>
      </c>
      <c r="V133" s="19">
        <f t="shared" si="192"/>
        <v>0.15179999999999971</v>
      </c>
      <c r="X133" s="29"/>
    </row>
    <row r="134" spans="1:24">
      <c r="A134" s="26" t="s">
        <v>13</v>
      </c>
      <c r="B134" s="26" t="s">
        <v>50</v>
      </c>
      <c r="C134" s="26">
        <v>16.5</v>
      </c>
      <c r="D134" s="27">
        <v>10.7</v>
      </c>
      <c r="E134" s="28">
        <v>72</v>
      </c>
      <c r="F134" s="16">
        <f t="shared" si="184"/>
        <v>12.711599999999999</v>
      </c>
      <c r="G134" s="17"/>
      <c r="H134" s="18">
        <f>11+16</f>
        <v>27</v>
      </c>
      <c r="I134" s="19">
        <f t="shared" si="185"/>
        <v>4.7668499999999998</v>
      </c>
      <c r="J134" s="16"/>
      <c r="K134" s="18"/>
      <c r="L134" s="19">
        <f t="shared" si="186"/>
        <v>0</v>
      </c>
      <c r="M134" s="16"/>
      <c r="N134" s="18">
        <f>30+3</f>
        <v>33</v>
      </c>
      <c r="O134" s="19">
        <f t="shared" si="187"/>
        <v>5.8261499999999993</v>
      </c>
      <c r="P134" s="16" t="s">
        <v>278</v>
      </c>
      <c r="Q134" s="18">
        <v>9</v>
      </c>
      <c r="R134" s="19">
        <f t="shared" si="188"/>
        <v>1.5889499999999999</v>
      </c>
      <c r="S134" s="20">
        <f t="shared" si="189"/>
        <v>69</v>
      </c>
      <c r="T134" s="19">
        <f t="shared" si="190"/>
        <v>12.181949999999999</v>
      </c>
      <c r="U134" s="21">
        <f t="shared" si="191"/>
        <v>3</v>
      </c>
      <c r="V134" s="19">
        <f t="shared" si="192"/>
        <v>0.52965000000000018</v>
      </c>
      <c r="X134" s="29"/>
    </row>
    <row r="135" spans="1:24">
      <c r="A135" s="26" t="s">
        <v>13</v>
      </c>
      <c r="B135" s="26" t="s">
        <v>50</v>
      </c>
      <c r="C135" s="26">
        <v>16.5</v>
      </c>
      <c r="D135" s="27">
        <v>11.1</v>
      </c>
      <c r="E135" s="28">
        <v>144</v>
      </c>
      <c r="F135" s="16">
        <f t="shared" si="184"/>
        <v>26.373600000000003</v>
      </c>
      <c r="G135" s="17"/>
      <c r="H135" s="18">
        <f>9+52+11</f>
        <v>72</v>
      </c>
      <c r="I135" s="19">
        <f t="shared" si="185"/>
        <v>13.186800000000002</v>
      </c>
      <c r="J135" s="16"/>
      <c r="K135" s="18">
        <v>28</v>
      </c>
      <c r="L135" s="19">
        <f t="shared" si="186"/>
        <v>5.1281999999999996</v>
      </c>
      <c r="M135" s="16"/>
      <c r="N135" s="18">
        <f>1+39</f>
        <v>40</v>
      </c>
      <c r="O135" s="19">
        <f t="shared" si="187"/>
        <v>7.3259999999999996</v>
      </c>
      <c r="P135" s="16"/>
      <c r="Q135" s="18">
        <v>5</v>
      </c>
      <c r="R135" s="19">
        <f t="shared" si="188"/>
        <v>0.91574999999999995</v>
      </c>
      <c r="S135" s="20">
        <f t="shared" si="189"/>
        <v>145</v>
      </c>
      <c r="T135" s="19">
        <f t="shared" si="190"/>
        <v>26.556750000000001</v>
      </c>
      <c r="U135" s="21">
        <f t="shared" si="191"/>
        <v>-1</v>
      </c>
      <c r="V135" s="19">
        <f t="shared" si="192"/>
        <v>-0.1831499999999977</v>
      </c>
      <c r="X135" s="29"/>
    </row>
    <row r="136" spans="1:24">
      <c r="A136" s="26" t="s">
        <v>13</v>
      </c>
      <c r="B136" s="26" t="s">
        <v>50</v>
      </c>
      <c r="C136" s="26">
        <v>16.5</v>
      </c>
      <c r="D136" s="27">
        <v>11.7</v>
      </c>
      <c r="E136" s="28">
        <v>24</v>
      </c>
      <c r="F136" s="16">
        <f t="shared" ref="F136:F152" si="193">(C136*D136*E136/1000)</f>
        <v>4.6331999999999995</v>
      </c>
      <c r="G136" s="17"/>
      <c r="H136" s="18">
        <v>4</v>
      </c>
      <c r="I136" s="19">
        <f t="shared" ref="I136:I152" si="194">(C136*D136*H136/1000)</f>
        <v>0.77219999999999989</v>
      </c>
      <c r="J136" s="16"/>
      <c r="K136" s="18">
        <v>15</v>
      </c>
      <c r="L136" s="19">
        <f t="shared" ref="L136:L152" si="195">(C136*D136*K136/1000)</f>
        <v>2.8957499999999996</v>
      </c>
      <c r="M136" s="16"/>
      <c r="N136" s="18">
        <v>1</v>
      </c>
      <c r="O136" s="19">
        <f t="shared" ref="O136:O152" si="196">(C136*D136*N136/1000)</f>
        <v>0.19304999999999997</v>
      </c>
      <c r="P136" s="16"/>
      <c r="Q136" s="18">
        <f>1+5</f>
        <v>6</v>
      </c>
      <c r="R136" s="19">
        <f t="shared" ref="R136:R152" si="197">(C136*D136*Q136/1000)</f>
        <v>1.1582999999999999</v>
      </c>
      <c r="S136" s="20">
        <f t="shared" ref="S136:S152" si="198">+H136+K136+Q136+N136</f>
        <v>26</v>
      </c>
      <c r="T136" s="19">
        <f t="shared" ref="T136:T152" si="199">+I136+L136+R136+O136</f>
        <v>5.0192999999999994</v>
      </c>
      <c r="U136" s="21">
        <f t="shared" ref="U136:U152" si="200">E136-S136</f>
        <v>-2</v>
      </c>
      <c r="V136" s="19">
        <f t="shared" ref="V136:V152" si="201">F136-T136</f>
        <v>-0.38609999999999989</v>
      </c>
      <c r="X136" s="29"/>
    </row>
    <row r="137" spans="1:24">
      <c r="A137" s="26" t="s">
        <v>13</v>
      </c>
      <c r="B137" s="26" t="s">
        <v>50</v>
      </c>
      <c r="C137" s="26">
        <v>16.5</v>
      </c>
      <c r="D137" s="27">
        <v>6</v>
      </c>
      <c r="E137" s="28"/>
      <c r="F137" s="16">
        <f t="shared" si="193"/>
        <v>0</v>
      </c>
      <c r="G137" s="17"/>
      <c r="H137" s="18"/>
      <c r="I137" s="19">
        <f t="shared" si="194"/>
        <v>0</v>
      </c>
      <c r="J137" s="16"/>
      <c r="K137" s="18"/>
      <c r="L137" s="19">
        <f t="shared" si="195"/>
        <v>0</v>
      </c>
      <c r="M137" s="16"/>
      <c r="N137" s="18"/>
      <c r="O137" s="19">
        <f t="shared" si="196"/>
        <v>0</v>
      </c>
      <c r="P137" s="16" t="s">
        <v>93</v>
      </c>
      <c r="Q137" s="18">
        <v>1</v>
      </c>
      <c r="R137" s="19">
        <f t="shared" si="197"/>
        <v>9.9000000000000005E-2</v>
      </c>
      <c r="S137" s="20">
        <f t="shared" si="198"/>
        <v>1</v>
      </c>
      <c r="T137" s="19">
        <f t="shared" si="199"/>
        <v>9.9000000000000005E-2</v>
      </c>
      <c r="U137" s="21">
        <f t="shared" si="200"/>
        <v>-1</v>
      </c>
      <c r="V137" s="19">
        <f t="shared" si="201"/>
        <v>-9.9000000000000005E-2</v>
      </c>
      <c r="X137" s="29"/>
    </row>
    <row r="138" spans="1:24">
      <c r="A138" s="26" t="s">
        <v>13</v>
      </c>
      <c r="B138" s="26" t="s">
        <v>50</v>
      </c>
      <c r="C138" s="26">
        <v>16.5</v>
      </c>
      <c r="D138" s="27">
        <v>7.1</v>
      </c>
      <c r="E138" s="28"/>
      <c r="F138" s="16">
        <f t="shared" si="193"/>
        <v>0</v>
      </c>
      <c r="G138" s="17"/>
      <c r="H138" s="18"/>
      <c r="I138" s="19">
        <f t="shared" si="194"/>
        <v>0</v>
      </c>
      <c r="J138" s="16"/>
      <c r="K138" s="18"/>
      <c r="L138" s="19">
        <f t="shared" si="195"/>
        <v>0</v>
      </c>
      <c r="M138" s="16"/>
      <c r="N138" s="18"/>
      <c r="O138" s="19">
        <f t="shared" si="196"/>
        <v>0</v>
      </c>
      <c r="P138" s="16" t="s">
        <v>257</v>
      </c>
      <c r="Q138" s="18">
        <v>2</v>
      </c>
      <c r="R138" s="19">
        <f t="shared" si="197"/>
        <v>0.23429999999999998</v>
      </c>
      <c r="S138" s="20">
        <f t="shared" si="198"/>
        <v>2</v>
      </c>
      <c r="T138" s="19">
        <f t="shared" si="199"/>
        <v>0.23429999999999998</v>
      </c>
      <c r="U138" s="21">
        <f t="shared" si="200"/>
        <v>-2</v>
      </c>
      <c r="V138" s="19">
        <f t="shared" si="201"/>
        <v>-0.23429999999999998</v>
      </c>
      <c r="X138" s="29"/>
    </row>
    <row r="139" spans="1:24">
      <c r="A139" s="26" t="s">
        <v>13</v>
      </c>
      <c r="B139" s="26" t="s">
        <v>50</v>
      </c>
      <c r="C139" s="26">
        <v>16.5</v>
      </c>
      <c r="D139" s="27">
        <v>7.8</v>
      </c>
      <c r="E139" s="28"/>
      <c r="F139" s="16">
        <f t="shared" si="193"/>
        <v>0</v>
      </c>
      <c r="G139" s="17"/>
      <c r="H139" s="18"/>
      <c r="I139" s="19">
        <f t="shared" si="194"/>
        <v>0</v>
      </c>
      <c r="J139" s="16"/>
      <c r="K139" s="18"/>
      <c r="L139" s="19">
        <f t="shared" si="195"/>
        <v>0</v>
      </c>
      <c r="M139" s="16"/>
      <c r="N139" s="18"/>
      <c r="O139" s="19">
        <f t="shared" si="196"/>
        <v>0</v>
      </c>
      <c r="P139" s="16"/>
      <c r="Q139" s="18">
        <v>5</v>
      </c>
      <c r="R139" s="19">
        <f t="shared" si="197"/>
        <v>0.64349999999999996</v>
      </c>
      <c r="S139" s="20">
        <f t="shared" si="198"/>
        <v>5</v>
      </c>
      <c r="T139" s="19">
        <f t="shared" si="199"/>
        <v>0.64349999999999996</v>
      </c>
      <c r="U139" s="21">
        <f t="shared" si="200"/>
        <v>-5</v>
      </c>
      <c r="V139" s="19">
        <f t="shared" si="201"/>
        <v>-0.64349999999999996</v>
      </c>
      <c r="X139" s="29"/>
    </row>
    <row r="140" spans="1:24">
      <c r="A140" s="26" t="s">
        <v>13</v>
      </c>
      <c r="B140" s="26" t="s">
        <v>50</v>
      </c>
      <c r="C140" s="26">
        <v>16.5</v>
      </c>
      <c r="D140" s="27">
        <v>8.5</v>
      </c>
      <c r="E140" s="28"/>
      <c r="F140" s="16">
        <f t="shared" si="193"/>
        <v>0</v>
      </c>
      <c r="G140" s="17"/>
      <c r="H140" s="18"/>
      <c r="I140" s="19">
        <f t="shared" si="194"/>
        <v>0</v>
      </c>
      <c r="J140" s="16"/>
      <c r="K140" s="18"/>
      <c r="L140" s="19">
        <f t="shared" si="195"/>
        <v>0</v>
      </c>
      <c r="M140" s="16"/>
      <c r="N140" s="18"/>
      <c r="O140" s="19">
        <f t="shared" si="196"/>
        <v>0</v>
      </c>
      <c r="P140" s="16"/>
      <c r="Q140" s="18">
        <v>2</v>
      </c>
      <c r="R140" s="19">
        <f t="shared" si="197"/>
        <v>0.28050000000000003</v>
      </c>
      <c r="S140" s="20">
        <f t="shared" si="198"/>
        <v>2</v>
      </c>
      <c r="T140" s="19">
        <f t="shared" si="199"/>
        <v>0.28050000000000003</v>
      </c>
      <c r="U140" s="21">
        <f t="shared" si="200"/>
        <v>-2</v>
      </c>
      <c r="V140" s="19">
        <f t="shared" si="201"/>
        <v>-0.28050000000000003</v>
      </c>
      <c r="X140" s="29"/>
    </row>
    <row r="141" spans="1:24">
      <c r="A141" s="26" t="s">
        <v>13</v>
      </c>
      <c r="B141" s="26" t="s">
        <v>50</v>
      </c>
      <c r="C141" s="26">
        <v>16.5</v>
      </c>
      <c r="D141" s="27">
        <v>8.8000000000000007</v>
      </c>
      <c r="E141" s="28"/>
      <c r="F141" s="16">
        <f t="shared" si="193"/>
        <v>0</v>
      </c>
      <c r="G141" s="17"/>
      <c r="H141" s="18"/>
      <c r="I141" s="19">
        <f t="shared" si="194"/>
        <v>0</v>
      </c>
      <c r="J141" s="16"/>
      <c r="K141" s="18"/>
      <c r="L141" s="19">
        <f t="shared" si="195"/>
        <v>0</v>
      </c>
      <c r="M141" s="16"/>
      <c r="N141" s="18"/>
      <c r="O141" s="19">
        <f t="shared" si="196"/>
        <v>0</v>
      </c>
      <c r="P141" s="16"/>
      <c r="Q141" s="18">
        <v>12</v>
      </c>
      <c r="R141" s="19">
        <f t="shared" si="197"/>
        <v>1.7424000000000002</v>
      </c>
      <c r="S141" s="20">
        <f t="shared" si="198"/>
        <v>12</v>
      </c>
      <c r="T141" s="19">
        <f t="shared" si="199"/>
        <v>1.7424000000000002</v>
      </c>
      <c r="U141" s="21">
        <f t="shared" si="200"/>
        <v>-12</v>
      </c>
      <c r="V141" s="19">
        <f t="shared" si="201"/>
        <v>-1.7424000000000002</v>
      </c>
      <c r="X141" s="29"/>
    </row>
    <row r="142" spans="1:24">
      <c r="A142" s="26" t="s">
        <v>13</v>
      </c>
      <c r="B142" s="26" t="s">
        <v>50</v>
      </c>
      <c r="C142" s="26">
        <v>16.5</v>
      </c>
      <c r="D142" s="27">
        <v>9.1999999999999993</v>
      </c>
      <c r="E142" s="28"/>
      <c r="F142" s="16">
        <f t="shared" si="193"/>
        <v>0</v>
      </c>
      <c r="G142" s="17"/>
      <c r="H142" s="18"/>
      <c r="I142" s="19">
        <f t="shared" si="194"/>
        <v>0</v>
      </c>
      <c r="J142" s="16"/>
      <c r="K142" s="18"/>
      <c r="L142" s="19">
        <f t="shared" si="195"/>
        <v>0</v>
      </c>
      <c r="M142" s="16"/>
      <c r="N142" s="18"/>
      <c r="O142" s="19">
        <f t="shared" si="196"/>
        <v>0</v>
      </c>
      <c r="P142" s="16"/>
      <c r="Q142" s="18">
        <v>2</v>
      </c>
      <c r="R142" s="19">
        <f t="shared" si="197"/>
        <v>0.30359999999999998</v>
      </c>
      <c r="S142" s="20">
        <f t="shared" si="198"/>
        <v>2</v>
      </c>
      <c r="T142" s="19">
        <f t="shared" si="199"/>
        <v>0.30359999999999998</v>
      </c>
      <c r="U142" s="21">
        <f t="shared" si="200"/>
        <v>-2</v>
      </c>
      <c r="V142" s="19">
        <f t="shared" si="201"/>
        <v>-0.30359999999999998</v>
      </c>
      <c r="X142" s="29"/>
    </row>
    <row r="143" spans="1:24">
      <c r="A143" s="26" t="s">
        <v>13</v>
      </c>
      <c r="B143" s="26" t="s">
        <v>50</v>
      </c>
      <c r="C143" s="26">
        <v>16.5</v>
      </c>
      <c r="D143" s="27">
        <v>9.9</v>
      </c>
      <c r="E143" s="28"/>
      <c r="F143" s="16">
        <f t="shared" si="193"/>
        <v>0</v>
      </c>
      <c r="G143" s="17"/>
      <c r="H143" s="18"/>
      <c r="I143" s="19">
        <f t="shared" si="194"/>
        <v>0</v>
      </c>
      <c r="J143" s="16"/>
      <c r="K143" s="18"/>
      <c r="L143" s="19">
        <f t="shared" si="195"/>
        <v>0</v>
      </c>
      <c r="M143" s="16"/>
      <c r="N143" s="18"/>
      <c r="O143" s="19">
        <f t="shared" si="196"/>
        <v>0</v>
      </c>
      <c r="P143" s="16"/>
      <c r="Q143" s="18">
        <v>1</v>
      </c>
      <c r="R143" s="19">
        <f t="shared" si="197"/>
        <v>0.16335</v>
      </c>
      <c r="S143" s="20">
        <f t="shared" si="198"/>
        <v>1</v>
      </c>
      <c r="T143" s="19">
        <f t="shared" si="199"/>
        <v>0.16335</v>
      </c>
      <c r="U143" s="21">
        <f t="shared" si="200"/>
        <v>-1</v>
      </c>
      <c r="V143" s="19">
        <f t="shared" si="201"/>
        <v>-0.16335</v>
      </c>
      <c r="X143" s="29"/>
    </row>
    <row r="144" spans="1:24">
      <c r="A144" s="26" t="s">
        <v>13</v>
      </c>
      <c r="B144" s="26" t="s">
        <v>50</v>
      </c>
      <c r="C144" s="26">
        <v>16.5</v>
      </c>
      <c r="D144" s="27">
        <v>10</v>
      </c>
      <c r="E144" s="28"/>
      <c r="F144" s="16">
        <f t="shared" si="193"/>
        <v>0</v>
      </c>
      <c r="G144" s="17"/>
      <c r="H144" s="18"/>
      <c r="I144" s="19">
        <f t="shared" si="194"/>
        <v>0</v>
      </c>
      <c r="J144" s="16"/>
      <c r="K144" s="18"/>
      <c r="L144" s="19">
        <f t="shared" si="195"/>
        <v>0</v>
      </c>
      <c r="M144" s="16"/>
      <c r="N144" s="18"/>
      <c r="O144" s="19">
        <f t="shared" si="196"/>
        <v>0</v>
      </c>
      <c r="P144" s="16"/>
      <c r="Q144" s="18">
        <f>3+1</f>
        <v>4</v>
      </c>
      <c r="R144" s="19">
        <f t="shared" si="197"/>
        <v>0.66</v>
      </c>
      <c r="S144" s="20">
        <f t="shared" si="198"/>
        <v>4</v>
      </c>
      <c r="T144" s="19">
        <f t="shared" si="199"/>
        <v>0.66</v>
      </c>
      <c r="U144" s="21">
        <f t="shared" si="200"/>
        <v>-4</v>
      </c>
      <c r="V144" s="19">
        <f t="shared" si="201"/>
        <v>-0.66</v>
      </c>
      <c r="X144" s="29"/>
    </row>
    <row r="145" spans="1:24">
      <c r="A145" s="26" t="s">
        <v>13</v>
      </c>
      <c r="B145" s="26" t="s">
        <v>50</v>
      </c>
      <c r="C145" s="26">
        <v>16.5</v>
      </c>
      <c r="D145" s="27">
        <v>10.1</v>
      </c>
      <c r="E145" s="28"/>
      <c r="F145" s="16">
        <f t="shared" si="193"/>
        <v>0</v>
      </c>
      <c r="G145" s="17"/>
      <c r="H145" s="18"/>
      <c r="I145" s="19">
        <f t="shared" si="194"/>
        <v>0</v>
      </c>
      <c r="J145" s="16"/>
      <c r="K145" s="18"/>
      <c r="L145" s="19">
        <f t="shared" si="195"/>
        <v>0</v>
      </c>
      <c r="M145" s="16"/>
      <c r="N145" s="18"/>
      <c r="O145" s="19">
        <f t="shared" si="196"/>
        <v>0</v>
      </c>
      <c r="P145" s="16"/>
      <c r="Q145" s="18">
        <v>1</v>
      </c>
      <c r="R145" s="19">
        <f t="shared" si="197"/>
        <v>0.16664999999999999</v>
      </c>
      <c r="S145" s="20">
        <f t="shared" si="198"/>
        <v>1</v>
      </c>
      <c r="T145" s="19">
        <f t="shared" si="199"/>
        <v>0.16664999999999999</v>
      </c>
      <c r="U145" s="21">
        <f t="shared" si="200"/>
        <v>-1</v>
      </c>
      <c r="V145" s="19">
        <f t="shared" si="201"/>
        <v>-0.16664999999999999</v>
      </c>
      <c r="X145" s="29"/>
    </row>
    <row r="146" spans="1:24">
      <c r="A146" s="26" t="s">
        <v>13</v>
      </c>
      <c r="B146" s="26" t="s">
        <v>50</v>
      </c>
      <c r="C146" s="26">
        <v>16.5</v>
      </c>
      <c r="D146" s="27">
        <v>10.5</v>
      </c>
      <c r="E146" s="28"/>
      <c r="F146" s="16">
        <f t="shared" si="193"/>
        <v>0</v>
      </c>
      <c r="G146" s="17"/>
      <c r="H146" s="18"/>
      <c r="I146" s="19">
        <f t="shared" si="194"/>
        <v>0</v>
      </c>
      <c r="J146" s="16"/>
      <c r="K146" s="18"/>
      <c r="L146" s="19">
        <f t="shared" si="195"/>
        <v>0</v>
      </c>
      <c r="M146" s="16"/>
      <c r="N146" s="18"/>
      <c r="O146" s="19">
        <f t="shared" si="196"/>
        <v>0</v>
      </c>
      <c r="P146" s="16"/>
      <c r="Q146" s="18">
        <f>3+1</f>
        <v>4</v>
      </c>
      <c r="R146" s="19">
        <f t="shared" si="197"/>
        <v>0.69299999999999995</v>
      </c>
      <c r="S146" s="20">
        <f t="shared" si="198"/>
        <v>4</v>
      </c>
      <c r="T146" s="19">
        <f t="shared" si="199"/>
        <v>0.69299999999999995</v>
      </c>
      <c r="U146" s="21">
        <f t="shared" si="200"/>
        <v>-4</v>
      </c>
      <c r="V146" s="19">
        <f t="shared" si="201"/>
        <v>-0.69299999999999995</v>
      </c>
      <c r="X146" s="29"/>
    </row>
    <row r="147" spans="1:24">
      <c r="A147" s="26" t="s">
        <v>13</v>
      </c>
      <c r="B147" s="26" t="s">
        <v>50</v>
      </c>
      <c r="C147" s="26">
        <v>16.5</v>
      </c>
      <c r="D147" s="27">
        <v>10.7</v>
      </c>
      <c r="E147" s="28"/>
      <c r="F147" s="16">
        <f t="shared" si="193"/>
        <v>0</v>
      </c>
      <c r="G147" s="17"/>
      <c r="H147" s="18"/>
      <c r="I147" s="19">
        <f t="shared" si="194"/>
        <v>0</v>
      </c>
      <c r="J147" s="16"/>
      <c r="K147" s="18"/>
      <c r="L147" s="19">
        <f t="shared" si="195"/>
        <v>0</v>
      </c>
      <c r="M147" s="16"/>
      <c r="N147" s="18"/>
      <c r="O147" s="19">
        <f t="shared" si="196"/>
        <v>0</v>
      </c>
      <c r="P147" s="16"/>
      <c r="Q147" s="18">
        <v>2</v>
      </c>
      <c r="R147" s="19">
        <f t="shared" si="197"/>
        <v>0.35309999999999997</v>
      </c>
      <c r="S147" s="20">
        <f t="shared" si="198"/>
        <v>2</v>
      </c>
      <c r="T147" s="19">
        <f t="shared" si="199"/>
        <v>0.35309999999999997</v>
      </c>
      <c r="U147" s="21">
        <f t="shared" si="200"/>
        <v>-2</v>
      </c>
      <c r="V147" s="19">
        <f t="shared" si="201"/>
        <v>-0.35309999999999997</v>
      </c>
      <c r="X147" s="29"/>
    </row>
    <row r="148" spans="1:24">
      <c r="A148" s="26" t="s">
        <v>13</v>
      </c>
      <c r="B148" s="26" t="s">
        <v>50</v>
      </c>
      <c r="C148" s="26">
        <v>16.5</v>
      </c>
      <c r="D148" s="27">
        <v>11.1</v>
      </c>
      <c r="E148" s="28"/>
      <c r="F148" s="16">
        <f t="shared" si="193"/>
        <v>0</v>
      </c>
      <c r="G148" s="17"/>
      <c r="H148" s="18"/>
      <c r="I148" s="19">
        <f t="shared" si="194"/>
        <v>0</v>
      </c>
      <c r="J148" s="16"/>
      <c r="K148" s="18"/>
      <c r="L148" s="19">
        <f t="shared" si="195"/>
        <v>0</v>
      </c>
      <c r="M148" s="16"/>
      <c r="N148" s="18"/>
      <c r="O148" s="19">
        <f t="shared" si="196"/>
        <v>0</v>
      </c>
      <c r="P148" s="16"/>
      <c r="Q148" s="18">
        <v>2</v>
      </c>
      <c r="R148" s="19">
        <f t="shared" si="197"/>
        <v>0.36630000000000001</v>
      </c>
      <c r="S148" s="20">
        <f t="shared" si="198"/>
        <v>2</v>
      </c>
      <c r="T148" s="19">
        <f t="shared" si="199"/>
        <v>0.36630000000000001</v>
      </c>
      <c r="U148" s="21">
        <f t="shared" si="200"/>
        <v>-2</v>
      </c>
      <c r="V148" s="19">
        <f t="shared" si="201"/>
        <v>-0.36630000000000001</v>
      </c>
      <c r="X148" s="29"/>
    </row>
    <row r="149" spans="1:24">
      <c r="A149" s="26" t="s">
        <v>13</v>
      </c>
      <c r="B149" s="26" t="s">
        <v>50</v>
      </c>
      <c r="C149" s="26">
        <v>16.5</v>
      </c>
      <c r="D149" s="27">
        <v>8.6999999999999993</v>
      </c>
      <c r="E149" s="28"/>
      <c r="F149" s="16">
        <f t="shared" si="193"/>
        <v>0</v>
      </c>
      <c r="G149" s="17"/>
      <c r="H149" s="18"/>
      <c r="I149" s="19">
        <f t="shared" si="194"/>
        <v>0</v>
      </c>
      <c r="J149" s="16"/>
      <c r="K149" s="18"/>
      <c r="L149" s="19">
        <f t="shared" si="195"/>
        <v>0</v>
      </c>
      <c r="M149" s="16"/>
      <c r="N149" s="18"/>
      <c r="O149" s="19">
        <f t="shared" si="196"/>
        <v>0</v>
      </c>
      <c r="P149" s="16"/>
      <c r="Q149" s="18">
        <v>1</v>
      </c>
      <c r="R149" s="19">
        <f t="shared" si="197"/>
        <v>0.14354999999999998</v>
      </c>
      <c r="S149" s="20">
        <f t="shared" si="198"/>
        <v>1</v>
      </c>
      <c r="T149" s="19">
        <f t="shared" si="199"/>
        <v>0.14354999999999998</v>
      </c>
      <c r="U149" s="21">
        <f t="shared" si="200"/>
        <v>-1</v>
      </c>
      <c r="V149" s="19">
        <f t="shared" si="201"/>
        <v>-0.14354999999999998</v>
      </c>
      <c r="X149" s="29"/>
    </row>
    <row r="150" spans="1:24">
      <c r="A150" s="26" t="s">
        <v>13</v>
      </c>
      <c r="B150" s="26" t="s">
        <v>50</v>
      </c>
      <c r="C150" s="26">
        <v>16.5</v>
      </c>
      <c r="D150" s="27">
        <v>9</v>
      </c>
      <c r="E150" s="28"/>
      <c r="F150" s="16">
        <f t="shared" si="193"/>
        <v>0</v>
      </c>
      <c r="G150" s="17"/>
      <c r="H150" s="18"/>
      <c r="I150" s="19">
        <f t="shared" si="194"/>
        <v>0</v>
      </c>
      <c r="J150" s="16"/>
      <c r="K150" s="18"/>
      <c r="L150" s="19">
        <f t="shared" si="195"/>
        <v>0</v>
      </c>
      <c r="M150" s="16"/>
      <c r="N150" s="18"/>
      <c r="O150" s="19">
        <f t="shared" si="196"/>
        <v>0</v>
      </c>
      <c r="P150" s="16"/>
      <c r="Q150" s="18">
        <v>1</v>
      </c>
      <c r="R150" s="19">
        <f t="shared" si="197"/>
        <v>0.14849999999999999</v>
      </c>
      <c r="S150" s="20">
        <f t="shared" si="198"/>
        <v>1</v>
      </c>
      <c r="T150" s="19">
        <f t="shared" si="199"/>
        <v>0.14849999999999999</v>
      </c>
      <c r="U150" s="21">
        <f t="shared" si="200"/>
        <v>-1</v>
      </c>
      <c r="V150" s="19">
        <f t="shared" si="201"/>
        <v>-0.14849999999999999</v>
      </c>
      <c r="X150" s="29"/>
    </row>
    <row r="151" spans="1:24">
      <c r="A151" s="26" t="s">
        <v>13</v>
      </c>
      <c r="B151" s="26" t="s">
        <v>50</v>
      </c>
      <c r="C151" s="26">
        <v>16.5</v>
      </c>
      <c r="D151" s="27">
        <v>9.6999999999999993</v>
      </c>
      <c r="E151" s="28"/>
      <c r="F151" s="16">
        <f t="shared" si="193"/>
        <v>0</v>
      </c>
      <c r="G151" s="17"/>
      <c r="H151" s="18"/>
      <c r="I151" s="19">
        <f t="shared" si="194"/>
        <v>0</v>
      </c>
      <c r="J151" s="16"/>
      <c r="K151" s="18"/>
      <c r="L151" s="19">
        <f t="shared" si="195"/>
        <v>0</v>
      </c>
      <c r="M151" s="16"/>
      <c r="N151" s="18"/>
      <c r="O151" s="19">
        <f t="shared" si="196"/>
        <v>0</v>
      </c>
      <c r="P151" s="16"/>
      <c r="Q151" s="18">
        <v>2</v>
      </c>
      <c r="R151" s="19">
        <f t="shared" si="197"/>
        <v>0.32009999999999994</v>
      </c>
      <c r="S151" s="20">
        <f t="shared" si="198"/>
        <v>2</v>
      </c>
      <c r="T151" s="19">
        <f t="shared" si="199"/>
        <v>0.32009999999999994</v>
      </c>
      <c r="U151" s="21">
        <f t="shared" si="200"/>
        <v>-2</v>
      </c>
      <c r="V151" s="19">
        <f t="shared" si="201"/>
        <v>-0.32009999999999994</v>
      </c>
      <c r="X151" s="29"/>
    </row>
    <row r="152" spans="1:24">
      <c r="A152" s="26" t="s">
        <v>13</v>
      </c>
      <c r="B152" s="26" t="s">
        <v>50</v>
      </c>
      <c r="C152" s="26">
        <v>16.5</v>
      </c>
      <c r="D152" s="27">
        <v>12</v>
      </c>
      <c r="E152" s="28"/>
      <c r="F152" s="16">
        <f t="shared" si="193"/>
        <v>0</v>
      </c>
      <c r="G152" s="17"/>
      <c r="H152" s="18"/>
      <c r="I152" s="19">
        <f t="shared" si="194"/>
        <v>0</v>
      </c>
      <c r="J152" s="16"/>
      <c r="K152" s="18"/>
      <c r="L152" s="19">
        <f t="shared" si="195"/>
        <v>0</v>
      </c>
      <c r="M152" s="16"/>
      <c r="N152" s="18"/>
      <c r="O152" s="19">
        <f t="shared" si="196"/>
        <v>0</v>
      </c>
      <c r="P152" s="16"/>
      <c r="Q152" s="18">
        <v>4</v>
      </c>
      <c r="R152" s="19">
        <f t="shared" si="197"/>
        <v>0.79200000000000004</v>
      </c>
      <c r="S152" s="20">
        <f t="shared" si="198"/>
        <v>4</v>
      </c>
      <c r="T152" s="19">
        <f t="shared" si="199"/>
        <v>0.79200000000000004</v>
      </c>
      <c r="U152" s="21">
        <f t="shared" si="200"/>
        <v>-4</v>
      </c>
      <c r="V152" s="19">
        <f t="shared" si="201"/>
        <v>-0.79200000000000004</v>
      </c>
      <c r="X152" s="29"/>
    </row>
    <row r="153" spans="1:24">
      <c r="A153" s="26" t="s">
        <v>13</v>
      </c>
      <c r="B153" s="26" t="s">
        <v>50</v>
      </c>
      <c r="C153" s="26">
        <v>16.5</v>
      </c>
      <c r="D153" s="27"/>
      <c r="E153" s="28"/>
      <c r="F153" s="16">
        <f t="shared" si="184"/>
        <v>0</v>
      </c>
      <c r="G153" s="17"/>
      <c r="H153" s="18"/>
      <c r="I153" s="19">
        <f t="shared" si="185"/>
        <v>0</v>
      </c>
      <c r="J153" s="16"/>
      <c r="K153" s="18"/>
      <c r="L153" s="19">
        <f t="shared" si="186"/>
        <v>0</v>
      </c>
      <c r="M153" s="16"/>
      <c r="N153" s="18"/>
      <c r="O153" s="19">
        <f t="shared" si="187"/>
        <v>0</v>
      </c>
      <c r="P153" s="16"/>
      <c r="Q153" s="18"/>
      <c r="R153" s="19">
        <f t="shared" si="188"/>
        <v>0</v>
      </c>
      <c r="S153" s="20">
        <f t="shared" si="189"/>
        <v>0</v>
      </c>
      <c r="T153" s="19">
        <f t="shared" si="190"/>
        <v>0</v>
      </c>
      <c r="U153" s="21">
        <f t="shared" si="191"/>
        <v>0</v>
      </c>
      <c r="V153" s="19">
        <f t="shared" si="192"/>
        <v>0</v>
      </c>
      <c r="X153" s="29"/>
    </row>
    <row r="154" spans="1:24">
      <c r="A154" s="36"/>
      <c r="B154" s="36"/>
      <c r="C154" s="36"/>
      <c r="D154" s="38"/>
      <c r="E154" s="31">
        <f>SUM(E128:E153)</f>
        <v>620</v>
      </c>
      <c r="F154" s="38">
        <f>SUM(F128:F153)</f>
        <v>95.409600000000026</v>
      </c>
      <c r="G154" s="17"/>
      <c r="H154" s="31">
        <f>SUM(H128:H153)</f>
        <v>214</v>
      </c>
      <c r="I154" s="38">
        <f>SUM(I128:I153)</f>
        <v>33.778800000000004</v>
      </c>
      <c r="J154" s="16"/>
      <c r="K154" s="31">
        <f>SUM(K128:K153)</f>
        <v>58</v>
      </c>
      <c r="L154" s="38">
        <f>SUM(L128:L153)</f>
        <v>10.167299999999999</v>
      </c>
      <c r="M154" s="16"/>
      <c r="N154" s="31">
        <f>SUM(N128:N153)</f>
        <v>213</v>
      </c>
      <c r="O154" s="38">
        <f>SUM(O128:O153)</f>
        <v>31.6404</v>
      </c>
      <c r="P154" s="16"/>
      <c r="Q154" s="31">
        <f t="shared" ref="Q154:V154" si="202">SUM(Q128:Q153)</f>
        <v>134</v>
      </c>
      <c r="R154" s="38">
        <f t="shared" si="202"/>
        <v>20.034300000000005</v>
      </c>
      <c r="S154" s="31">
        <f t="shared" si="202"/>
        <v>619</v>
      </c>
      <c r="T154" s="38">
        <f t="shared" si="202"/>
        <v>95.620800000000003</v>
      </c>
      <c r="U154" s="31">
        <f t="shared" si="202"/>
        <v>1</v>
      </c>
      <c r="V154" s="38">
        <f t="shared" si="202"/>
        <v>-0.21119999999999206</v>
      </c>
      <c r="X154" s="29"/>
    </row>
    <row r="155" spans="1:24">
      <c r="A155" s="26" t="s">
        <v>13</v>
      </c>
      <c r="B155" s="26" t="s">
        <v>51</v>
      </c>
      <c r="C155" s="26">
        <v>19.8</v>
      </c>
      <c r="D155" s="27">
        <v>7</v>
      </c>
      <c r="E155" s="28">
        <v>24</v>
      </c>
      <c r="F155" s="16">
        <f t="shared" ref="F155:F162" si="203">(C155*D155*E155/1000)</f>
        <v>3.3263999999999996</v>
      </c>
      <c r="G155" s="17" t="s">
        <v>93</v>
      </c>
      <c r="H155" s="18">
        <v>23</v>
      </c>
      <c r="I155" s="19">
        <f t="shared" ref="I155:I162" si="204">(C155*D155*H155/1000)</f>
        <v>3.1877999999999997</v>
      </c>
      <c r="J155" s="17" t="s">
        <v>93</v>
      </c>
      <c r="K155" s="18"/>
      <c r="L155" s="19">
        <f t="shared" ref="L155:L162" si="205">(C155*D155*K155/1000)</f>
        <v>0</v>
      </c>
      <c r="M155" s="16"/>
      <c r="N155" s="18"/>
      <c r="O155" s="19">
        <f t="shared" ref="O155:O162" si="206">(C155*D155*N155/1000)</f>
        <v>0</v>
      </c>
      <c r="P155" s="16"/>
      <c r="Q155" s="18"/>
      <c r="R155" s="19">
        <f t="shared" ref="R155:R162" si="207">(C155*D155*Q155/1000)</f>
        <v>0</v>
      </c>
      <c r="S155" s="20">
        <f t="shared" ref="S155:S162" si="208">+H155+K155+Q155+N155</f>
        <v>23</v>
      </c>
      <c r="T155" s="19">
        <f t="shared" ref="T155:T162" si="209">+I155+L155+R155+O155</f>
        <v>3.1877999999999997</v>
      </c>
      <c r="U155" s="21">
        <f t="shared" ref="U155:U162" si="210">E155-S155</f>
        <v>1</v>
      </c>
      <c r="V155" s="19">
        <f t="shared" ref="V155:V162" si="211">F155-T155</f>
        <v>0.13859999999999983</v>
      </c>
      <c r="X155" s="29"/>
    </row>
    <row r="156" spans="1:24">
      <c r="A156" s="26" t="s">
        <v>13</v>
      </c>
      <c r="B156" s="26" t="s">
        <v>51</v>
      </c>
      <c r="C156" s="26">
        <v>19.8</v>
      </c>
      <c r="D156" s="27">
        <v>9.5</v>
      </c>
      <c r="E156" s="28">
        <v>22</v>
      </c>
      <c r="F156" s="16">
        <f t="shared" si="203"/>
        <v>4.1381999999999994</v>
      </c>
      <c r="G156" s="17" t="s">
        <v>235</v>
      </c>
      <c r="H156" s="18">
        <v>17</v>
      </c>
      <c r="I156" s="19">
        <f t="shared" si="204"/>
        <v>3.1976999999999998</v>
      </c>
      <c r="J156" s="17" t="s">
        <v>236</v>
      </c>
      <c r="K156" s="18">
        <v>3</v>
      </c>
      <c r="L156" s="19">
        <f t="shared" si="205"/>
        <v>0.56429999999999991</v>
      </c>
      <c r="M156" s="16"/>
      <c r="N156" s="18"/>
      <c r="O156" s="19">
        <f t="shared" si="206"/>
        <v>0</v>
      </c>
      <c r="P156" s="16"/>
      <c r="Q156" s="18"/>
      <c r="R156" s="19">
        <f t="shared" si="207"/>
        <v>0</v>
      </c>
      <c r="S156" s="20">
        <f t="shared" si="208"/>
        <v>20</v>
      </c>
      <c r="T156" s="19">
        <f t="shared" si="209"/>
        <v>3.7619999999999996</v>
      </c>
      <c r="U156" s="21">
        <f t="shared" si="210"/>
        <v>2</v>
      </c>
      <c r="V156" s="19">
        <f t="shared" si="211"/>
        <v>0.37619999999999987</v>
      </c>
      <c r="X156" s="29"/>
    </row>
    <row r="157" spans="1:24">
      <c r="A157" s="26" t="s">
        <v>13</v>
      </c>
      <c r="B157" s="26" t="s">
        <v>51</v>
      </c>
      <c r="C157" s="26">
        <v>19.8</v>
      </c>
      <c r="D157" s="27">
        <v>9.8000000000000007</v>
      </c>
      <c r="E157" s="28">
        <v>30</v>
      </c>
      <c r="F157" s="16">
        <f t="shared" si="203"/>
        <v>5.821200000000001</v>
      </c>
      <c r="G157" s="17"/>
      <c r="H157" s="18">
        <v>26</v>
      </c>
      <c r="I157" s="19">
        <f t="shared" si="204"/>
        <v>5.0450400000000011</v>
      </c>
      <c r="J157" s="16"/>
      <c r="K157" s="18">
        <v>4</v>
      </c>
      <c r="L157" s="19">
        <f t="shared" si="205"/>
        <v>0.77616000000000007</v>
      </c>
      <c r="M157" s="16"/>
      <c r="N157" s="18"/>
      <c r="O157" s="19">
        <f t="shared" si="206"/>
        <v>0</v>
      </c>
      <c r="P157" s="16"/>
      <c r="Q157" s="18"/>
      <c r="R157" s="19">
        <f t="shared" si="207"/>
        <v>0</v>
      </c>
      <c r="S157" s="20">
        <f t="shared" si="208"/>
        <v>30</v>
      </c>
      <c r="T157" s="19">
        <f t="shared" si="209"/>
        <v>5.821200000000001</v>
      </c>
      <c r="U157" s="21">
        <f t="shared" si="210"/>
        <v>0</v>
      </c>
      <c r="V157" s="19">
        <f t="shared" si="211"/>
        <v>0</v>
      </c>
      <c r="X157" s="29"/>
    </row>
    <row r="158" spans="1:24">
      <c r="A158" s="26" t="s">
        <v>13</v>
      </c>
      <c r="B158" s="26" t="s">
        <v>51</v>
      </c>
      <c r="C158" s="26">
        <v>19.8</v>
      </c>
      <c r="D158" s="27">
        <v>10.9</v>
      </c>
      <c r="E158" s="28">
        <v>13</v>
      </c>
      <c r="F158" s="16">
        <f t="shared" ref="F158:F161" si="212">(C158*D158*E158/1000)</f>
        <v>2.8056600000000005</v>
      </c>
      <c r="G158" s="17"/>
      <c r="H158" s="18">
        <v>12</v>
      </c>
      <c r="I158" s="19">
        <f t="shared" ref="I158:I161" si="213">(C158*D158*H158/1000)</f>
        <v>2.5898400000000001</v>
      </c>
      <c r="J158" s="16"/>
      <c r="K158" s="18"/>
      <c r="L158" s="19">
        <f t="shared" ref="L158:L161" si="214">(C158*D158*K158/1000)</f>
        <v>0</v>
      </c>
      <c r="M158" s="16"/>
      <c r="N158" s="18"/>
      <c r="O158" s="19">
        <f t="shared" ref="O158:O161" si="215">(C158*D158*N158/1000)</f>
        <v>0</v>
      </c>
      <c r="P158" s="16"/>
      <c r="Q158" s="18"/>
      <c r="R158" s="19">
        <f t="shared" ref="R158:R161" si="216">(C158*D158*Q158/1000)</f>
        <v>0</v>
      </c>
      <c r="S158" s="20">
        <f t="shared" ref="S158:S161" si="217">+H158+K158+Q158+N158</f>
        <v>12</v>
      </c>
      <c r="T158" s="19">
        <f t="shared" ref="T158:T161" si="218">+I158+L158+R158+O158</f>
        <v>2.5898400000000001</v>
      </c>
      <c r="U158" s="21">
        <f t="shared" ref="U158:U161" si="219">E158-S158</f>
        <v>1</v>
      </c>
      <c r="V158" s="19">
        <f t="shared" ref="V158:V161" si="220">F158-T158</f>
        <v>0.21582000000000034</v>
      </c>
      <c r="X158" s="29"/>
    </row>
    <row r="159" spans="1:24">
      <c r="A159" s="26" t="s">
        <v>13</v>
      </c>
      <c r="B159" s="26" t="s">
        <v>51</v>
      </c>
      <c r="C159" s="26">
        <v>19.8</v>
      </c>
      <c r="D159" s="27">
        <v>7.9</v>
      </c>
      <c r="E159" s="28"/>
      <c r="F159" s="16">
        <f t="shared" si="212"/>
        <v>0</v>
      </c>
      <c r="G159" s="17"/>
      <c r="H159" s="18"/>
      <c r="I159" s="19">
        <f t="shared" si="213"/>
        <v>0</v>
      </c>
      <c r="J159" s="16"/>
      <c r="K159" s="18">
        <v>1</v>
      </c>
      <c r="L159" s="19">
        <f t="shared" si="214"/>
        <v>0.15642</v>
      </c>
      <c r="M159" s="16"/>
      <c r="N159" s="18"/>
      <c r="O159" s="19">
        <f t="shared" si="215"/>
        <v>0</v>
      </c>
      <c r="P159" s="16"/>
      <c r="Q159" s="18"/>
      <c r="R159" s="19">
        <f t="shared" si="216"/>
        <v>0</v>
      </c>
      <c r="S159" s="20">
        <f t="shared" si="217"/>
        <v>1</v>
      </c>
      <c r="T159" s="19">
        <f t="shared" si="218"/>
        <v>0.15642</v>
      </c>
      <c r="U159" s="21">
        <f t="shared" si="219"/>
        <v>-1</v>
      </c>
      <c r="V159" s="19">
        <f t="shared" si="220"/>
        <v>-0.15642</v>
      </c>
      <c r="X159" s="29"/>
    </row>
    <row r="160" spans="1:24">
      <c r="A160" s="26" t="s">
        <v>13</v>
      </c>
      <c r="B160" s="26" t="s">
        <v>51</v>
      </c>
      <c r="C160" s="26">
        <v>19.8</v>
      </c>
      <c r="D160" s="27">
        <v>10.6</v>
      </c>
      <c r="E160" s="28"/>
      <c r="F160" s="16">
        <f t="shared" si="212"/>
        <v>0</v>
      </c>
      <c r="G160" s="17"/>
      <c r="H160" s="18"/>
      <c r="I160" s="19">
        <f t="shared" si="213"/>
        <v>0</v>
      </c>
      <c r="J160" s="16"/>
      <c r="K160" s="18">
        <v>1</v>
      </c>
      <c r="L160" s="19">
        <f t="shared" si="214"/>
        <v>0.20987999999999998</v>
      </c>
      <c r="M160" s="16"/>
      <c r="N160" s="18"/>
      <c r="O160" s="19">
        <f t="shared" si="215"/>
        <v>0</v>
      </c>
      <c r="P160" s="16"/>
      <c r="Q160" s="18"/>
      <c r="R160" s="19">
        <f t="shared" si="216"/>
        <v>0</v>
      </c>
      <c r="S160" s="20">
        <f t="shared" si="217"/>
        <v>1</v>
      </c>
      <c r="T160" s="19">
        <f t="shared" si="218"/>
        <v>0.20987999999999998</v>
      </c>
      <c r="U160" s="21">
        <f t="shared" si="219"/>
        <v>-1</v>
      </c>
      <c r="V160" s="19">
        <f t="shared" si="220"/>
        <v>-0.20987999999999998</v>
      </c>
      <c r="X160" s="29"/>
    </row>
    <row r="161" spans="1:24">
      <c r="A161" s="26" t="s">
        <v>13</v>
      </c>
      <c r="B161" s="26" t="s">
        <v>51</v>
      </c>
      <c r="C161" s="26">
        <v>19.8</v>
      </c>
      <c r="D161" s="27">
        <v>9.1</v>
      </c>
      <c r="E161" s="28"/>
      <c r="F161" s="16">
        <f t="shared" si="212"/>
        <v>0</v>
      </c>
      <c r="G161" s="17"/>
      <c r="H161" s="18"/>
      <c r="I161" s="19">
        <f t="shared" si="213"/>
        <v>0</v>
      </c>
      <c r="J161" s="16"/>
      <c r="K161" s="18">
        <v>1</v>
      </c>
      <c r="L161" s="19">
        <f t="shared" si="214"/>
        <v>0.18018000000000001</v>
      </c>
      <c r="M161" s="16"/>
      <c r="N161" s="18"/>
      <c r="O161" s="19">
        <f t="shared" si="215"/>
        <v>0</v>
      </c>
      <c r="P161" s="16"/>
      <c r="Q161" s="18"/>
      <c r="R161" s="19">
        <f t="shared" si="216"/>
        <v>0</v>
      </c>
      <c r="S161" s="20">
        <f t="shared" si="217"/>
        <v>1</v>
      </c>
      <c r="T161" s="19">
        <f t="shared" si="218"/>
        <v>0.18018000000000001</v>
      </c>
      <c r="U161" s="21">
        <f t="shared" si="219"/>
        <v>-1</v>
      </c>
      <c r="V161" s="19">
        <f t="shared" si="220"/>
        <v>-0.18018000000000001</v>
      </c>
      <c r="X161" s="29"/>
    </row>
    <row r="162" spans="1:24">
      <c r="A162" s="26" t="s">
        <v>13</v>
      </c>
      <c r="B162" s="26" t="s">
        <v>51</v>
      </c>
      <c r="C162" s="26">
        <v>19.8</v>
      </c>
      <c r="D162" s="27">
        <v>10</v>
      </c>
      <c r="E162" s="28"/>
      <c r="F162" s="16">
        <f t="shared" si="203"/>
        <v>0</v>
      </c>
      <c r="G162" s="17"/>
      <c r="H162" s="18"/>
      <c r="I162" s="19">
        <f t="shared" si="204"/>
        <v>0</v>
      </c>
      <c r="J162" s="16"/>
      <c r="K162" s="18">
        <v>1</v>
      </c>
      <c r="L162" s="19">
        <f t="shared" si="205"/>
        <v>0.19800000000000001</v>
      </c>
      <c r="M162" s="16"/>
      <c r="N162" s="18"/>
      <c r="O162" s="19">
        <f t="shared" si="206"/>
        <v>0</v>
      </c>
      <c r="P162" s="16"/>
      <c r="Q162" s="18"/>
      <c r="R162" s="19">
        <f t="shared" si="207"/>
        <v>0</v>
      </c>
      <c r="S162" s="20">
        <f t="shared" si="208"/>
        <v>1</v>
      </c>
      <c r="T162" s="19">
        <f t="shared" si="209"/>
        <v>0.19800000000000001</v>
      </c>
      <c r="U162" s="21">
        <f t="shared" si="210"/>
        <v>-1</v>
      </c>
      <c r="V162" s="19">
        <f t="shared" si="211"/>
        <v>-0.19800000000000001</v>
      </c>
      <c r="X162" s="29"/>
    </row>
    <row r="163" spans="1:24">
      <c r="A163" s="36"/>
      <c r="B163" s="36"/>
      <c r="C163" s="36"/>
      <c r="D163" s="38"/>
      <c r="E163" s="31">
        <f>SUM(E155:E162)</f>
        <v>89</v>
      </c>
      <c r="F163" s="38">
        <f>SUM(F155:F162)</f>
        <v>16.091460000000001</v>
      </c>
      <c r="G163" s="17"/>
      <c r="H163" s="31">
        <f>SUM(H155:H162)</f>
        <v>78</v>
      </c>
      <c r="I163" s="38">
        <f>SUM(I155:I162)</f>
        <v>14.020380000000001</v>
      </c>
      <c r="J163" s="16"/>
      <c r="K163" s="31">
        <f>SUM(K155:K162)</f>
        <v>11</v>
      </c>
      <c r="L163" s="38">
        <f>SUM(L155:L162)</f>
        <v>2.08494</v>
      </c>
      <c r="M163" s="16"/>
      <c r="N163" s="31">
        <f>SUM(N155:N162)</f>
        <v>0</v>
      </c>
      <c r="O163" s="38">
        <f>SUM(O155:O162)</f>
        <v>0</v>
      </c>
      <c r="P163" s="16"/>
      <c r="Q163" s="31">
        <f t="shared" ref="Q163:V163" si="221">SUM(Q155:Q162)</f>
        <v>0</v>
      </c>
      <c r="R163" s="38">
        <f t="shared" si="221"/>
        <v>0</v>
      </c>
      <c r="S163" s="31">
        <f t="shared" si="221"/>
        <v>89</v>
      </c>
      <c r="T163" s="38">
        <f t="shared" si="221"/>
        <v>16.105320000000003</v>
      </c>
      <c r="U163" s="31">
        <f t="shared" si="221"/>
        <v>0</v>
      </c>
      <c r="V163" s="38">
        <f t="shared" si="221"/>
        <v>-1.3859999999999928E-2</v>
      </c>
      <c r="X163" s="29"/>
    </row>
    <row r="164" spans="1:24">
      <c r="A164" s="26" t="s">
        <v>13</v>
      </c>
      <c r="B164" s="26" t="s">
        <v>53</v>
      </c>
      <c r="C164" s="26">
        <v>23.6</v>
      </c>
      <c r="D164" s="27">
        <v>7</v>
      </c>
      <c r="E164" s="28">
        <v>12</v>
      </c>
      <c r="F164" s="16">
        <f t="shared" ref="F164:F171" si="222">(C164*D164*E164/1000)</f>
        <v>1.9824000000000002</v>
      </c>
      <c r="G164" s="16" t="s">
        <v>89</v>
      </c>
      <c r="H164" s="18">
        <v>6</v>
      </c>
      <c r="I164" s="19">
        <f t="shared" ref="I164:I171" si="223">(C164*D164*H164/1000)</f>
        <v>0.99120000000000008</v>
      </c>
      <c r="J164" s="16" t="s">
        <v>93</v>
      </c>
      <c r="K164" s="18">
        <v>1</v>
      </c>
      <c r="L164" s="19">
        <f t="shared" ref="L164:L171" si="224">(C164*D164*K164/1000)</f>
        <v>0.16520000000000001</v>
      </c>
      <c r="M164" s="16" t="s">
        <v>93</v>
      </c>
      <c r="N164" s="18">
        <v>1</v>
      </c>
      <c r="O164" s="19">
        <f t="shared" ref="O164:O171" si="225">(C164*D164*N164/1000)</f>
        <v>0.16520000000000001</v>
      </c>
      <c r="P164" s="16"/>
      <c r="Q164" s="18"/>
      <c r="R164" s="19">
        <f t="shared" ref="R164:R171" si="226">(C164*D164*Q164/1000)</f>
        <v>0</v>
      </c>
      <c r="S164" s="20">
        <f t="shared" ref="S164:S171" si="227">+H164+K164+Q164+N164</f>
        <v>8</v>
      </c>
      <c r="T164" s="19">
        <f t="shared" ref="T164:T171" si="228">+I164+L164+R164+O164</f>
        <v>1.3216000000000001</v>
      </c>
      <c r="U164" s="21">
        <f t="shared" ref="U164:U171" si="229">E164-S164</f>
        <v>4</v>
      </c>
      <c r="V164" s="19">
        <f t="shared" ref="V164:V171" si="230">F164-T164</f>
        <v>0.66080000000000005</v>
      </c>
      <c r="X164" s="29"/>
    </row>
    <row r="165" spans="1:24">
      <c r="A165" s="26" t="s">
        <v>13</v>
      </c>
      <c r="B165" s="26" t="s">
        <v>53</v>
      </c>
      <c r="C165" s="26">
        <v>23.6</v>
      </c>
      <c r="D165" s="27">
        <v>8.5</v>
      </c>
      <c r="E165" s="28">
        <v>7</v>
      </c>
      <c r="F165" s="16">
        <f t="shared" si="222"/>
        <v>1.4042000000000003</v>
      </c>
      <c r="G165" s="16" t="s">
        <v>209</v>
      </c>
      <c r="H165" s="18">
        <v>6</v>
      </c>
      <c r="I165" s="19">
        <f t="shared" si="223"/>
        <v>1.2036000000000002</v>
      </c>
      <c r="J165" s="16" t="s">
        <v>257</v>
      </c>
      <c r="K165" s="18"/>
      <c r="L165" s="19">
        <f t="shared" si="224"/>
        <v>0</v>
      </c>
      <c r="M165" s="16" t="s">
        <v>278</v>
      </c>
      <c r="N165" s="18"/>
      <c r="O165" s="19">
        <f t="shared" si="225"/>
        <v>0</v>
      </c>
      <c r="P165" s="16"/>
      <c r="Q165" s="18"/>
      <c r="R165" s="19">
        <f t="shared" si="226"/>
        <v>0</v>
      </c>
      <c r="S165" s="20">
        <f t="shared" si="227"/>
        <v>6</v>
      </c>
      <c r="T165" s="19">
        <f t="shared" si="228"/>
        <v>1.2036000000000002</v>
      </c>
      <c r="U165" s="21">
        <f t="shared" si="229"/>
        <v>1</v>
      </c>
      <c r="V165" s="19">
        <f t="shared" si="230"/>
        <v>0.20060000000000011</v>
      </c>
      <c r="X165" s="29"/>
    </row>
    <row r="166" spans="1:24">
      <c r="A166" s="26" t="s">
        <v>13</v>
      </c>
      <c r="B166" s="26" t="s">
        <v>53</v>
      </c>
      <c r="C166" s="26">
        <v>23.6</v>
      </c>
      <c r="D166" s="27">
        <v>10.5</v>
      </c>
      <c r="E166" s="28">
        <v>66</v>
      </c>
      <c r="F166" s="16">
        <f t="shared" si="222"/>
        <v>16.354800000000001</v>
      </c>
      <c r="G166" s="17"/>
      <c r="H166" s="18">
        <f>10+16+11+9+14</f>
        <v>60</v>
      </c>
      <c r="I166" s="19">
        <f t="shared" si="223"/>
        <v>14.868</v>
      </c>
      <c r="J166" s="16"/>
      <c r="K166" s="18">
        <v>7</v>
      </c>
      <c r="L166" s="19">
        <f t="shared" si="224"/>
        <v>1.7346000000000001</v>
      </c>
      <c r="M166" s="16"/>
      <c r="N166" s="18"/>
      <c r="O166" s="19">
        <f t="shared" si="225"/>
        <v>0</v>
      </c>
      <c r="P166" s="16"/>
      <c r="Q166" s="18"/>
      <c r="R166" s="19">
        <f t="shared" si="226"/>
        <v>0</v>
      </c>
      <c r="S166" s="20">
        <f t="shared" si="227"/>
        <v>67</v>
      </c>
      <c r="T166" s="19">
        <f t="shared" si="228"/>
        <v>16.602599999999999</v>
      </c>
      <c r="U166" s="21">
        <f t="shared" si="229"/>
        <v>-1</v>
      </c>
      <c r="V166" s="19">
        <f t="shared" si="230"/>
        <v>-0.24779999999999802</v>
      </c>
      <c r="X166" s="29"/>
    </row>
    <row r="167" spans="1:24">
      <c r="A167" s="26" t="s">
        <v>13</v>
      </c>
      <c r="B167" s="26" t="s">
        <v>53</v>
      </c>
      <c r="C167" s="26">
        <v>23.6</v>
      </c>
      <c r="D167" s="27">
        <v>11.8</v>
      </c>
      <c r="E167" s="28">
        <v>18</v>
      </c>
      <c r="F167" s="16">
        <f t="shared" si="222"/>
        <v>5.0126400000000002</v>
      </c>
      <c r="G167" s="17"/>
      <c r="H167" s="18">
        <v>10</v>
      </c>
      <c r="I167" s="19">
        <f t="shared" si="223"/>
        <v>2.7848000000000002</v>
      </c>
      <c r="J167" s="16"/>
      <c r="K167" s="18">
        <v>5</v>
      </c>
      <c r="L167" s="19">
        <f t="shared" si="224"/>
        <v>1.3924000000000001</v>
      </c>
      <c r="M167" s="16"/>
      <c r="N167" s="18"/>
      <c r="O167" s="19">
        <f t="shared" si="225"/>
        <v>0</v>
      </c>
      <c r="P167" s="16"/>
      <c r="Q167" s="18"/>
      <c r="R167" s="19">
        <f t="shared" si="226"/>
        <v>0</v>
      </c>
      <c r="S167" s="20">
        <f t="shared" si="227"/>
        <v>15</v>
      </c>
      <c r="T167" s="19">
        <f t="shared" si="228"/>
        <v>4.1772</v>
      </c>
      <c r="U167" s="21">
        <f t="shared" si="229"/>
        <v>3</v>
      </c>
      <c r="V167" s="19">
        <f t="shared" si="230"/>
        <v>0.83544000000000018</v>
      </c>
      <c r="X167" s="29"/>
    </row>
    <row r="168" spans="1:24">
      <c r="A168" s="26" t="s">
        <v>13</v>
      </c>
      <c r="B168" s="26" t="s">
        <v>53</v>
      </c>
      <c r="C168" s="26">
        <v>23.6</v>
      </c>
      <c r="D168" s="27">
        <v>12</v>
      </c>
      <c r="E168" s="28">
        <v>20</v>
      </c>
      <c r="F168" s="16">
        <f t="shared" ref="F168:F170" si="231">(C168*D168*E168/1000)</f>
        <v>5.6640000000000006</v>
      </c>
      <c r="G168" s="17"/>
      <c r="H168" s="18">
        <f t="shared" ref="H168" si="232">7+9+4</f>
        <v>20</v>
      </c>
      <c r="I168" s="19">
        <f t="shared" ref="I168:I170" si="233">(C168*D168*H168/1000)</f>
        <v>5.6640000000000006</v>
      </c>
      <c r="J168" s="16"/>
      <c r="K168" s="18"/>
      <c r="L168" s="19">
        <f t="shared" ref="L168:L170" si="234">(C168*D168*K168/1000)</f>
        <v>0</v>
      </c>
      <c r="M168" s="16"/>
      <c r="N168" s="18"/>
      <c r="O168" s="19">
        <f t="shared" ref="O168:O170" si="235">(C168*D168*N168/1000)</f>
        <v>0</v>
      </c>
      <c r="P168" s="16"/>
      <c r="Q168" s="18"/>
      <c r="R168" s="19">
        <f t="shared" ref="R168:R170" si="236">(C168*D168*Q168/1000)</f>
        <v>0</v>
      </c>
      <c r="S168" s="20">
        <f t="shared" ref="S168:S170" si="237">+H168+K168+Q168+N168</f>
        <v>20</v>
      </c>
      <c r="T168" s="19">
        <f t="shared" ref="T168:T170" si="238">+I168+L168+R168+O168</f>
        <v>5.6640000000000006</v>
      </c>
      <c r="U168" s="21">
        <f t="shared" ref="U168:U170" si="239">E168-S168</f>
        <v>0</v>
      </c>
      <c r="V168" s="19">
        <f t="shared" ref="V168:V170" si="240">F168-T168</f>
        <v>0</v>
      </c>
      <c r="X168" s="29"/>
    </row>
    <row r="169" spans="1:24">
      <c r="A169" s="26" t="s">
        <v>13</v>
      </c>
      <c r="B169" s="26" t="s">
        <v>53</v>
      </c>
      <c r="C169" s="26">
        <v>23.6</v>
      </c>
      <c r="D169" s="27">
        <v>9.5</v>
      </c>
      <c r="E169" s="28"/>
      <c r="F169" s="16">
        <f t="shared" ref="F169" si="241">(C169*D169*E169/1000)</f>
        <v>0</v>
      </c>
      <c r="G169" s="17"/>
      <c r="H169" s="18"/>
      <c r="I169" s="19">
        <f t="shared" ref="I169" si="242">(C169*D169*H169/1000)</f>
        <v>0</v>
      </c>
      <c r="J169" s="16"/>
      <c r="K169" s="18"/>
      <c r="L169" s="19">
        <f t="shared" ref="L169" si="243">(C169*D169*K169/1000)</f>
        <v>0</v>
      </c>
      <c r="M169" s="16"/>
      <c r="N169" s="18">
        <v>4</v>
      </c>
      <c r="O169" s="19">
        <f t="shared" ref="O169" si="244">(C169*D169*N169/1000)</f>
        <v>0.89680000000000004</v>
      </c>
      <c r="P169" s="16"/>
      <c r="Q169" s="18"/>
      <c r="R169" s="19">
        <f t="shared" ref="R169" si="245">(C169*D169*Q169/1000)</f>
        <v>0</v>
      </c>
      <c r="S169" s="20">
        <f t="shared" ref="S169" si="246">+H169+K169+Q169+N169</f>
        <v>4</v>
      </c>
      <c r="T169" s="19">
        <f t="shared" ref="T169" si="247">+I169+L169+R169+O169</f>
        <v>0.89680000000000004</v>
      </c>
      <c r="U169" s="21">
        <f t="shared" ref="U169" si="248">E169-S169</f>
        <v>-4</v>
      </c>
      <c r="V169" s="19">
        <f t="shared" ref="V169" si="249">F169-T169</f>
        <v>-0.89680000000000004</v>
      </c>
      <c r="X169" s="29"/>
    </row>
    <row r="170" spans="1:24">
      <c r="A170" s="26" t="s">
        <v>13</v>
      </c>
      <c r="B170" s="26" t="s">
        <v>53</v>
      </c>
      <c r="C170" s="26">
        <v>23.6</v>
      </c>
      <c r="D170" s="27">
        <v>11</v>
      </c>
      <c r="E170" s="28"/>
      <c r="F170" s="16">
        <f t="shared" si="231"/>
        <v>0</v>
      </c>
      <c r="G170" s="17"/>
      <c r="H170" s="18"/>
      <c r="I170" s="19">
        <f t="shared" si="233"/>
        <v>0</v>
      </c>
      <c r="J170" s="16"/>
      <c r="K170" s="18"/>
      <c r="L170" s="19">
        <f t="shared" si="234"/>
        <v>0</v>
      </c>
      <c r="M170" s="16"/>
      <c r="N170" s="18">
        <v>1</v>
      </c>
      <c r="O170" s="19">
        <f t="shared" si="235"/>
        <v>0.2596</v>
      </c>
      <c r="P170" s="16"/>
      <c r="Q170" s="18"/>
      <c r="R170" s="19">
        <f t="shared" si="236"/>
        <v>0</v>
      </c>
      <c r="S170" s="20">
        <f t="shared" si="237"/>
        <v>1</v>
      </c>
      <c r="T170" s="19">
        <f t="shared" si="238"/>
        <v>0.2596</v>
      </c>
      <c r="U170" s="21">
        <f t="shared" si="239"/>
        <v>-1</v>
      </c>
      <c r="V170" s="19">
        <f t="shared" si="240"/>
        <v>-0.2596</v>
      </c>
      <c r="X170" s="29"/>
    </row>
    <row r="171" spans="1:24">
      <c r="A171" s="26" t="s">
        <v>13</v>
      </c>
      <c r="B171" s="26" t="s">
        <v>53</v>
      </c>
      <c r="C171" s="26">
        <v>23.6</v>
      </c>
      <c r="D171" s="27">
        <v>11.2</v>
      </c>
      <c r="E171" s="28"/>
      <c r="F171" s="16">
        <f t="shared" si="222"/>
        <v>0</v>
      </c>
      <c r="G171" s="17"/>
      <c r="H171" s="18"/>
      <c r="I171" s="19">
        <f t="shared" si="223"/>
        <v>0</v>
      </c>
      <c r="J171" s="16"/>
      <c r="K171" s="18"/>
      <c r="L171" s="19">
        <f t="shared" si="224"/>
        <v>0</v>
      </c>
      <c r="M171" s="16"/>
      <c r="N171" s="18">
        <v>1</v>
      </c>
      <c r="O171" s="19">
        <f t="shared" si="225"/>
        <v>0.26432</v>
      </c>
      <c r="P171" s="16"/>
      <c r="Q171" s="18"/>
      <c r="R171" s="19">
        <f t="shared" si="226"/>
        <v>0</v>
      </c>
      <c r="S171" s="20">
        <f t="shared" si="227"/>
        <v>1</v>
      </c>
      <c r="T171" s="19">
        <f t="shared" si="228"/>
        <v>0.26432</v>
      </c>
      <c r="U171" s="21">
        <f t="shared" si="229"/>
        <v>-1</v>
      </c>
      <c r="V171" s="19">
        <f t="shared" si="230"/>
        <v>-0.26432</v>
      </c>
      <c r="X171" s="29"/>
    </row>
    <row r="172" spans="1:24">
      <c r="A172" s="36"/>
      <c r="B172" s="36"/>
      <c r="C172" s="36"/>
      <c r="D172" s="38"/>
      <c r="E172" s="31">
        <f>SUM(E164:E171)</f>
        <v>123</v>
      </c>
      <c r="F172" s="38">
        <f>SUM(F164:F171)</f>
        <v>30.418040000000005</v>
      </c>
      <c r="G172" s="17"/>
      <c r="H172" s="31">
        <f>SUM(H164:H171)</f>
        <v>102</v>
      </c>
      <c r="I172" s="38">
        <f>SUM(I164:I171)</f>
        <v>25.511600000000001</v>
      </c>
      <c r="J172" s="16"/>
      <c r="K172" s="31">
        <f>SUM(K164:K171)</f>
        <v>13</v>
      </c>
      <c r="L172" s="38">
        <f>SUM(L164:L171)</f>
        <v>3.2922000000000002</v>
      </c>
      <c r="M172" s="16"/>
      <c r="N172" s="31">
        <f>SUM(N164:N171)</f>
        <v>7</v>
      </c>
      <c r="O172" s="38">
        <f>SUM(O164:O171)</f>
        <v>1.5859200000000002</v>
      </c>
      <c r="P172" s="16"/>
      <c r="Q172" s="31">
        <f t="shared" ref="Q172:V172" si="250">SUM(Q164:Q171)</f>
        <v>0</v>
      </c>
      <c r="R172" s="38">
        <f t="shared" si="250"/>
        <v>0</v>
      </c>
      <c r="S172" s="31">
        <f t="shared" si="250"/>
        <v>122</v>
      </c>
      <c r="T172" s="38">
        <f t="shared" si="250"/>
        <v>30.389720000000001</v>
      </c>
      <c r="U172" s="31">
        <f t="shared" si="250"/>
        <v>1</v>
      </c>
      <c r="V172" s="38">
        <f t="shared" si="250"/>
        <v>2.8320000000002288E-2</v>
      </c>
      <c r="X172" s="29"/>
    </row>
    <row r="173" spans="1:24">
      <c r="A173" s="26" t="s">
        <v>13</v>
      </c>
      <c r="B173" s="26" t="s">
        <v>125</v>
      </c>
      <c r="C173" s="26">
        <v>27.3</v>
      </c>
      <c r="D173" s="27">
        <v>7</v>
      </c>
      <c r="E173" s="28">
        <v>128</v>
      </c>
      <c r="F173" s="16">
        <f t="shared" ref="F173:F178" si="251">(C173*D173*E173/1000)</f>
        <v>24.460799999999999</v>
      </c>
      <c r="G173" s="17" t="s">
        <v>64</v>
      </c>
      <c r="H173" s="18">
        <f>82+9</f>
        <v>91</v>
      </c>
      <c r="I173" s="19">
        <f t="shared" ref="I173:I178" si="252">(C173*D173*H173/1000)</f>
        <v>17.390099999999997</v>
      </c>
      <c r="J173" s="16" t="s">
        <v>89</v>
      </c>
      <c r="K173" s="18">
        <v>36</v>
      </c>
      <c r="L173" s="19">
        <f t="shared" ref="L173:L178" si="253">(C173*D173*K173/1000)</f>
        <v>6.879599999999999</v>
      </c>
      <c r="M173" s="16" t="s">
        <v>93</v>
      </c>
      <c r="N173" s="18"/>
      <c r="O173" s="19">
        <f t="shared" ref="O173:O178" si="254">(C173*D173*N173/1000)</f>
        <v>0</v>
      </c>
      <c r="P173" s="16"/>
      <c r="Q173" s="18"/>
      <c r="R173" s="19">
        <f t="shared" ref="R173:R178" si="255">(C173*D173*Q173/1000)</f>
        <v>0</v>
      </c>
      <c r="S173" s="20">
        <f t="shared" ref="S173:S178" si="256">+H173+K173+Q173+N173</f>
        <v>127</v>
      </c>
      <c r="T173" s="19">
        <f t="shared" ref="T173:T178" si="257">+I173+L173+R173+O173</f>
        <v>24.269699999999997</v>
      </c>
      <c r="U173" s="21">
        <f t="shared" ref="U173:U178" si="258">E173-S173</f>
        <v>1</v>
      </c>
      <c r="V173" s="19">
        <f t="shared" ref="V173:V178" si="259">F173-T173</f>
        <v>0.19110000000000227</v>
      </c>
      <c r="X173" s="29"/>
    </row>
    <row r="174" spans="1:24">
      <c r="A174" s="26" t="s">
        <v>13</v>
      </c>
      <c r="B174" s="26" t="s">
        <v>125</v>
      </c>
      <c r="C174" s="26">
        <v>27.3</v>
      </c>
      <c r="D174" s="27">
        <v>7.4</v>
      </c>
      <c r="E174" s="28">
        <v>24</v>
      </c>
      <c r="F174" s="16">
        <f t="shared" si="251"/>
        <v>4.8484800000000003</v>
      </c>
      <c r="G174" s="17" t="s">
        <v>196</v>
      </c>
      <c r="H174" s="18"/>
      <c r="I174" s="19">
        <f t="shared" si="252"/>
        <v>0</v>
      </c>
      <c r="J174" s="16" t="s">
        <v>197</v>
      </c>
      <c r="K174" s="18">
        <v>24</v>
      </c>
      <c r="L174" s="19">
        <f t="shared" si="253"/>
        <v>4.8484800000000003</v>
      </c>
      <c r="M174" s="16" t="s">
        <v>200</v>
      </c>
      <c r="N174" s="18">
        <v>1</v>
      </c>
      <c r="O174" s="19">
        <f t="shared" si="254"/>
        <v>0.20202000000000001</v>
      </c>
      <c r="P174" s="16"/>
      <c r="Q174" s="18"/>
      <c r="R174" s="19">
        <f t="shared" si="255"/>
        <v>0</v>
      </c>
      <c r="S174" s="20">
        <f t="shared" si="256"/>
        <v>25</v>
      </c>
      <c r="T174" s="19">
        <f t="shared" si="257"/>
        <v>5.0505000000000004</v>
      </c>
      <c r="U174" s="21">
        <f t="shared" si="258"/>
        <v>-1</v>
      </c>
      <c r="V174" s="19">
        <f t="shared" si="259"/>
        <v>-0.20202000000000009</v>
      </c>
      <c r="X174" s="29"/>
    </row>
    <row r="175" spans="1:24">
      <c r="A175" s="26" t="s">
        <v>13</v>
      </c>
      <c r="B175" s="26" t="s">
        <v>125</v>
      </c>
      <c r="C175" s="26">
        <v>27.3</v>
      </c>
      <c r="D175" s="27">
        <v>8</v>
      </c>
      <c r="E175" s="28">
        <v>128</v>
      </c>
      <c r="F175" s="16">
        <f t="shared" si="251"/>
        <v>27.955200000000001</v>
      </c>
      <c r="G175" s="17"/>
      <c r="H175" s="18">
        <v>50</v>
      </c>
      <c r="I175" s="19">
        <f t="shared" si="252"/>
        <v>10.92</v>
      </c>
      <c r="J175" s="16"/>
      <c r="K175" s="18">
        <v>65</v>
      </c>
      <c r="L175" s="19">
        <f t="shared" si="253"/>
        <v>14.196</v>
      </c>
      <c r="M175" s="16"/>
      <c r="N175" s="18">
        <v>12</v>
      </c>
      <c r="O175" s="19">
        <f t="shared" si="254"/>
        <v>2.6208</v>
      </c>
      <c r="P175" s="16"/>
      <c r="Q175" s="18"/>
      <c r="R175" s="19">
        <f t="shared" si="255"/>
        <v>0</v>
      </c>
      <c r="S175" s="20">
        <f t="shared" si="256"/>
        <v>127</v>
      </c>
      <c r="T175" s="19">
        <f t="shared" si="257"/>
        <v>27.736799999999999</v>
      </c>
      <c r="U175" s="21">
        <f t="shared" si="258"/>
        <v>1</v>
      </c>
      <c r="V175" s="19">
        <f t="shared" si="259"/>
        <v>0.21840000000000259</v>
      </c>
      <c r="X175" s="29"/>
    </row>
    <row r="176" spans="1:24">
      <c r="A176" s="26" t="s">
        <v>13</v>
      </c>
      <c r="B176" s="26" t="s">
        <v>125</v>
      </c>
      <c r="C176" s="26">
        <v>27.3</v>
      </c>
      <c r="D176" s="27">
        <v>8.5</v>
      </c>
      <c r="E176" s="28">
        <v>12</v>
      </c>
      <c r="F176" s="16">
        <f t="shared" si="251"/>
        <v>2.7846000000000002</v>
      </c>
      <c r="G176" s="17"/>
      <c r="H176" s="18">
        <v>12</v>
      </c>
      <c r="I176" s="19">
        <f t="shared" si="252"/>
        <v>2.7846000000000002</v>
      </c>
      <c r="J176" s="16"/>
      <c r="K176" s="18"/>
      <c r="L176" s="19">
        <f t="shared" si="253"/>
        <v>0</v>
      </c>
      <c r="M176" s="16"/>
      <c r="N176" s="18"/>
      <c r="O176" s="19">
        <f t="shared" si="254"/>
        <v>0</v>
      </c>
      <c r="P176" s="16"/>
      <c r="Q176" s="18"/>
      <c r="R176" s="19">
        <f t="shared" si="255"/>
        <v>0</v>
      </c>
      <c r="S176" s="20">
        <f t="shared" si="256"/>
        <v>12</v>
      </c>
      <c r="T176" s="19">
        <f t="shared" si="257"/>
        <v>2.7846000000000002</v>
      </c>
      <c r="U176" s="21">
        <f t="shared" si="258"/>
        <v>0</v>
      </c>
      <c r="V176" s="19">
        <f t="shared" si="259"/>
        <v>0</v>
      </c>
      <c r="X176" s="29"/>
    </row>
    <row r="177" spans="1:24">
      <c r="A177" s="26" t="s">
        <v>13</v>
      </c>
      <c r="B177" s="26" t="s">
        <v>125</v>
      </c>
      <c r="C177" s="26">
        <v>27.3</v>
      </c>
      <c r="D177" s="27">
        <v>11.5</v>
      </c>
      <c r="E177" s="28">
        <v>12</v>
      </c>
      <c r="F177" s="16">
        <f t="shared" ref="F177" si="260">(C177*D177*E177/1000)</f>
        <v>3.7673999999999994</v>
      </c>
      <c r="G177" s="17"/>
      <c r="H177" s="18"/>
      <c r="I177" s="19">
        <f t="shared" ref="I177" si="261">(C177*D177*H177/1000)</f>
        <v>0</v>
      </c>
      <c r="J177" s="16"/>
      <c r="K177" s="18">
        <v>12</v>
      </c>
      <c r="L177" s="19">
        <f t="shared" ref="L177" si="262">(C177*D177*K177/1000)</f>
        <v>3.7673999999999994</v>
      </c>
      <c r="M177" s="16"/>
      <c r="N177" s="18"/>
      <c r="O177" s="19">
        <f t="shared" ref="O177" si="263">(C177*D177*N177/1000)</f>
        <v>0</v>
      </c>
      <c r="P177" s="16"/>
      <c r="Q177" s="18"/>
      <c r="R177" s="19">
        <f t="shared" ref="R177" si="264">(C177*D177*Q177/1000)</f>
        <v>0</v>
      </c>
      <c r="S177" s="20">
        <f t="shared" ref="S177" si="265">+H177+K177+Q177+N177</f>
        <v>12</v>
      </c>
      <c r="T177" s="19">
        <f t="shared" ref="T177" si="266">+I177+L177+R177+O177</f>
        <v>3.7673999999999994</v>
      </c>
      <c r="U177" s="21">
        <f t="shared" ref="U177" si="267">E177-S177</f>
        <v>0</v>
      </c>
      <c r="V177" s="19">
        <f t="shared" ref="V177" si="268">F177-T177</f>
        <v>0</v>
      </c>
      <c r="X177" s="29"/>
    </row>
    <row r="178" spans="1:24">
      <c r="A178" s="26" t="s">
        <v>13</v>
      </c>
      <c r="B178" s="26" t="s">
        <v>125</v>
      </c>
      <c r="C178" s="26">
        <v>27.3</v>
      </c>
      <c r="D178" s="27">
        <v>8.9</v>
      </c>
      <c r="E178" s="28"/>
      <c r="F178" s="16">
        <f t="shared" si="251"/>
        <v>0</v>
      </c>
      <c r="G178" s="17"/>
      <c r="H178" s="18"/>
      <c r="I178" s="19">
        <f t="shared" si="252"/>
        <v>0</v>
      </c>
      <c r="J178" s="16"/>
      <c r="K178" s="18"/>
      <c r="L178" s="19">
        <f t="shared" si="253"/>
        <v>0</v>
      </c>
      <c r="M178" s="16"/>
      <c r="N178" s="18">
        <v>1</v>
      </c>
      <c r="O178" s="19">
        <f t="shared" si="254"/>
        <v>0.24297000000000002</v>
      </c>
      <c r="P178" s="16"/>
      <c r="Q178" s="18"/>
      <c r="R178" s="19">
        <f t="shared" si="255"/>
        <v>0</v>
      </c>
      <c r="S178" s="20">
        <f t="shared" si="256"/>
        <v>1</v>
      </c>
      <c r="T178" s="19">
        <f t="shared" si="257"/>
        <v>0.24297000000000002</v>
      </c>
      <c r="U178" s="21">
        <f t="shared" si="258"/>
        <v>-1</v>
      </c>
      <c r="V178" s="19">
        <f t="shared" si="259"/>
        <v>-0.24297000000000002</v>
      </c>
      <c r="X178" s="29"/>
    </row>
    <row r="179" spans="1:24">
      <c r="A179" s="36"/>
      <c r="B179" s="36"/>
      <c r="C179" s="36"/>
      <c r="D179" s="38"/>
      <c r="E179" s="31">
        <f>SUM(E173:E178)</f>
        <v>304</v>
      </c>
      <c r="F179" s="45">
        <f>SUM(F173:F178)</f>
        <v>63.816480000000006</v>
      </c>
      <c r="G179" s="17"/>
      <c r="H179" s="31">
        <f>SUM(H173:H178)</f>
        <v>153</v>
      </c>
      <c r="I179" s="38">
        <f>SUM(I173:I178)</f>
        <v>31.0947</v>
      </c>
      <c r="J179" s="16"/>
      <c r="K179" s="31">
        <f>SUM(K173:K178)</f>
        <v>137</v>
      </c>
      <c r="L179" s="38">
        <f>SUM(L173:L178)</f>
        <v>29.691479999999995</v>
      </c>
      <c r="M179" s="16"/>
      <c r="N179" s="31">
        <f>SUM(N173:N178)</f>
        <v>14</v>
      </c>
      <c r="O179" s="38">
        <f>SUM(O173:O178)</f>
        <v>3.0657900000000002</v>
      </c>
      <c r="P179" s="16"/>
      <c r="Q179" s="31">
        <f t="shared" ref="Q179:V179" si="269">SUM(Q173:Q178)</f>
        <v>0</v>
      </c>
      <c r="R179" s="38">
        <f t="shared" si="269"/>
        <v>0</v>
      </c>
      <c r="S179" s="31">
        <f t="shared" si="269"/>
        <v>304</v>
      </c>
      <c r="T179" s="38">
        <f t="shared" si="269"/>
        <v>63.851969999999994</v>
      </c>
      <c r="U179" s="31">
        <f t="shared" si="269"/>
        <v>0</v>
      </c>
      <c r="V179" s="38">
        <f t="shared" si="269"/>
        <v>-3.5489999999995248E-2</v>
      </c>
      <c r="X179" s="29"/>
    </row>
    <row r="180" spans="1:24">
      <c r="A180" s="26" t="s">
        <v>13</v>
      </c>
      <c r="B180" s="26" t="s">
        <v>75</v>
      </c>
      <c r="C180" s="26">
        <v>31.6</v>
      </c>
      <c r="D180" s="27">
        <v>9</v>
      </c>
      <c r="E180" s="28">
        <v>12</v>
      </c>
      <c r="F180" s="16">
        <f>(C180*D180*E180/1000)</f>
        <v>3.4128000000000003</v>
      </c>
      <c r="G180" s="17" t="s">
        <v>89</v>
      </c>
      <c r="H180" s="18">
        <v>12</v>
      </c>
      <c r="I180" s="19">
        <f>(C180*D180*H180/1000)</f>
        <v>3.4128000000000003</v>
      </c>
      <c r="J180" s="16"/>
      <c r="K180" s="18"/>
      <c r="L180" s="19">
        <f>(C180*D180*K180/1000)</f>
        <v>0</v>
      </c>
      <c r="M180" s="16"/>
      <c r="N180" s="18"/>
      <c r="O180" s="19">
        <f>(C180*D180*N180/1000)</f>
        <v>0</v>
      </c>
      <c r="P180" s="16"/>
      <c r="Q180" s="18"/>
      <c r="R180" s="19">
        <f>(C180*D180*Q180/1000)</f>
        <v>0</v>
      </c>
      <c r="S180" s="20">
        <f>+H180+K180+Q180+N180</f>
        <v>12</v>
      </c>
      <c r="T180" s="19">
        <f>+I180+L180+R180+O180</f>
        <v>3.4128000000000003</v>
      </c>
      <c r="U180" s="21">
        <f>E180-S180</f>
        <v>0</v>
      </c>
      <c r="V180" s="19">
        <f>F180-T180</f>
        <v>0</v>
      </c>
      <c r="X180" s="29"/>
    </row>
    <row r="181" spans="1:24">
      <c r="A181" s="36"/>
      <c r="B181" s="36"/>
      <c r="C181" s="36"/>
      <c r="D181" s="38"/>
      <c r="E181" s="31">
        <f>SUM(E180)</f>
        <v>12</v>
      </c>
      <c r="F181" s="38">
        <f>SUM(F180)</f>
        <v>3.4128000000000003</v>
      </c>
      <c r="G181" s="17" t="s">
        <v>204</v>
      </c>
      <c r="H181" s="31">
        <f>SUM(H180)</f>
        <v>12</v>
      </c>
      <c r="I181" s="38">
        <f>SUM(I180)</f>
        <v>3.4128000000000003</v>
      </c>
      <c r="J181" s="16"/>
      <c r="K181" s="31">
        <f>SUM(K180)</f>
        <v>0</v>
      </c>
      <c r="L181" s="38">
        <f>SUM(L180)</f>
        <v>0</v>
      </c>
      <c r="M181" s="16"/>
      <c r="N181" s="31">
        <f>SUM(N180)</f>
        <v>0</v>
      </c>
      <c r="O181" s="38">
        <f>SUM(O180)</f>
        <v>0</v>
      </c>
      <c r="P181" s="16"/>
      <c r="Q181" s="31">
        <f t="shared" ref="Q181:V181" si="270">SUM(Q180)</f>
        <v>0</v>
      </c>
      <c r="R181" s="38">
        <f t="shared" si="270"/>
        <v>0</v>
      </c>
      <c r="S181" s="31">
        <f t="shared" si="270"/>
        <v>12</v>
      </c>
      <c r="T181" s="38">
        <f t="shared" si="270"/>
        <v>3.4128000000000003</v>
      </c>
      <c r="U181" s="31">
        <f t="shared" si="270"/>
        <v>0</v>
      </c>
      <c r="V181" s="38">
        <f t="shared" si="270"/>
        <v>0</v>
      </c>
      <c r="X181" s="29"/>
    </row>
    <row r="182" spans="1:24">
      <c r="A182" s="26" t="s">
        <v>13</v>
      </c>
      <c r="B182" s="26" t="s">
        <v>126</v>
      </c>
      <c r="C182" s="26">
        <v>33.799999999999997</v>
      </c>
      <c r="D182" s="27">
        <v>6.5</v>
      </c>
      <c r="E182" s="28">
        <v>35</v>
      </c>
      <c r="F182" s="16">
        <f t="shared" ref="F182:F201" si="271">(C182*D182*E182/1000)</f>
        <v>7.6894999999999998</v>
      </c>
      <c r="G182" s="17" t="s">
        <v>89</v>
      </c>
      <c r="H182" s="18">
        <v>3</v>
      </c>
      <c r="I182" s="19">
        <f t="shared" ref="I182:I201" si="272">(C182*D182*H182/1000)</f>
        <v>0.65909999999999991</v>
      </c>
      <c r="J182" s="17" t="s">
        <v>205</v>
      </c>
      <c r="K182" s="18">
        <v>17</v>
      </c>
      <c r="L182" s="19">
        <f t="shared" ref="L182:L201" si="273">(C182*D182*K182/1000)</f>
        <v>3.7348999999999997</v>
      </c>
      <c r="M182" s="16" t="s">
        <v>89</v>
      </c>
      <c r="N182" s="18">
        <f>5+7</f>
        <v>12</v>
      </c>
      <c r="O182" s="19">
        <f t="shared" ref="O182:O201" si="274">(C182*D182*N182/1000)</f>
        <v>2.6363999999999996</v>
      </c>
      <c r="P182" s="17" t="s">
        <v>89</v>
      </c>
      <c r="Q182" s="18">
        <v>3</v>
      </c>
      <c r="R182" s="19">
        <f t="shared" ref="R182:R201" si="275">(C182*D182*Q182/1000)</f>
        <v>0.65909999999999991</v>
      </c>
      <c r="S182" s="20">
        <f t="shared" ref="S182:S201" si="276">+H182+K182+Q182+N182</f>
        <v>35</v>
      </c>
      <c r="T182" s="19">
        <f t="shared" ref="T182:T201" si="277">+I182+L182+R182+O182</f>
        <v>7.6894999999999989</v>
      </c>
      <c r="U182" s="21">
        <f t="shared" ref="U182:U201" si="278">E182-S182</f>
        <v>0</v>
      </c>
      <c r="V182" s="19">
        <f t="shared" ref="V182:V201" si="279">F182-T182</f>
        <v>0</v>
      </c>
      <c r="X182" s="29"/>
    </row>
    <row r="183" spans="1:24">
      <c r="A183" s="26" t="s">
        <v>13</v>
      </c>
      <c r="B183" s="26" t="s">
        <v>126</v>
      </c>
      <c r="C183" s="26">
        <v>33.799999999999997</v>
      </c>
      <c r="D183" s="27">
        <v>6.7</v>
      </c>
      <c r="E183" s="28">
        <v>20</v>
      </c>
      <c r="F183" s="16">
        <f t="shared" si="271"/>
        <v>4.5291999999999994</v>
      </c>
      <c r="G183" s="17" t="s">
        <v>195</v>
      </c>
      <c r="H183" s="18">
        <v>3</v>
      </c>
      <c r="I183" s="19">
        <f t="shared" si="272"/>
        <v>0.67937999999999987</v>
      </c>
      <c r="J183" s="17" t="s">
        <v>204</v>
      </c>
      <c r="K183" s="18">
        <v>7</v>
      </c>
      <c r="L183" s="19">
        <f t="shared" si="273"/>
        <v>1.5852199999999999</v>
      </c>
      <c r="M183" s="16" t="s">
        <v>206</v>
      </c>
      <c r="N183" s="18">
        <v>4</v>
      </c>
      <c r="O183" s="19">
        <f t="shared" si="274"/>
        <v>0.90583999999999987</v>
      </c>
      <c r="P183" s="17" t="s">
        <v>208</v>
      </c>
      <c r="Q183" s="18">
        <v>4</v>
      </c>
      <c r="R183" s="19">
        <f t="shared" si="275"/>
        <v>0.90583999999999987</v>
      </c>
      <c r="S183" s="20">
        <f t="shared" si="276"/>
        <v>18</v>
      </c>
      <c r="T183" s="19">
        <f t="shared" si="277"/>
        <v>4.0762799999999997</v>
      </c>
      <c r="U183" s="21">
        <f t="shared" si="278"/>
        <v>2</v>
      </c>
      <c r="V183" s="19">
        <f t="shared" si="279"/>
        <v>0.45291999999999977</v>
      </c>
      <c r="X183" s="29"/>
    </row>
    <row r="184" spans="1:24">
      <c r="A184" s="26" t="s">
        <v>13</v>
      </c>
      <c r="B184" s="26" t="s">
        <v>126</v>
      </c>
      <c r="C184" s="26">
        <v>33.799999999999997</v>
      </c>
      <c r="D184" s="27">
        <v>8.1999999999999993</v>
      </c>
      <c r="E184" s="28">
        <v>8</v>
      </c>
      <c r="F184" s="16">
        <f t="shared" si="271"/>
        <v>2.2172799999999997</v>
      </c>
      <c r="G184" s="16" t="s">
        <v>86</v>
      </c>
      <c r="H184" s="18">
        <v>8</v>
      </c>
      <c r="I184" s="19">
        <f t="shared" si="272"/>
        <v>2.2172799999999997</v>
      </c>
      <c r="J184" s="16"/>
      <c r="K184" s="18"/>
      <c r="L184" s="19">
        <f t="shared" si="273"/>
        <v>0</v>
      </c>
      <c r="M184" s="17" t="s">
        <v>89</v>
      </c>
      <c r="N184" s="18">
        <v>3</v>
      </c>
      <c r="O184" s="19">
        <f t="shared" si="274"/>
        <v>0.83147999999999989</v>
      </c>
      <c r="P184" s="16" t="s">
        <v>93</v>
      </c>
      <c r="Q184" s="18">
        <v>2</v>
      </c>
      <c r="R184" s="19">
        <f t="shared" si="275"/>
        <v>0.55431999999999992</v>
      </c>
      <c r="S184" s="20">
        <f t="shared" si="276"/>
        <v>13</v>
      </c>
      <c r="T184" s="19">
        <f t="shared" si="277"/>
        <v>3.6030799999999994</v>
      </c>
      <c r="U184" s="21">
        <f t="shared" si="278"/>
        <v>-5</v>
      </c>
      <c r="V184" s="19">
        <f t="shared" si="279"/>
        <v>-1.3857999999999997</v>
      </c>
      <c r="X184" s="29"/>
    </row>
    <row r="185" spans="1:24">
      <c r="A185" s="26" t="s">
        <v>13</v>
      </c>
      <c r="B185" s="26" t="s">
        <v>126</v>
      </c>
      <c r="C185" s="26">
        <v>33.799999999999997</v>
      </c>
      <c r="D185" s="27">
        <v>8.6</v>
      </c>
      <c r="E185" s="28">
        <v>17</v>
      </c>
      <c r="F185" s="16">
        <f t="shared" si="271"/>
        <v>4.9415599999999991</v>
      </c>
      <c r="G185" s="16" t="s">
        <v>199</v>
      </c>
      <c r="H185" s="18">
        <v>11</v>
      </c>
      <c r="I185" s="19">
        <f t="shared" si="272"/>
        <v>3.1974799999999997</v>
      </c>
      <c r="J185" s="16"/>
      <c r="K185" s="18"/>
      <c r="L185" s="19">
        <f t="shared" si="273"/>
        <v>0</v>
      </c>
      <c r="M185" s="17" t="s">
        <v>207</v>
      </c>
      <c r="N185" s="18">
        <v>1</v>
      </c>
      <c r="O185" s="19">
        <f t="shared" si="274"/>
        <v>0.29067999999999994</v>
      </c>
      <c r="P185" s="16" t="s">
        <v>278</v>
      </c>
      <c r="Q185" s="18"/>
      <c r="R185" s="19">
        <f t="shared" si="275"/>
        <v>0</v>
      </c>
      <c r="S185" s="20">
        <f t="shared" si="276"/>
        <v>12</v>
      </c>
      <c r="T185" s="19">
        <f t="shared" si="277"/>
        <v>3.4881599999999997</v>
      </c>
      <c r="U185" s="21">
        <f t="shared" si="278"/>
        <v>5</v>
      </c>
      <c r="V185" s="19">
        <f t="shared" si="279"/>
        <v>1.4533999999999994</v>
      </c>
      <c r="X185" s="29"/>
    </row>
    <row r="186" spans="1:24">
      <c r="A186" s="26" t="s">
        <v>13</v>
      </c>
      <c r="B186" s="26" t="s">
        <v>126</v>
      </c>
      <c r="C186" s="26">
        <v>33.799999999999997</v>
      </c>
      <c r="D186" s="27">
        <v>9.5</v>
      </c>
      <c r="E186" s="28">
        <v>35</v>
      </c>
      <c r="F186" s="16">
        <f t="shared" si="271"/>
        <v>11.238499999999998</v>
      </c>
      <c r="G186" s="16"/>
      <c r="H186" s="18">
        <v>18</v>
      </c>
      <c r="I186" s="19">
        <f t="shared" si="272"/>
        <v>5.7797999999999989</v>
      </c>
      <c r="J186" s="16"/>
      <c r="K186" s="18">
        <v>6</v>
      </c>
      <c r="L186" s="19">
        <f t="shared" si="273"/>
        <v>1.9265999999999999</v>
      </c>
      <c r="M186" s="16"/>
      <c r="N186" s="18"/>
      <c r="O186" s="19">
        <f t="shared" si="274"/>
        <v>0</v>
      </c>
      <c r="P186" s="16"/>
      <c r="Q186" s="18">
        <v>1</v>
      </c>
      <c r="R186" s="19">
        <f t="shared" si="275"/>
        <v>0.32109999999999994</v>
      </c>
      <c r="S186" s="20">
        <f t="shared" si="276"/>
        <v>25</v>
      </c>
      <c r="T186" s="19">
        <f t="shared" si="277"/>
        <v>8.0274999999999981</v>
      </c>
      <c r="U186" s="21">
        <f t="shared" si="278"/>
        <v>10</v>
      </c>
      <c r="V186" s="19">
        <f t="shared" si="279"/>
        <v>3.2110000000000003</v>
      </c>
      <c r="X186" s="29"/>
    </row>
    <row r="187" spans="1:24">
      <c r="A187" s="26" t="s">
        <v>13</v>
      </c>
      <c r="B187" s="26" t="s">
        <v>126</v>
      </c>
      <c r="C187" s="26">
        <v>33.799999999999997</v>
      </c>
      <c r="D187" s="27">
        <v>9.6999999999999993</v>
      </c>
      <c r="E187" s="28">
        <v>8</v>
      </c>
      <c r="F187" s="16">
        <f t="shared" si="271"/>
        <v>2.6228799999999994</v>
      </c>
      <c r="G187" s="16" t="s">
        <v>114</v>
      </c>
      <c r="H187" s="18">
        <v>6</v>
      </c>
      <c r="I187" s="19">
        <f t="shared" si="272"/>
        <v>1.9671599999999998</v>
      </c>
      <c r="J187" s="16"/>
      <c r="K187" s="18"/>
      <c r="L187" s="19">
        <f t="shared" si="273"/>
        <v>0</v>
      </c>
      <c r="M187" s="16"/>
      <c r="N187" s="18">
        <v>1</v>
      </c>
      <c r="O187" s="19">
        <f t="shared" si="274"/>
        <v>0.32785999999999993</v>
      </c>
      <c r="P187" s="16"/>
      <c r="Q187" s="18"/>
      <c r="R187" s="19">
        <f t="shared" si="275"/>
        <v>0</v>
      </c>
      <c r="S187" s="20">
        <f t="shared" si="276"/>
        <v>7</v>
      </c>
      <c r="T187" s="19">
        <f t="shared" si="277"/>
        <v>2.2950199999999996</v>
      </c>
      <c r="U187" s="21">
        <f t="shared" si="278"/>
        <v>1</v>
      </c>
      <c r="V187" s="19">
        <f t="shared" si="279"/>
        <v>0.32785999999999982</v>
      </c>
      <c r="X187" s="29"/>
    </row>
    <row r="188" spans="1:24">
      <c r="A188" s="26" t="s">
        <v>13</v>
      </c>
      <c r="B188" s="26" t="s">
        <v>126</v>
      </c>
      <c r="C188" s="26">
        <v>33.799999999999997</v>
      </c>
      <c r="D188" s="27">
        <v>10.4</v>
      </c>
      <c r="E188" s="28">
        <v>32</v>
      </c>
      <c r="F188" s="16">
        <f t="shared" si="271"/>
        <v>11.24864</v>
      </c>
      <c r="G188" s="16" t="s">
        <v>201</v>
      </c>
      <c r="H188" s="18">
        <v>14</v>
      </c>
      <c r="I188" s="19">
        <f t="shared" si="272"/>
        <v>4.9212799999999994</v>
      </c>
      <c r="J188" s="16"/>
      <c r="K188" s="18">
        <v>12</v>
      </c>
      <c r="L188" s="19">
        <f t="shared" si="273"/>
        <v>4.2182399999999998</v>
      </c>
      <c r="M188" s="16"/>
      <c r="N188" s="18">
        <v>3</v>
      </c>
      <c r="O188" s="19">
        <f t="shared" si="274"/>
        <v>1.0545599999999999</v>
      </c>
      <c r="P188" s="16"/>
      <c r="Q188" s="18">
        <f>1+1</f>
        <v>2</v>
      </c>
      <c r="R188" s="19">
        <f t="shared" si="275"/>
        <v>0.70304</v>
      </c>
      <c r="S188" s="20">
        <f t="shared" si="276"/>
        <v>31</v>
      </c>
      <c r="T188" s="19">
        <f t="shared" si="277"/>
        <v>10.897119999999999</v>
      </c>
      <c r="U188" s="21">
        <f t="shared" si="278"/>
        <v>1</v>
      </c>
      <c r="V188" s="19">
        <f t="shared" si="279"/>
        <v>0.35152000000000072</v>
      </c>
      <c r="X188" s="29"/>
    </row>
    <row r="189" spans="1:24">
      <c r="A189" s="26" t="s">
        <v>13</v>
      </c>
      <c r="B189" s="26" t="s">
        <v>126</v>
      </c>
      <c r="C189" s="26">
        <v>33.799999999999997</v>
      </c>
      <c r="D189" s="27">
        <v>11.4</v>
      </c>
      <c r="E189" s="28">
        <v>10</v>
      </c>
      <c r="F189" s="16">
        <f t="shared" si="271"/>
        <v>3.8531999999999997</v>
      </c>
      <c r="G189" s="17" t="s">
        <v>89</v>
      </c>
      <c r="H189" s="18">
        <v>0</v>
      </c>
      <c r="I189" s="19">
        <f t="shared" si="272"/>
        <v>0</v>
      </c>
      <c r="J189" s="16"/>
      <c r="K189" s="18"/>
      <c r="L189" s="19">
        <f t="shared" si="273"/>
        <v>0</v>
      </c>
      <c r="M189" s="16"/>
      <c r="N189" s="18">
        <f>6+1</f>
        <v>7</v>
      </c>
      <c r="O189" s="19">
        <f t="shared" si="274"/>
        <v>2.6972399999999999</v>
      </c>
      <c r="P189" s="16"/>
      <c r="Q189" s="18">
        <v>4</v>
      </c>
      <c r="R189" s="19">
        <f t="shared" si="275"/>
        <v>1.54128</v>
      </c>
      <c r="S189" s="20">
        <f t="shared" si="276"/>
        <v>11</v>
      </c>
      <c r="T189" s="19">
        <f t="shared" si="277"/>
        <v>4.2385199999999994</v>
      </c>
      <c r="U189" s="21">
        <f t="shared" si="278"/>
        <v>-1</v>
      </c>
      <c r="V189" s="19">
        <f t="shared" si="279"/>
        <v>-0.38531999999999966</v>
      </c>
      <c r="X189" s="29"/>
    </row>
    <row r="190" spans="1:24">
      <c r="A190" s="26" t="s">
        <v>13</v>
      </c>
      <c r="B190" s="26" t="s">
        <v>126</v>
      </c>
      <c r="C190" s="26">
        <v>33.799999999999997</v>
      </c>
      <c r="D190" s="27">
        <v>11.8</v>
      </c>
      <c r="E190" s="28">
        <v>27</v>
      </c>
      <c r="F190" s="16">
        <f t="shared" ref="F190:F200" si="280">(C190*D190*E190/1000)</f>
        <v>10.768679999999998</v>
      </c>
      <c r="G190" s="17" t="s">
        <v>204</v>
      </c>
      <c r="H190" s="18">
        <v>8</v>
      </c>
      <c r="I190" s="19">
        <f t="shared" ref="I190:I200" si="281">(C190*D190*H190/1000)</f>
        <v>3.1907199999999998</v>
      </c>
      <c r="J190" s="16"/>
      <c r="K190" s="18">
        <v>6</v>
      </c>
      <c r="L190" s="19">
        <f t="shared" ref="L190:L200" si="282">(C190*D190*K190/1000)</f>
        <v>2.3930400000000001</v>
      </c>
      <c r="M190" s="16"/>
      <c r="N190" s="18">
        <v>6</v>
      </c>
      <c r="O190" s="19">
        <f t="shared" ref="O190:O200" si="283">(C190*D190*N190/1000)</f>
        <v>2.3930400000000001</v>
      </c>
      <c r="P190" s="16"/>
      <c r="Q190" s="18">
        <f>7+1</f>
        <v>8</v>
      </c>
      <c r="R190" s="19">
        <f t="shared" ref="R190:R200" si="284">(C190*D190*Q190/1000)</f>
        <v>3.1907199999999998</v>
      </c>
      <c r="S190" s="20">
        <f t="shared" ref="S190:S200" si="285">+H190+K190+Q190+N190</f>
        <v>28</v>
      </c>
      <c r="T190" s="19">
        <f t="shared" ref="T190:T200" si="286">+I190+L190+R190+O190</f>
        <v>11.16752</v>
      </c>
      <c r="U190" s="21">
        <f t="shared" ref="U190:U200" si="287">E190-S190</f>
        <v>-1</v>
      </c>
      <c r="V190" s="19">
        <f t="shared" ref="V190:V200" si="288">F190-T190</f>
        <v>-0.39884000000000164</v>
      </c>
      <c r="X190" s="29"/>
    </row>
    <row r="191" spans="1:24">
      <c r="A191" s="26" t="s">
        <v>13</v>
      </c>
      <c r="B191" s="26" t="s">
        <v>126</v>
      </c>
      <c r="C191" s="26">
        <v>33.799999999999997</v>
      </c>
      <c r="D191" s="27">
        <v>9.9</v>
      </c>
      <c r="E191" s="28"/>
      <c r="F191" s="16">
        <f t="shared" si="280"/>
        <v>0</v>
      </c>
      <c r="G191" s="17"/>
      <c r="H191" s="18"/>
      <c r="I191" s="19">
        <f t="shared" si="281"/>
        <v>0</v>
      </c>
      <c r="J191" s="16"/>
      <c r="K191" s="18"/>
      <c r="L191" s="19">
        <f t="shared" si="282"/>
        <v>0</v>
      </c>
      <c r="M191" s="16"/>
      <c r="N191" s="18">
        <v>3</v>
      </c>
      <c r="O191" s="19">
        <f t="shared" si="283"/>
        <v>1.00386</v>
      </c>
      <c r="P191" s="16"/>
      <c r="Q191" s="18"/>
      <c r="R191" s="19">
        <f t="shared" si="284"/>
        <v>0</v>
      </c>
      <c r="S191" s="20">
        <f t="shared" si="285"/>
        <v>3</v>
      </c>
      <c r="T191" s="19">
        <f t="shared" si="286"/>
        <v>1.00386</v>
      </c>
      <c r="U191" s="21">
        <f t="shared" si="287"/>
        <v>-3</v>
      </c>
      <c r="V191" s="19">
        <f t="shared" si="288"/>
        <v>-1.00386</v>
      </c>
      <c r="X191" s="29"/>
    </row>
    <row r="192" spans="1:24">
      <c r="A192" s="26" t="s">
        <v>13</v>
      </c>
      <c r="B192" s="26" t="s">
        <v>126</v>
      </c>
      <c r="C192" s="26">
        <v>33.799999999999997</v>
      </c>
      <c r="D192" s="27">
        <v>8</v>
      </c>
      <c r="E192" s="28"/>
      <c r="F192" s="16">
        <f t="shared" si="280"/>
        <v>0</v>
      </c>
      <c r="G192" s="17"/>
      <c r="H192" s="18"/>
      <c r="I192" s="19">
        <f t="shared" si="281"/>
        <v>0</v>
      </c>
      <c r="J192" s="16"/>
      <c r="K192" s="18"/>
      <c r="L192" s="19">
        <f t="shared" si="282"/>
        <v>0</v>
      </c>
      <c r="M192" s="16"/>
      <c r="N192" s="18">
        <v>3</v>
      </c>
      <c r="O192" s="19">
        <f t="shared" si="283"/>
        <v>0.81119999999999992</v>
      </c>
      <c r="P192" s="16"/>
      <c r="Q192" s="18"/>
      <c r="R192" s="19">
        <f t="shared" si="284"/>
        <v>0</v>
      </c>
      <c r="S192" s="20">
        <f t="shared" si="285"/>
        <v>3</v>
      </c>
      <c r="T192" s="19">
        <f t="shared" si="286"/>
        <v>0.81119999999999992</v>
      </c>
      <c r="U192" s="21">
        <f t="shared" si="287"/>
        <v>-3</v>
      </c>
      <c r="V192" s="19">
        <f t="shared" si="288"/>
        <v>-0.81119999999999992</v>
      </c>
      <c r="X192" s="29"/>
    </row>
    <row r="193" spans="1:24">
      <c r="A193" s="26" t="s">
        <v>13</v>
      </c>
      <c r="B193" s="26" t="s">
        <v>126</v>
      </c>
      <c r="C193" s="26">
        <v>33.799999999999997</v>
      </c>
      <c r="D193" s="27">
        <v>11</v>
      </c>
      <c r="E193" s="28"/>
      <c r="F193" s="16">
        <f t="shared" si="280"/>
        <v>0</v>
      </c>
      <c r="G193" s="17"/>
      <c r="H193" s="18"/>
      <c r="I193" s="19">
        <f t="shared" si="281"/>
        <v>0</v>
      </c>
      <c r="J193" s="16"/>
      <c r="K193" s="18"/>
      <c r="L193" s="19">
        <f t="shared" si="282"/>
        <v>0</v>
      </c>
      <c r="M193" s="16"/>
      <c r="N193" s="18">
        <v>1</v>
      </c>
      <c r="O193" s="19">
        <f t="shared" si="283"/>
        <v>0.37179999999999996</v>
      </c>
      <c r="P193" s="16"/>
      <c r="Q193" s="18"/>
      <c r="R193" s="19">
        <f t="shared" si="284"/>
        <v>0</v>
      </c>
      <c r="S193" s="20">
        <f t="shared" si="285"/>
        <v>1</v>
      </c>
      <c r="T193" s="19">
        <f t="shared" si="286"/>
        <v>0.37179999999999996</v>
      </c>
      <c r="U193" s="21">
        <f t="shared" si="287"/>
        <v>-1</v>
      </c>
      <c r="V193" s="19">
        <f t="shared" si="288"/>
        <v>-0.37179999999999996</v>
      </c>
      <c r="X193" s="29"/>
    </row>
    <row r="194" spans="1:24">
      <c r="A194" s="26" t="s">
        <v>13</v>
      </c>
      <c r="B194" s="26" t="s">
        <v>126</v>
      </c>
      <c r="C194" s="26">
        <v>33.799999999999997</v>
      </c>
      <c r="D194" s="27">
        <v>11.3</v>
      </c>
      <c r="E194" s="28"/>
      <c r="F194" s="16">
        <f t="shared" si="280"/>
        <v>0</v>
      </c>
      <c r="G194" s="17"/>
      <c r="H194" s="18"/>
      <c r="I194" s="19">
        <f t="shared" si="281"/>
        <v>0</v>
      </c>
      <c r="J194" s="16"/>
      <c r="K194" s="18"/>
      <c r="L194" s="19">
        <f t="shared" si="282"/>
        <v>0</v>
      </c>
      <c r="M194" s="16"/>
      <c r="N194" s="18"/>
      <c r="O194" s="19">
        <f t="shared" si="283"/>
        <v>0</v>
      </c>
      <c r="P194" s="16"/>
      <c r="Q194" s="18">
        <v>1</v>
      </c>
      <c r="R194" s="19">
        <f t="shared" si="284"/>
        <v>0.38194</v>
      </c>
      <c r="S194" s="20">
        <f t="shared" si="285"/>
        <v>1</v>
      </c>
      <c r="T194" s="19">
        <f t="shared" si="286"/>
        <v>0.38194</v>
      </c>
      <c r="U194" s="21">
        <f t="shared" si="287"/>
        <v>-1</v>
      </c>
      <c r="V194" s="19">
        <f t="shared" si="288"/>
        <v>-0.38194</v>
      </c>
      <c r="X194" s="29"/>
    </row>
    <row r="195" spans="1:24">
      <c r="A195" s="26" t="s">
        <v>13</v>
      </c>
      <c r="B195" s="26" t="s">
        <v>126</v>
      </c>
      <c r="C195" s="26">
        <v>33.799999999999997</v>
      </c>
      <c r="D195" s="27">
        <v>9</v>
      </c>
      <c r="E195" s="28"/>
      <c r="F195" s="16">
        <f t="shared" si="280"/>
        <v>0</v>
      </c>
      <c r="G195" s="17"/>
      <c r="H195" s="18"/>
      <c r="I195" s="19">
        <f t="shared" si="281"/>
        <v>0</v>
      </c>
      <c r="J195" s="16"/>
      <c r="K195" s="18"/>
      <c r="L195" s="19">
        <f t="shared" si="282"/>
        <v>0</v>
      </c>
      <c r="M195" s="16"/>
      <c r="N195" s="18"/>
      <c r="O195" s="19">
        <f t="shared" si="283"/>
        <v>0</v>
      </c>
      <c r="P195" s="16"/>
      <c r="Q195" s="18">
        <v>1</v>
      </c>
      <c r="R195" s="19">
        <f t="shared" si="284"/>
        <v>0.30419999999999997</v>
      </c>
      <c r="S195" s="20">
        <f t="shared" si="285"/>
        <v>1</v>
      </c>
      <c r="T195" s="19">
        <f t="shared" si="286"/>
        <v>0.30419999999999997</v>
      </c>
      <c r="U195" s="21">
        <f t="shared" si="287"/>
        <v>-1</v>
      </c>
      <c r="V195" s="19">
        <f t="shared" si="288"/>
        <v>-0.30419999999999997</v>
      </c>
      <c r="X195" s="29"/>
    </row>
    <row r="196" spans="1:24">
      <c r="A196" s="26" t="s">
        <v>13</v>
      </c>
      <c r="B196" s="26" t="s">
        <v>126</v>
      </c>
      <c r="C196" s="26">
        <v>33.799999999999997</v>
      </c>
      <c r="D196" s="27">
        <v>6.6</v>
      </c>
      <c r="E196" s="28"/>
      <c r="F196" s="16">
        <f t="shared" si="280"/>
        <v>0</v>
      </c>
      <c r="G196" s="17"/>
      <c r="H196" s="18"/>
      <c r="I196" s="19">
        <f t="shared" si="281"/>
        <v>0</v>
      </c>
      <c r="J196" s="16"/>
      <c r="K196" s="18"/>
      <c r="L196" s="19">
        <f t="shared" si="282"/>
        <v>0</v>
      </c>
      <c r="M196" s="16"/>
      <c r="N196" s="18"/>
      <c r="O196" s="19">
        <f t="shared" si="283"/>
        <v>0</v>
      </c>
      <c r="P196" s="16"/>
      <c r="Q196" s="18">
        <v>1</v>
      </c>
      <c r="R196" s="19">
        <f t="shared" si="284"/>
        <v>0.22307999999999995</v>
      </c>
      <c r="S196" s="20">
        <f t="shared" si="285"/>
        <v>1</v>
      </c>
      <c r="T196" s="19">
        <f t="shared" si="286"/>
        <v>0.22307999999999995</v>
      </c>
      <c r="U196" s="21">
        <f t="shared" si="287"/>
        <v>-1</v>
      </c>
      <c r="V196" s="19">
        <f t="shared" si="288"/>
        <v>-0.22307999999999995</v>
      </c>
      <c r="X196" s="29"/>
    </row>
    <row r="197" spans="1:24">
      <c r="A197" s="26" t="s">
        <v>13</v>
      </c>
      <c r="B197" s="26" t="s">
        <v>126</v>
      </c>
      <c r="C197" s="26">
        <v>33.799999999999997</v>
      </c>
      <c r="D197" s="27">
        <v>6.8</v>
      </c>
      <c r="E197" s="28"/>
      <c r="F197" s="16">
        <f t="shared" si="280"/>
        <v>0</v>
      </c>
      <c r="G197" s="17"/>
      <c r="H197" s="18"/>
      <c r="I197" s="19">
        <f t="shared" si="281"/>
        <v>0</v>
      </c>
      <c r="J197" s="16"/>
      <c r="K197" s="18"/>
      <c r="L197" s="19">
        <f t="shared" si="282"/>
        <v>0</v>
      </c>
      <c r="M197" s="16"/>
      <c r="N197" s="18"/>
      <c r="O197" s="19">
        <f t="shared" si="283"/>
        <v>0</v>
      </c>
      <c r="P197" s="16"/>
      <c r="Q197" s="18">
        <v>1</v>
      </c>
      <c r="R197" s="19">
        <f t="shared" si="284"/>
        <v>0.22983999999999999</v>
      </c>
      <c r="S197" s="20">
        <f t="shared" si="285"/>
        <v>1</v>
      </c>
      <c r="T197" s="19">
        <f t="shared" si="286"/>
        <v>0.22983999999999999</v>
      </c>
      <c r="U197" s="21">
        <f t="shared" si="287"/>
        <v>-1</v>
      </c>
      <c r="V197" s="19">
        <f t="shared" si="288"/>
        <v>-0.22983999999999999</v>
      </c>
      <c r="X197" s="29"/>
    </row>
    <row r="198" spans="1:24">
      <c r="A198" s="26" t="s">
        <v>13</v>
      </c>
      <c r="B198" s="26" t="s">
        <v>126</v>
      </c>
      <c r="C198" s="26">
        <v>33.799999999999997</v>
      </c>
      <c r="D198" s="27">
        <v>8.5</v>
      </c>
      <c r="E198" s="28"/>
      <c r="F198" s="16">
        <f t="shared" si="280"/>
        <v>0</v>
      </c>
      <c r="G198" s="17"/>
      <c r="H198" s="18"/>
      <c r="I198" s="19">
        <f t="shared" si="281"/>
        <v>0</v>
      </c>
      <c r="J198" s="16"/>
      <c r="K198" s="18"/>
      <c r="L198" s="19">
        <f t="shared" si="282"/>
        <v>0</v>
      </c>
      <c r="M198" s="16"/>
      <c r="N198" s="18"/>
      <c r="O198" s="19">
        <f t="shared" si="283"/>
        <v>0</v>
      </c>
      <c r="P198" s="16"/>
      <c r="Q198" s="18">
        <v>2</v>
      </c>
      <c r="R198" s="19">
        <f t="shared" si="284"/>
        <v>0.57459999999999989</v>
      </c>
      <c r="S198" s="20">
        <f t="shared" si="285"/>
        <v>2</v>
      </c>
      <c r="T198" s="19">
        <f t="shared" si="286"/>
        <v>0.57459999999999989</v>
      </c>
      <c r="U198" s="21">
        <f t="shared" si="287"/>
        <v>-2</v>
      </c>
      <c r="V198" s="19">
        <f t="shared" si="288"/>
        <v>-0.57459999999999989</v>
      </c>
      <c r="X198" s="29"/>
    </row>
    <row r="199" spans="1:24">
      <c r="A199" s="26" t="s">
        <v>13</v>
      </c>
      <c r="B199" s="26" t="s">
        <v>126</v>
      </c>
      <c r="C199" s="26">
        <v>33.799999999999997</v>
      </c>
      <c r="D199" s="27"/>
      <c r="E199" s="28"/>
      <c r="F199" s="16">
        <f t="shared" si="280"/>
        <v>0</v>
      </c>
      <c r="G199" s="17"/>
      <c r="H199" s="18"/>
      <c r="I199" s="19">
        <f t="shared" si="281"/>
        <v>0</v>
      </c>
      <c r="J199" s="16"/>
      <c r="K199" s="18"/>
      <c r="L199" s="19">
        <f t="shared" si="282"/>
        <v>0</v>
      </c>
      <c r="M199" s="16"/>
      <c r="N199" s="18"/>
      <c r="O199" s="19">
        <f t="shared" si="283"/>
        <v>0</v>
      </c>
      <c r="P199" s="16"/>
      <c r="Q199" s="18"/>
      <c r="R199" s="19">
        <f t="shared" si="284"/>
        <v>0</v>
      </c>
      <c r="S199" s="20">
        <f t="shared" si="285"/>
        <v>0</v>
      </c>
      <c r="T199" s="19">
        <f t="shared" si="286"/>
        <v>0</v>
      </c>
      <c r="U199" s="21">
        <f t="shared" si="287"/>
        <v>0</v>
      </c>
      <c r="V199" s="19">
        <f t="shared" si="288"/>
        <v>0</v>
      </c>
      <c r="X199" s="29"/>
    </row>
    <row r="200" spans="1:24">
      <c r="A200" s="26" t="s">
        <v>13</v>
      </c>
      <c r="B200" s="26" t="s">
        <v>126</v>
      </c>
      <c r="C200" s="26">
        <v>33.799999999999997</v>
      </c>
      <c r="D200" s="27"/>
      <c r="E200" s="28"/>
      <c r="F200" s="16">
        <f t="shared" si="280"/>
        <v>0</v>
      </c>
      <c r="G200" s="17"/>
      <c r="H200" s="18"/>
      <c r="I200" s="19">
        <f t="shared" si="281"/>
        <v>0</v>
      </c>
      <c r="J200" s="16"/>
      <c r="K200" s="18"/>
      <c r="L200" s="19">
        <f t="shared" si="282"/>
        <v>0</v>
      </c>
      <c r="M200" s="16"/>
      <c r="N200" s="18"/>
      <c r="O200" s="19">
        <f t="shared" si="283"/>
        <v>0</v>
      </c>
      <c r="P200" s="16"/>
      <c r="Q200" s="18"/>
      <c r="R200" s="19">
        <f t="shared" si="284"/>
        <v>0</v>
      </c>
      <c r="S200" s="20">
        <f t="shared" si="285"/>
        <v>0</v>
      </c>
      <c r="T200" s="19">
        <f t="shared" si="286"/>
        <v>0</v>
      </c>
      <c r="U200" s="21">
        <f t="shared" si="287"/>
        <v>0</v>
      </c>
      <c r="V200" s="19">
        <f t="shared" si="288"/>
        <v>0</v>
      </c>
      <c r="X200" s="29"/>
    </row>
    <row r="201" spans="1:24">
      <c r="A201" s="26" t="s">
        <v>13</v>
      </c>
      <c r="B201" s="26" t="s">
        <v>126</v>
      </c>
      <c r="C201" s="26">
        <v>33.799999999999997</v>
      </c>
      <c r="D201" s="27"/>
      <c r="E201" s="28"/>
      <c r="F201" s="16">
        <f t="shared" si="271"/>
        <v>0</v>
      </c>
      <c r="G201" s="17"/>
      <c r="H201" s="18"/>
      <c r="I201" s="19">
        <f t="shared" si="272"/>
        <v>0</v>
      </c>
      <c r="J201" s="16"/>
      <c r="K201" s="18"/>
      <c r="L201" s="19">
        <f t="shared" si="273"/>
        <v>0</v>
      </c>
      <c r="M201" s="16"/>
      <c r="N201" s="18"/>
      <c r="O201" s="19">
        <f t="shared" si="274"/>
        <v>0</v>
      </c>
      <c r="P201" s="16"/>
      <c r="Q201" s="18"/>
      <c r="R201" s="19">
        <f t="shared" si="275"/>
        <v>0</v>
      </c>
      <c r="S201" s="20">
        <f t="shared" si="276"/>
        <v>0</v>
      </c>
      <c r="T201" s="19">
        <f t="shared" si="277"/>
        <v>0</v>
      </c>
      <c r="U201" s="21">
        <f t="shared" si="278"/>
        <v>0</v>
      </c>
      <c r="V201" s="19">
        <f t="shared" si="279"/>
        <v>0</v>
      </c>
      <c r="X201" s="29"/>
    </row>
    <row r="202" spans="1:24">
      <c r="A202" s="36"/>
      <c r="B202" s="36"/>
      <c r="C202" s="36"/>
      <c r="D202" s="38"/>
      <c r="E202" s="31">
        <f>SUM(E182:E201)</f>
        <v>192</v>
      </c>
      <c r="F202" s="45">
        <f>SUM(F182:F201)</f>
        <v>59.109439999999992</v>
      </c>
      <c r="G202" s="17"/>
      <c r="H202" s="31">
        <f>SUM(H182:H201)</f>
        <v>71</v>
      </c>
      <c r="I202" s="38">
        <f>SUM(I182:I201)</f>
        <v>22.612199999999994</v>
      </c>
      <c r="J202" s="16"/>
      <c r="K202" s="31">
        <f>SUM(K182:K201)</f>
        <v>48</v>
      </c>
      <c r="L202" s="38">
        <f>SUM(L182:L201)</f>
        <v>13.857999999999997</v>
      </c>
      <c r="M202" s="16"/>
      <c r="N202" s="31">
        <f>SUM(N182:N201)</f>
        <v>44</v>
      </c>
      <c r="O202" s="38">
        <f>SUM(O182:O201)</f>
        <v>13.32396</v>
      </c>
      <c r="P202" s="16"/>
      <c r="Q202" s="31">
        <f t="shared" ref="Q202:V202" si="289">SUM(Q182:Q201)</f>
        <v>30</v>
      </c>
      <c r="R202" s="38">
        <f t="shared" si="289"/>
        <v>9.5890599999999981</v>
      </c>
      <c r="S202" s="31">
        <f t="shared" si="289"/>
        <v>193</v>
      </c>
      <c r="T202" s="38">
        <f t="shared" si="289"/>
        <v>59.383220000000001</v>
      </c>
      <c r="U202" s="31">
        <f t="shared" si="289"/>
        <v>-1</v>
      </c>
      <c r="V202" s="38">
        <f t="shared" si="289"/>
        <v>-0.27378000000000152</v>
      </c>
      <c r="X202" s="29"/>
    </row>
    <row r="203" spans="1:24">
      <c r="A203" s="26" t="s">
        <v>13</v>
      </c>
      <c r="B203" s="26" t="s">
        <v>174</v>
      </c>
      <c r="C203" s="26">
        <v>5.37</v>
      </c>
      <c r="D203" s="27">
        <v>8.35</v>
      </c>
      <c r="E203" s="28">
        <v>64</v>
      </c>
      <c r="F203" s="16">
        <f t="shared" ref="F203:F213" si="290">(C203*D203*E203/1000)</f>
        <v>2.8697280000000003</v>
      </c>
      <c r="G203" s="17" t="s">
        <v>111</v>
      </c>
      <c r="H203" s="18">
        <v>47</v>
      </c>
      <c r="I203" s="19">
        <f t="shared" ref="I203:I213" si="291">(C203*D203*H203/1000)</f>
        <v>2.1074565000000001</v>
      </c>
      <c r="J203" s="16" t="s">
        <v>86</v>
      </c>
      <c r="K203" s="18">
        <v>25</v>
      </c>
      <c r="L203" s="19">
        <f t="shared" ref="L203:L213" si="292">(C203*D203*K203/1000)</f>
        <v>1.1209875</v>
      </c>
      <c r="M203" s="16" t="s">
        <v>89</v>
      </c>
      <c r="N203" s="18"/>
      <c r="O203" s="19">
        <f t="shared" ref="O203:O213" si="293">(C203*D203*N203/1000)</f>
        <v>0</v>
      </c>
      <c r="P203" s="16"/>
      <c r="Q203" s="18"/>
      <c r="R203" s="19">
        <f t="shared" ref="R203:R213" si="294">(C203*D203*Q203/1000)</f>
        <v>0</v>
      </c>
      <c r="S203" s="20">
        <f t="shared" ref="S203:S213" si="295">+H203+K203+Q203+N203</f>
        <v>72</v>
      </c>
      <c r="T203" s="19">
        <f t="shared" ref="T203:T213" si="296">+I203+L203+R203+O203</f>
        <v>3.2284440000000001</v>
      </c>
      <c r="U203" s="21">
        <f t="shared" ref="U203:U213" si="297">E203-S203</f>
        <v>-8</v>
      </c>
      <c r="V203" s="19">
        <f t="shared" ref="V203:V213" si="298">F203-T203</f>
        <v>-0.35871599999999981</v>
      </c>
      <c r="X203" s="29"/>
    </row>
    <row r="204" spans="1:24">
      <c r="A204" s="26" t="s">
        <v>13</v>
      </c>
      <c r="B204" s="26" t="s">
        <v>174</v>
      </c>
      <c r="C204" s="26">
        <v>5.37</v>
      </c>
      <c r="D204" s="27">
        <v>9.5</v>
      </c>
      <c r="E204" s="28">
        <v>12</v>
      </c>
      <c r="F204" s="16">
        <f t="shared" si="290"/>
        <v>0.61218000000000006</v>
      </c>
      <c r="G204" s="17" t="s">
        <v>198</v>
      </c>
      <c r="H204" s="18">
        <v>12</v>
      </c>
      <c r="I204" s="19">
        <f t="shared" si="291"/>
        <v>0.61218000000000006</v>
      </c>
      <c r="J204" s="16" t="s">
        <v>199</v>
      </c>
      <c r="K204" s="18"/>
      <c r="L204" s="19">
        <f t="shared" si="292"/>
        <v>0</v>
      </c>
      <c r="M204" s="16" t="s">
        <v>209</v>
      </c>
      <c r="N204" s="18">
        <v>4</v>
      </c>
      <c r="O204" s="19">
        <f t="shared" si="293"/>
        <v>0.20405999999999999</v>
      </c>
      <c r="P204" s="16"/>
      <c r="Q204" s="18"/>
      <c r="R204" s="19">
        <f t="shared" si="294"/>
        <v>0</v>
      </c>
      <c r="S204" s="20">
        <f t="shared" si="295"/>
        <v>16</v>
      </c>
      <c r="T204" s="19">
        <f t="shared" si="296"/>
        <v>0.81624000000000008</v>
      </c>
      <c r="U204" s="21">
        <f t="shared" si="297"/>
        <v>-4</v>
      </c>
      <c r="V204" s="19">
        <f t="shared" si="298"/>
        <v>-0.20406000000000002</v>
      </c>
      <c r="X204" s="29"/>
    </row>
    <row r="205" spans="1:24">
      <c r="A205" s="26" t="s">
        <v>13</v>
      </c>
      <c r="B205" s="26" t="s">
        <v>174</v>
      </c>
      <c r="C205" s="26">
        <v>5.37</v>
      </c>
      <c r="D205" s="27">
        <v>10</v>
      </c>
      <c r="E205" s="28">
        <v>195</v>
      </c>
      <c r="F205" s="16">
        <f t="shared" ref="F205:F206" si="299">(C205*D205*E205/1000)</f>
        <v>10.471500000000001</v>
      </c>
      <c r="G205" s="17"/>
      <c r="H205" s="18">
        <v>90</v>
      </c>
      <c r="I205" s="19">
        <f t="shared" ref="I205:I206" si="300">(C205*D205*H205/1000)</f>
        <v>4.8330000000000002</v>
      </c>
      <c r="J205" s="16"/>
      <c r="K205" s="18">
        <v>73</v>
      </c>
      <c r="L205" s="19">
        <f t="shared" ref="L205:L206" si="301">(C205*D205*K205/1000)</f>
        <v>3.9201000000000006</v>
      </c>
      <c r="M205" s="16"/>
      <c r="N205" s="18"/>
      <c r="O205" s="19">
        <f t="shared" ref="O205:O206" si="302">(C205*D205*N205/1000)</f>
        <v>0</v>
      </c>
      <c r="P205" s="16"/>
      <c r="Q205" s="18"/>
      <c r="R205" s="19">
        <f t="shared" ref="R205:R206" si="303">(C205*D205*Q205/1000)</f>
        <v>0</v>
      </c>
      <c r="S205" s="20">
        <f t="shared" ref="S205:S206" si="304">+H205+K205+Q205+N205</f>
        <v>163</v>
      </c>
      <c r="T205" s="19">
        <f t="shared" ref="T205:T206" si="305">+I205+L205+R205+O205</f>
        <v>8.7530999999999999</v>
      </c>
      <c r="U205" s="21">
        <f t="shared" ref="U205:U206" si="306">E205-S205</f>
        <v>32</v>
      </c>
      <c r="V205" s="19">
        <f t="shared" ref="V205:V206" si="307">F205-T205</f>
        <v>1.7184000000000008</v>
      </c>
      <c r="X205" s="29"/>
    </row>
    <row r="206" spans="1:24">
      <c r="A206" s="26" t="s">
        <v>13</v>
      </c>
      <c r="B206" s="26" t="s">
        <v>174</v>
      </c>
      <c r="C206" s="26">
        <v>5.37</v>
      </c>
      <c r="D206" s="27">
        <v>10.4</v>
      </c>
      <c r="E206" s="28">
        <v>40</v>
      </c>
      <c r="F206" s="16">
        <f t="shared" si="299"/>
        <v>2.2339199999999999</v>
      </c>
      <c r="G206" s="17"/>
      <c r="H206" s="18">
        <v>14</v>
      </c>
      <c r="I206" s="19">
        <f t="shared" si="300"/>
        <v>0.78187200000000012</v>
      </c>
      <c r="J206" s="16"/>
      <c r="K206" s="18">
        <v>15</v>
      </c>
      <c r="L206" s="19">
        <f t="shared" si="301"/>
        <v>0.83772000000000013</v>
      </c>
      <c r="M206" s="16"/>
      <c r="N206" s="18"/>
      <c r="O206" s="19">
        <f t="shared" si="302"/>
        <v>0</v>
      </c>
      <c r="P206" s="16"/>
      <c r="Q206" s="18"/>
      <c r="R206" s="19">
        <f t="shared" si="303"/>
        <v>0</v>
      </c>
      <c r="S206" s="20">
        <f t="shared" si="304"/>
        <v>29</v>
      </c>
      <c r="T206" s="19">
        <f t="shared" si="305"/>
        <v>1.6195920000000004</v>
      </c>
      <c r="U206" s="21">
        <f t="shared" si="306"/>
        <v>11</v>
      </c>
      <c r="V206" s="19">
        <f t="shared" si="307"/>
        <v>0.61432799999999954</v>
      </c>
      <c r="X206" s="29"/>
    </row>
    <row r="207" spans="1:24">
      <c r="A207" s="26" t="s">
        <v>13</v>
      </c>
      <c r="B207" s="26" t="s">
        <v>174</v>
      </c>
      <c r="C207" s="26">
        <v>5.37</v>
      </c>
      <c r="D207" s="27">
        <v>11.5</v>
      </c>
      <c r="E207" s="28">
        <v>1</v>
      </c>
      <c r="F207" s="16">
        <f t="shared" si="290"/>
        <v>6.1755000000000004E-2</v>
      </c>
      <c r="G207" s="17"/>
      <c r="H207" s="18"/>
      <c r="I207" s="19">
        <f t="shared" si="291"/>
        <v>0</v>
      </c>
      <c r="J207" s="16"/>
      <c r="K207" s="18"/>
      <c r="L207" s="19">
        <f t="shared" si="292"/>
        <v>0</v>
      </c>
      <c r="M207" s="16"/>
      <c r="N207" s="18"/>
      <c r="O207" s="19">
        <f t="shared" si="293"/>
        <v>0</v>
      </c>
      <c r="P207" s="16"/>
      <c r="Q207" s="18"/>
      <c r="R207" s="19">
        <f t="shared" si="294"/>
        <v>0</v>
      </c>
      <c r="S207" s="20">
        <f t="shared" si="295"/>
        <v>0</v>
      </c>
      <c r="T207" s="19">
        <f t="shared" si="296"/>
        <v>0</v>
      </c>
      <c r="U207" s="21">
        <f t="shared" si="297"/>
        <v>1</v>
      </c>
      <c r="V207" s="19">
        <f t="shared" si="298"/>
        <v>6.1755000000000004E-2</v>
      </c>
      <c r="X207" s="29"/>
    </row>
    <row r="208" spans="1:24">
      <c r="A208" s="26" t="s">
        <v>13</v>
      </c>
      <c r="B208" s="26" t="s">
        <v>174</v>
      </c>
      <c r="C208" s="26">
        <v>5.37</v>
      </c>
      <c r="D208" s="27">
        <v>11.3</v>
      </c>
      <c r="E208" s="28">
        <v>86</v>
      </c>
      <c r="F208" s="16">
        <f t="shared" ref="F208:F212" si="308">(C208*D208*E208/1000)</f>
        <v>5.2185660000000009</v>
      </c>
      <c r="G208" s="17"/>
      <c r="H208" s="18">
        <v>45</v>
      </c>
      <c r="I208" s="19">
        <f t="shared" ref="I208:I212" si="309">(C208*D208*H208/1000)</f>
        <v>2.730645</v>
      </c>
      <c r="J208" s="16"/>
      <c r="K208" s="18">
        <v>41</v>
      </c>
      <c r="L208" s="19">
        <f t="shared" ref="L208:L212" si="310">(C208*D208*K208/1000)</f>
        <v>2.4879210000000005</v>
      </c>
      <c r="M208" s="16"/>
      <c r="N208" s="18">
        <v>10</v>
      </c>
      <c r="O208" s="19">
        <f t="shared" ref="O208:O212" si="311">(C208*D208*N208/1000)</f>
        <v>0.60681000000000007</v>
      </c>
      <c r="P208" s="16"/>
      <c r="Q208" s="18"/>
      <c r="R208" s="19">
        <f t="shared" ref="R208:R212" si="312">(C208*D208*Q208/1000)</f>
        <v>0</v>
      </c>
      <c r="S208" s="20">
        <f t="shared" ref="S208:S212" si="313">+H208+K208+Q208+N208</f>
        <v>96</v>
      </c>
      <c r="T208" s="19">
        <f t="shared" ref="T208:T212" si="314">+I208+L208+R208+O208</f>
        <v>5.8253760000000012</v>
      </c>
      <c r="U208" s="21">
        <f t="shared" ref="U208:U212" si="315">E208-S208</f>
        <v>-10</v>
      </c>
      <c r="V208" s="19">
        <f t="shared" ref="V208:V212" si="316">F208-T208</f>
        <v>-0.60681000000000029</v>
      </c>
      <c r="X208" s="29"/>
    </row>
    <row r="209" spans="1:24" ht="14.25" customHeight="1">
      <c r="A209" s="26" t="s">
        <v>13</v>
      </c>
      <c r="B209" s="26" t="s">
        <v>174</v>
      </c>
      <c r="C209" s="26">
        <v>5.37</v>
      </c>
      <c r="D209" s="27">
        <v>10.5</v>
      </c>
      <c r="E209" s="28"/>
      <c r="F209" s="16">
        <f t="shared" si="308"/>
        <v>0</v>
      </c>
      <c r="G209" s="17"/>
      <c r="H209" s="18"/>
      <c r="I209" s="19">
        <f t="shared" si="309"/>
        <v>0</v>
      </c>
      <c r="J209" s="16"/>
      <c r="K209" s="18">
        <v>1</v>
      </c>
      <c r="L209" s="19">
        <f t="shared" si="310"/>
        <v>5.6384999999999998E-2</v>
      </c>
      <c r="M209" s="16"/>
      <c r="N209" s="18">
        <v>2</v>
      </c>
      <c r="O209" s="19">
        <f t="shared" si="311"/>
        <v>0.11277</v>
      </c>
      <c r="P209" s="16"/>
      <c r="Q209" s="18"/>
      <c r="R209" s="19">
        <f t="shared" si="312"/>
        <v>0</v>
      </c>
      <c r="S209" s="20">
        <f t="shared" si="313"/>
        <v>3</v>
      </c>
      <c r="T209" s="19">
        <f t="shared" si="314"/>
        <v>0.169155</v>
      </c>
      <c r="U209" s="21">
        <f t="shared" si="315"/>
        <v>-3</v>
      </c>
      <c r="V209" s="19">
        <f t="shared" si="316"/>
        <v>-0.169155</v>
      </c>
      <c r="X209" s="29"/>
    </row>
    <row r="210" spans="1:24" ht="14.25" customHeight="1">
      <c r="A210" s="26" t="s">
        <v>13</v>
      </c>
      <c r="B210" s="26" t="s">
        <v>174</v>
      </c>
      <c r="C210" s="26">
        <v>5.37</v>
      </c>
      <c r="D210" s="27">
        <v>9</v>
      </c>
      <c r="E210" s="28"/>
      <c r="F210" s="16">
        <f t="shared" si="308"/>
        <v>0</v>
      </c>
      <c r="G210" s="17"/>
      <c r="H210" s="18"/>
      <c r="I210" s="19">
        <f t="shared" si="309"/>
        <v>0</v>
      </c>
      <c r="J210" s="16"/>
      <c r="K210" s="18"/>
      <c r="L210" s="19">
        <f t="shared" si="310"/>
        <v>0</v>
      </c>
      <c r="M210" s="16"/>
      <c r="N210" s="18">
        <v>1</v>
      </c>
      <c r="O210" s="19">
        <f t="shared" si="311"/>
        <v>4.8329999999999998E-2</v>
      </c>
      <c r="P210" s="16"/>
      <c r="Q210" s="18"/>
      <c r="R210" s="19">
        <f t="shared" si="312"/>
        <v>0</v>
      </c>
      <c r="S210" s="20">
        <f t="shared" si="313"/>
        <v>1</v>
      </c>
      <c r="T210" s="19">
        <f t="shared" si="314"/>
        <v>4.8329999999999998E-2</v>
      </c>
      <c r="U210" s="21">
        <f t="shared" si="315"/>
        <v>-1</v>
      </c>
      <c r="V210" s="19">
        <f t="shared" si="316"/>
        <v>-4.8329999999999998E-2</v>
      </c>
      <c r="X210" s="29"/>
    </row>
    <row r="211" spans="1:24" ht="14.25" customHeight="1">
      <c r="A211" s="26" t="s">
        <v>13</v>
      </c>
      <c r="B211" s="26" t="s">
        <v>174</v>
      </c>
      <c r="C211" s="26">
        <v>5.37</v>
      </c>
      <c r="D211" s="27">
        <v>9.3000000000000007</v>
      </c>
      <c r="E211" s="28"/>
      <c r="F211" s="16">
        <f t="shared" si="308"/>
        <v>0</v>
      </c>
      <c r="G211" s="17"/>
      <c r="H211" s="18"/>
      <c r="I211" s="19">
        <f t="shared" si="309"/>
        <v>0</v>
      </c>
      <c r="J211" s="16"/>
      <c r="K211" s="18"/>
      <c r="L211" s="19">
        <f t="shared" si="310"/>
        <v>0</v>
      </c>
      <c r="M211" s="16"/>
      <c r="N211" s="18">
        <v>2</v>
      </c>
      <c r="O211" s="19">
        <f t="shared" si="311"/>
        <v>9.9881999999999999E-2</v>
      </c>
      <c r="P211" s="16"/>
      <c r="Q211" s="18"/>
      <c r="R211" s="19">
        <f t="shared" si="312"/>
        <v>0</v>
      </c>
      <c r="S211" s="20">
        <f t="shared" si="313"/>
        <v>2</v>
      </c>
      <c r="T211" s="19">
        <f t="shared" si="314"/>
        <v>9.9881999999999999E-2</v>
      </c>
      <c r="U211" s="21">
        <f t="shared" si="315"/>
        <v>-2</v>
      </c>
      <c r="V211" s="19">
        <f t="shared" si="316"/>
        <v>-9.9881999999999999E-2</v>
      </c>
      <c r="X211" s="29"/>
    </row>
    <row r="212" spans="1:24" ht="14.25" customHeight="1">
      <c r="A212" s="26" t="s">
        <v>13</v>
      </c>
      <c r="B212" s="26" t="s">
        <v>174</v>
      </c>
      <c r="C212" s="26">
        <v>5.37</v>
      </c>
      <c r="D212" s="27">
        <v>12</v>
      </c>
      <c r="E212" s="28"/>
      <c r="F212" s="16">
        <f t="shared" si="308"/>
        <v>0</v>
      </c>
      <c r="G212" s="17"/>
      <c r="H212" s="18"/>
      <c r="I212" s="19">
        <f t="shared" si="309"/>
        <v>0</v>
      </c>
      <c r="J212" s="16"/>
      <c r="K212" s="18"/>
      <c r="L212" s="19">
        <f t="shared" si="310"/>
        <v>0</v>
      </c>
      <c r="M212" s="16"/>
      <c r="N212" s="18">
        <v>18</v>
      </c>
      <c r="O212" s="19">
        <f t="shared" si="311"/>
        <v>1.1599200000000001</v>
      </c>
      <c r="P212" s="16"/>
      <c r="Q212" s="18"/>
      <c r="R212" s="19">
        <f t="shared" si="312"/>
        <v>0</v>
      </c>
      <c r="S212" s="20">
        <f t="shared" si="313"/>
        <v>18</v>
      </c>
      <c r="T212" s="19">
        <f t="shared" si="314"/>
        <v>1.1599200000000001</v>
      </c>
      <c r="U212" s="21">
        <f t="shared" si="315"/>
        <v>-18</v>
      </c>
      <c r="V212" s="19">
        <f t="shared" si="316"/>
        <v>-1.1599200000000001</v>
      </c>
      <c r="X212" s="29"/>
    </row>
    <row r="213" spans="1:24" ht="14.25" customHeight="1">
      <c r="A213" s="26" t="s">
        <v>13</v>
      </c>
      <c r="B213" s="26" t="s">
        <v>174</v>
      </c>
      <c r="C213" s="26">
        <v>5.37</v>
      </c>
      <c r="D213" s="27"/>
      <c r="E213" s="28"/>
      <c r="F213" s="16">
        <f t="shared" si="290"/>
        <v>0</v>
      </c>
      <c r="G213" s="17"/>
      <c r="H213" s="18"/>
      <c r="I213" s="19">
        <f t="shared" si="291"/>
        <v>0</v>
      </c>
      <c r="J213" s="16"/>
      <c r="K213" s="18"/>
      <c r="L213" s="19">
        <f t="shared" si="292"/>
        <v>0</v>
      </c>
      <c r="M213" s="16"/>
      <c r="N213" s="18"/>
      <c r="O213" s="19">
        <f t="shared" si="293"/>
        <v>0</v>
      </c>
      <c r="P213" s="16"/>
      <c r="Q213" s="18"/>
      <c r="R213" s="19">
        <f t="shared" si="294"/>
        <v>0</v>
      </c>
      <c r="S213" s="20">
        <f t="shared" si="295"/>
        <v>0</v>
      </c>
      <c r="T213" s="19">
        <f t="shared" si="296"/>
        <v>0</v>
      </c>
      <c r="U213" s="21">
        <f t="shared" si="297"/>
        <v>0</v>
      </c>
      <c r="V213" s="19">
        <f t="shared" si="298"/>
        <v>0</v>
      </c>
      <c r="X213" s="29"/>
    </row>
    <row r="214" spans="1:24" ht="14.25" customHeight="1">
      <c r="A214" s="36"/>
      <c r="B214" s="36"/>
      <c r="C214" s="36"/>
      <c r="D214" s="38"/>
      <c r="E214" s="31">
        <f>SUM(E203:E213)</f>
        <v>398</v>
      </c>
      <c r="F214" s="45">
        <f>SUM(F203:F213)</f>
        <v>21.467649000000002</v>
      </c>
      <c r="G214" s="17"/>
      <c r="H214" s="31">
        <f>SUM(H203:H213)</f>
        <v>208</v>
      </c>
      <c r="I214" s="38">
        <f>SUM(I203:I213)</f>
        <v>11.065153500000001</v>
      </c>
      <c r="J214" s="16"/>
      <c r="K214" s="31">
        <f>SUM(K203:K213)</f>
        <v>155</v>
      </c>
      <c r="L214" s="38">
        <f>SUM(L203:L213)</f>
        <v>8.4231135000000013</v>
      </c>
      <c r="M214" s="16"/>
      <c r="N214" s="31">
        <f>SUM(N203:N213)</f>
        <v>37</v>
      </c>
      <c r="O214" s="38">
        <f>SUM(O203:O213)</f>
        <v>2.2317720000000003</v>
      </c>
      <c r="P214" s="16"/>
      <c r="Q214" s="31">
        <f t="shared" ref="Q214:V214" si="317">SUM(Q203:Q213)</f>
        <v>0</v>
      </c>
      <c r="R214" s="38">
        <f t="shared" si="317"/>
        <v>0</v>
      </c>
      <c r="S214" s="31">
        <f t="shared" si="317"/>
        <v>400</v>
      </c>
      <c r="T214" s="38">
        <f t="shared" si="317"/>
        <v>21.720039000000003</v>
      </c>
      <c r="U214" s="31">
        <f t="shared" si="317"/>
        <v>-2</v>
      </c>
      <c r="V214" s="38">
        <f t="shared" si="317"/>
        <v>-0.25238999999999989</v>
      </c>
      <c r="X214" s="29"/>
    </row>
    <row r="215" spans="1:24" ht="14.25" customHeight="1">
      <c r="A215" s="26" t="s">
        <v>13</v>
      </c>
      <c r="B215" s="26" t="s">
        <v>181</v>
      </c>
      <c r="C215" s="26">
        <v>6.38</v>
      </c>
      <c r="D215" s="27">
        <v>6.8</v>
      </c>
      <c r="E215" s="28">
        <v>12</v>
      </c>
      <c r="F215" s="16">
        <f t="shared" ref="F215:F220" si="318">(C215*D215*E215/1000)</f>
        <v>0.52060799999999996</v>
      </c>
      <c r="G215" s="17" t="s">
        <v>111</v>
      </c>
      <c r="H215" s="18"/>
      <c r="I215" s="19">
        <f t="shared" ref="I215:I220" si="319">(C215*D215*H215/1000)</f>
        <v>0</v>
      </c>
      <c r="J215" s="16" t="s">
        <v>86</v>
      </c>
      <c r="K215" s="18">
        <v>12</v>
      </c>
      <c r="L215" s="19">
        <f t="shared" ref="L215:L220" si="320">(C215*D215*K215/1000)</f>
        <v>0.52060799999999996</v>
      </c>
      <c r="M215" s="16"/>
      <c r="N215" s="18"/>
      <c r="O215" s="19">
        <f t="shared" ref="O215:O220" si="321">(C215*D215*N215/1000)</f>
        <v>0</v>
      </c>
      <c r="P215" s="16"/>
      <c r="Q215" s="18"/>
      <c r="R215" s="19">
        <f t="shared" ref="R215:R220" si="322">(C215*D215*Q215/1000)</f>
        <v>0</v>
      </c>
      <c r="S215" s="20">
        <f t="shared" ref="S215:S220" si="323">+H215+K215+Q215+N215</f>
        <v>12</v>
      </c>
      <c r="T215" s="19">
        <f t="shared" ref="T215:T220" si="324">+I215+L215+R215+O215</f>
        <v>0.52060799999999996</v>
      </c>
      <c r="U215" s="21">
        <f t="shared" ref="U215:U220" si="325">E215-S215</f>
        <v>0</v>
      </c>
      <c r="V215" s="19">
        <f t="shared" ref="V215:V220" si="326">F215-T215</f>
        <v>0</v>
      </c>
      <c r="X215" s="29"/>
    </row>
    <row r="216" spans="1:24" ht="14.25" customHeight="1">
      <c r="A216" s="26" t="s">
        <v>13</v>
      </c>
      <c r="B216" s="26" t="s">
        <v>181</v>
      </c>
      <c r="C216" s="26">
        <v>6.38</v>
      </c>
      <c r="D216" s="27">
        <v>10.25</v>
      </c>
      <c r="E216" s="28">
        <v>96</v>
      </c>
      <c r="F216" s="16">
        <f t="shared" si="318"/>
        <v>6.2779199999999999</v>
      </c>
      <c r="G216" s="17" t="s">
        <v>198</v>
      </c>
      <c r="H216" s="18">
        <v>31</v>
      </c>
      <c r="I216" s="19">
        <f t="shared" si="319"/>
        <v>2.0272449999999997</v>
      </c>
      <c r="J216" s="16" t="s">
        <v>199</v>
      </c>
      <c r="K216" s="18">
        <v>27</v>
      </c>
      <c r="L216" s="19">
        <f t="shared" si="320"/>
        <v>1.765665</v>
      </c>
      <c r="M216" s="16"/>
      <c r="N216" s="18"/>
      <c r="O216" s="19">
        <f t="shared" si="321"/>
        <v>0</v>
      </c>
      <c r="P216" s="16"/>
      <c r="Q216" s="18"/>
      <c r="R216" s="19">
        <f t="shared" si="322"/>
        <v>0</v>
      </c>
      <c r="S216" s="20">
        <f t="shared" si="323"/>
        <v>58</v>
      </c>
      <c r="T216" s="19">
        <f t="shared" si="324"/>
        <v>3.79291</v>
      </c>
      <c r="U216" s="21">
        <f t="shared" si="325"/>
        <v>38</v>
      </c>
      <c r="V216" s="19">
        <f t="shared" si="326"/>
        <v>2.4850099999999999</v>
      </c>
      <c r="X216" s="29"/>
    </row>
    <row r="217" spans="1:24">
      <c r="A217" s="26" t="s">
        <v>13</v>
      </c>
      <c r="B217" s="26" t="s">
        <v>181</v>
      </c>
      <c r="C217" s="26">
        <v>6.38</v>
      </c>
      <c r="D217" s="27">
        <v>10.6</v>
      </c>
      <c r="E217" s="28">
        <v>58</v>
      </c>
      <c r="F217" s="16">
        <f t="shared" ref="F217:F219" si="327">(C217*D217*E217/1000)</f>
        <v>3.9224239999999999</v>
      </c>
      <c r="G217" s="17"/>
      <c r="H217" s="18">
        <f>35+1</f>
        <v>36</v>
      </c>
      <c r="I217" s="19">
        <f t="shared" ref="I217:I219" si="328">(C217*D217*H217/1000)</f>
        <v>2.4346080000000003</v>
      </c>
      <c r="J217" s="16"/>
      <c r="K217" s="18">
        <v>30</v>
      </c>
      <c r="L217" s="19">
        <f t="shared" ref="L217:L219" si="329">(C217*D217*K217/1000)</f>
        <v>2.0288399999999998</v>
      </c>
      <c r="M217" s="16"/>
      <c r="N217" s="18"/>
      <c r="O217" s="19">
        <f t="shared" ref="O217:O219" si="330">(C217*D217*N217/1000)</f>
        <v>0</v>
      </c>
      <c r="P217" s="16"/>
      <c r="Q217" s="18"/>
      <c r="R217" s="19">
        <f t="shared" ref="R217:R219" si="331">(C217*D217*Q217/1000)</f>
        <v>0</v>
      </c>
      <c r="S217" s="20">
        <f t="shared" ref="S217:S219" si="332">+H217+K217+Q217+N217</f>
        <v>66</v>
      </c>
      <c r="T217" s="19">
        <f t="shared" ref="T217:T219" si="333">+I217+L217+R217+O217</f>
        <v>4.4634479999999996</v>
      </c>
      <c r="U217" s="21">
        <f t="shared" ref="U217:U219" si="334">E217-S217</f>
        <v>-8</v>
      </c>
      <c r="V217" s="19">
        <f t="shared" ref="V217:V219" si="335">F217-T217</f>
        <v>-0.54102399999999973</v>
      </c>
      <c r="X217" s="29"/>
    </row>
    <row r="218" spans="1:24">
      <c r="A218" s="26" t="s">
        <v>13</v>
      </c>
      <c r="B218" s="26" t="s">
        <v>181</v>
      </c>
      <c r="C218" s="26">
        <v>6.38</v>
      </c>
      <c r="D218" s="27">
        <v>12</v>
      </c>
      <c r="E218" s="28"/>
      <c r="F218" s="16">
        <f t="shared" si="327"/>
        <v>0</v>
      </c>
      <c r="G218" s="17"/>
      <c r="H218" s="18"/>
      <c r="I218" s="19">
        <f t="shared" si="328"/>
        <v>0</v>
      </c>
      <c r="J218" s="16"/>
      <c r="K218" s="18">
        <v>23</v>
      </c>
      <c r="L218" s="19">
        <f t="shared" si="329"/>
        <v>1.76088</v>
      </c>
      <c r="M218" s="16"/>
      <c r="N218" s="18"/>
      <c r="O218" s="19">
        <f t="shared" si="330"/>
        <v>0</v>
      </c>
      <c r="P218" s="16"/>
      <c r="Q218" s="18"/>
      <c r="R218" s="19">
        <f t="shared" si="331"/>
        <v>0</v>
      </c>
      <c r="S218" s="20">
        <f t="shared" si="332"/>
        <v>23</v>
      </c>
      <c r="T218" s="19">
        <f t="shared" si="333"/>
        <v>1.76088</v>
      </c>
      <c r="U218" s="21">
        <f t="shared" si="334"/>
        <v>-23</v>
      </c>
      <c r="V218" s="19">
        <f t="shared" si="335"/>
        <v>-1.76088</v>
      </c>
      <c r="X218" s="29"/>
    </row>
    <row r="219" spans="1:24">
      <c r="A219" s="26" t="s">
        <v>13</v>
      </c>
      <c r="B219" s="26" t="s">
        <v>181</v>
      </c>
      <c r="C219" s="26">
        <v>6.38</v>
      </c>
      <c r="D219" s="27">
        <v>11.5</v>
      </c>
      <c r="E219" s="28"/>
      <c r="F219" s="16">
        <f t="shared" si="327"/>
        <v>0</v>
      </c>
      <c r="G219" s="17"/>
      <c r="H219" s="18"/>
      <c r="I219" s="19">
        <f t="shared" si="328"/>
        <v>0</v>
      </c>
      <c r="J219" s="16"/>
      <c r="K219" s="18">
        <v>5</v>
      </c>
      <c r="L219" s="19">
        <f t="shared" si="329"/>
        <v>0.36685000000000001</v>
      </c>
      <c r="M219" s="16"/>
      <c r="N219" s="18"/>
      <c r="O219" s="19">
        <f t="shared" si="330"/>
        <v>0</v>
      </c>
      <c r="P219" s="16"/>
      <c r="Q219" s="18"/>
      <c r="R219" s="19">
        <f t="shared" si="331"/>
        <v>0</v>
      </c>
      <c r="S219" s="20">
        <f t="shared" si="332"/>
        <v>5</v>
      </c>
      <c r="T219" s="19">
        <f t="shared" si="333"/>
        <v>0.36685000000000001</v>
      </c>
      <c r="U219" s="21">
        <f t="shared" si="334"/>
        <v>-5</v>
      </c>
      <c r="V219" s="19">
        <f t="shared" si="335"/>
        <v>-0.36685000000000001</v>
      </c>
      <c r="X219" s="29"/>
    </row>
    <row r="220" spans="1:24">
      <c r="A220" s="26" t="s">
        <v>13</v>
      </c>
      <c r="B220" s="26" t="s">
        <v>181</v>
      </c>
      <c r="C220" s="26">
        <v>6.38</v>
      </c>
      <c r="D220" s="27"/>
      <c r="E220" s="28"/>
      <c r="F220" s="16">
        <f t="shared" si="318"/>
        <v>0</v>
      </c>
      <c r="G220" s="17"/>
      <c r="H220" s="18"/>
      <c r="I220" s="19">
        <f t="shared" si="319"/>
        <v>0</v>
      </c>
      <c r="J220" s="16"/>
      <c r="K220" s="18"/>
      <c r="L220" s="19">
        <f t="shared" si="320"/>
        <v>0</v>
      </c>
      <c r="M220" s="16"/>
      <c r="N220" s="18"/>
      <c r="O220" s="19">
        <f t="shared" si="321"/>
        <v>0</v>
      </c>
      <c r="P220" s="16"/>
      <c r="Q220" s="18"/>
      <c r="R220" s="19">
        <f t="shared" si="322"/>
        <v>0</v>
      </c>
      <c r="S220" s="20">
        <f t="shared" si="323"/>
        <v>0</v>
      </c>
      <c r="T220" s="19">
        <f t="shared" si="324"/>
        <v>0</v>
      </c>
      <c r="U220" s="21">
        <f t="shared" si="325"/>
        <v>0</v>
      </c>
      <c r="V220" s="19">
        <f t="shared" si="326"/>
        <v>0</v>
      </c>
      <c r="X220" s="29"/>
    </row>
    <row r="221" spans="1:24">
      <c r="A221" s="36"/>
      <c r="B221" s="36"/>
      <c r="C221" s="36"/>
      <c r="D221" s="38"/>
      <c r="E221" s="31">
        <f>SUM(E215:E220)</f>
        <v>166</v>
      </c>
      <c r="F221" s="45">
        <f>SUM(F215:F220)</f>
        <v>10.720952</v>
      </c>
      <c r="G221" s="17"/>
      <c r="H221" s="31">
        <f>SUM(H215:H220)</f>
        <v>67</v>
      </c>
      <c r="I221" s="38">
        <f>SUM(I215:I220)</f>
        <v>4.4618529999999996</v>
      </c>
      <c r="J221" s="16"/>
      <c r="K221" s="31">
        <f>SUM(K215:K220)</f>
        <v>97</v>
      </c>
      <c r="L221" s="38">
        <f>SUM(L215:L220)</f>
        <v>6.4428430000000008</v>
      </c>
      <c r="M221" s="16"/>
      <c r="N221" s="31">
        <f>SUM(N215:N220)</f>
        <v>0</v>
      </c>
      <c r="O221" s="38">
        <f>SUM(O215:O220)</f>
        <v>0</v>
      </c>
      <c r="P221" s="16"/>
      <c r="Q221" s="31">
        <f t="shared" ref="Q221:V221" si="336">SUM(Q215:Q220)</f>
        <v>0</v>
      </c>
      <c r="R221" s="38">
        <f t="shared" si="336"/>
        <v>0</v>
      </c>
      <c r="S221" s="31">
        <f t="shared" si="336"/>
        <v>164</v>
      </c>
      <c r="T221" s="38">
        <f t="shared" si="336"/>
        <v>10.904696</v>
      </c>
      <c r="U221" s="31">
        <f t="shared" si="336"/>
        <v>2</v>
      </c>
      <c r="V221" s="38">
        <f t="shared" si="336"/>
        <v>-0.1837439999999998</v>
      </c>
      <c r="X221" s="29"/>
    </row>
    <row r="222" spans="1:24">
      <c r="A222" s="26" t="s">
        <v>13</v>
      </c>
      <c r="B222" s="26" t="s">
        <v>34</v>
      </c>
      <c r="C222" s="26">
        <v>5.76</v>
      </c>
      <c r="D222" s="27">
        <v>8.8000000000000007</v>
      </c>
      <c r="E222" s="28">
        <v>14</v>
      </c>
      <c r="F222" s="16">
        <f t="shared" ref="F222:F231" si="337">(C222*D222*E222/1000)</f>
        <v>0.70963200000000004</v>
      </c>
      <c r="G222" s="17" t="s">
        <v>111</v>
      </c>
      <c r="H222" s="18">
        <v>8</v>
      </c>
      <c r="I222" s="19">
        <f t="shared" ref="I222:I231" si="338">(C222*D222*H222/1000)</f>
        <v>0.40550400000000003</v>
      </c>
      <c r="J222" s="16" t="s">
        <v>89</v>
      </c>
      <c r="K222" s="18">
        <v>6</v>
      </c>
      <c r="L222" s="19">
        <f t="shared" ref="L222:L231" si="339">(C222*D222*K222/1000)</f>
        <v>0.30412800000000006</v>
      </c>
      <c r="M222" s="16" t="s">
        <v>93</v>
      </c>
      <c r="N222" s="18"/>
      <c r="O222" s="19">
        <f t="shared" ref="O222:O231" si="340">(C222*D222*N222/1000)</f>
        <v>0</v>
      </c>
      <c r="P222" s="16"/>
      <c r="Q222" s="18"/>
      <c r="R222" s="19">
        <f t="shared" ref="R222:R231" si="341">(C222*D222*Q222/1000)</f>
        <v>0</v>
      </c>
      <c r="S222" s="20">
        <f t="shared" ref="S222:S231" si="342">+H222+K222+Q222+N222</f>
        <v>14</v>
      </c>
      <c r="T222" s="19">
        <f t="shared" ref="T222:T231" si="343">+I222+L222+R222+O222</f>
        <v>0.70963200000000004</v>
      </c>
      <c r="U222" s="21">
        <f t="shared" ref="U222:U231" si="344">E222-S222</f>
        <v>0</v>
      </c>
      <c r="V222" s="19">
        <f t="shared" ref="V222:V231" si="345">F222-T222</f>
        <v>0</v>
      </c>
      <c r="X222" s="29"/>
    </row>
    <row r="223" spans="1:24">
      <c r="A223" s="26" t="s">
        <v>13</v>
      </c>
      <c r="B223" s="26" t="s">
        <v>34</v>
      </c>
      <c r="C223" s="26">
        <v>5.76</v>
      </c>
      <c r="D223" s="27">
        <v>9.5</v>
      </c>
      <c r="E223" s="28">
        <v>21</v>
      </c>
      <c r="F223" s="16">
        <f t="shared" ref="F223:F224" si="346">(C223*D223*E223/1000)</f>
        <v>1.1491199999999999</v>
      </c>
      <c r="G223" s="17" t="s">
        <v>196</v>
      </c>
      <c r="H223" s="18">
        <v>6</v>
      </c>
      <c r="I223" s="19">
        <f t="shared" ref="I223:I224" si="347">(C223*D223*H223/1000)</f>
        <v>0.32832</v>
      </c>
      <c r="J223" s="16" t="s">
        <v>197</v>
      </c>
      <c r="K223" s="18">
        <v>16</v>
      </c>
      <c r="L223" s="19">
        <f t="shared" ref="L223:L224" si="348">(C223*D223*K223/1000)</f>
        <v>0.87551999999999996</v>
      </c>
      <c r="M223" s="16" t="s">
        <v>200</v>
      </c>
      <c r="N223" s="18">
        <v>1</v>
      </c>
      <c r="O223" s="19">
        <f t="shared" ref="O223:O224" si="349">(C223*D223*N223/1000)</f>
        <v>5.4719999999999998E-2</v>
      </c>
      <c r="P223" s="16"/>
      <c r="Q223" s="18"/>
      <c r="R223" s="19">
        <f t="shared" ref="R223:R224" si="350">(C223*D223*Q223/1000)</f>
        <v>0</v>
      </c>
      <c r="S223" s="20">
        <f t="shared" ref="S223:S224" si="351">+H223+K223+Q223+N223</f>
        <v>23</v>
      </c>
      <c r="T223" s="19">
        <f t="shared" ref="T223:T224" si="352">+I223+L223+R223+O223</f>
        <v>1.2585600000000001</v>
      </c>
      <c r="U223" s="21">
        <f t="shared" ref="U223:U224" si="353">E223-S223</f>
        <v>-2</v>
      </c>
      <c r="V223" s="19">
        <f t="shared" ref="V223:V224" si="354">F223-T223</f>
        <v>-0.1094400000000002</v>
      </c>
      <c r="X223" s="29"/>
    </row>
    <row r="224" spans="1:24">
      <c r="A224" s="26" t="s">
        <v>13</v>
      </c>
      <c r="B224" s="26" t="s">
        <v>34</v>
      </c>
      <c r="C224" s="26">
        <v>5.76</v>
      </c>
      <c r="D224" s="27">
        <v>10</v>
      </c>
      <c r="E224" s="28">
        <v>27</v>
      </c>
      <c r="F224" s="16">
        <f t="shared" si="346"/>
        <v>1.5551999999999999</v>
      </c>
      <c r="G224" s="17"/>
      <c r="H224" s="18">
        <v>4</v>
      </c>
      <c r="I224" s="19">
        <f t="shared" si="347"/>
        <v>0.23039999999999997</v>
      </c>
      <c r="J224" s="16"/>
      <c r="K224" s="18">
        <v>6</v>
      </c>
      <c r="L224" s="19">
        <f t="shared" si="348"/>
        <v>0.34559999999999996</v>
      </c>
      <c r="M224" s="16"/>
      <c r="N224" s="18"/>
      <c r="O224" s="19">
        <f t="shared" si="349"/>
        <v>0</v>
      </c>
      <c r="P224" s="16"/>
      <c r="Q224" s="18"/>
      <c r="R224" s="19">
        <f t="shared" si="350"/>
        <v>0</v>
      </c>
      <c r="S224" s="20">
        <f t="shared" si="351"/>
        <v>10</v>
      </c>
      <c r="T224" s="19">
        <f t="shared" si="352"/>
        <v>0.57599999999999996</v>
      </c>
      <c r="U224" s="21">
        <f t="shared" si="353"/>
        <v>17</v>
      </c>
      <c r="V224" s="19">
        <f t="shared" si="354"/>
        <v>0.97919999999999996</v>
      </c>
      <c r="X224" s="29"/>
    </row>
    <row r="225" spans="1:24">
      <c r="A225" s="26" t="s">
        <v>13</v>
      </c>
      <c r="B225" s="26" t="s">
        <v>34</v>
      </c>
      <c r="C225" s="26">
        <v>5.76</v>
      </c>
      <c r="D225" s="27">
        <v>11</v>
      </c>
      <c r="E225" s="28">
        <v>89</v>
      </c>
      <c r="F225" s="16">
        <f t="shared" si="337"/>
        <v>5.6390399999999996</v>
      </c>
      <c r="G225" s="17"/>
      <c r="H225" s="18">
        <v>53</v>
      </c>
      <c r="I225" s="19">
        <f t="shared" si="338"/>
        <v>3.3580799999999997</v>
      </c>
      <c r="J225" s="16"/>
      <c r="K225" s="18">
        <f>8+9</f>
        <v>17</v>
      </c>
      <c r="L225" s="19">
        <f t="shared" si="339"/>
        <v>1.0771199999999999</v>
      </c>
      <c r="M225" s="16"/>
      <c r="N225" s="18"/>
      <c r="O225" s="19">
        <f t="shared" si="340"/>
        <v>0</v>
      </c>
      <c r="P225" s="16"/>
      <c r="Q225" s="18"/>
      <c r="R225" s="19">
        <f t="shared" si="341"/>
        <v>0</v>
      </c>
      <c r="S225" s="20">
        <f t="shared" si="342"/>
        <v>70</v>
      </c>
      <c r="T225" s="19">
        <f t="shared" si="343"/>
        <v>4.4352</v>
      </c>
      <c r="U225" s="21">
        <f t="shared" si="344"/>
        <v>19</v>
      </c>
      <c r="V225" s="19">
        <f t="shared" si="345"/>
        <v>1.2038399999999996</v>
      </c>
      <c r="X225" s="29"/>
    </row>
    <row r="226" spans="1:24">
      <c r="A226" s="26" t="s">
        <v>13</v>
      </c>
      <c r="B226" s="26" t="s">
        <v>34</v>
      </c>
      <c r="C226" s="26">
        <v>5.76</v>
      </c>
      <c r="D226" s="27">
        <v>11.5</v>
      </c>
      <c r="E226" s="28">
        <v>19</v>
      </c>
      <c r="F226" s="16">
        <f t="shared" si="337"/>
        <v>1.2585599999999999</v>
      </c>
      <c r="G226" s="17"/>
      <c r="H226" s="18"/>
      <c r="I226" s="19">
        <f t="shared" si="338"/>
        <v>0</v>
      </c>
      <c r="J226" s="16"/>
      <c r="K226" s="18">
        <v>20</v>
      </c>
      <c r="L226" s="19">
        <f t="shared" si="339"/>
        <v>1.3248</v>
      </c>
      <c r="M226" s="16"/>
      <c r="N226" s="18"/>
      <c r="O226" s="19">
        <f t="shared" si="340"/>
        <v>0</v>
      </c>
      <c r="P226" s="16"/>
      <c r="Q226" s="18"/>
      <c r="R226" s="19">
        <f t="shared" si="341"/>
        <v>0</v>
      </c>
      <c r="S226" s="20">
        <f t="shared" si="342"/>
        <v>20</v>
      </c>
      <c r="T226" s="19">
        <f t="shared" si="343"/>
        <v>1.3248</v>
      </c>
      <c r="U226" s="21">
        <f t="shared" si="344"/>
        <v>-1</v>
      </c>
      <c r="V226" s="19">
        <f t="shared" si="345"/>
        <v>-6.6240000000000077E-2</v>
      </c>
      <c r="X226" s="29"/>
    </row>
    <row r="227" spans="1:24">
      <c r="A227" s="26" t="s">
        <v>13</v>
      </c>
      <c r="B227" s="26" t="s">
        <v>34</v>
      </c>
      <c r="C227" s="26">
        <v>5.76</v>
      </c>
      <c r="D227" s="27">
        <v>11.507999999999999</v>
      </c>
      <c r="E227" s="28">
        <v>50</v>
      </c>
      <c r="F227" s="16">
        <f t="shared" ref="F227:F230" si="355">(C227*D227*E227/1000)</f>
        <v>3.3143039999999999</v>
      </c>
      <c r="G227" s="17"/>
      <c r="H227" s="18">
        <v>31</v>
      </c>
      <c r="I227" s="19">
        <f t="shared" ref="I227:I230" si="356">(C227*D227*H227/1000)</f>
        <v>2.0548684800000001</v>
      </c>
      <c r="J227" s="16"/>
      <c r="K227" s="18">
        <v>19</v>
      </c>
      <c r="L227" s="19">
        <f t="shared" ref="L227:L230" si="357">(C227*D227*K227/1000)</f>
        <v>1.25943552</v>
      </c>
      <c r="M227" s="16"/>
      <c r="N227" s="18"/>
      <c r="O227" s="19">
        <f t="shared" ref="O227:O230" si="358">(C227*D227*N227/1000)</f>
        <v>0</v>
      </c>
      <c r="P227" s="16"/>
      <c r="Q227" s="18"/>
      <c r="R227" s="19">
        <f t="shared" ref="R227:R230" si="359">(C227*D227*Q227/1000)</f>
        <v>0</v>
      </c>
      <c r="S227" s="20">
        <f t="shared" ref="S227:S230" si="360">+H227+K227+Q227+N227</f>
        <v>50</v>
      </c>
      <c r="T227" s="19">
        <f t="shared" ref="T227:T230" si="361">+I227+L227+R227+O227</f>
        <v>3.3143039999999999</v>
      </c>
      <c r="U227" s="21">
        <f t="shared" ref="U227:U230" si="362">E227-S227</f>
        <v>0</v>
      </c>
      <c r="V227" s="19">
        <f t="shared" ref="V227:V230" si="363">F227-T227</f>
        <v>0</v>
      </c>
      <c r="X227" s="29"/>
    </row>
    <row r="228" spans="1:24">
      <c r="A228" s="26" t="s">
        <v>13</v>
      </c>
      <c r="B228" s="26" t="s">
        <v>34</v>
      </c>
      <c r="C228" s="26">
        <v>5.76</v>
      </c>
      <c r="D228" s="27">
        <v>12</v>
      </c>
      <c r="E228" s="28">
        <v>50</v>
      </c>
      <c r="F228" s="16">
        <f t="shared" si="355"/>
        <v>3.456</v>
      </c>
      <c r="G228" s="17"/>
      <c r="H228" s="18">
        <v>29</v>
      </c>
      <c r="I228" s="19">
        <f t="shared" si="356"/>
        <v>2.00448</v>
      </c>
      <c r="J228" s="16"/>
      <c r="K228" s="18">
        <f t="shared" ref="K228" si="364">13+37</f>
        <v>50</v>
      </c>
      <c r="L228" s="19">
        <f t="shared" si="357"/>
        <v>3.456</v>
      </c>
      <c r="M228" s="16"/>
      <c r="N228" s="18"/>
      <c r="O228" s="19">
        <f t="shared" si="358"/>
        <v>0</v>
      </c>
      <c r="P228" s="16"/>
      <c r="Q228" s="18"/>
      <c r="R228" s="19">
        <f t="shared" si="359"/>
        <v>0</v>
      </c>
      <c r="S228" s="20">
        <f t="shared" si="360"/>
        <v>79</v>
      </c>
      <c r="T228" s="19">
        <f t="shared" si="361"/>
        <v>5.4604800000000004</v>
      </c>
      <c r="U228" s="21">
        <f t="shared" si="362"/>
        <v>-29</v>
      </c>
      <c r="V228" s="19">
        <f t="shared" si="363"/>
        <v>-2.0044800000000005</v>
      </c>
      <c r="X228" s="29"/>
    </row>
    <row r="229" spans="1:24">
      <c r="A229" s="26" t="s">
        <v>13</v>
      </c>
      <c r="B229" s="26" t="s">
        <v>34</v>
      </c>
      <c r="C229" s="26">
        <v>5.76</v>
      </c>
      <c r="D229" s="27">
        <v>9</v>
      </c>
      <c r="E229" s="28"/>
      <c r="F229" s="16">
        <f t="shared" si="355"/>
        <v>0</v>
      </c>
      <c r="G229" s="17"/>
      <c r="H229" s="18"/>
      <c r="I229" s="19">
        <f t="shared" si="356"/>
        <v>0</v>
      </c>
      <c r="J229" s="16"/>
      <c r="K229" s="18"/>
      <c r="L229" s="19">
        <f t="shared" si="357"/>
        <v>0</v>
      </c>
      <c r="M229" s="16"/>
      <c r="N229" s="18">
        <v>1</v>
      </c>
      <c r="O229" s="19">
        <f t="shared" si="358"/>
        <v>5.1839999999999997E-2</v>
      </c>
      <c r="P229" s="16"/>
      <c r="Q229" s="18"/>
      <c r="R229" s="19">
        <f t="shared" si="359"/>
        <v>0</v>
      </c>
      <c r="S229" s="20">
        <f t="shared" si="360"/>
        <v>1</v>
      </c>
      <c r="T229" s="19">
        <f t="shared" si="361"/>
        <v>5.1839999999999997E-2</v>
      </c>
      <c r="U229" s="21">
        <f t="shared" si="362"/>
        <v>-1</v>
      </c>
      <c r="V229" s="19">
        <f t="shared" si="363"/>
        <v>-5.1839999999999997E-2</v>
      </c>
      <c r="X229" s="29"/>
    </row>
    <row r="230" spans="1:24">
      <c r="A230" s="26" t="s">
        <v>13</v>
      </c>
      <c r="B230" s="26" t="s">
        <v>34</v>
      </c>
      <c r="C230" s="26">
        <v>5.76</v>
      </c>
      <c r="D230" s="27">
        <v>8.8000000000000007</v>
      </c>
      <c r="E230" s="28"/>
      <c r="F230" s="16">
        <f t="shared" si="355"/>
        <v>0</v>
      </c>
      <c r="G230" s="17"/>
      <c r="H230" s="18"/>
      <c r="I230" s="19">
        <f t="shared" si="356"/>
        <v>0</v>
      </c>
      <c r="J230" s="16"/>
      <c r="K230" s="18"/>
      <c r="L230" s="19">
        <f t="shared" si="357"/>
        <v>0</v>
      </c>
      <c r="M230" s="16"/>
      <c r="N230" s="18">
        <v>1</v>
      </c>
      <c r="O230" s="19">
        <f t="shared" si="358"/>
        <v>5.0688000000000004E-2</v>
      </c>
      <c r="P230" s="16"/>
      <c r="Q230" s="18"/>
      <c r="R230" s="19">
        <f t="shared" si="359"/>
        <v>0</v>
      </c>
      <c r="S230" s="20">
        <f t="shared" si="360"/>
        <v>1</v>
      </c>
      <c r="T230" s="19">
        <f t="shared" si="361"/>
        <v>5.0688000000000004E-2</v>
      </c>
      <c r="U230" s="21">
        <f t="shared" si="362"/>
        <v>-1</v>
      </c>
      <c r="V230" s="19">
        <f t="shared" si="363"/>
        <v>-5.0688000000000004E-2</v>
      </c>
      <c r="X230" s="29"/>
    </row>
    <row r="231" spans="1:24">
      <c r="A231" s="26" t="s">
        <v>13</v>
      </c>
      <c r="B231" s="26" t="s">
        <v>34</v>
      </c>
      <c r="C231" s="26">
        <v>5.76</v>
      </c>
      <c r="D231" s="27">
        <v>7.5</v>
      </c>
      <c r="E231" s="28"/>
      <c r="F231" s="16">
        <f t="shared" si="337"/>
        <v>0</v>
      </c>
      <c r="G231" s="17"/>
      <c r="H231" s="18"/>
      <c r="I231" s="19">
        <f t="shared" si="338"/>
        <v>0</v>
      </c>
      <c r="J231" s="16"/>
      <c r="K231" s="18"/>
      <c r="L231" s="19">
        <f t="shared" si="339"/>
        <v>0</v>
      </c>
      <c r="M231" s="16"/>
      <c r="N231" s="18">
        <v>1</v>
      </c>
      <c r="O231" s="19">
        <f t="shared" si="340"/>
        <v>4.3199999999999995E-2</v>
      </c>
      <c r="P231" s="16"/>
      <c r="Q231" s="18"/>
      <c r="R231" s="19">
        <f t="shared" si="341"/>
        <v>0</v>
      </c>
      <c r="S231" s="20">
        <f t="shared" si="342"/>
        <v>1</v>
      </c>
      <c r="T231" s="19">
        <f t="shared" si="343"/>
        <v>4.3199999999999995E-2</v>
      </c>
      <c r="U231" s="21">
        <f t="shared" si="344"/>
        <v>-1</v>
      </c>
      <c r="V231" s="19">
        <f t="shared" si="345"/>
        <v>-4.3199999999999995E-2</v>
      </c>
      <c r="X231" s="29"/>
    </row>
    <row r="232" spans="1:24">
      <c r="A232" s="36"/>
      <c r="B232" s="36"/>
      <c r="C232" s="36"/>
      <c r="D232" s="38"/>
      <c r="E232" s="31">
        <f>SUM(E222:E231)</f>
        <v>270</v>
      </c>
      <c r="F232" s="45">
        <f>SUM(F222:F231)</f>
        <v>17.081855999999998</v>
      </c>
      <c r="G232" s="17"/>
      <c r="H232" s="31">
        <f>SUM(H222:H231)</f>
        <v>131</v>
      </c>
      <c r="I232" s="38">
        <f>SUM(I222:I231)</f>
        <v>8.3816524799999996</v>
      </c>
      <c r="J232" s="16"/>
      <c r="K232" s="31">
        <f>SUM(K222:K231)</f>
        <v>134</v>
      </c>
      <c r="L232" s="38">
        <f>SUM(L222:L231)</f>
        <v>8.6426035199999998</v>
      </c>
      <c r="M232" s="16"/>
      <c r="N232" s="31">
        <f>SUM(N222:N231)</f>
        <v>4</v>
      </c>
      <c r="O232" s="38">
        <f>SUM(O222:O231)</f>
        <v>0.20044799999999999</v>
      </c>
      <c r="P232" s="16"/>
      <c r="Q232" s="31">
        <f t="shared" ref="Q232:V232" si="365">SUM(Q222:Q231)</f>
        <v>0</v>
      </c>
      <c r="R232" s="38">
        <f t="shared" si="365"/>
        <v>0</v>
      </c>
      <c r="S232" s="31">
        <f t="shared" si="365"/>
        <v>269</v>
      </c>
      <c r="T232" s="38">
        <f t="shared" si="365"/>
        <v>17.224703999999999</v>
      </c>
      <c r="U232" s="31">
        <f t="shared" si="365"/>
        <v>1</v>
      </c>
      <c r="V232" s="38">
        <f t="shared" si="365"/>
        <v>-0.14284800000000111</v>
      </c>
      <c r="X232" s="29"/>
    </row>
    <row r="233" spans="1:24">
      <c r="A233" s="26" t="s">
        <v>13</v>
      </c>
      <c r="B233" s="26" t="s">
        <v>35</v>
      </c>
      <c r="C233" s="26">
        <v>6.85</v>
      </c>
      <c r="D233" s="27">
        <v>8</v>
      </c>
      <c r="E233" s="28">
        <v>9</v>
      </c>
      <c r="F233" s="16">
        <f t="shared" ref="F233:F245" si="366">(C233*D233*E233/1000)</f>
        <v>0.49319999999999997</v>
      </c>
      <c r="G233" s="17" t="s">
        <v>111</v>
      </c>
      <c r="H233" s="18">
        <v>4</v>
      </c>
      <c r="I233" s="19">
        <f t="shared" ref="I233:I245" si="367">(C233*D233*H233/1000)</f>
        <v>0.21919999999999998</v>
      </c>
      <c r="J233" s="16" t="s">
        <v>89</v>
      </c>
      <c r="K233" s="18"/>
      <c r="L233" s="19">
        <f t="shared" ref="L233:L245" si="368">(C233*D233*K233/1000)</f>
        <v>0</v>
      </c>
      <c r="M233" s="16" t="s">
        <v>93</v>
      </c>
      <c r="N233" s="18"/>
      <c r="O233" s="19">
        <f t="shared" ref="O233:O245" si="369">(C233*D233*N233/1000)</f>
        <v>0</v>
      </c>
      <c r="P233" s="16"/>
      <c r="Q233" s="18"/>
      <c r="R233" s="19">
        <f t="shared" ref="R233:R245" si="370">(C233*D233*Q233/1000)</f>
        <v>0</v>
      </c>
      <c r="S233" s="20">
        <f t="shared" ref="S233:S245" si="371">+H233+K233+Q233+N233</f>
        <v>4</v>
      </c>
      <c r="T233" s="19">
        <f t="shared" ref="T233:T245" si="372">+I233+L233+R233+O233</f>
        <v>0.21919999999999998</v>
      </c>
      <c r="U233" s="21">
        <f t="shared" ref="U233:U245" si="373">E233-S233</f>
        <v>5</v>
      </c>
      <c r="V233" s="19">
        <f t="shared" ref="V233:V245" si="374">F233-T233</f>
        <v>0.27400000000000002</v>
      </c>
      <c r="X233" s="29"/>
    </row>
    <row r="234" spans="1:24">
      <c r="A234" s="26" t="s">
        <v>13</v>
      </c>
      <c r="B234" s="26" t="s">
        <v>35</v>
      </c>
      <c r="C234" s="26">
        <v>6.85</v>
      </c>
      <c r="D234" s="27">
        <v>9.6</v>
      </c>
      <c r="E234" s="28">
        <v>25</v>
      </c>
      <c r="F234" s="16">
        <f t="shared" ref="F234:F235" si="375">(C234*D234*E234/1000)</f>
        <v>1.6439999999999997</v>
      </c>
      <c r="G234" s="17" t="s">
        <v>196</v>
      </c>
      <c r="H234" s="18">
        <v>4</v>
      </c>
      <c r="I234" s="19">
        <f t="shared" ref="I234:I235" si="376">(C234*D234*H234/1000)</f>
        <v>0.26303999999999994</v>
      </c>
      <c r="J234" s="16" t="s">
        <v>197</v>
      </c>
      <c r="K234" s="18"/>
      <c r="L234" s="19">
        <f t="shared" ref="L234:L235" si="377">(C234*D234*K234/1000)</f>
        <v>0</v>
      </c>
      <c r="M234" s="16" t="s">
        <v>200</v>
      </c>
      <c r="N234" s="18"/>
      <c r="O234" s="19">
        <f t="shared" ref="O234:O235" si="378">(C234*D234*N234/1000)</f>
        <v>0</v>
      </c>
      <c r="P234" s="16"/>
      <c r="Q234" s="18"/>
      <c r="R234" s="19">
        <f t="shared" ref="R234:R235" si="379">(C234*D234*Q234/1000)</f>
        <v>0</v>
      </c>
      <c r="S234" s="20">
        <f t="shared" ref="S234:S235" si="380">+H234+K234+Q234+N234</f>
        <v>4</v>
      </c>
      <c r="T234" s="19">
        <f t="shared" ref="T234:T235" si="381">+I234+L234+R234+O234</f>
        <v>0.26303999999999994</v>
      </c>
      <c r="U234" s="21">
        <f t="shared" ref="U234:U235" si="382">E234-S234</f>
        <v>21</v>
      </c>
      <c r="V234" s="19">
        <f t="shared" ref="V234:V235" si="383">F234-T234</f>
        <v>1.3809599999999997</v>
      </c>
      <c r="X234" s="29"/>
    </row>
    <row r="235" spans="1:24">
      <c r="A235" s="26" t="s">
        <v>13</v>
      </c>
      <c r="B235" s="26" t="s">
        <v>35</v>
      </c>
      <c r="C235" s="26">
        <v>6.85</v>
      </c>
      <c r="D235" s="27">
        <v>10</v>
      </c>
      <c r="E235" s="28">
        <v>23</v>
      </c>
      <c r="F235" s="16">
        <f t="shared" si="375"/>
        <v>1.5754999999999999</v>
      </c>
      <c r="G235" s="17"/>
      <c r="H235" s="18">
        <v>10</v>
      </c>
      <c r="I235" s="19">
        <f t="shared" si="376"/>
        <v>0.68500000000000005</v>
      </c>
      <c r="J235" s="16"/>
      <c r="K235" s="18"/>
      <c r="L235" s="19">
        <f t="shared" si="377"/>
        <v>0</v>
      </c>
      <c r="M235" s="16"/>
      <c r="N235" s="18"/>
      <c r="O235" s="19">
        <f t="shared" si="378"/>
        <v>0</v>
      </c>
      <c r="P235" s="16"/>
      <c r="Q235" s="18"/>
      <c r="R235" s="19">
        <f t="shared" si="379"/>
        <v>0</v>
      </c>
      <c r="S235" s="20">
        <f t="shared" si="380"/>
        <v>10</v>
      </c>
      <c r="T235" s="19">
        <f t="shared" si="381"/>
        <v>0.68500000000000005</v>
      </c>
      <c r="U235" s="21">
        <f t="shared" si="382"/>
        <v>13</v>
      </c>
      <c r="V235" s="19">
        <f t="shared" si="383"/>
        <v>0.89049999999999985</v>
      </c>
      <c r="X235" s="29"/>
    </row>
    <row r="236" spans="1:24">
      <c r="A236" s="26" t="s">
        <v>13</v>
      </c>
      <c r="B236" s="26" t="s">
        <v>35</v>
      </c>
      <c r="C236" s="26">
        <v>6.85</v>
      </c>
      <c r="D236" s="27">
        <v>10.3</v>
      </c>
      <c r="E236" s="28">
        <v>128</v>
      </c>
      <c r="F236" s="16">
        <f t="shared" si="366"/>
        <v>9.0310400000000008</v>
      </c>
      <c r="G236" s="17"/>
      <c r="H236" s="18">
        <f>35+30</f>
        <v>65</v>
      </c>
      <c r="I236" s="19">
        <f t="shared" si="367"/>
        <v>4.586075000000001</v>
      </c>
      <c r="J236" s="16"/>
      <c r="K236" s="18">
        <v>61</v>
      </c>
      <c r="L236" s="19">
        <f t="shared" si="368"/>
        <v>4.3038550000000004</v>
      </c>
      <c r="M236" s="16"/>
      <c r="N236" s="18"/>
      <c r="O236" s="19">
        <f t="shared" si="369"/>
        <v>0</v>
      </c>
      <c r="P236" s="16"/>
      <c r="Q236" s="18"/>
      <c r="R236" s="19">
        <f t="shared" si="370"/>
        <v>0</v>
      </c>
      <c r="S236" s="20">
        <f t="shared" si="371"/>
        <v>126</v>
      </c>
      <c r="T236" s="19">
        <f t="shared" si="372"/>
        <v>8.8899300000000014</v>
      </c>
      <c r="U236" s="21">
        <f t="shared" si="373"/>
        <v>2</v>
      </c>
      <c r="V236" s="19">
        <f t="shared" si="374"/>
        <v>0.1411099999999994</v>
      </c>
      <c r="X236" s="29"/>
    </row>
    <row r="237" spans="1:24">
      <c r="A237" s="26" t="s">
        <v>13</v>
      </c>
      <c r="B237" s="26" t="s">
        <v>35</v>
      </c>
      <c r="C237" s="26">
        <v>6.85</v>
      </c>
      <c r="D237" s="27">
        <v>10.8</v>
      </c>
      <c r="E237" s="28">
        <v>64</v>
      </c>
      <c r="F237" s="16">
        <f t="shared" si="366"/>
        <v>4.7347200000000003</v>
      </c>
      <c r="G237" s="17"/>
      <c r="H237" s="18">
        <v>33</v>
      </c>
      <c r="I237" s="19">
        <f t="shared" si="367"/>
        <v>2.4413400000000003</v>
      </c>
      <c r="J237" s="16"/>
      <c r="K237" s="18">
        <v>39</v>
      </c>
      <c r="L237" s="19">
        <f t="shared" si="368"/>
        <v>2.8852200000000003</v>
      </c>
      <c r="M237" s="16"/>
      <c r="N237" s="18"/>
      <c r="O237" s="19">
        <f t="shared" si="369"/>
        <v>0</v>
      </c>
      <c r="P237" s="16"/>
      <c r="Q237" s="18"/>
      <c r="R237" s="19">
        <f t="shared" si="370"/>
        <v>0</v>
      </c>
      <c r="S237" s="20">
        <f t="shared" si="371"/>
        <v>72</v>
      </c>
      <c r="T237" s="19">
        <f t="shared" si="372"/>
        <v>5.3265600000000006</v>
      </c>
      <c r="U237" s="21">
        <f t="shared" si="373"/>
        <v>-8</v>
      </c>
      <c r="V237" s="19">
        <f t="shared" si="374"/>
        <v>-0.59184000000000037</v>
      </c>
      <c r="X237" s="29"/>
    </row>
    <row r="238" spans="1:24">
      <c r="A238" s="26" t="s">
        <v>13</v>
      </c>
      <c r="B238" s="26" t="s">
        <v>35</v>
      </c>
      <c r="C238" s="26">
        <v>6.85</v>
      </c>
      <c r="D238" s="27">
        <v>12</v>
      </c>
      <c r="E238" s="28">
        <v>84</v>
      </c>
      <c r="F238" s="16">
        <f t="shared" ref="F238:F244" si="384">(C238*D238*E238/1000)</f>
        <v>6.9047999999999989</v>
      </c>
      <c r="G238" s="17"/>
      <c r="H238" s="18">
        <v>35</v>
      </c>
      <c r="I238" s="19">
        <f t="shared" ref="I238:I244" si="385">(C238*D238*H238/1000)</f>
        <v>2.8769999999999993</v>
      </c>
      <c r="J238" s="16"/>
      <c r="K238" s="18">
        <v>65</v>
      </c>
      <c r="L238" s="19">
        <f t="shared" ref="L238:L244" si="386">(C238*D238*K238/1000)</f>
        <v>5.3429999999999991</v>
      </c>
      <c r="M238" s="16"/>
      <c r="N238" s="18">
        <v>1</v>
      </c>
      <c r="O238" s="19">
        <f t="shared" ref="O238:O244" si="387">(C238*D238*N238/1000)</f>
        <v>8.2199999999999995E-2</v>
      </c>
      <c r="P238" s="16"/>
      <c r="Q238" s="18"/>
      <c r="R238" s="19">
        <f t="shared" ref="R238:R244" si="388">(C238*D238*Q238/1000)</f>
        <v>0</v>
      </c>
      <c r="S238" s="20">
        <f t="shared" ref="S238:S244" si="389">+H238+K238+Q238+N238</f>
        <v>101</v>
      </c>
      <c r="T238" s="19">
        <f t="shared" ref="T238:T244" si="390">+I238+L238+R238+O238</f>
        <v>8.3021999999999991</v>
      </c>
      <c r="U238" s="21">
        <f t="shared" ref="U238:U244" si="391">E238-S238</f>
        <v>-17</v>
      </c>
      <c r="V238" s="19">
        <f t="shared" ref="V238:V244" si="392">F238-T238</f>
        <v>-1.3974000000000002</v>
      </c>
      <c r="X238" s="29"/>
    </row>
    <row r="239" spans="1:24">
      <c r="A239" s="26" t="s">
        <v>13</v>
      </c>
      <c r="B239" s="26" t="s">
        <v>35</v>
      </c>
      <c r="C239" s="26">
        <v>6.85</v>
      </c>
      <c r="D239" s="27">
        <v>6.4</v>
      </c>
      <c r="E239" s="28"/>
      <c r="F239" s="16">
        <f t="shared" si="384"/>
        <v>0</v>
      </c>
      <c r="G239" s="17"/>
      <c r="H239" s="18"/>
      <c r="I239" s="19">
        <f t="shared" si="385"/>
        <v>0</v>
      </c>
      <c r="J239" s="16"/>
      <c r="K239" s="18"/>
      <c r="L239" s="19">
        <f t="shared" si="386"/>
        <v>0</v>
      </c>
      <c r="M239" s="16"/>
      <c r="N239" s="18">
        <v>1</v>
      </c>
      <c r="O239" s="19">
        <f t="shared" si="387"/>
        <v>4.3840000000000004E-2</v>
      </c>
      <c r="P239" s="16"/>
      <c r="Q239" s="18"/>
      <c r="R239" s="19">
        <f t="shared" si="388"/>
        <v>0</v>
      </c>
      <c r="S239" s="20">
        <f t="shared" si="389"/>
        <v>1</v>
      </c>
      <c r="T239" s="19">
        <f t="shared" si="390"/>
        <v>4.3840000000000004E-2</v>
      </c>
      <c r="U239" s="21">
        <f t="shared" si="391"/>
        <v>-1</v>
      </c>
      <c r="V239" s="19">
        <f t="shared" si="392"/>
        <v>-4.3840000000000004E-2</v>
      </c>
      <c r="X239" s="29"/>
    </row>
    <row r="240" spans="1:24">
      <c r="A240" s="26" t="s">
        <v>13</v>
      </c>
      <c r="B240" s="26" t="s">
        <v>35</v>
      </c>
      <c r="C240" s="26">
        <v>6.85</v>
      </c>
      <c r="D240" s="27">
        <v>6.5</v>
      </c>
      <c r="E240" s="28"/>
      <c r="F240" s="16">
        <f t="shared" si="384"/>
        <v>0</v>
      </c>
      <c r="G240" s="17"/>
      <c r="H240" s="18"/>
      <c r="I240" s="19">
        <f t="shared" si="385"/>
        <v>0</v>
      </c>
      <c r="J240" s="16"/>
      <c r="K240" s="18"/>
      <c r="L240" s="19">
        <f t="shared" si="386"/>
        <v>0</v>
      </c>
      <c r="M240" s="16"/>
      <c r="N240" s="18">
        <v>4</v>
      </c>
      <c r="O240" s="19">
        <f t="shared" si="387"/>
        <v>0.17809999999999998</v>
      </c>
      <c r="P240" s="16"/>
      <c r="Q240" s="18"/>
      <c r="R240" s="19">
        <f t="shared" si="388"/>
        <v>0</v>
      </c>
      <c r="S240" s="20">
        <f t="shared" si="389"/>
        <v>4</v>
      </c>
      <c r="T240" s="19">
        <f t="shared" si="390"/>
        <v>0.17809999999999998</v>
      </c>
      <c r="U240" s="21">
        <f t="shared" si="391"/>
        <v>-4</v>
      </c>
      <c r="V240" s="19">
        <f t="shared" si="392"/>
        <v>-0.17809999999999998</v>
      </c>
      <c r="X240" s="29"/>
    </row>
    <row r="241" spans="1:24">
      <c r="A241" s="26" t="s">
        <v>13</v>
      </c>
      <c r="B241" s="26" t="s">
        <v>35</v>
      </c>
      <c r="C241" s="26">
        <v>6.85</v>
      </c>
      <c r="D241" s="27">
        <v>9.3000000000000007</v>
      </c>
      <c r="E241" s="28"/>
      <c r="F241" s="16">
        <f t="shared" si="384"/>
        <v>0</v>
      </c>
      <c r="G241" s="17"/>
      <c r="H241" s="18"/>
      <c r="I241" s="19">
        <f t="shared" si="385"/>
        <v>0</v>
      </c>
      <c r="J241" s="16"/>
      <c r="K241" s="18"/>
      <c r="L241" s="19">
        <f t="shared" si="386"/>
        <v>0</v>
      </c>
      <c r="M241" s="16"/>
      <c r="N241" s="18">
        <v>1</v>
      </c>
      <c r="O241" s="19">
        <f t="shared" si="387"/>
        <v>6.3704999999999998E-2</v>
      </c>
      <c r="P241" s="16"/>
      <c r="Q241" s="18"/>
      <c r="R241" s="19">
        <f t="shared" si="388"/>
        <v>0</v>
      </c>
      <c r="S241" s="20">
        <f t="shared" si="389"/>
        <v>1</v>
      </c>
      <c r="T241" s="19">
        <f t="shared" si="390"/>
        <v>6.3704999999999998E-2</v>
      </c>
      <c r="U241" s="21">
        <f t="shared" si="391"/>
        <v>-1</v>
      </c>
      <c r="V241" s="19">
        <f t="shared" si="392"/>
        <v>-6.3704999999999998E-2</v>
      </c>
      <c r="X241" s="29"/>
    </row>
    <row r="242" spans="1:24">
      <c r="A242" s="26" t="s">
        <v>13</v>
      </c>
      <c r="B242" s="26" t="s">
        <v>35</v>
      </c>
      <c r="C242" s="26">
        <v>6.85</v>
      </c>
      <c r="D242" s="27">
        <v>11.7</v>
      </c>
      <c r="E242" s="28"/>
      <c r="F242" s="16">
        <f t="shared" si="384"/>
        <v>0</v>
      </c>
      <c r="G242" s="17"/>
      <c r="H242" s="18"/>
      <c r="I242" s="19">
        <f t="shared" si="385"/>
        <v>0</v>
      </c>
      <c r="J242" s="16"/>
      <c r="K242" s="18"/>
      <c r="L242" s="19">
        <f t="shared" si="386"/>
        <v>0</v>
      </c>
      <c r="M242" s="16"/>
      <c r="N242" s="18">
        <v>1</v>
      </c>
      <c r="O242" s="19">
        <f t="shared" si="387"/>
        <v>8.0144999999999994E-2</v>
      </c>
      <c r="P242" s="16"/>
      <c r="Q242" s="18"/>
      <c r="R242" s="19">
        <f t="shared" si="388"/>
        <v>0</v>
      </c>
      <c r="S242" s="20">
        <f t="shared" si="389"/>
        <v>1</v>
      </c>
      <c r="T242" s="19">
        <f t="shared" si="390"/>
        <v>8.0144999999999994E-2</v>
      </c>
      <c r="U242" s="21">
        <f t="shared" si="391"/>
        <v>-1</v>
      </c>
      <c r="V242" s="19">
        <f t="shared" si="392"/>
        <v>-8.0144999999999994E-2</v>
      </c>
      <c r="X242" s="29"/>
    </row>
    <row r="243" spans="1:24">
      <c r="A243" s="26" t="s">
        <v>13</v>
      </c>
      <c r="B243" s="26" t="s">
        <v>35</v>
      </c>
      <c r="C243" s="26">
        <v>6.85</v>
      </c>
      <c r="D243" s="27">
        <v>9</v>
      </c>
      <c r="E243" s="28"/>
      <c r="F243" s="16">
        <f t="shared" si="384"/>
        <v>0</v>
      </c>
      <c r="G243" s="17"/>
      <c r="H243" s="18"/>
      <c r="I243" s="19">
        <f t="shared" si="385"/>
        <v>0</v>
      </c>
      <c r="J243" s="16"/>
      <c r="K243" s="18"/>
      <c r="L243" s="19">
        <f t="shared" si="386"/>
        <v>0</v>
      </c>
      <c r="M243" s="16"/>
      <c r="N243" s="18">
        <v>1</v>
      </c>
      <c r="O243" s="19">
        <f t="shared" si="387"/>
        <v>6.1649999999999996E-2</v>
      </c>
      <c r="P243" s="16"/>
      <c r="Q243" s="18"/>
      <c r="R243" s="19">
        <f t="shared" si="388"/>
        <v>0</v>
      </c>
      <c r="S243" s="20">
        <f t="shared" si="389"/>
        <v>1</v>
      </c>
      <c r="T243" s="19">
        <f t="shared" si="390"/>
        <v>6.1649999999999996E-2</v>
      </c>
      <c r="U243" s="21">
        <f t="shared" si="391"/>
        <v>-1</v>
      </c>
      <c r="V243" s="19">
        <f t="shared" si="392"/>
        <v>-6.1649999999999996E-2</v>
      </c>
      <c r="X243" s="29"/>
    </row>
    <row r="244" spans="1:24">
      <c r="A244" s="26" t="s">
        <v>13</v>
      </c>
      <c r="B244" s="26" t="s">
        <v>35</v>
      </c>
      <c r="C244" s="26">
        <v>6.85</v>
      </c>
      <c r="D244" s="27">
        <v>7.4</v>
      </c>
      <c r="E244" s="28"/>
      <c r="F244" s="16">
        <f t="shared" si="384"/>
        <v>0</v>
      </c>
      <c r="G244" s="17"/>
      <c r="H244" s="18"/>
      <c r="I244" s="19">
        <f t="shared" si="385"/>
        <v>0</v>
      </c>
      <c r="J244" s="16"/>
      <c r="K244" s="18"/>
      <c r="L244" s="19">
        <f t="shared" si="386"/>
        <v>0</v>
      </c>
      <c r="M244" s="16"/>
      <c r="N244" s="18">
        <v>1</v>
      </c>
      <c r="O244" s="19">
        <f t="shared" si="387"/>
        <v>5.0689999999999999E-2</v>
      </c>
      <c r="P244" s="16"/>
      <c r="Q244" s="18"/>
      <c r="R244" s="19">
        <f t="shared" si="388"/>
        <v>0</v>
      </c>
      <c r="S244" s="20">
        <f t="shared" si="389"/>
        <v>1</v>
      </c>
      <c r="T244" s="19">
        <f t="shared" si="390"/>
        <v>5.0689999999999999E-2</v>
      </c>
      <c r="U244" s="21">
        <f t="shared" si="391"/>
        <v>-1</v>
      </c>
      <c r="V244" s="19">
        <f t="shared" si="392"/>
        <v>-5.0689999999999999E-2</v>
      </c>
      <c r="X244" s="29"/>
    </row>
    <row r="245" spans="1:24">
      <c r="A245" s="26" t="s">
        <v>13</v>
      </c>
      <c r="B245" s="26" t="s">
        <v>35</v>
      </c>
      <c r="C245" s="26">
        <v>6.85</v>
      </c>
      <c r="D245" s="27">
        <v>11</v>
      </c>
      <c r="E245" s="28"/>
      <c r="F245" s="16">
        <f t="shared" si="366"/>
        <v>0</v>
      </c>
      <c r="G245" s="17"/>
      <c r="H245" s="18"/>
      <c r="I245" s="19">
        <f t="shared" si="367"/>
        <v>0</v>
      </c>
      <c r="J245" s="16"/>
      <c r="K245" s="18"/>
      <c r="L245" s="19">
        <f t="shared" si="368"/>
        <v>0</v>
      </c>
      <c r="M245" s="16"/>
      <c r="N245" s="18">
        <v>4</v>
      </c>
      <c r="O245" s="19">
        <f t="shared" si="369"/>
        <v>0.3014</v>
      </c>
      <c r="P245" s="16"/>
      <c r="Q245" s="18"/>
      <c r="R245" s="19">
        <f t="shared" si="370"/>
        <v>0</v>
      </c>
      <c r="S245" s="20">
        <f t="shared" si="371"/>
        <v>4</v>
      </c>
      <c r="T245" s="19">
        <f t="shared" si="372"/>
        <v>0.3014</v>
      </c>
      <c r="U245" s="21">
        <f t="shared" si="373"/>
        <v>-4</v>
      </c>
      <c r="V245" s="19">
        <f t="shared" si="374"/>
        <v>-0.3014</v>
      </c>
      <c r="X245" s="29"/>
    </row>
    <row r="246" spans="1:24">
      <c r="A246" s="36"/>
      <c r="B246" s="36"/>
      <c r="C246" s="36"/>
      <c r="D246" s="38"/>
      <c r="E246" s="31">
        <f>SUM(E233:E245)</f>
        <v>333</v>
      </c>
      <c r="F246" s="45">
        <f>SUM(F233:F245)</f>
        <v>24.38326</v>
      </c>
      <c r="G246" s="17"/>
      <c r="H246" s="31">
        <f>SUM(H233:H245)</f>
        <v>151</v>
      </c>
      <c r="I246" s="38">
        <f>SUM(I233:I245)</f>
        <v>11.071655</v>
      </c>
      <c r="J246" s="16"/>
      <c r="K246" s="31">
        <f>SUM(K233:K245)</f>
        <v>165</v>
      </c>
      <c r="L246" s="38">
        <f>SUM(L233:L245)</f>
        <v>12.532074999999999</v>
      </c>
      <c r="M246" s="16"/>
      <c r="N246" s="31">
        <f>SUM(N233:N245)</f>
        <v>14</v>
      </c>
      <c r="O246" s="38">
        <f>SUM(O233:O245)</f>
        <v>0.86173</v>
      </c>
      <c r="P246" s="16"/>
      <c r="Q246" s="31">
        <f t="shared" ref="Q246:V246" si="393">SUM(Q233:Q245)</f>
        <v>0</v>
      </c>
      <c r="R246" s="38">
        <f t="shared" si="393"/>
        <v>0</v>
      </c>
      <c r="S246" s="31">
        <f t="shared" si="393"/>
        <v>330</v>
      </c>
      <c r="T246" s="38">
        <f t="shared" si="393"/>
        <v>24.46546</v>
      </c>
      <c r="U246" s="31">
        <f t="shared" si="393"/>
        <v>3</v>
      </c>
      <c r="V246" s="38">
        <f t="shared" si="393"/>
        <v>-8.2200000000001716E-2</v>
      </c>
      <c r="X246" s="29"/>
    </row>
    <row r="247" spans="1:24">
      <c r="A247" s="26" t="s">
        <v>13</v>
      </c>
      <c r="B247" s="26" t="s">
        <v>57</v>
      </c>
      <c r="C247" s="26">
        <v>6.17</v>
      </c>
      <c r="D247" s="27">
        <v>10.5</v>
      </c>
      <c r="E247" s="28">
        <v>65</v>
      </c>
      <c r="F247" s="16">
        <f t="shared" ref="F247:F252" si="394">(C247*D247*E247/1000)</f>
        <v>4.2110249999999994</v>
      </c>
      <c r="G247" s="17" t="s">
        <v>93</v>
      </c>
      <c r="H247" s="18">
        <f>22+37</f>
        <v>59</v>
      </c>
      <c r="I247" s="19">
        <f t="shared" ref="I247:I252" si="395">(C247*D247*H247/1000)</f>
        <v>3.8223149999999997</v>
      </c>
      <c r="J247" s="16"/>
      <c r="K247" s="18"/>
      <c r="L247" s="19">
        <f t="shared" ref="L247:L252" si="396">(C247*D247*K247/1000)</f>
        <v>0</v>
      </c>
      <c r="M247" s="16"/>
      <c r="N247" s="18"/>
      <c r="O247" s="19">
        <f t="shared" ref="O247:O252" si="397">(C247*D247*N247/1000)</f>
        <v>0</v>
      </c>
      <c r="P247" s="16"/>
      <c r="Q247" s="18"/>
      <c r="R247" s="19">
        <f t="shared" ref="R247:R252" si="398">(C247*D247*Q247/1000)</f>
        <v>0</v>
      </c>
      <c r="S247" s="20">
        <f t="shared" ref="S247:S252" si="399">+H247+K247+Q247+N247</f>
        <v>59</v>
      </c>
      <c r="T247" s="19">
        <f t="shared" ref="T247:T252" si="400">+I247+L247+R247+O247</f>
        <v>3.8223149999999997</v>
      </c>
      <c r="U247" s="21">
        <f t="shared" ref="U247:U252" si="401">E247-S247</f>
        <v>6</v>
      </c>
      <c r="V247" s="19">
        <f t="shared" ref="V247:V252" si="402">F247-T247</f>
        <v>0.38870999999999967</v>
      </c>
      <c r="X247" s="29"/>
    </row>
    <row r="248" spans="1:24">
      <c r="A248" s="26" t="s">
        <v>13</v>
      </c>
      <c r="B248" s="26" t="s">
        <v>57</v>
      </c>
      <c r="C248" s="26">
        <v>6.17</v>
      </c>
      <c r="D248" s="27">
        <v>10.85</v>
      </c>
      <c r="E248" s="28">
        <v>96</v>
      </c>
      <c r="F248" s="16">
        <f t="shared" si="394"/>
        <v>6.4266719999999991</v>
      </c>
      <c r="G248" s="17" t="s">
        <v>236</v>
      </c>
      <c r="H248" s="18">
        <v>98</v>
      </c>
      <c r="I248" s="19">
        <f t="shared" si="395"/>
        <v>6.560560999999999</v>
      </c>
      <c r="J248" s="16"/>
      <c r="K248" s="18"/>
      <c r="L248" s="19">
        <f t="shared" si="396"/>
        <v>0</v>
      </c>
      <c r="M248" s="16"/>
      <c r="N248" s="18"/>
      <c r="O248" s="19">
        <f t="shared" si="397"/>
        <v>0</v>
      </c>
      <c r="P248" s="16"/>
      <c r="Q248" s="18"/>
      <c r="R248" s="19">
        <f t="shared" si="398"/>
        <v>0</v>
      </c>
      <c r="S248" s="20">
        <f t="shared" si="399"/>
        <v>98</v>
      </c>
      <c r="T248" s="19">
        <f t="shared" si="400"/>
        <v>6.560560999999999</v>
      </c>
      <c r="U248" s="21">
        <f t="shared" si="401"/>
        <v>-2</v>
      </c>
      <c r="V248" s="19">
        <f t="shared" si="402"/>
        <v>-0.13388899999999992</v>
      </c>
      <c r="X248" s="29"/>
    </row>
    <row r="249" spans="1:24">
      <c r="A249" s="26" t="s">
        <v>13</v>
      </c>
      <c r="B249" s="26" t="s">
        <v>57</v>
      </c>
      <c r="C249" s="26">
        <v>6.17</v>
      </c>
      <c r="D249" s="27">
        <v>11.5</v>
      </c>
      <c r="E249" s="28">
        <v>64</v>
      </c>
      <c r="F249" s="16">
        <f t="shared" si="394"/>
        <v>4.5411200000000003</v>
      </c>
      <c r="G249" s="17"/>
      <c r="H249" s="18">
        <v>66</v>
      </c>
      <c r="I249" s="19">
        <f t="shared" si="395"/>
        <v>4.6830299999999996</v>
      </c>
      <c r="J249" s="16"/>
      <c r="K249" s="18"/>
      <c r="L249" s="19">
        <f t="shared" si="396"/>
        <v>0</v>
      </c>
      <c r="M249" s="16"/>
      <c r="N249" s="18"/>
      <c r="O249" s="19">
        <f t="shared" si="397"/>
        <v>0</v>
      </c>
      <c r="P249" s="16"/>
      <c r="Q249" s="18"/>
      <c r="R249" s="19">
        <f t="shared" si="398"/>
        <v>0</v>
      </c>
      <c r="S249" s="20">
        <f t="shared" si="399"/>
        <v>66</v>
      </c>
      <c r="T249" s="19">
        <f t="shared" si="400"/>
        <v>4.6830299999999996</v>
      </c>
      <c r="U249" s="21">
        <f t="shared" si="401"/>
        <v>-2</v>
      </c>
      <c r="V249" s="19">
        <f t="shared" si="402"/>
        <v>-0.14190999999999931</v>
      </c>
      <c r="X249" s="29"/>
    </row>
    <row r="250" spans="1:24">
      <c r="A250" s="26" t="s">
        <v>13</v>
      </c>
      <c r="B250" s="26" t="s">
        <v>57</v>
      </c>
      <c r="C250" s="26">
        <v>6.17</v>
      </c>
      <c r="D250" s="27">
        <v>12</v>
      </c>
      <c r="E250" s="28">
        <v>28</v>
      </c>
      <c r="F250" s="16">
        <f t="shared" ref="F250:F251" si="403">(C250*D250*E250/1000)</f>
        <v>2.0731199999999999</v>
      </c>
      <c r="G250" s="17"/>
      <c r="H250" s="18">
        <v>28</v>
      </c>
      <c r="I250" s="19">
        <f t="shared" ref="I250:I251" si="404">(C250*D250*H250/1000)</f>
        <v>2.0731199999999999</v>
      </c>
      <c r="J250" s="16"/>
      <c r="K250" s="18"/>
      <c r="L250" s="19">
        <f t="shared" ref="L250:L251" si="405">(C250*D250*K250/1000)</f>
        <v>0</v>
      </c>
      <c r="M250" s="16"/>
      <c r="N250" s="18"/>
      <c r="O250" s="19">
        <f t="shared" ref="O250:O251" si="406">(C250*D250*N250/1000)</f>
        <v>0</v>
      </c>
      <c r="P250" s="16"/>
      <c r="Q250" s="18"/>
      <c r="R250" s="19">
        <f t="shared" ref="R250:R251" si="407">(C250*D250*Q250/1000)</f>
        <v>0</v>
      </c>
      <c r="S250" s="20">
        <f t="shared" ref="S250:S251" si="408">+H250+K250+Q250+N250</f>
        <v>28</v>
      </c>
      <c r="T250" s="19">
        <f t="shared" ref="T250:T251" si="409">+I250+L250+R250+O250</f>
        <v>2.0731199999999999</v>
      </c>
      <c r="U250" s="21">
        <f t="shared" ref="U250:U251" si="410">E250-S250</f>
        <v>0</v>
      </c>
      <c r="V250" s="19">
        <f t="shared" ref="V250:V251" si="411">F250-T250</f>
        <v>0</v>
      </c>
      <c r="X250" s="29"/>
    </row>
    <row r="251" spans="1:24">
      <c r="A251" s="26" t="s">
        <v>13</v>
      </c>
      <c r="B251" s="26" t="s">
        <v>57</v>
      </c>
      <c r="C251" s="26">
        <v>6.17</v>
      </c>
      <c r="D251" s="27">
        <v>11.3</v>
      </c>
      <c r="E251" s="28"/>
      <c r="F251" s="16">
        <f t="shared" si="403"/>
        <v>0</v>
      </c>
      <c r="G251" s="17"/>
      <c r="H251" s="18">
        <v>1</v>
      </c>
      <c r="I251" s="19">
        <f t="shared" si="404"/>
        <v>6.9721000000000005E-2</v>
      </c>
      <c r="J251" s="16"/>
      <c r="K251" s="18"/>
      <c r="L251" s="19">
        <f t="shared" si="405"/>
        <v>0</v>
      </c>
      <c r="M251" s="16"/>
      <c r="N251" s="18"/>
      <c r="O251" s="19">
        <f t="shared" si="406"/>
        <v>0</v>
      </c>
      <c r="P251" s="16"/>
      <c r="Q251" s="18"/>
      <c r="R251" s="19">
        <f t="shared" si="407"/>
        <v>0</v>
      </c>
      <c r="S251" s="20">
        <f t="shared" si="408"/>
        <v>1</v>
      </c>
      <c r="T251" s="19">
        <f t="shared" si="409"/>
        <v>6.9721000000000005E-2</v>
      </c>
      <c r="U251" s="21">
        <f t="shared" si="410"/>
        <v>-1</v>
      </c>
      <c r="V251" s="19">
        <f t="shared" si="411"/>
        <v>-6.9721000000000005E-2</v>
      </c>
      <c r="X251" s="29"/>
    </row>
    <row r="252" spans="1:24">
      <c r="A252" s="26" t="s">
        <v>13</v>
      </c>
      <c r="B252" s="26" t="s">
        <v>57</v>
      </c>
      <c r="C252" s="26">
        <v>6.17</v>
      </c>
      <c r="D252" s="27">
        <v>9</v>
      </c>
      <c r="E252" s="28"/>
      <c r="F252" s="16">
        <f t="shared" si="394"/>
        <v>0</v>
      </c>
      <c r="G252" s="17"/>
      <c r="H252" s="18">
        <v>1</v>
      </c>
      <c r="I252" s="19">
        <f t="shared" si="395"/>
        <v>5.5530000000000003E-2</v>
      </c>
      <c r="J252" s="16"/>
      <c r="K252" s="18"/>
      <c r="L252" s="19">
        <f t="shared" si="396"/>
        <v>0</v>
      </c>
      <c r="M252" s="16"/>
      <c r="N252" s="18"/>
      <c r="O252" s="19">
        <f t="shared" si="397"/>
        <v>0</v>
      </c>
      <c r="P252" s="16"/>
      <c r="Q252" s="18"/>
      <c r="R252" s="19">
        <f t="shared" si="398"/>
        <v>0</v>
      </c>
      <c r="S252" s="20">
        <f t="shared" si="399"/>
        <v>1</v>
      </c>
      <c r="T252" s="19">
        <f t="shared" si="400"/>
        <v>5.5530000000000003E-2</v>
      </c>
      <c r="U252" s="21">
        <f t="shared" si="401"/>
        <v>-1</v>
      </c>
      <c r="V252" s="19">
        <f t="shared" si="402"/>
        <v>-5.5530000000000003E-2</v>
      </c>
      <c r="X252" s="29"/>
    </row>
    <row r="253" spans="1:24">
      <c r="A253" s="36"/>
      <c r="B253" s="36"/>
      <c r="C253" s="36"/>
      <c r="D253" s="38"/>
      <c r="E253" s="31">
        <f>SUM(E247:E252)</f>
        <v>253</v>
      </c>
      <c r="F253" s="38">
        <f>SUM(F247:F252)</f>
        <v>17.251936999999998</v>
      </c>
      <c r="G253" s="17"/>
      <c r="H253" s="31">
        <f>SUM(H247:H252)</f>
        <v>253</v>
      </c>
      <c r="I253" s="38">
        <f>SUM(I247:I252)</f>
        <v>17.264277</v>
      </c>
      <c r="J253" s="16"/>
      <c r="K253" s="31">
        <f>SUM(K247:K252)</f>
        <v>0</v>
      </c>
      <c r="L253" s="38">
        <f>SUM(L247:L252)</f>
        <v>0</v>
      </c>
      <c r="M253" s="16"/>
      <c r="N253" s="31">
        <f>SUM(N247:N252)</f>
        <v>0</v>
      </c>
      <c r="O253" s="38">
        <f>SUM(O247:O252)</f>
        <v>0</v>
      </c>
      <c r="P253" s="16"/>
      <c r="Q253" s="31">
        <f t="shared" ref="Q253:V253" si="412">SUM(Q247:Q252)</f>
        <v>0</v>
      </c>
      <c r="R253" s="38">
        <f t="shared" si="412"/>
        <v>0</v>
      </c>
      <c r="S253" s="31">
        <f t="shared" si="412"/>
        <v>253</v>
      </c>
      <c r="T253" s="38">
        <f t="shared" si="412"/>
        <v>17.264277</v>
      </c>
      <c r="U253" s="31">
        <f t="shared" si="412"/>
        <v>0</v>
      </c>
      <c r="V253" s="38">
        <f t="shared" si="412"/>
        <v>-1.233999999999958E-2</v>
      </c>
      <c r="X253" s="29"/>
    </row>
    <row r="254" spans="1:24">
      <c r="A254" s="26" t="s">
        <v>13</v>
      </c>
      <c r="B254" s="26" t="s">
        <v>58</v>
      </c>
      <c r="C254" s="26">
        <v>7.34</v>
      </c>
      <c r="D254" s="27">
        <v>7.5</v>
      </c>
      <c r="E254" s="28">
        <v>36</v>
      </c>
      <c r="F254" s="16">
        <f t="shared" ref="F254:F260" si="413">(C254*D254*E254/1000)</f>
        <v>1.9818</v>
      </c>
      <c r="G254" s="17" t="s">
        <v>89</v>
      </c>
      <c r="H254" s="18">
        <v>8</v>
      </c>
      <c r="I254" s="19">
        <f t="shared" ref="I254:I260" si="414">(C254*D254*H254/1000)</f>
        <v>0.44039999999999996</v>
      </c>
      <c r="J254" s="16" t="s">
        <v>89</v>
      </c>
      <c r="K254" s="18">
        <v>10</v>
      </c>
      <c r="L254" s="19">
        <f t="shared" ref="L254:L260" si="415">(C254*D254*K254/1000)</f>
        <v>0.55049999999999999</v>
      </c>
      <c r="M254" s="16" t="s">
        <v>93</v>
      </c>
      <c r="N254" s="18">
        <v>16</v>
      </c>
      <c r="O254" s="19">
        <f t="shared" ref="O254:O260" si="416">(C254*D254*N254/1000)</f>
        <v>0.88079999999999992</v>
      </c>
      <c r="P254" s="16" t="s">
        <v>93</v>
      </c>
      <c r="Q254" s="18"/>
      <c r="R254" s="19">
        <f t="shared" ref="R254:R260" si="417">(C254*D254*Q254/1000)</f>
        <v>0</v>
      </c>
      <c r="S254" s="20">
        <f t="shared" ref="S254:S260" si="418">+H254+K254+Q254+N254</f>
        <v>34</v>
      </c>
      <c r="T254" s="19">
        <f t="shared" ref="T254:T260" si="419">+I254+L254+R254+O254</f>
        <v>1.8716999999999997</v>
      </c>
      <c r="U254" s="21">
        <f t="shared" ref="U254:U260" si="420">E254-S254</f>
        <v>2</v>
      </c>
      <c r="V254" s="19">
        <f t="shared" ref="V254:V260" si="421">F254-T254</f>
        <v>0.11010000000000031</v>
      </c>
      <c r="X254" s="29"/>
    </row>
    <row r="255" spans="1:24">
      <c r="A255" s="26" t="s">
        <v>13</v>
      </c>
      <c r="B255" s="26" t="s">
        <v>58</v>
      </c>
      <c r="C255" s="26">
        <v>7.34</v>
      </c>
      <c r="D255" s="27">
        <v>9.25</v>
      </c>
      <c r="E255" s="28">
        <v>86</v>
      </c>
      <c r="F255" s="16">
        <f t="shared" si="413"/>
        <v>5.8389699999999998</v>
      </c>
      <c r="G255" s="17" t="s">
        <v>208</v>
      </c>
      <c r="H255" s="18">
        <v>23</v>
      </c>
      <c r="I255" s="19">
        <f t="shared" si="414"/>
        <v>1.5615849999999998</v>
      </c>
      <c r="J255" s="16" t="s">
        <v>209</v>
      </c>
      <c r="K255" s="18">
        <v>20</v>
      </c>
      <c r="L255" s="19">
        <f t="shared" si="415"/>
        <v>1.3578999999999999</v>
      </c>
      <c r="M255" s="16" t="s">
        <v>209</v>
      </c>
      <c r="N255" s="18">
        <v>34</v>
      </c>
      <c r="O255" s="19">
        <f t="shared" si="416"/>
        <v>2.30843</v>
      </c>
      <c r="P255" s="16" t="s">
        <v>280</v>
      </c>
      <c r="Q255" s="18">
        <v>7</v>
      </c>
      <c r="R255" s="19">
        <f t="shared" si="417"/>
        <v>0.47526499999999999</v>
      </c>
      <c r="S255" s="20">
        <f t="shared" si="418"/>
        <v>84</v>
      </c>
      <c r="T255" s="19">
        <f t="shared" si="419"/>
        <v>5.7031799999999997</v>
      </c>
      <c r="U255" s="21">
        <f t="shared" si="420"/>
        <v>2</v>
      </c>
      <c r="V255" s="19">
        <f t="shared" si="421"/>
        <v>0.13579000000000008</v>
      </c>
      <c r="X255" s="29"/>
    </row>
    <row r="256" spans="1:24">
      <c r="A256" s="26" t="s">
        <v>13</v>
      </c>
      <c r="B256" s="26" t="s">
        <v>58</v>
      </c>
      <c r="C256" s="26">
        <v>7.34</v>
      </c>
      <c r="D256" s="27">
        <v>11.5</v>
      </c>
      <c r="E256" s="28">
        <v>132</v>
      </c>
      <c r="F256" s="16">
        <f t="shared" si="413"/>
        <v>11.142119999999998</v>
      </c>
      <c r="G256" s="17"/>
      <c r="H256" s="18">
        <f>10+34</f>
        <v>44</v>
      </c>
      <c r="I256" s="19">
        <f t="shared" si="414"/>
        <v>3.7140399999999998</v>
      </c>
      <c r="J256" s="16"/>
      <c r="K256" s="18"/>
      <c r="L256" s="19">
        <f t="shared" si="415"/>
        <v>0</v>
      </c>
      <c r="M256" s="16"/>
      <c r="N256" s="18">
        <v>88</v>
      </c>
      <c r="O256" s="19">
        <f t="shared" si="416"/>
        <v>7.4280799999999996</v>
      </c>
      <c r="P256" s="16"/>
      <c r="Q256" s="18"/>
      <c r="R256" s="19">
        <f t="shared" si="417"/>
        <v>0</v>
      </c>
      <c r="S256" s="20">
        <f t="shared" si="418"/>
        <v>132</v>
      </c>
      <c r="T256" s="19">
        <f t="shared" si="419"/>
        <v>11.142119999999998</v>
      </c>
      <c r="U256" s="21">
        <f t="shared" si="420"/>
        <v>0</v>
      </c>
      <c r="V256" s="19">
        <f t="shared" si="421"/>
        <v>0</v>
      </c>
      <c r="X256" s="29"/>
    </row>
    <row r="257" spans="1:24">
      <c r="A257" s="26" t="s">
        <v>13</v>
      </c>
      <c r="B257" s="26" t="s">
        <v>58</v>
      </c>
      <c r="C257" s="26">
        <v>7.34</v>
      </c>
      <c r="D257" s="27">
        <v>12</v>
      </c>
      <c r="E257" s="28">
        <v>140</v>
      </c>
      <c r="F257" s="16">
        <f t="shared" ref="F257:F259" si="422">(C257*D257*E257/1000)</f>
        <v>12.331199999999999</v>
      </c>
      <c r="G257" s="17"/>
      <c r="H257" s="18">
        <v>44</v>
      </c>
      <c r="I257" s="19">
        <f t="shared" ref="I257:I259" si="423">(C257*D257*H257/1000)</f>
        <v>3.8755199999999999</v>
      </c>
      <c r="J257" s="16"/>
      <c r="K257" s="18"/>
      <c r="L257" s="19">
        <f t="shared" ref="L257:L259" si="424">(C257*D257*K257/1000)</f>
        <v>0</v>
      </c>
      <c r="M257" s="16"/>
      <c r="N257" s="18">
        <f t="shared" ref="N257" si="425">30+18+19+9+20</f>
        <v>96</v>
      </c>
      <c r="O257" s="19">
        <f t="shared" ref="O257:O259" si="426">(C257*D257*N257/1000)</f>
        <v>8.455680000000001</v>
      </c>
      <c r="P257" s="16"/>
      <c r="Q257" s="18"/>
      <c r="R257" s="19">
        <f t="shared" ref="R257:R259" si="427">(C257*D257*Q257/1000)</f>
        <v>0</v>
      </c>
      <c r="S257" s="20">
        <f t="shared" ref="S257:S259" si="428">+H257+K257+Q257+N257</f>
        <v>140</v>
      </c>
      <c r="T257" s="19">
        <f t="shared" ref="T257:T259" si="429">+I257+L257+R257+O257</f>
        <v>12.331200000000001</v>
      </c>
      <c r="U257" s="21">
        <f t="shared" ref="U257:U259" si="430">E257-S257</f>
        <v>0</v>
      </c>
      <c r="V257" s="19">
        <f t="shared" ref="V257:V259" si="431">F257-T257</f>
        <v>0</v>
      </c>
      <c r="X257" s="29"/>
    </row>
    <row r="258" spans="1:24">
      <c r="A258" s="26" t="s">
        <v>13</v>
      </c>
      <c r="B258" s="26" t="s">
        <v>58</v>
      </c>
      <c r="C258" s="26">
        <v>7.34</v>
      </c>
      <c r="D258" s="27">
        <v>9.5</v>
      </c>
      <c r="E258" s="28"/>
      <c r="F258" s="16">
        <f t="shared" si="422"/>
        <v>0</v>
      </c>
      <c r="G258" s="17"/>
      <c r="H258" s="18"/>
      <c r="I258" s="19">
        <f t="shared" si="423"/>
        <v>0</v>
      </c>
      <c r="J258" s="16"/>
      <c r="K258" s="18"/>
      <c r="L258" s="19">
        <f t="shared" si="424"/>
        <v>0</v>
      </c>
      <c r="M258" s="16"/>
      <c r="N258" s="18"/>
      <c r="O258" s="19">
        <f t="shared" si="426"/>
        <v>0</v>
      </c>
      <c r="P258" s="16"/>
      <c r="Q258" s="18">
        <v>2</v>
      </c>
      <c r="R258" s="19">
        <f t="shared" si="427"/>
        <v>0.13946</v>
      </c>
      <c r="S258" s="20">
        <f t="shared" si="428"/>
        <v>2</v>
      </c>
      <c r="T258" s="19">
        <f t="shared" si="429"/>
        <v>0.13946</v>
      </c>
      <c r="U258" s="21">
        <f t="shared" si="430"/>
        <v>-2</v>
      </c>
      <c r="V258" s="19">
        <f t="shared" si="431"/>
        <v>-0.13946</v>
      </c>
      <c r="X258" s="29"/>
    </row>
    <row r="259" spans="1:24">
      <c r="A259" s="26" t="s">
        <v>13</v>
      </c>
      <c r="B259" s="26" t="s">
        <v>58</v>
      </c>
      <c r="C259" s="26">
        <v>7.34</v>
      </c>
      <c r="D259" s="27">
        <v>10.5</v>
      </c>
      <c r="E259" s="28"/>
      <c r="F259" s="16">
        <f t="shared" si="422"/>
        <v>0</v>
      </c>
      <c r="G259" s="17"/>
      <c r="H259" s="18"/>
      <c r="I259" s="19">
        <f t="shared" si="423"/>
        <v>0</v>
      </c>
      <c r="J259" s="16"/>
      <c r="K259" s="18"/>
      <c r="L259" s="19">
        <f t="shared" si="424"/>
        <v>0</v>
      </c>
      <c r="M259" s="16"/>
      <c r="N259" s="18"/>
      <c r="O259" s="19">
        <f t="shared" si="426"/>
        <v>0</v>
      </c>
      <c r="P259" s="16"/>
      <c r="Q259" s="18">
        <v>1</v>
      </c>
      <c r="R259" s="19">
        <f t="shared" si="427"/>
        <v>7.707E-2</v>
      </c>
      <c r="S259" s="20">
        <f t="shared" si="428"/>
        <v>1</v>
      </c>
      <c r="T259" s="19">
        <f t="shared" si="429"/>
        <v>7.707E-2</v>
      </c>
      <c r="U259" s="21">
        <f t="shared" si="430"/>
        <v>-1</v>
      </c>
      <c r="V259" s="19">
        <f t="shared" si="431"/>
        <v>-7.707E-2</v>
      </c>
      <c r="X259" s="29"/>
    </row>
    <row r="260" spans="1:24">
      <c r="A260" s="26" t="s">
        <v>13</v>
      </c>
      <c r="B260" s="26" t="s">
        <v>58</v>
      </c>
      <c r="C260" s="26">
        <v>7.34</v>
      </c>
      <c r="D260" s="27">
        <v>10.7</v>
      </c>
      <c r="E260" s="28"/>
      <c r="F260" s="16">
        <f t="shared" si="413"/>
        <v>0</v>
      </c>
      <c r="G260" s="17"/>
      <c r="H260" s="18"/>
      <c r="I260" s="19">
        <f t="shared" si="414"/>
        <v>0</v>
      </c>
      <c r="J260" s="16"/>
      <c r="K260" s="18"/>
      <c r="L260" s="19">
        <f t="shared" si="415"/>
        <v>0</v>
      </c>
      <c r="M260" s="16"/>
      <c r="N260" s="18"/>
      <c r="O260" s="19">
        <f t="shared" si="416"/>
        <v>0</v>
      </c>
      <c r="P260" s="16"/>
      <c r="Q260" s="18">
        <v>1</v>
      </c>
      <c r="R260" s="19">
        <f t="shared" si="417"/>
        <v>7.8537999999999997E-2</v>
      </c>
      <c r="S260" s="20">
        <f t="shared" si="418"/>
        <v>1</v>
      </c>
      <c r="T260" s="19">
        <f t="shared" si="419"/>
        <v>7.8537999999999997E-2</v>
      </c>
      <c r="U260" s="21">
        <f t="shared" si="420"/>
        <v>-1</v>
      </c>
      <c r="V260" s="19">
        <f t="shared" si="421"/>
        <v>-7.8537999999999997E-2</v>
      </c>
      <c r="X260" s="29"/>
    </row>
    <row r="261" spans="1:24">
      <c r="A261" s="36"/>
      <c r="B261" s="36"/>
      <c r="C261" s="36"/>
      <c r="D261" s="38"/>
      <c r="E261" s="31">
        <f>SUM(E254:E260)</f>
        <v>394</v>
      </c>
      <c r="F261" s="38">
        <f>SUM(F254:F260)</f>
        <v>31.294089999999997</v>
      </c>
      <c r="G261" s="17"/>
      <c r="H261" s="31">
        <f>SUM(H254:H260)</f>
        <v>119</v>
      </c>
      <c r="I261" s="38">
        <f>SUM(I254:I260)</f>
        <v>9.591545</v>
      </c>
      <c r="J261" s="16"/>
      <c r="K261" s="31">
        <f>SUM(K254:K260)</f>
        <v>30</v>
      </c>
      <c r="L261" s="38">
        <f>SUM(L254:L260)</f>
        <v>1.9083999999999999</v>
      </c>
      <c r="M261" s="16"/>
      <c r="N261" s="31">
        <f>SUM(N254:N260)</f>
        <v>234</v>
      </c>
      <c r="O261" s="38">
        <f>SUM(O254:O260)</f>
        <v>19.072990000000001</v>
      </c>
      <c r="P261" s="16"/>
      <c r="Q261" s="31">
        <f t="shared" ref="Q261:V261" si="432">SUM(Q254:Q260)</f>
        <v>11</v>
      </c>
      <c r="R261" s="38">
        <f t="shared" si="432"/>
        <v>0.77033299999999993</v>
      </c>
      <c r="S261" s="31">
        <f t="shared" si="432"/>
        <v>394</v>
      </c>
      <c r="T261" s="38">
        <f t="shared" si="432"/>
        <v>31.343268000000002</v>
      </c>
      <c r="U261" s="31">
        <f t="shared" si="432"/>
        <v>0</v>
      </c>
      <c r="V261" s="38">
        <f t="shared" si="432"/>
        <v>-4.9177999999999611E-2</v>
      </c>
      <c r="X261" s="29"/>
    </row>
    <row r="262" spans="1:24">
      <c r="A262" s="26" t="s">
        <v>13</v>
      </c>
      <c r="B262" s="26" t="s">
        <v>26</v>
      </c>
      <c r="C262" s="26">
        <v>8.3000000000000007</v>
      </c>
      <c r="D262" s="27">
        <v>8.15</v>
      </c>
      <c r="E262" s="28">
        <v>192</v>
      </c>
      <c r="F262" s="16">
        <f t="shared" ref="F262:F301" si="433">(C262*D262*E262/1000)</f>
        <v>12.987840000000002</v>
      </c>
      <c r="G262" s="17" t="s">
        <v>111</v>
      </c>
      <c r="H262" s="18">
        <v>31</v>
      </c>
      <c r="I262" s="19">
        <f t="shared" ref="I262:I301" si="434">(C262*D262*H262/1000)</f>
        <v>2.0969950000000002</v>
      </c>
      <c r="J262" s="17" t="s">
        <v>86</v>
      </c>
      <c r="K262" s="18">
        <v>103</v>
      </c>
      <c r="L262" s="19">
        <f t="shared" ref="L262:L301" si="435">(C262*D262*K262/1000)</f>
        <v>6.9674350000000009</v>
      </c>
      <c r="M262" s="16" t="s">
        <v>93</v>
      </c>
      <c r="N262" s="18">
        <v>59</v>
      </c>
      <c r="O262" s="19">
        <f t="shared" ref="O262:O301" si="436">(C262*D262*N262/1000)</f>
        <v>3.9910550000000007</v>
      </c>
      <c r="P262" s="16" t="s">
        <v>89</v>
      </c>
      <c r="Q262" s="18">
        <v>1</v>
      </c>
      <c r="R262" s="19">
        <f t="shared" ref="R262:R301" si="437">(C262*D262*Q262/1000)</f>
        <v>6.7645000000000011E-2</v>
      </c>
      <c r="S262" s="20">
        <f t="shared" ref="S262:S301" si="438">+H262+K262+Q262+N262</f>
        <v>194</v>
      </c>
      <c r="T262" s="19">
        <f t="shared" ref="T262:T301" si="439">+I262+L262+R262+O262</f>
        <v>13.123130000000003</v>
      </c>
      <c r="U262" s="21">
        <f t="shared" ref="U262:U301" si="440">E262-S262</f>
        <v>-2</v>
      </c>
      <c r="V262" s="19">
        <f t="shared" ref="V262:V301" si="441">F262-T262</f>
        <v>-0.13529000000000124</v>
      </c>
      <c r="X262" s="29"/>
    </row>
    <row r="263" spans="1:24">
      <c r="A263" s="26" t="s">
        <v>13</v>
      </c>
      <c r="B263" s="26" t="s">
        <v>26</v>
      </c>
      <c r="C263" s="26">
        <v>8.3000000000000007</v>
      </c>
      <c r="D263" s="27">
        <v>8.8000000000000007</v>
      </c>
      <c r="E263" s="28">
        <v>22</v>
      </c>
      <c r="F263" s="16">
        <f t="shared" si="433"/>
        <v>1.6068800000000001</v>
      </c>
      <c r="G263" s="17" t="s">
        <v>198</v>
      </c>
      <c r="H263" s="18"/>
      <c r="I263" s="19">
        <f t="shared" si="434"/>
        <v>0</v>
      </c>
      <c r="J263" s="17" t="s">
        <v>198</v>
      </c>
      <c r="K263" s="18">
        <v>12</v>
      </c>
      <c r="L263" s="19">
        <f t="shared" si="435"/>
        <v>0.87648000000000004</v>
      </c>
      <c r="M263" s="16" t="s">
        <v>202</v>
      </c>
      <c r="N263" s="18"/>
      <c r="O263" s="19">
        <f t="shared" si="436"/>
        <v>0</v>
      </c>
      <c r="P263" s="16" t="s">
        <v>206</v>
      </c>
      <c r="Q263" s="18">
        <v>7</v>
      </c>
      <c r="R263" s="19">
        <f t="shared" si="437"/>
        <v>0.51128000000000007</v>
      </c>
      <c r="S263" s="20">
        <f t="shared" si="438"/>
        <v>19</v>
      </c>
      <c r="T263" s="19">
        <f t="shared" si="439"/>
        <v>1.3877600000000001</v>
      </c>
      <c r="U263" s="21">
        <f t="shared" si="440"/>
        <v>3</v>
      </c>
      <c r="V263" s="19">
        <f t="shared" si="441"/>
        <v>0.21911999999999998</v>
      </c>
      <c r="X263" s="29"/>
    </row>
    <row r="264" spans="1:24">
      <c r="A264" s="26" t="s">
        <v>13</v>
      </c>
      <c r="B264" s="26" t="s">
        <v>26</v>
      </c>
      <c r="C264" s="26">
        <v>8.3000000000000007</v>
      </c>
      <c r="D264" s="27">
        <v>10</v>
      </c>
      <c r="E264" s="28">
        <v>64</v>
      </c>
      <c r="F264" s="16">
        <f t="shared" si="433"/>
        <v>5.3120000000000003</v>
      </c>
      <c r="G264" s="17"/>
      <c r="H264" s="18">
        <v>21</v>
      </c>
      <c r="I264" s="19">
        <f t="shared" si="434"/>
        <v>1.7430000000000001</v>
      </c>
      <c r="J264" s="16"/>
      <c r="K264" s="18">
        <v>23</v>
      </c>
      <c r="L264" s="19">
        <f t="shared" si="435"/>
        <v>1.909</v>
      </c>
      <c r="M264" s="16" t="s">
        <v>93</v>
      </c>
      <c r="N264" s="18"/>
      <c r="O264" s="19">
        <f t="shared" si="436"/>
        <v>0</v>
      </c>
      <c r="P264" s="16"/>
      <c r="Q264" s="18">
        <v>8</v>
      </c>
      <c r="R264" s="19">
        <f t="shared" si="437"/>
        <v>0.66400000000000003</v>
      </c>
      <c r="S264" s="20">
        <f t="shared" si="438"/>
        <v>52</v>
      </c>
      <c r="T264" s="19">
        <f t="shared" si="439"/>
        <v>4.3159999999999998</v>
      </c>
      <c r="U264" s="21">
        <f t="shared" si="440"/>
        <v>12</v>
      </c>
      <c r="V264" s="19">
        <f t="shared" si="441"/>
        <v>0.99600000000000044</v>
      </c>
      <c r="X264" s="29"/>
    </row>
    <row r="265" spans="1:24">
      <c r="A265" s="26" t="s">
        <v>13</v>
      </c>
      <c r="B265" s="26" t="s">
        <v>26</v>
      </c>
      <c r="C265" s="26">
        <v>8.3000000000000007</v>
      </c>
      <c r="D265" s="27">
        <v>10.35</v>
      </c>
      <c r="E265" s="28">
        <v>54</v>
      </c>
      <c r="F265" s="16">
        <f t="shared" si="433"/>
        <v>4.6388699999999998</v>
      </c>
      <c r="G265" s="17"/>
      <c r="H265" s="18">
        <v>34</v>
      </c>
      <c r="I265" s="19">
        <f t="shared" si="434"/>
        <v>2.9207700000000001</v>
      </c>
      <c r="J265" s="16"/>
      <c r="K265" s="18">
        <v>12</v>
      </c>
      <c r="L265" s="19">
        <f t="shared" si="435"/>
        <v>1.0308600000000001</v>
      </c>
      <c r="M265" s="16" t="s">
        <v>206</v>
      </c>
      <c r="N265" s="18"/>
      <c r="O265" s="19">
        <f t="shared" si="436"/>
        <v>0</v>
      </c>
      <c r="P265" s="16"/>
      <c r="Q265" s="18"/>
      <c r="R265" s="19">
        <f t="shared" si="437"/>
        <v>0</v>
      </c>
      <c r="S265" s="20">
        <f t="shared" si="438"/>
        <v>46</v>
      </c>
      <c r="T265" s="19">
        <f t="shared" si="439"/>
        <v>3.9516300000000002</v>
      </c>
      <c r="U265" s="21">
        <f t="shared" si="440"/>
        <v>8</v>
      </c>
      <c r="V265" s="19">
        <f t="shared" si="441"/>
        <v>0.68723999999999963</v>
      </c>
      <c r="X265" s="29"/>
    </row>
    <row r="266" spans="1:24">
      <c r="A266" s="26" t="s">
        <v>13</v>
      </c>
      <c r="B266" s="26" t="s">
        <v>26</v>
      </c>
      <c r="C266" s="26">
        <v>8.3000000000000007</v>
      </c>
      <c r="D266" s="27">
        <v>10.4</v>
      </c>
      <c r="E266" s="28">
        <v>36</v>
      </c>
      <c r="F266" s="16">
        <f t="shared" si="433"/>
        <v>3.1075200000000005</v>
      </c>
      <c r="G266" s="17"/>
      <c r="H266" s="18"/>
      <c r="I266" s="19">
        <f t="shared" si="434"/>
        <v>0</v>
      </c>
      <c r="J266" s="16"/>
      <c r="K266" s="18"/>
      <c r="L266" s="19">
        <f t="shared" si="435"/>
        <v>0</v>
      </c>
      <c r="M266" s="16"/>
      <c r="N266" s="18"/>
      <c r="O266" s="19">
        <f t="shared" si="436"/>
        <v>0</v>
      </c>
      <c r="P266" s="16"/>
      <c r="Q266" s="18"/>
      <c r="R266" s="19">
        <f t="shared" si="437"/>
        <v>0</v>
      </c>
      <c r="S266" s="20">
        <f t="shared" si="438"/>
        <v>0</v>
      </c>
      <c r="T266" s="19">
        <f t="shared" si="439"/>
        <v>0</v>
      </c>
      <c r="U266" s="21">
        <f t="shared" si="440"/>
        <v>36</v>
      </c>
      <c r="V266" s="19">
        <f t="shared" si="441"/>
        <v>3.1075200000000005</v>
      </c>
      <c r="X266" s="29"/>
    </row>
    <row r="267" spans="1:24">
      <c r="A267" s="26" t="s">
        <v>13</v>
      </c>
      <c r="B267" s="26" t="s">
        <v>26</v>
      </c>
      <c r="C267" s="26">
        <v>8.3000000000000007</v>
      </c>
      <c r="D267" s="27">
        <v>10.6</v>
      </c>
      <c r="E267" s="28">
        <v>21</v>
      </c>
      <c r="F267" s="16">
        <f t="shared" si="433"/>
        <v>1.8475800000000002</v>
      </c>
      <c r="G267" s="17"/>
      <c r="H267" s="18"/>
      <c r="I267" s="19">
        <f t="shared" si="434"/>
        <v>0</v>
      </c>
      <c r="J267" s="16"/>
      <c r="K267" s="18"/>
      <c r="L267" s="19">
        <f t="shared" si="435"/>
        <v>0</v>
      </c>
      <c r="M267" s="16"/>
      <c r="N267" s="18"/>
      <c r="O267" s="19">
        <f t="shared" si="436"/>
        <v>0</v>
      </c>
      <c r="P267" s="16"/>
      <c r="Q267" s="18">
        <v>22</v>
      </c>
      <c r="R267" s="19">
        <f t="shared" si="437"/>
        <v>1.9355600000000002</v>
      </c>
      <c r="S267" s="20">
        <f t="shared" si="438"/>
        <v>22</v>
      </c>
      <c r="T267" s="19">
        <f t="shared" si="439"/>
        <v>1.9355600000000002</v>
      </c>
      <c r="U267" s="21">
        <f t="shared" si="440"/>
        <v>-1</v>
      </c>
      <c r="V267" s="19">
        <f t="shared" si="441"/>
        <v>-8.7979999999999947E-2</v>
      </c>
      <c r="X267" s="29"/>
    </row>
    <row r="268" spans="1:24">
      <c r="A268" s="26" t="s">
        <v>13</v>
      </c>
      <c r="B268" s="26" t="s">
        <v>26</v>
      </c>
      <c r="C268" s="26">
        <v>8.3000000000000007</v>
      </c>
      <c r="D268" s="27">
        <v>11</v>
      </c>
      <c r="E268" s="28">
        <v>258</v>
      </c>
      <c r="F268" s="16">
        <f t="shared" si="433"/>
        <v>23.555400000000002</v>
      </c>
      <c r="G268" s="17"/>
      <c r="H268" s="18">
        <v>46</v>
      </c>
      <c r="I268" s="19">
        <f t="shared" si="434"/>
        <v>4.1997999999999998</v>
      </c>
      <c r="J268" s="16"/>
      <c r="K268" s="18">
        <f>31+58</f>
        <v>89</v>
      </c>
      <c r="L268" s="19">
        <f t="shared" si="435"/>
        <v>8.1257000000000001</v>
      </c>
      <c r="M268" s="16"/>
      <c r="N268" s="18">
        <v>105</v>
      </c>
      <c r="O268" s="19">
        <f t="shared" si="436"/>
        <v>9.5865000000000027</v>
      </c>
      <c r="P268" s="16"/>
      <c r="Q268" s="18"/>
      <c r="R268" s="19">
        <f t="shared" si="437"/>
        <v>0</v>
      </c>
      <c r="S268" s="20">
        <f t="shared" si="438"/>
        <v>240</v>
      </c>
      <c r="T268" s="19">
        <f t="shared" si="439"/>
        <v>21.912000000000003</v>
      </c>
      <c r="U268" s="21">
        <f t="shared" si="440"/>
        <v>18</v>
      </c>
      <c r="V268" s="19">
        <f t="shared" si="441"/>
        <v>1.6433999999999997</v>
      </c>
      <c r="X268" s="29"/>
    </row>
    <row r="269" spans="1:24">
      <c r="A269" s="26" t="s">
        <v>13</v>
      </c>
      <c r="B269" s="26" t="s">
        <v>26</v>
      </c>
      <c r="C269" s="26">
        <v>8.3000000000000007</v>
      </c>
      <c r="D269" s="27">
        <v>11.1</v>
      </c>
      <c r="E269" s="28">
        <v>128</v>
      </c>
      <c r="F269" s="16">
        <f t="shared" si="433"/>
        <v>11.79264</v>
      </c>
      <c r="G269" s="17"/>
      <c r="H269" s="18">
        <v>14</v>
      </c>
      <c r="I269" s="19">
        <f t="shared" si="434"/>
        <v>1.2898200000000002</v>
      </c>
      <c r="J269" s="16"/>
      <c r="K269" s="18">
        <v>49</v>
      </c>
      <c r="L269" s="19">
        <f t="shared" si="435"/>
        <v>4.5143700000000004</v>
      </c>
      <c r="M269" s="16"/>
      <c r="N269" s="18">
        <v>60</v>
      </c>
      <c r="O269" s="19">
        <f t="shared" si="436"/>
        <v>5.5278</v>
      </c>
      <c r="P269" s="16"/>
      <c r="Q269" s="18">
        <v>7</v>
      </c>
      <c r="R269" s="19">
        <f t="shared" si="437"/>
        <v>0.64491000000000009</v>
      </c>
      <c r="S269" s="20">
        <f t="shared" si="438"/>
        <v>130</v>
      </c>
      <c r="T269" s="19">
        <f t="shared" si="439"/>
        <v>11.976900000000001</v>
      </c>
      <c r="U269" s="21">
        <f t="shared" si="440"/>
        <v>-2</v>
      </c>
      <c r="V269" s="19">
        <f t="shared" si="441"/>
        <v>-0.18426000000000009</v>
      </c>
      <c r="X269" s="29"/>
    </row>
    <row r="270" spans="1:24">
      <c r="A270" s="26" t="s">
        <v>13</v>
      </c>
      <c r="B270" s="26" t="s">
        <v>26</v>
      </c>
      <c r="C270" s="26">
        <v>8.3000000000000007</v>
      </c>
      <c r="D270" s="27">
        <v>11.5</v>
      </c>
      <c r="E270" s="28">
        <v>58</v>
      </c>
      <c r="F270" s="16">
        <f t="shared" si="433"/>
        <v>5.5361000000000002</v>
      </c>
      <c r="G270" s="17"/>
      <c r="H270" s="18">
        <v>31</v>
      </c>
      <c r="I270" s="19">
        <f t="shared" si="434"/>
        <v>2.9589500000000002</v>
      </c>
      <c r="J270" s="16"/>
      <c r="K270" s="18">
        <v>5</v>
      </c>
      <c r="L270" s="19">
        <f t="shared" si="435"/>
        <v>0.47725000000000001</v>
      </c>
      <c r="M270" s="16"/>
      <c r="N270" s="18"/>
      <c r="O270" s="19">
        <f t="shared" si="436"/>
        <v>0</v>
      </c>
      <c r="P270" s="16"/>
      <c r="Q270" s="18">
        <v>4</v>
      </c>
      <c r="R270" s="19">
        <f t="shared" si="437"/>
        <v>0.38180000000000003</v>
      </c>
      <c r="S270" s="20">
        <f t="shared" si="438"/>
        <v>40</v>
      </c>
      <c r="T270" s="19">
        <f t="shared" si="439"/>
        <v>3.8180000000000005</v>
      </c>
      <c r="U270" s="21">
        <f t="shared" si="440"/>
        <v>18</v>
      </c>
      <c r="V270" s="19">
        <f t="shared" si="441"/>
        <v>1.7180999999999997</v>
      </c>
      <c r="X270" s="29"/>
    </row>
    <row r="271" spans="1:24">
      <c r="A271" s="26" t="s">
        <v>13</v>
      </c>
      <c r="B271" s="26" t="s">
        <v>26</v>
      </c>
      <c r="C271" s="26">
        <v>8.3000000000000007</v>
      </c>
      <c r="D271" s="27">
        <v>12</v>
      </c>
      <c r="E271" s="28">
        <v>139</v>
      </c>
      <c r="F271" s="16">
        <f t="shared" ref="F271:F300" si="442">(C271*D271*E271/1000)</f>
        <v>13.844400000000002</v>
      </c>
      <c r="G271" s="17"/>
      <c r="H271" s="18">
        <v>17</v>
      </c>
      <c r="I271" s="19">
        <f t="shared" ref="I271:I300" si="443">(C271*D271*H271/1000)</f>
        <v>1.6932</v>
      </c>
      <c r="J271" s="16"/>
      <c r="K271" s="18">
        <v>82</v>
      </c>
      <c r="L271" s="19">
        <f t="shared" ref="L271:L300" si="444">(C271*D271*K271/1000)</f>
        <v>8.1672000000000011</v>
      </c>
      <c r="M271" s="16"/>
      <c r="N271" s="18">
        <v>30</v>
      </c>
      <c r="O271" s="19">
        <f t="shared" ref="O271:O300" si="445">(C271*D271*N271/1000)</f>
        <v>2.9880000000000004</v>
      </c>
      <c r="P271" s="16"/>
      <c r="Q271" s="18">
        <v>27</v>
      </c>
      <c r="R271" s="19">
        <f t="shared" ref="R271:R300" si="446">(C271*D271*Q271/1000)</f>
        <v>2.6892000000000005</v>
      </c>
      <c r="S271" s="20">
        <f t="shared" ref="S271:S300" si="447">+H271+K271+Q271+N271</f>
        <v>156</v>
      </c>
      <c r="T271" s="19">
        <f t="shared" ref="T271:T300" si="448">+I271+L271+R271+O271</f>
        <v>15.537600000000001</v>
      </c>
      <c r="U271" s="21">
        <f t="shared" ref="U271:U300" si="449">E271-S271</f>
        <v>-17</v>
      </c>
      <c r="V271" s="19">
        <f t="shared" ref="V271:V300" si="450">F271-T271</f>
        <v>-1.6931999999999992</v>
      </c>
      <c r="X271" s="29"/>
    </row>
    <row r="272" spans="1:24">
      <c r="A272" s="26" t="s">
        <v>13</v>
      </c>
      <c r="B272" s="26" t="s">
        <v>26</v>
      </c>
      <c r="C272" s="26">
        <v>8.3000000000000007</v>
      </c>
      <c r="D272" s="27">
        <v>11.3</v>
      </c>
      <c r="E272" s="28"/>
      <c r="F272" s="16">
        <f t="shared" si="442"/>
        <v>0</v>
      </c>
      <c r="G272" s="17"/>
      <c r="H272" s="18"/>
      <c r="I272" s="19">
        <f t="shared" si="443"/>
        <v>0</v>
      </c>
      <c r="J272" s="16"/>
      <c r="K272" s="18"/>
      <c r="L272" s="19">
        <f t="shared" si="444"/>
        <v>0</v>
      </c>
      <c r="M272" s="16"/>
      <c r="N272" s="18">
        <v>21</v>
      </c>
      <c r="O272" s="19">
        <f t="shared" si="445"/>
        <v>1.9695900000000004</v>
      </c>
      <c r="P272" s="16"/>
      <c r="Q272" s="18">
        <v>1</v>
      </c>
      <c r="R272" s="19">
        <f t="shared" si="446"/>
        <v>9.3790000000000026E-2</v>
      </c>
      <c r="S272" s="20">
        <f t="shared" si="447"/>
        <v>22</v>
      </c>
      <c r="T272" s="19">
        <f t="shared" si="448"/>
        <v>2.0633800000000004</v>
      </c>
      <c r="U272" s="21">
        <f t="shared" si="449"/>
        <v>-22</v>
      </c>
      <c r="V272" s="19">
        <f t="shared" si="450"/>
        <v>-2.0633800000000004</v>
      </c>
      <c r="X272" s="29"/>
    </row>
    <row r="273" spans="1:24">
      <c r="A273" s="26" t="s">
        <v>13</v>
      </c>
      <c r="B273" s="26" t="s">
        <v>26</v>
      </c>
      <c r="C273" s="26">
        <v>8.3000000000000007</v>
      </c>
      <c r="D273" s="27">
        <v>6</v>
      </c>
      <c r="E273" s="28"/>
      <c r="F273" s="16">
        <f t="shared" ref="F273:F297" si="451">(C273*D273*E273/1000)</f>
        <v>0</v>
      </c>
      <c r="G273" s="17"/>
      <c r="H273" s="18"/>
      <c r="I273" s="19">
        <f t="shared" ref="I273:I297" si="452">(C273*D273*H273/1000)</f>
        <v>0</v>
      </c>
      <c r="J273" s="16"/>
      <c r="K273" s="18"/>
      <c r="L273" s="19">
        <f t="shared" ref="L273:L297" si="453">(C273*D273*K273/1000)</f>
        <v>0</v>
      </c>
      <c r="M273" s="16"/>
      <c r="N273" s="18"/>
      <c r="O273" s="19">
        <f t="shared" ref="O273:O297" si="454">(C273*D273*N273/1000)</f>
        <v>0</v>
      </c>
      <c r="P273" s="16"/>
      <c r="Q273" s="18">
        <v>2</v>
      </c>
      <c r="R273" s="19">
        <f t="shared" ref="R273:R297" si="455">(C273*D273*Q273/1000)</f>
        <v>9.9600000000000008E-2</v>
      </c>
      <c r="S273" s="20">
        <f t="shared" ref="S273:S297" si="456">+H273+K273+Q273+N273</f>
        <v>2</v>
      </c>
      <c r="T273" s="19">
        <f t="shared" ref="T273:T297" si="457">+I273+L273+R273+O273</f>
        <v>9.9600000000000008E-2</v>
      </c>
      <c r="U273" s="21">
        <f t="shared" ref="U273:U297" si="458">E273-S273</f>
        <v>-2</v>
      </c>
      <c r="V273" s="19">
        <f t="shared" ref="V273:V297" si="459">F273-T273</f>
        <v>-9.9600000000000008E-2</v>
      </c>
      <c r="X273" s="29"/>
    </row>
    <row r="274" spans="1:24">
      <c r="A274" s="26" t="s">
        <v>13</v>
      </c>
      <c r="B274" s="26" t="s">
        <v>26</v>
      </c>
      <c r="C274" s="26">
        <v>8.3000000000000007</v>
      </c>
      <c r="D274" s="27">
        <v>7.1</v>
      </c>
      <c r="E274" s="28"/>
      <c r="F274" s="16">
        <f t="shared" si="451"/>
        <v>0</v>
      </c>
      <c r="G274" s="17"/>
      <c r="H274" s="18"/>
      <c r="I274" s="19">
        <f t="shared" si="452"/>
        <v>0</v>
      </c>
      <c r="J274" s="16"/>
      <c r="K274" s="18"/>
      <c r="L274" s="19">
        <f t="shared" si="453"/>
        <v>0</v>
      </c>
      <c r="M274" s="16"/>
      <c r="N274" s="18"/>
      <c r="O274" s="19">
        <f t="shared" si="454"/>
        <v>0</v>
      </c>
      <c r="P274" s="16"/>
      <c r="Q274" s="18">
        <v>1</v>
      </c>
      <c r="R274" s="19">
        <f t="shared" si="455"/>
        <v>5.8929999999999996E-2</v>
      </c>
      <c r="S274" s="20">
        <f t="shared" si="456"/>
        <v>1</v>
      </c>
      <c r="T274" s="19">
        <f t="shared" si="457"/>
        <v>5.8929999999999996E-2</v>
      </c>
      <c r="U274" s="21">
        <f t="shared" si="458"/>
        <v>-1</v>
      </c>
      <c r="V274" s="19">
        <f t="shared" si="459"/>
        <v>-5.8929999999999996E-2</v>
      </c>
      <c r="X274" s="29"/>
    </row>
    <row r="275" spans="1:24">
      <c r="A275" s="26" t="s">
        <v>13</v>
      </c>
      <c r="B275" s="26" t="s">
        <v>26</v>
      </c>
      <c r="C275" s="26">
        <v>8.3000000000000007</v>
      </c>
      <c r="D275" s="27">
        <v>7.5</v>
      </c>
      <c r="E275" s="28"/>
      <c r="F275" s="16">
        <f t="shared" si="451"/>
        <v>0</v>
      </c>
      <c r="G275" s="17"/>
      <c r="H275" s="18"/>
      <c r="I275" s="19">
        <f t="shared" si="452"/>
        <v>0</v>
      </c>
      <c r="J275" s="16"/>
      <c r="K275" s="18"/>
      <c r="L275" s="19">
        <f t="shared" si="453"/>
        <v>0</v>
      </c>
      <c r="M275" s="16"/>
      <c r="N275" s="18"/>
      <c r="O275" s="19">
        <f t="shared" si="454"/>
        <v>0</v>
      </c>
      <c r="P275" s="16"/>
      <c r="Q275" s="18">
        <v>1</v>
      </c>
      <c r="R275" s="19">
        <f t="shared" si="455"/>
        <v>6.2250000000000007E-2</v>
      </c>
      <c r="S275" s="20">
        <f t="shared" si="456"/>
        <v>1</v>
      </c>
      <c r="T275" s="19">
        <f t="shared" si="457"/>
        <v>6.2250000000000007E-2</v>
      </c>
      <c r="U275" s="21">
        <f t="shared" si="458"/>
        <v>-1</v>
      </c>
      <c r="V275" s="19">
        <f t="shared" si="459"/>
        <v>-6.2250000000000007E-2</v>
      </c>
      <c r="X275" s="29"/>
    </row>
    <row r="276" spans="1:24">
      <c r="A276" s="26" t="s">
        <v>13</v>
      </c>
      <c r="B276" s="26" t="s">
        <v>26</v>
      </c>
      <c r="C276" s="26">
        <v>8.3000000000000007</v>
      </c>
      <c r="D276" s="27">
        <v>7.8</v>
      </c>
      <c r="E276" s="28"/>
      <c r="F276" s="16">
        <f t="shared" si="451"/>
        <v>0</v>
      </c>
      <c r="G276" s="17"/>
      <c r="H276" s="18"/>
      <c r="I276" s="19">
        <f t="shared" si="452"/>
        <v>0</v>
      </c>
      <c r="J276" s="16"/>
      <c r="K276" s="18"/>
      <c r="L276" s="19">
        <f t="shared" si="453"/>
        <v>0</v>
      </c>
      <c r="M276" s="16"/>
      <c r="N276" s="18"/>
      <c r="O276" s="19">
        <f t="shared" si="454"/>
        <v>0</v>
      </c>
      <c r="P276" s="16"/>
      <c r="Q276" s="18">
        <v>2</v>
      </c>
      <c r="R276" s="19">
        <f t="shared" si="455"/>
        <v>0.12948000000000001</v>
      </c>
      <c r="S276" s="20">
        <f t="shared" si="456"/>
        <v>2</v>
      </c>
      <c r="T276" s="19">
        <f t="shared" si="457"/>
        <v>0.12948000000000001</v>
      </c>
      <c r="U276" s="21">
        <f t="shared" si="458"/>
        <v>-2</v>
      </c>
      <c r="V276" s="19">
        <f t="shared" si="459"/>
        <v>-0.12948000000000001</v>
      </c>
      <c r="X276" s="29"/>
    </row>
    <row r="277" spans="1:24">
      <c r="A277" s="26" t="s">
        <v>13</v>
      </c>
      <c r="B277" s="26" t="s">
        <v>26</v>
      </c>
      <c r="C277" s="26">
        <v>8.3000000000000007</v>
      </c>
      <c r="D277" s="27">
        <v>7.9</v>
      </c>
      <c r="E277" s="28"/>
      <c r="F277" s="16">
        <f t="shared" si="451"/>
        <v>0</v>
      </c>
      <c r="G277" s="17"/>
      <c r="H277" s="18"/>
      <c r="I277" s="19">
        <f t="shared" si="452"/>
        <v>0</v>
      </c>
      <c r="J277" s="16"/>
      <c r="K277" s="18"/>
      <c r="L277" s="19">
        <f t="shared" si="453"/>
        <v>0</v>
      </c>
      <c r="M277" s="16"/>
      <c r="N277" s="18"/>
      <c r="O277" s="19">
        <f t="shared" si="454"/>
        <v>0</v>
      </c>
      <c r="P277" s="16"/>
      <c r="Q277" s="18">
        <v>3</v>
      </c>
      <c r="R277" s="19">
        <f t="shared" si="455"/>
        <v>0.19671000000000002</v>
      </c>
      <c r="S277" s="20">
        <f t="shared" si="456"/>
        <v>3</v>
      </c>
      <c r="T277" s="19">
        <f t="shared" si="457"/>
        <v>0.19671000000000002</v>
      </c>
      <c r="U277" s="21">
        <f t="shared" si="458"/>
        <v>-3</v>
      </c>
      <c r="V277" s="19">
        <f t="shared" si="459"/>
        <v>-0.19671000000000002</v>
      </c>
      <c r="X277" s="29"/>
    </row>
    <row r="278" spans="1:24">
      <c r="A278" s="26" t="s">
        <v>13</v>
      </c>
      <c r="B278" s="26" t="s">
        <v>26</v>
      </c>
      <c r="C278" s="26">
        <v>8.3000000000000007</v>
      </c>
      <c r="D278" s="27">
        <v>8.5</v>
      </c>
      <c r="E278" s="28"/>
      <c r="F278" s="16">
        <f t="shared" si="451"/>
        <v>0</v>
      </c>
      <c r="G278" s="17"/>
      <c r="H278" s="18"/>
      <c r="I278" s="19">
        <f t="shared" si="452"/>
        <v>0</v>
      </c>
      <c r="J278" s="16"/>
      <c r="K278" s="18"/>
      <c r="L278" s="19">
        <f t="shared" si="453"/>
        <v>0</v>
      </c>
      <c r="M278" s="16"/>
      <c r="N278" s="18"/>
      <c r="O278" s="19">
        <f t="shared" si="454"/>
        <v>0</v>
      </c>
      <c r="P278" s="16"/>
      <c r="Q278" s="18">
        <v>1</v>
      </c>
      <c r="R278" s="19">
        <f t="shared" si="455"/>
        <v>7.0550000000000015E-2</v>
      </c>
      <c r="S278" s="20">
        <f t="shared" si="456"/>
        <v>1</v>
      </c>
      <c r="T278" s="19">
        <f t="shared" si="457"/>
        <v>7.0550000000000015E-2</v>
      </c>
      <c r="U278" s="21">
        <f t="shared" si="458"/>
        <v>-1</v>
      </c>
      <c r="V278" s="19">
        <f t="shared" si="459"/>
        <v>-7.0550000000000015E-2</v>
      </c>
      <c r="X278" s="29"/>
    </row>
    <row r="279" spans="1:24">
      <c r="A279" s="26" t="s">
        <v>13</v>
      </c>
      <c r="B279" s="26" t="s">
        <v>26</v>
      </c>
      <c r="C279" s="26">
        <v>8.3000000000000007</v>
      </c>
      <c r="D279" s="27">
        <v>8.6999999999999993</v>
      </c>
      <c r="E279" s="28"/>
      <c r="F279" s="16">
        <f t="shared" si="451"/>
        <v>0</v>
      </c>
      <c r="G279" s="17"/>
      <c r="H279" s="18"/>
      <c r="I279" s="19">
        <f t="shared" si="452"/>
        <v>0</v>
      </c>
      <c r="J279" s="16"/>
      <c r="K279" s="18"/>
      <c r="L279" s="19">
        <f t="shared" si="453"/>
        <v>0</v>
      </c>
      <c r="M279" s="16"/>
      <c r="N279" s="18"/>
      <c r="O279" s="19">
        <f t="shared" si="454"/>
        <v>0</v>
      </c>
      <c r="P279" s="16"/>
      <c r="Q279" s="18">
        <v>1</v>
      </c>
      <c r="R279" s="19">
        <f t="shared" si="455"/>
        <v>7.2209999999999996E-2</v>
      </c>
      <c r="S279" s="20">
        <f t="shared" si="456"/>
        <v>1</v>
      </c>
      <c r="T279" s="19">
        <f t="shared" si="457"/>
        <v>7.2209999999999996E-2</v>
      </c>
      <c r="U279" s="21">
        <f t="shared" si="458"/>
        <v>-1</v>
      </c>
      <c r="V279" s="19">
        <f t="shared" si="459"/>
        <v>-7.2209999999999996E-2</v>
      </c>
      <c r="X279" s="29"/>
    </row>
    <row r="280" spans="1:24">
      <c r="A280" s="26" t="s">
        <v>13</v>
      </c>
      <c r="B280" s="26" t="s">
        <v>26</v>
      </c>
      <c r="C280" s="26">
        <v>8.3000000000000007</v>
      </c>
      <c r="D280" s="27">
        <v>8.9</v>
      </c>
      <c r="E280" s="28"/>
      <c r="F280" s="16">
        <f t="shared" si="451"/>
        <v>0</v>
      </c>
      <c r="G280" s="17"/>
      <c r="H280" s="18"/>
      <c r="I280" s="19">
        <f t="shared" si="452"/>
        <v>0</v>
      </c>
      <c r="J280" s="16"/>
      <c r="K280" s="18"/>
      <c r="L280" s="19">
        <f t="shared" si="453"/>
        <v>0</v>
      </c>
      <c r="M280" s="16"/>
      <c r="N280" s="18"/>
      <c r="O280" s="19">
        <f t="shared" si="454"/>
        <v>0</v>
      </c>
      <c r="P280" s="16"/>
      <c r="Q280" s="18">
        <v>3</v>
      </c>
      <c r="R280" s="19">
        <f t="shared" si="455"/>
        <v>0.22161</v>
      </c>
      <c r="S280" s="20">
        <f t="shared" si="456"/>
        <v>3</v>
      </c>
      <c r="T280" s="19">
        <f t="shared" si="457"/>
        <v>0.22161</v>
      </c>
      <c r="U280" s="21">
        <f t="shared" si="458"/>
        <v>-3</v>
      </c>
      <c r="V280" s="19">
        <f t="shared" si="459"/>
        <v>-0.22161</v>
      </c>
      <c r="X280" s="29"/>
    </row>
    <row r="281" spans="1:24">
      <c r="A281" s="26" t="s">
        <v>13</v>
      </c>
      <c r="B281" s="26" t="s">
        <v>26</v>
      </c>
      <c r="C281" s="26">
        <v>8.3000000000000007</v>
      </c>
      <c r="D281" s="27">
        <v>9.8000000000000007</v>
      </c>
      <c r="E281" s="28"/>
      <c r="F281" s="16">
        <f t="shared" si="451"/>
        <v>0</v>
      </c>
      <c r="G281" s="17"/>
      <c r="H281" s="18"/>
      <c r="I281" s="19">
        <f t="shared" si="452"/>
        <v>0</v>
      </c>
      <c r="J281" s="16"/>
      <c r="K281" s="18"/>
      <c r="L281" s="19">
        <f t="shared" si="453"/>
        <v>0</v>
      </c>
      <c r="M281" s="16"/>
      <c r="N281" s="18"/>
      <c r="O281" s="19">
        <f t="shared" si="454"/>
        <v>0</v>
      </c>
      <c r="P281" s="16"/>
      <c r="Q281" s="18">
        <v>2</v>
      </c>
      <c r="R281" s="19">
        <f t="shared" si="455"/>
        <v>0.16268000000000005</v>
      </c>
      <c r="S281" s="20">
        <f t="shared" si="456"/>
        <v>2</v>
      </c>
      <c r="T281" s="19">
        <f t="shared" si="457"/>
        <v>0.16268000000000005</v>
      </c>
      <c r="U281" s="21">
        <f t="shared" si="458"/>
        <v>-2</v>
      </c>
      <c r="V281" s="19">
        <f t="shared" si="459"/>
        <v>-0.16268000000000005</v>
      </c>
      <c r="X281" s="29"/>
    </row>
    <row r="282" spans="1:24">
      <c r="A282" s="26" t="s">
        <v>13</v>
      </c>
      <c r="B282" s="26" t="s">
        <v>26</v>
      </c>
      <c r="C282" s="26">
        <v>8.3000000000000007</v>
      </c>
      <c r="D282" s="27">
        <v>10</v>
      </c>
      <c r="E282" s="28"/>
      <c r="F282" s="16">
        <f t="shared" si="451"/>
        <v>0</v>
      </c>
      <c r="G282" s="17"/>
      <c r="H282" s="18"/>
      <c r="I282" s="19">
        <f t="shared" si="452"/>
        <v>0</v>
      </c>
      <c r="J282" s="16"/>
      <c r="K282" s="18"/>
      <c r="L282" s="19">
        <f t="shared" si="453"/>
        <v>0</v>
      </c>
      <c r="M282" s="16"/>
      <c r="N282" s="18"/>
      <c r="O282" s="19">
        <f t="shared" si="454"/>
        <v>0</v>
      </c>
      <c r="P282" s="16"/>
      <c r="Q282" s="18">
        <v>3</v>
      </c>
      <c r="R282" s="19">
        <f t="shared" si="455"/>
        <v>0.249</v>
      </c>
      <c r="S282" s="20">
        <f t="shared" si="456"/>
        <v>3</v>
      </c>
      <c r="T282" s="19">
        <f t="shared" si="457"/>
        <v>0.249</v>
      </c>
      <c r="U282" s="21">
        <f t="shared" si="458"/>
        <v>-3</v>
      </c>
      <c r="V282" s="19">
        <f t="shared" si="459"/>
        <v>-0.249</v>
      </c>
      <c r="X282" s="29"/>
    </row>
    <row r="283" spans="1:24">
      <c r="A283" s="26" t="s">
        <v>13</v>
      </c>
      <c r="B283" s="26" t="s">
        <v>26</v>
      </c>
      <c r="C283" s="26">
        <v>8.3000000000000007</v>
      </c>
      <c r="D283" s="27">
        <v>10.1</v>
      </c>
      <c r="E283" s="28"/>
      <c r="F283" s="16">
        <f t="shared" si="451"/>
        <v>0</v>
      </c>
      <c r="G283" s="17"/>
      <c r="H283" s="18"/>
      <c r="I283" s="19">
        <f t="shared" si="452"/>
        <v>0</v>
      </c>
      <c r="J283" s="16"/>
      <c r="K283" s="18"/>
      <c r="L283" s="19">
        <f t="shared" si="453"/>
        <v>0</v>
      </c>
      <c r="M283" s="16"/>
      <c r="N283" s="18"/>
      <c r="O283" s="19">
        <f t="shared" si="454"/>
        <v>0</v>
      </c>
      <c r="P283" s="16"/>
      <c r="Q283" s="18">
        <v>1</v>
      </c>
      <c r="R283" s="19">
        <f t="shared" si="455"/>
        <v>8.3830000000000002E-2</v>
      </c>
      <c r="S283" s="20">
        <f t="shared" si="456"/>
        <v>1</v>
      </c>
      <c r="T283" s="19">
        <f t="shared" si="457"/>
        <v>8.3830000000000002E-2</v>
      </c>
      <c r="U283" s="21">
        <f t="shared" si="458"/>
        <v>-1</v>
      </c>
      <c r="V283" s="19">
        <f t="shared" si="459"/>
        <v>-8.3830000000000002E-2</v>
      </c>
      <c r="X283" s="29"/>
    </row>
    <row r="284" spans="1:24">
      <c r="A284" s="26" t="s">
        <v>13</v>
      </c>
      <c r="B284" s="26" t="s">
        <v>26</v>
      </c>
      <c r="C284" s="26">
        <v>8.3000000000000007</v>
      </c>
      <c r="D284" s="27">
        <v>10.199999999999999</v>
      </c>
      <c r="E284" s="28"/>
      <c r="F284" s="16">
        <f t="shared" si="451"/>
        <v>0</v>
      </c>
      <c r="G284" s="17"/>
      <c r="H284" s="18"/>
      <c r="I284" s="19">
        <f t="shared" si="452"/>
        <v>0</v>
      </c>
      <c r="J284" s="16"/>
      <c r="K284" s="18"/>
      <c r="L284" s="19">
        <f t="shared" si="453"/>
        <v>0</v>
      </c>
      <c r="M284" s="16"/>
      <c r="N284" s="18"/>
      <c r="O284" s="19">
        <f t="shared" si="454"/>
        <v>0</v>
      </c>
      <c r="P284" s="16"/>
      <c r="Q284" s="18">
        <v>2</v>
      </c>
      <c r="R284" s="19">
        <f t="shared" si="455"/>
        <v>0.16932</v>
      </c>
      <c r="S284" s="20">
        <f t="shared" si="456"/>
        <v>2</v>
      </c>
      <c r="T284" s="19">
        <f t="shared" si="457"/>
        <v>0.16932</v>
      </c>
      <c r="U284" s="21">
        <f t="shared" si="458"/>
        <v>-2</v>
      </c>
      <c r="V284" s="19">
        <f t="shared" si="459"/>
        <v>-0.16932</v>
      </c>
      <c r="X284" s="29"/>
    </row>
    <row r="285" spans="1:24">
      <c r="A285" s="26" t="s">
        <v>13</v>
      </c>
      <c r="B285" s="26" t="s">
        <v>26</v>
      </c>
      <c r="C285" s="26">
        <v>8.3000000000000007</v>
      </c>
      <c r="D285" s="27">
        <v>10.4</v>
      </c>
      <c r="E285" s="28"/>
      <c r="F285" s="16">
        <f t="shared" si="451"/>
        <v>0</v>
      </c>
      <c r="G285" s="17"/>
      <c r="H285" s="18"/>
      <c r="I285" s="19">
        <f t="shared" si="452"/>
        <v>0</v>
      </c>
      <c r="J285" s="16"/>
      <c r="K285" s="18"/>
      <c r="L285" s="19">
        <f t="shared" si="453"/>
        <v>0</v>
      </c>
      <c r="M285" s="16"/>
      <c r="N285" s="18"/>
      <c r="O285" s="19">
        <f t="shared" si="454"/>
        <v>0</v>
      </c>
      <c r="P285" s="16"/>
      <c r="Q285" s="18">
        <v>2</v>
      </c>
      <c r="R285" s="19">
        <f t="shared" si="455"/>
        <v>0.17264000000000002</v>
      </c>
      <c r="S285" s="20">
        <f t="shared" si="456"/>
        <v>2</v>
      </c>
      <c r="T285" s="19">
        <f t="shared" si="457"/>
        <v>0.17264000000000002</v>
      </c>
      <c r="U285" s="21">
        <f t="shared" si="458"/>
        <v>-2</v>
      </c>
      <c r="V285" s="19">
        <f t="shared" si="459"/>
        <v>-0.17264000000000002</v>
      </c>
      <c r="X285" s="29"/>
    </row>
    <row r="286" spans="1:24">
      <c r="A286" s="26" t="s">
        <v>13</v>
      </c>
      <c r="B286" s="26" t="s">
        <v>26</v>
      </c>
      <c r="C286" s="26">
        <v>8.3000000000000007</v>
      </c>
      <c r="D286" s="27">
        <v>11.8</v>
      </c>
      <c r="E286" s="28"/>
      <c r="F286" s="16">
        <f t="shared" si="451"/>
        <v>0</v>
      </c>
      <c r="G286" s="17"/>
      <c r="H286" s="18"/>
      <c r="I286" s="19">
        <f t="shared" si="452"/>
        <v>0</v>
      </c>
      <c r="J286" s="16"/>
      <c r="K286" s="18"/>
      <c r="L286" s="19">
        <f t="shared" si="453"/>
        <v>0</v>
      </c>
      <c r="M286" s="16"/>
      <c r="N286" s="18"/>
      <c r="O286" s="19">
        <f t="shared" si="454"/>
        <v>0</v>
      </c>
      <c r="P286" s="16"/>
      <c r="Q286" s="18">
        <v>5</v>
      </c>
      <c r="R286" s="19">
        <f t="shared" si="455"/>
        <v>0.48970000000000002</v>
      </c>
      <c r="S286" s="20">
        <f t="shared" si="456"/>
        <v>5</v>
      </c>
      <c r="T286" s="19">
        <f t="shared" si="457"/>
        <v>0.48970000000000002</v>
      </c>
      <c r="U286" s="21">
        <f t="shared" si="458"/>
        <v>-5</v>
      </c>
      <c r="V286" s="19">
        <f t="shared" si="459"/>
        <v>-0.48970000000000002</v>
      </c>
      <c r="X286" s="29"/>
    </row>
    <row r="287" spans="1:24">
      <c r="A287" s="26" t="s">
        <v>13</v>
      </c>
      <c r="B287" s="26" t="s">
        <v>26</v>
      </c>
      <c r="C287" s="26">
        <v>8.3000000000000007</v>
      </c>
      <c r="D287" s="27"/>
      <c r="E287" s="28"/>
      <c r="F287" s="16">
        <f t="shared" si="451"/>
        <v>0</v>
      </c>
      <c r="G287" s="17"/>
      <c r="H287" s="18"/>
      <c r="I287" s="19">
        <f t="shared" si="452"/>
        <v>0</v>
      </c>
      <c r="J287" s="16"/>
      <c r="K287" s="18"/>
      <c r="L287" s="19">
        <f t="shared" si="453"/>
        <v>0</v>
      </c>
      <c r="M287" s="16"/>
      <c r="N287" s="18"/>
      <c r="O287" s="19">
        <f t="shared" si="454"/>
        <v>0</v>
      </c>
      <c r="P287" s="16"/>
      <c r="Q287" s="18"/>
      <c r="R287" s="19">
        <f t="shared" si="455"/>
        <v>0</v>
      </c>
      <c r="S287" s="20">
        <f t="shared" si="456"/>
        <v>0</v>
      </c>
      <c r="T287" s="19">
        <f t="shared" si="457"/>
        <v>0</v>
      </c>
      <c r="U287" s="21">
        <f t="shared" si="458"/>
        <v>0</v>
      </c>
      <c r="V287" s="19">
        <f t="shared" si="459"/>
        <v>0</v>
      </c>
      <c r="X287" s="29"/>
    </row>
    <row r="288" spans="1:24">
      <c r="A288" s="26" t="s">
        <v>13</v>
      </c>
      <c r="B288" s="26" t="s">
        <v>26</v>
      </c>
      <c r="C288" s="26">
        <v>8.3000000000000007</v>
      </c>
      <c r="D288" s="27"/>
      <c r="E288" s="28"/>
      <c r="F288" s="16">
        <f t="shared" si="451"/>
        <v>0</v>
      </c>
      <c r="G288" s="17"/>
      <c r="H288" s="18"/>
      <c r="I288" s="19">
        <f t="shared" si="452"/>
        <v>0</v>
      </c>
      <c r="J288" s="16"/>
      <c r="K288" s="18"/>
      <c r="L288" s="19">
        <f t="shared" si="453"/>
        <v>0</v>
      </c>
      <c r="M288" s="16"/>
      <c r="N288" s="18"/>
      <c r="O288" s="19">
        <f t="shared" si="454"/>
        <v>0</v>
      </c>
      <c r="P288" s="16"/>
      <c r="Q288" s="18"/>
      <c r="R288" s="19">
        <f t="shared" si="455"/>
        <v>0</v>
      </c>
      <c r="S288" s="20">
        <f t="shared" si="456"/>
        <v>0</v>
      </c>
      <c r="T288" s="19">
        <f t="shared" si="457"/>
        <v>0</v>
      </c>
      <c r="U288" s="21">
        <f t="shared" si="458"/>
        <v>0</v>
      </c>
      <c r="V288" s="19">
        <f t="shared" si="459"/>
        <v>0</v>
      </c>
      <c r="X288" s="29"/>
    </row>
    <row r="289" spans="1:24">
      <c r="A289" s="26" t="s">
        <v>13</v>
      </c>
      <c r="B289" s="26" t="s">
        <v>26</v>
      </c>
      <c r="C289" s="26">
        <v>8.3000000000000007</v>
      </c>
      <c r="D289" s="27"/>
      <c r="E289" s="28"/>
      <c r="F289" s="16">
        <f t="shared" si="451"/>
        <v>0</v>
      </c>
      <c r="G289" s="17"/>
      <c r="H289" s="18"/>
      <c r="I289" s="19">
        <f t="shared" si="452"/>
        <v>0</v>
      </c>
      <c r="J289" s="16"/>
      <c r="K289" s="18"/>
      <c r="L289" s="19">
        <f t="shared" si="453"/>
        <v>0</v>
      </c>
      <c r="M289" s="16"/>
      <c r="N289" s="18"/>
      <c r="O289" s="19">
        <f t="shared" si="454"/>
        <v>0</v>
      </c>
      <c r="P289" s="16"/>
      <c r="Q289" s="18"/>
      <c r="R289" s="19">
        <f t="shared" si="455"/>
        <v>0</v>
      </c>
      <c r="S289" s="20">
        <f t="shared" si="456"/>
        <v>0</v>
      </c>
      <c r="T289" s="19">
        <f t="shared" si="457"/>
        <v>0</v>
      </c>
      <c r="U289" s="21">
        <f t="shared" si="458"/>
        <v>0</v>
      </c>
      <c r="V289" s="19">
        <f t="shared" si="459"/>
        <v>0</v>
      </c>
      <c r="X289" s="29"/>
    </row>
    <row r="290" spans="1:24">
      <c r="A290" s="26" t="s">
        <v>13</v>
      </c>
      <c r="B290" s="26" t="s">
        <v>26</v>
      </c>
      <c r="C290" s="26">
        <v>8.3000000000000007</v>
      </c>
      <c r="D290" s="27"/>
      <c r="E290" s="28"/>
      <c r="F290" s="16">
        <f t="shared" si="451"/>
        <v>0</v>
      </c>
      <c r="G290" s="17"/>
      <c r="H290" s="18"/>
      <c r="I290" s="19">
        <f t="shared" si="452"/>
        <v>0</v>
      </c>
      <c r="J290" s="16"/>
      <c r="K290" s="18"/>
      <c r="L290" s="19">
        <f t="shared" si="453"/>
        <v>0</v>
      </c>
      <c r="M290" s="16"/>
      <c r="N290" s="18"/>
      <c r="O290" s="19">
        <f t="shared" si="454"/>
        <v>0</v>
      </c>
      <c r="P290" s="16"/>
      <c r="Q290" s="18"/>
      <c r="R290" s="19">
        <f t="shared" si="455"/>
        <v>0</v>
      </c>
      <c r="S290" s="20">
        <f t="shared" si="456"/>
        <v>0</v>
      </c>
      <c r="T290" s="19">
        <f t="shared" si="457"/>
        <v>0</v>
      </c>
      <c r="U290" s="21">
        <f t="shared" si="458"/>
        <v>0</v>
      </c>
      <c r="V290" s="19">
        <f t="shared" si="459"/>
        <v>0</v>
      </c>
      <c r="X290" s="29"/>
    </row>
    <row r="291" spans="1:24">
      <c r="A291" s="26" t="s">
        <v>13</v>
      </c>
      <c r="B291" s="26" t="s">
        <v>26</v>
      </c>
      <c r="C291" s="26">
        <v>8.3000000000000007</v>
      </c>
      <c r="D291" s="27"/>
      <c r="E291" s="28"/>
      <c r="F291" s="16">
        <f t="shared" si="451"/>
        <v>0</v>
      </c>
      <c r="G291" s="17"/>
      <c r="H291" s="18"/>
      <c r="I291" s="19">
        <f t="shared" si="452"/>
        <v>0</v>
      </c>
      <c r="J291" s="16"/>
      <c r="K291" s="18"/>
      <c r="L291" s="19">
        <f t="shared" si="453"/>
        <v>0</v>
      </c>
      <c r="M291" s="16"/>
      <c r="N291" s="18"/>
      <c r="O291" s="19">
        <f t="shared" si="454"/>
        <v>0</v>
      </c>
      <c r="P291" s="16"/>
      <c r="Q291" s="18"/>
      <c r="R291" s="19">
        <f t="shared" si="455"/>
        <v>0</v>
      </c>
      <c r="S291" s="20">
        <f t="shared" si="456"/>
        <v>0</v>
      </c>
      <c r="T291" s="19">
        <f t="shared" si="457"/>
        <v>0</v>
      </c>
      <c r="U291" s="21">
        <f t="shared" si="458"/>
        <v>0</v>
      </c>
      <c r="V291" s="19">
        <f t="shared" si="459"/>
        <v>0</v>
      </c>
      <c r="X291" s="29"/>
    </row>
    <row r="292" spans="1:24">
      <c r="A292" s="26" t="s">
        <v>13</v>
      </c>
      <c r="B292" s="26" t="s">
        <v>26</v>
      </c>
      <c r="C292" s="26">
        <v>8.3000000000000007</v>
      </c>
      <c r="D292" s="27"/>
      <c r="E292" s="28"/>
      <c r="F292" s="16">
        <f t="shared" si="451"/>
        <v>0</v>
      </c>
      <c r="G292" s="17"/>
      <c r="H292" s="18"/>
      <c r="I292" s="19">
        <f t="shared" si="452"/>
        <v>0</v>
      </c>
      <c r="J292" s="16"/>
      <c r="K292" s="18"/>
      <c r="L292" s="19">
        <f t="shared" si="453"/>
        <v>0</v>
      </c>
      <c r="M292" s="16"/>
      <c r="N292" s="18"/>
      <c r="O292" s="19">
        <f t="shared" si="454"/>
        <v>0</v>
      </c>
      <c r="P292" s="16"/>
      <c r="Q292" s="18"/>
      <c r="R292" s="19">
        <f t="shared" si="455"/>
        <v>0</v>
      </c>
      <c r="S292" s="20">
        <f t="shared" si="456"/>
        <v>0</v>
      </c>
      <c r="T292" s="19">
        <f t="shared" si="457"/>
        <v>0</v>
      </c>
      <c r="U292" s="21">
        <f t="shared" si="458"/>
        <v>0</v>
      </c>
      <c r="V292" s="19">
        <f t="shared" si="459"/>
        <v>0</v>
      </c>
      <c r="X292" s="29"/>
    </row>
    <row r="293" spans="1:24">
      <c r="A293" s="26" t="s">
        <v>13</v>
      </c>
      <c r="B293" s="26" t="s">
        <v>26</v>
      </c>
      <c r="C293" s="26">
        <v>8.3000000000000007</v>
      </c>
      <c r="D293" s="27"/>
      <c r="E293" s="28"/>
      <c r="F293" s="16">
        <f t="shared" si="451"/>
        <v>0</v>
      </c>
      <c r="G293" s="17"/>
      <c r="H293" s="18"/>
      <c r="I293" s="19">
        <f t="shared" si="452"/>
        <v>0</v>
      </c>
      <c r="J293" s="16"/>
      <c r="K293" s="18"/>
      <c r="L293" s="19">
        <f t="shared" si="453"/>
        <v>0</v>
      </c>
      <c r="M293" s="16"/>
      <c r="N293" s="18"/>
      <c r="O293" s="19">
        <f t="shared" si="454"/>
        <v>0</v>
      </c>
      <c r="P293" s="16"/>
      <c r="Q293" s="18"/>
      <c r="R293" s="19">
        <f t="shared" si="455"/>
        <v>0</v>
      </c>
      <c r="S293" s="20">
        <f t="shared" si="456"/>
        <v>0</v>
      </c>
      <c r="T293" s="19">
        <f t="shared" si="457"/>
        <v>0</v>
      </c>
      <c r="U293" s="21">
        <f t="shared" si="458"/>
        <v>0</v>
      </c>
      <c r="V293" s="19">
        <f t="shared" si="459"/>
        <v>0</v>
      </c>
      <c r="X293" s="29"/>
    </row>
    <row r="294" spans="1:24">
      <c r="A294" s="26" t="s">
        <v>13</v>
      </c>
      <c r="B294" s="26" t="s">
        <v>26</v>
      </c>
      <c r="C294" s="26">
        <v>8.3000000000000007</v>
      </c>
      <c r="D294" s="27"/>
      <c r="E294" s="28"/>
      <c r="F294" s="16">
        <f t="shared" si="451"/>
        <v>0</v>
      </c>
      <c r="G294" s="17"/>
      <c r="H294" s="18"/>
      <c r="I294" s="19">
        <f t="shared" si="452"/>
        <v>0</v>
      </c>
      <c r="J294" s="16"/>
      <c r="K294" s="18"/>
      <c r="L294" s="19">
        <f t="shared" si="453"/>
        <v>0</v>
      </c>
      <c r="M294" s="16"/>
      <c r="N294" s="18"/>
      <c r="O294" s="19">
        <f t="shared" si="454"/>
        <v>0</v>
      </c>
      <c r="P294" s="16"/>
      <c r="Q294" s="18"/>
      <c r="R294" s="19">
        <f t="shared" si="455"/>
        <v>0</v>
      </c>
      <c r="S294" s="20">
        <f t="shared" si="456"/>
        <v>0</v>
      </c>
      <c r="T294" s="19">
        <f t="shared" si="457"/>
        <v>0</v>
      </c>
      <c r="U294" s="21">
        <f t="shared" si="458"/>
        <v>0</v>
      </c>
      <c r="V294" s="19">
        <f t="shared" si="459"/>
        <v>0</v>
      </c>
      <c r="X294" s="29"/>
    </row>
    <row r="295" spans="1:24">
      <c r="A295" s="26" t="s">
        <v>13</v>
      </c>
      <c r="B295" s="26" t="s">
        <v>26</v>
      </c>
      <c r="C295" s="26">
        <v>8.3000000000000007</v>
      </c>
      <c r="D295" s="27"/>
      <c r="E295" s="28"/>
      <c r="F295" s="16">
        <f t="shared" si="451"/>
        <v>0</v>
      </c>
      <c r="G295" s="17"/>
      <c r="H295" s="18"/>
      <c r="I295" s="19">
        <f t="shared" si="452"/>
        <v>0</v>
      </c>
      <c r="J295" s="16"/>
      <c r="K295" s="18"/>
      <c r="L295" s="19">
        <f t="shared" si="453"/>
        <v>0</v>
      </c>
      <c r="M295" s="16"/>
      <c r="N295" s="18"/>
      <c r="O295" s="19">
        <f t="shared" si="454"/>
        <v>0</v>
      </c>
      <c r="P295" s="16"/>
      <c r="Q295" s="18"/>
      <c r="R295" s="19">
        <f t="shared" si="455"/>
        <v>0</v>
      </c>
      <c r="S295" s="20">
        <f t="shared" si="456"/>
        <v>0</v>
      </c>
      <c r="T295" s="19">
        <f t="shared" si="457"/>
        <v>0</v>
      </c>
      <c r="U295" s="21">
        <f t="shared" si="458"/>
        <v>0</v>
      </c>
      <c r="V295" s="19">
        <f t="shared" si="459"/>
        <v>0</v>
      </c>
      <c r="X295" s="29"/>
    </row>
    <row r="296" spans="1:24">
      <c r="A296" s="26" t="s">
        <v>13</v>
      </c>
      <c r="B296" s="26" t="s">
        <v>26</v>
      </c>
      <c r="C296" s="26">
        <v>8.3000000000000007</v>
      </c>
      <c r="D296" s="27"/>
      <c r="E296" s="28"/>
      <c r="F296" s="16">
        <f t="shared" si="451"/>
        <v>0</v>
      </c>
      <c r="G296" s="17"/>
      <c r="H296" s="18"/>
      <c r="I296" s="19">
        <f t="shared" si="452"/>
        <v>0</v>
      </c>
      <c r="J296" s="16"/>
      <c r="K296" s="18"/>
      <c r="L296" s="19">
        <f t="shared" si="453"/>
        <v>0</v>
      </c>
      <c r="M296" s="16"/>
      <c r="N296" s="18"/>
      <c r="O296" s="19">
        <f t="shared" si="454"/>
        <v>0</v>
      </c>
      <c r="P296" s="16"/>
      <c r="Q296" s="18"/>
      <c r="R296" s="19">
        <f t="shared" si="455"/>
        <v>0</v>
      </c>
      <c r="S296" s="20">
        <f t="shared" si="456"/>
        <v>0</v>
      </c>
      <c r="T296" s="19">
        <f t="shared" si="457"/>
        <v>0</v>
      </c>
      <c r="U296" s="21">
        <f t="shared" si="458"/>
        <v>0</v>
      </c>
      <c r="V296" s="19">
        <f t="shared" si="459"/>
        <v>0</v>
      </c>
      <c r="X296" s="29"/>
    </row>
    <row r="297" spans="1:24">
      <c r="A297" s="26" t="s">
        <v>13</v>
      </c>
      <c r="B297" s="26" t="s">
        <v>26</v>
      </c>
      <c r="C297" s="26">
        <v>8.3000000000000007</v>
      </c>
      <c r="D297" s="27"/>
      <c r="E297" s="28"/>
      <c r="F297" s="16">
        <f t="shared" si="451"/>
        <v>0</v>
      </c>
      <c r="G297" s="17"/>
      <c r="H297" s="18"/>
      <c r="I297" s="19">
        <f t="shared" si="452"/>
        <v>0</v>
      </c>
      <c r="J297" s="16"/>
      <c r="K297" s="18"/>
      <c r="L297" s="19">
        <f t="shared" si="453"/>
        <v>0</v>
      </c>
      <c r="M297" s="16"/>
      <c r="N297" s="18"/>
      <c r="O297" s="19">
        <f t="shared" si="454"/>
        <v>0</v>
      </c>
      <c r="P297" s="16"/>
      <c r="Q297" s="18"/>
      <c r="R297" s="19">
        <f t="shared" si="455"/>
        <v>0</v>
      </c>
      <c r="S297" s="20">
        <f t="shared" si="456"/>
        <v>0</v>
      </c>
      <c r="T297" s="19">
        <f t="shared" si="457"/>
        <v>0</v>
      </c>
      <c r="U297" s="21">
        <f t="shared" si="458"/>
        <v>0</v>
      </c>
      <c r="V297" s="19">
        <f t="shared" si="459"/>
        <v>0</v>
      </c>
      <c r="X297" s="29"/>
    </row>
    <row r="298" spans="1:24">
      <c r="A298" s="26" t="s">
        <v>13</v>
      </c>
      <c r="B298" s="26" t="s">
        <v>26</v>
      </c>
      <c r="C298" s="26">
        <v>8.3000000000000007</v>
      </c>
      <c r="D298" s="27"/>
      <c r="E298" s="28"/>
      <c r="F298" s="16">
        <f t="shared" si="442"/>
        <v>0</v>
      </c>
      <c r="G298" s="17"/>
      <c r="H298" s="18"/>
      <c r="I298" s="19">
        <f t="shared" si="443"/>
        <v>0</v>
      </c>
      <c r="J298" s="16"/>
      <c r="K298" s="18"/>
      <c r="L298" s="19">
        <f t="shared" si="444"/>
        <v>0</v>
      </c>
      <c r="M298" s="16"/>
      <c r="N298" s="18"/>
      <c r="O298" s="19">
        <f t="shared" si="445"/>
        <v>0</v>
      </c>
      <c r="P298" s="16"/>
      <c r="Q298" s="18"/>
      <c r="R298" s="19">
        <f t="shared" si="446"/>
        <v>0</v>
      </c>
      <c r="S298" s="20">
        <f t="shared" si="447"/>
        <v>0</v>
      </c>
      <c r="T298" s="19">
        <f t="shared" si="448"/>
        <v>0</v>
      </c>
      <c r="U298" s="21">
        <f t="shared" si="449"/>
        <v>0</v>
      </c>
      <c r="V298" s="19">
        <f t="shared" si="450"/>
        <v>0</v>
      </c>
      <c r="X298" s="29"/>
    </row>
    <row r="299" spans="1:24">
      <c r="A299" s="26" t="s">
        <v>13</v>
      </c>
      <c r="B299" s="26" t="s">
        <v>26</v>
      </c>
      <c r="C299" s="26">
        <v>8.3000000000000007</v>
      </c>
      <c r="D299" s="27"/>
      <c r="E299" s="28"/>
      <c r="F299" s="16">
        <f t="shared" si="442"/>
        <v>0</v>
      </c>
      <c r="G299" s="17"/>
      <c r="H299" s="18"/>
      <c r="I299" s="19">
        <f t="shared" si="443"/>
        <v>0</v>
      </c>
      <c r="J299" s="16"/>
      <c r="K299" s="18"/>
      <c r="L299" s="19">
        <f t="shared" si="444"/>
        <v>0</v>
      </c>
      <c r="M299" s="16"/>
      <c r="N299" s="18"/>
      <c r="O299" s="19">
        <f t="shared" si="445"/>
        <v>0</v>
      </c>
      <c r="P299" s="16"/>
      <c r="Q299" s="18"/>
      <c r="R299" s="19">
        <f t="shared" si="446"/>
        <v>0</v>
      </c>
      <c r="S299" s="20">
        <f t="shared" si="447"/>
        <v>0</v>
      </c>
      <c r="T299" s="19">
        <f t="shared" si="448"/>
        <v>0</v>
      </c>
      <c r="U299" s="21">
        <f t="shared" si="449"/>
        <v>0</v>
      </c>
      <c r="V299" s="19">
        <f t="shared" si="450"/>
        <v>0</v>
      </c>
      <c r="X299" s="29"/>
    </row>
    <row r="300" spans="1:24">
      <c r="A300" s="26" t="s">
        <v>13</v>
      </c>
      <c r="B300" s="26" t="s">
        <v>26</v>
      </c>
      <c r="C300" s="26">
        <v>8.3000000000000007</v>
      </c>
      <c r="D300" s="27"/>
      <c r="E300" s="28"/>
      <c r="F300" s="16">
        <f t="shared" si="442"/>
        <v>0</v>
      </c>
      <c r="G300" s="17"/>
      <c r="H300" s="18"/>
      <c r="I300" s="19">
        <f t="shared" si="443"/>
        <v>0</v>
      </c>
      <c r="J300" s="16"/>
      <c r="K300" s="18"/>
      <c r="L300" s="19">
        <f t="shared" si="444"/>
        <v>0</v>
      </c>
      <c r="M300" s="16"/>
      <c r="N300" s="18"/>
      <c r="O300" s="19">
        <f t="shared" si="445"/>
        <v>0</v>
      </c>
      <c r="P300" s="16"/>
      <c r="Q300" s="18"/>
      <c r="R300" s="19">
        <f t="shared" si="446"/>
        <v>0</v>
      </c>
      <c r="S300" s="20">
        <f t="shared" si="447"/>
        <v>0</v>
      </c>
      <c r="T300" s="19">
        <f t="shared" si="448"/>
        <v>0</v>
      </c>
      <c r="U300" s="21">
        <f t="shared" si="449"/>
        <v>0</v>
      </c>
      <c r="V300" s="19">
        <f t="shared" si="450"/>
        <v>0</v>
      </c>
      <c r="X300" s="29"/>
    </row>
    <row r="301" spans="1:24">
      <c r="A301" s="26" t="s">
        <v>13</v>
      </c>
      <c r="B301" s="26" t="s">
        <v>26</v>
      </c>
      <c r="C301" s="26">
        <v>8.3000000000000007</v>
      </c>
      <c r="D301" s="27"/>
      <c r="E301" s="28"/>
      <c r="F301" s="16">
        <f t="shared" si="433"/>
        <v>0</v>
      </c>
      <c r="G301" s="17"/>
      <c r="H301" s="18"/>
      <c r="I301" s="19">
        <f t="shared" si="434"/>
        <v>0</v>
      </c>
      <c r="J301" s="16"/>
      <c r="K301" s="18"/>
      <c r="L301" s="19">
        <f t="shared" si="435"/>
        <v>0</v>
      </c>
      <c r="M301" s="16"/>
      <c r="N301" s="18"/>
      <c r="O301" s="19">
        <f t="shared" si="436"/>
        <v>0</v>
      </c>
      <c r="P301" s="16"/>
      <c r="Q301" s="18"/>
      <c r="R301" s="19">
        <f t="shared" si="437"/>
        <v>0</v>
      </c>
      <c r="S301" s="20">
        <f t="shared" si="438"/>
        <v>0</v>
      </c>
      <c r="T301" s="19">
        <f t="shared" si="439"/>
        <v>0</v>
      </c>
      <c r="U301" s="21">
        <f t="shared" si="440"/>
        <v>0</v>
      </c>
      <c r="V301" s="19">
        <f t="shared" si="441"/>
        <v>0</v>
      </c>
      <c r="X301" s="29"/>
    </row>
    <row r="302" spans="1:24">
      <c r="A302" s="36"/>
      <c r="B302" s="36"/>
      <c r="C302" s="36"/>
      <c r="D302" s="38"/>
      <c r="E302" s="31">
        <f>SUM(E262:E301)</f>
        <v>972</v>
      </c>
      <c r="F302" s="38">
        <f>SUM(F262:F301)</f>
        <v>84.22923000000003</v>
      </c>
      <c r="G302" s="17"/>
      <c r="H302" s="31">
        <f>SUM(H262:H301)</f>
        <v>194</v>
      </c>
      <c r="I302" s="38">
        <f>SUM(I262:I301)</f>
        <v>16.902535</v>
      </c>
      <c r="J302" s="16"/>
      <c r="K302" s="31">
        <f>SUM(K262:K301)</f>
        <v>375</v>
      </c>
      <c r="L302" s="38">
        <f>SUM(L262:L301)</f>
        <v>32.068295000000006</v>
      </c>
      <c r="M302" s="16"/>
      <c r="N302" s="31">
        <f>SUM(N262:N301)</f>
        <v>275</v>
      </c>
      <c r="O302" s="38">
        <f>SUM(O262:O301)</f>
        <v>24.062945000000003</v>
      </c>
      <c r="P302" s="16"/>
      <c r="Q302" s="31">
        <f t="shared" ref="Q302:V302" si="460">SUM(Q262:Q301)</f>
        <v>106</v>
      </c>
      <c r="R302" s="38">
        <f t="shared" si="460"/>
        <v>9.226695000000003</v>
      </c>
      <c r="S302" s="31">
        <f t="shared" si="460"/>
        <v>950</v>
      </c>
      <c r="T302" s="38">
        <f t="shared" si="460"/>
        <v>82.260469999999984</v>
      </c>
      <c r="U302" s="31">
        <f t="shared" si="460"/>
        <v>22</v>
      </c>
      <c r="V302" s="38">
        <f t="shared" si="460"/>
        <v>1.9687599999999996</v>
      </c>
      <c r="X302" s="29"/>
    </row>
    <row r="303" spans="1:24">
      <c r="A303" s="26" t="s">
        <v>13</v>
      </c>
      <c r="B303" s="26" t="s">
        <v>37</v>
      </c>
      <c r="C303" s="26">
        <v>9.61</v>
      </c>
      <c r="D303" s="27">
        <v>11</v>
      </c>
      <c r="E303" s="28">
        <v>50</v>
      </c>
      <c r="F303" s="16">
        <f t="shared" ref="F303:F308" si="461">(C303*D303*E303/1000)</f>
        <v>5.2854999999999999</v>
      </c>
      <c r="G303" s="16" t="s">
        <v>93</v>
      </c>
      <c r="H303" s="18">
        <v>43</v>
      </c>
      <c r="I303" s="19">
        <f t="shared" ref="I303:I308" si="462">(C303*D303*H303/1000)</f>
        <v>4.5455299999999994</v>
      </c>
      <c r="J303" s="16"/>
      <c r="K303" s="18"/>
      <c r="L303" s="19">
        <f t="shared" ref="L303:L308" si="463">(C303*D303*K303/1000)</f>
        <v>0</v>
      </c>
      <c r="M303" s="16"/>
      <c r="N303" s="18"/>
      <c r="O303" s="19">
        <f t="shared" ref="O303:O308" si="464">(C303*D303*N303/1000)</f>
        <v>0</v>
      </c>
      <c r="P303" s="16"/>
      <c r="Q303" s="18"/>
      <c r="R303" s="19">
        <f t="shared" ref="R303:R308" si="465">(C303*D303*Q303/1000)</f>
        <v>0</v>
      </c>
      <c r="S303" s="20">
        <f t="shared" ref="S303:S308" si="466">+H303+K303+Q303+N303</f>
        <v>43</v>
      </c>
      <c r="T303" s="19">
        <f t="shared" ref="T303:T308" si="467">+I303+L303+R303+O303</f>
        <v>4.5455299999999994</v>
      </c>
      <c r="U303" s="21">
        <f t="shared" ref="U303:U308" si="468">E303-S303</f>
        <v>7</v>
      </c>
      <c r="V303" s="19">
        <f t="shared" ref="V303:V308" si="469">F303-T303</f>
        <v>0.73997000000000046</v>
      </c>
      <c r="X303" s="29"/>
    </row>
    <row r="304" spans="1:24">
      <c r="A304" s="26" t="s">
        <v>13</v>
      </c>
      <c r="B304" s="26" t="s">
        <v>37</v>
      </c>
      <c r="C304" s="26">
        <v>9.61</v>
      </c>
      <c r="D304" s="27">
        <v>11.5</v>
      </c>
      <c r="E304" s="28">
        <v>28</v>
      </c>
      <c r="F304" s="16">
        <f t="shared" ref="F304:F307" si="470">(C304*D304*E304/1000)</f>
        <v>3.0944199999999995</v>
      </c>
      <c r="G304" s="16" t="s">
        <v>202</v>
      </c>
      <c r="H304" s="18">
        <v>8</v>
      </c>
      <c r="I304" s="19">
        <f t="shared" ref="I304:I307" si="471">(C304*D304*H304/1000)</f>
        <v>0.88411999999999991</v>
      </c>
      <c r="J304" s="16"/>
      <c r="K304" s="18"/>
      <c r="L304" s="19">
        <f t="shared" ref="L304:L307" si="472">(C304*D304*K304/1000)</f>
        <v>0</v>
      </c>
      <c r="M304" s="16"/>
      <c r="N304" s="18"/>
      <c r="O304" s="19">
        <f t="shared" ref="O304:O307" si="473">(C304*D304*N304/1000)</f>
        <v>0</v>
      </c>
      <c r="P304" s="16"/>
      <c r="Q304" s="18"/>
      <c r="R304" s="19">
        <f t="shared" ref="R304:R307" si="474">(C304*D304*Q304/1000)</f>
        <v>0</v>
      </c>
      <c r="S304" s="20">
        <f t="shared" ref="S304:S307" si="475">+H304+K304+Q304+N304</f>
        <v>8</v>
      </c>
      <c r="T304" s="19">
        <f t="shared" ref="T304:T307" si="476">+I304+L304+R304+O304</f>
        <v>0.88411999999999991</v>
      </c>
      <c r="U304" s="21">
        <f t="shared" ref="U304:U307" si="477">E304-S304</f>
        <v>20</v>
      </c>
      <c r="V304" s="19">
        <f t="shared" ref="V304:V307" si="478">F304-T304</f>
        <v>2.2102999999999997</v>
      </c>
      <c r="X304" s="29"/>
    </row>
    <row r="305" spans="1:24">
      <c r="A305" s="26" t="s">
        <v>13</v>
      </c>
      <c r="B305" s="26" t="s">
        <v>37</v>
      </c>
      <c r="C305" s="26">
        <v>9.61</v>
      </c>
      <c r="D305" s="27">
        <v>10.5</v>
      </c>
      <c r="E305" s="28"/>
      <c r="F305" s="16">
        <f t="shared" si="470"/>
        <v>0</v>
      </c>
      <c r="G305" s="16"/>
      <c r="H305" s="18">
        <v>6</v>
      </c>
      <c r="I305" s="19">
        <f t="shared" si="471"/>
        <v>0.60543000000000002</v>
      </c>
      <c r="J305" s="16"/>
      <c r="K305" s="18"/>
      <c r="L305" s="19">
        <f t="shared" si="472"/>
        <v>0</v>
      </c>
      <c r="M305" s="16"/>
      <c r="N305" s="18"/>
      <c r="O305" s="19">
        <f t="shared" si="473"/>
        <v>0</v>
      </c>
      <c r="P305" s="16"/>
      <c r="Q305" s="18"/>
      <c r="R305" s="19">
        <f t="shared" si="474"/>
        <v>0</v>
      </c>
      <c r="S305" s="20">
        <f t="shared" si="475"/>
        <v>6</v>
      </c>
      <c r="T305" s="19">
        <f t="shared" si="476"/>
        <v>0.60543000000000002</v>
      </c>
      <c r="U305" s="21">
        <f t="shared" si="477"/>
        <v>-6</v>
      </c>
      <c r="V305" s="19">
        <f t="shared" si="478"/>
        <v>-0.60543000000000002</v>
      </c>
      <c r="X305" s="29"/>
    </row>
    <row r="306" spans="1:24">
      <c r="A306" s="26" t="s">
        <v>13</v>
      </c>
      <c r="B306" s="26" t="s">
        <v>37</v>
      </c>
      <c r="C306" s="26">
        <v>9.61</v>
      </c>
      <c r="D306" s="27">
        <v>11.2</v>
      </c>
      <c r="E306" s="28"/>
      <c r="F306" s="16">
        <f t="shared" si="470"/>
        <v>0</v>
      </c>
      <c r="G306" s="16"/>
      <c r="H306" s="18">
        <v>20</v>
      </c>
      <c r="I306" s="19">
        <f t="shared" si="471"/>
        <v>2.1526399999999999</v>
      </c>
      <c r="J306" s="16"/>
      <c r="K306" s="18"/>
      <c r="L306" s="19">
        <f t="shared" si="472"/>
        <v>0</v>
      </c>
      <c r="M306" s="16"/>
      <c r="N306" s="18"/>
      <c r="O306" s="19">
        <f t="shared" si="473"/>
        <v>0</v>
      </c>
      <c r="P306" s="16"/>
      <c r="Q306" s="18"/>
      <c r="R306" s="19">
        <f t="shared" si="474"/>
        <v>0</v>
      </c>
      <c r="S306" s="20">
        <f t="shared" si="475"/>
        <v>20</v>
      </c>
      <c r="T306" s="19">
        <f t="shared" si="476"/>
        <v>2.1526399999999999</v>
      </c>
      <c r="U306" s="21">
        <f t="shared" si="477"/>
        <v>-20</v>
      </c>
      <c r="V306" s="19">
        <f t="shared" si="478"/>
        <v>-2.1526399999999999</v>
      </c>
      <c r="X306" s="29"/>
    </row>
    <row r="307" spans="1:24">
      <c r="A307" s="26" t="s">
        <v>13</v>
      </c>
      <c r="B307" s="26" t="s">
        <v>37</v>
      </c>
      <c r="C307" s="26">
        <v>9.61</v>
      </c>
      <c r="D307" s="27">
        <v>12</v>
      </c>
      <c r="E307" s="28"/>
      <c r="F307" s="16">
        <f t="shared" si="470"/>
        <v>0</v>
      </c>
      <c r="G307" s="16"/>
      <c r="H307" s="18">
        <v>1</v>
      </c>
      <c r="I307" s="19">
        <f t="shared" si="471"/>
        <v>0.11531999999999999</v>
      </c>
      <c r="J307" s="16"/>
      <c r="K307" s="18"/>
      <c r="L307" s="19">
        <f t="shared" si="472"/>
        <v>0</v>
      </c>
      <c r="M307" s="16"/>
      <c r="N307" s="18"/>
      <c r="O307" s="19">
        <f t="shared" si="473"/>
        <v>0</v>
      </c>
      <c r="P307" s="16"/>
      <c r="Q307" s="18"/>
      <c r="R307" s="19">
        <f t="shared" si="474"/>
        <v>0</v>
      </c>
      <c r="S307" s="20">
        <f t="shared" si="475"/>
        <v>1</v>
      </c>
      <c r="T307" s="19">
        <f t="shared" si="476"/>
        <v>0.11531999999999999</v>
      </c>
      <c r="U307" s="21">
        <f t="shared" si="477"/>
        <v>-1</v>
      </c>
      <c r="V307" s="19">
        <f t="shared" si="478"/>
        <v>-0.11531999999999999</v>
      </c>
      <c r="X307" s="29"/>
    </row>
    <row r="308" spans="1:24">
      <c r="A308" s="26" t="s">
        <v>13</v>
      </c>
      <c r="B308" s="26" t="s">
        <v>37</v>
      </c>
      <c r="C308" s="26">
        <v>9.61</v>
      </c>
      <c r="D308" s="27"/>
      <c r="E308" s="28"/>
      <c r="F308" s="16">
        <f t="shared" si="461"/>
        <v>0</v>
      </c>
      <c r="G308" s="16"/>
      <c r="H308" s="18"/>
      <c r="I308" s="19">
        <f t="shared" si="462"/>
        <v>0</v>
      </c>
      <c r="J308" s="16"/>
      <c r="K308" s="18"/>
      <c r="L308" s="19">
        <f t="shared" si="463"/>
        <v>0</v>
      </c>
      <c r="M308" s="16"/>
      <c r="N308" s="18"/>
      <c r="O308" s="19">
        <f t="shared" si="464"/>
        <v>0</v>
      </c>
      <c r="P308" s="16"/>
      <c r="Q308" s="18"/>
      <c r="R308" s="19">
        <f t="shared" si="465"/>
        <v>0</v>
      </c>
      <c r="S308" s="20">
        <f t="shared" si="466"/>
        <v>0</v>
      </c>
      <c r="T308" s="19">
        <f t="shared" si="467"/>
        <v>0</v>
      </c>
      <c r="U308" s="21">
        <f t="shared" si="468"/>
        <v>0</v>
      </c>
      <c r="V308" s="19">
        <f t="shared" si="469"/>
        <v>0</v>
      </c>
      <c r="X308" s="29"/>
    </row>
    <row r="309" spans="1:24">
      <c r="A309" s="36"/>
      <c r="B309" s="36"/>
      <c r="C309" s="36"/>
      <c r="D309" s="38"/>
      <c r="E309" s="31">
        <f>SUM(E303:E308)</f>
        <v>78</v>
      </c>
      <c r="F309" s="38">
        <f>SUM(F303:F308)</f>
        <v>8.3799199999999985</v>
      </c>
      <c r="G309" s="17"/>
      <c r="H309" s="31">
        <f>SUM(H303:H308)</f>
        <v>78</v>
      </c>
      <c r="I309" s="38">
        <f>SUM(I303:I308)</f>
        <v>8.3030399999999993</v>
      </c>
      <c r="J309" s="16"/>
      <c r="K309" s="31">
        <f>SUM(K303:K308)</f>
        <v>0</v>
      </c>
      <c r="L309" s="38">
        <f>SUM(L303:L308)</f>
        <v>0</v>
      </c>
      <c r="M309" s="16"/>
      <c r="N309" s="31">
        <f>SUM(N303:N308)</f>
        <v>0</v>
      </c>
      <c r="O309" s="38">
        <f>SUM(O303:O308)</f>
        <v>0</v>
      </c>
      <c r="P309" s="16"/>
      <c r="Q309" s="31">
        <f t="shared" ref="Q309:V309" si="479">SUM(Q303:Q308)</f>
        <v>0</v>
      </c>
      <c r="R309" s="38">
        <f t="shared" si="479"/>
        <v>0</v>
      </c>
      <c r="S309" s="31">
        <f t="shared" si="479"/>
        <v>78</v>
      </c>
      <c r="T309" s="38">
        <f t="shared" si="479"/>
        <v>8.3030399999999993</v>
      </c>
      <c r="U309" s="31">
        <f t="shared" si="479"/>
        <v>0</v>
      </c>
      <c r="V309" s="38">
        <f t="shared" si="479"/>
        <v>7.6880000000000157E-2</v>
      </c>
      <c r="X309" s="29"/>
    </row>
    <row r="310" spans="1:24">
      <c r="A310" s="26" t="s">
        <v>14</v>
      </c>
      <c r="B310" s="26" t="s">
        <v>45</v>
      </c>
      <c r="C310" s="26">
        <v>9.26</v>
      </c>
      <c r="D310" s="27">
        <v>7.6</v>
      </c>
      <c r="E310" s="28">
        <v>18</v>
      </c>
      <c r="F310" s="16">
        <f t="shared" ref="F310:F311" si="480">(C310*D310*E310/1000)</f>
        <v>1.2667679999999999</v>
      </c>
      <c r="G310" s="16" t="s">
        <v>89</v>
      </c>
      <c r="H310" s="18">
        <v>18</v>
      </c>
      <c r="I310" s="19">
        <f t="shared" ref="I310:I311" si="481">(C310*D310*H310/1000)</f>
        <v>1.2667679999999999</v>
      </c>
      <c r="J310" s="16"/>
      <c r="K310" s="18"/>
      <c r="L310" s="19">
        <f t="shared" ref="L310:L311" si="482">(C310*D310*K310/1000)</f>
        <v>0</v>
      </c>
      <c r="M310" s="16"/>
      <c r="N310" s="18"/>
      <c r="O310" s="19">
        <f t="shared" ref="O310:O311" si="483">(C310*D310*N310/1000)</f>
        <v>0</v>
      </c>
      <c r="P310" s="16"/>
      <c r="Q310" s="18"/>
      <c r="R310" s="19">
        <f t="shared" ref="R310:R311" si="484">(C310*D310*Q310/1000)</f>
        <v>0</v>
      </c>
      <c r="S310" s="20">
        <f t="shared" ref="S310:S311" si="485">+H310+K310+Q310+N310</f>
        <v>18</v>
      </c>
      <c r="T310" s="19">
        <f t="shared" ref="T310:T311" si="486">+I310+L310+R310+O310</f>
        <v>1.2667679999999999</v>
      </c>
      <c r="U310" s="21">
        <f t="shared" ref="U310:U311" si="487">E310-S310</f>
        <v>0</v>
      </c>
      <c r="V310" s="19">
        <f t="shared" ref="V310:V311" si="488">F310-T310</f>
        <v>0</v>
      </c>
      <c r="X310" s="29"/>
    </row>
    <row r="311" spans="1:24">
      <c r="A311" s="26" t="s">
        <v>14</v>
      </c>
      <c r="B311" s="26" t="s">
        <v>45</v>
      </c>
      <c r="C311" s="26">
        <v>9.26</v>
      </c>
      <c r="D311" s="27">
        <v>11.7</v>
      </c>
      <c r="E311" s="28">
        <v>5</v>
      </c>
      <c r="F311" s="16">
        <f t="shared" si="480"/>
        <v>0.54170999999999991</v>
      </c>
      <c r="G311" s="16" t="s">
        <v>206</v>
      </c>
      <c r="H311" s="18">
        <v>5</v>
      </c>
      <c r="I311" s="19">
        <f t="shared" si="481"/>
        <v>0.54170999999999991</v>
      </c>
      <c r="J311" s="16"/>
      <c r="K311" s="18"/>
      <c r="L311" s="19">
        <f t="shared" si="482"/>
        <v>0</v>
      </c>
      <c r="M311" s="16"/>
      <c r="N311" s="18"/>
      <c r="O311" s="19">
        <f t="shared" si="483"/>
        <v>0</v>
      </c>
      <c r="P311" s="16"/>
      <c r="Q311" s="18"/>
      <c r="R311" s="19">
        <f t="shared" si="484"/>
        <v>0</v>
      </c>
      <c r="S311" s="20">
        <f t="shared" si="485"/>
        <v>5</v>
      </c>
      <c r="T311" s="19">
        <f t="shared" si="486"/>
        <v>0.54170999999999991</v>
      </c>
      <c r="U311" s="21">
        <f t="shared" si="487"/>
        <v>0</v>
      </c>
      <c r="V311" s="19">
        <f t="shared" si="488"/>
        <v>0</v>
      </c>
      <c r="X311" s="29"/>
    </row>
    <row r="312" spans="1:24">
      <c r="A312" s="36"/>
      <c r="B312" s="36"/>
      <c r="C312" s="36"/>
      <c r="D312" s="38"/>
      <c r="E312" s="31">
        <f>SUM(E310:E311)</f>
        <v>23</v>
      </c>
      <c r="F312" s="38">
        <f>SUM(F310:F311)</f>
        <v>1.8084779999999998</v>
      </c>
      <c r="G312" s="17"/>
      <c r="H312" s="31">
        <f>SUM(H310:H311)</f>
        <v>23</v>
      </c>
      <c r="I312" s="38">
        <f>SUM(I310:I311)</f>
        <v>1.8084779999999998</v>
      </c>
      <c r="J312" s="16"/>
      <c r="K312" s="31">
        <f>SUM(K310:K311)</f>
        <v>0</v>
      </c>
      <c r="L312" s="38">
        <f>SUM(L310:L311)</f>
        <v>0</v>
      </c>
      <c r="M312" s="16"/>
      <c r="N312" s="31">
        <f>SUM(N310:N311)</f>
        <v>0</v>
      </c>
      <c r="O312" s="38">
        <f>SUM(O310:O311)</f>
        <v>0</v>
      </c>
      <c r="P312" s="16"/>
      <c r="Q312" s="31">
        <f t="shared" ref="Q312:V312" si="489">SUM(Q310:Q311)</f>
        <v>0</v>
      </c>
      <c r="R312" s="38">
        <f t="shared" si="489"/>
        <v>0</v>
      </c>
      <c r="S312" s="31">
        <f t="shared" si="489"/>
        <v>23</v>
      </c>
      <c r="T312" s="38">
        <f t="shared" si="489"/>
        <v>1.8084779999999998</v>
      </c>
      <c r="U312" s="31">
        <f t="shared" si="489"/>
        <v>0</v>
      </c>
      <c r="V312" s="38">
        <f t="shared" si="489"/>
        <v>0</v>
      </c>
      <c r="X312" s="29"/>
    </row>
    <row r="313" spans="1:24">
      <c r="A313" s="26" t="s">
        <v>14</v>
      </c>
      <c r="B313" s="26" t="s">
        <v>61</v>
      </c>
      <c r="C313" s="26">
        <v>12.2</v>
      </c>
      <c r="D313" s="27">
        <v>9.3000000000000007</v>
      </c>
      <c r="E313" s="28">
        <v>10</v>
      </c>
      <c r="F313" s="16">
        <f>(C313*D313*E313/1000)</f>
        <v>1.1346000000000001</v>
      </c>
      <c r="G313" s="16" t="s">
        <v>93</v>
      </c>
      <c r="H313" s="18">
        <v>10</v>
      </c>
      <c r="I313" s="19">
        <f>(C313*D313*H313/1000)</f>
        <v>1.1346000000000001</v>
      </c>
      <c r="J313" s="16"/>
      <c r="K313" s="18"/>
      <c r="L313" s="19">
        <f>(C313*D313*K313/1000)</f>
        <v>0</v>
      </c>
      <c r="M313" s="16"/>
      <c r="N313" s="18"/>
      <c r="O313" s="19">
        <f>(C313*D313*N313/1000)</f>
        <v>0</v>
      </c>
      <c r="P313" s="16"/>
      <c r="Q313" s="18"/>
      <c r="R313" s="19">
        <f>(C313*D313*Q313/1000)</f>
        <v>0</v>
      </c>
      <c r="S313" s="20">
        <f>+H313+K313+Q313+N313</f>
        <v>10</v>
      </c>
      <c r="T313" s="19">
        <f>+I313+L313+R313+O313</f>
        <v>1.1346000000000001</v>
      </c>
      <c r="U313" s="21">
        <f>E313-S313</f>
        <v>0</v>
      </c>
      <c r="V313" s="19">
        <f>F313-T313</f>
        <v>0</v>
      </c>
      <c r="X313" s="29"/>
    </row>
    <row r="314" spans="1:24">
      <c r="A314" s="36"/>
      <c r="B314" s="36"/>
      <c r="C314" s="36"/>
      <c r="D314" s="38"/>
      <c r="E314" s="31">
        <f>SUM(E313)</f>
        <v>10</v>
      </c>
      <c r="F314" s="38">
        <f>SUM(F313)</f>
        <v>1.1346000000000001</v>
      </c>
      <c r="G314" s="16" t="s">
        <v>280</v>
      </c>
      <c r="H314" s="31">
        <f>SUM(H313)</f>
        <v>10</v>
      </c>
      <c r="I314" s="38">
        <f>SUM(I313)</f>
        <v>1.1346000000000001</v>
      </c>
      <c r="J314" s="16"/>
      <c r="K314" s="31">
        <f>SUM(K313)</f>
        <v>0</v>
      </c>
      <c r="L314" s="38">
        <f>SUM(L313)</f>
        <v>0</v>
      </c>
      <c r="M314" s="16"/>
      <c r="N314" s="31">
        <f>SUM(N313)</f>
        <v>0</v>
      </c>
      <c r="O314" s="38">
        <f>SUM(O313)</f>
        <v>0</v>
      </c>
      <c r="P314" s="16"/>
      <c r="Q314" s="31">
        <f t="shared" ref="Q314:V314" si="490">SUM(Q313)</f>
        <v>0</v>
      </c>
      <c r="R314" s="38">
        <f t="shared" si="490"/>
        <v>0</v>
      </c>
      <c r="S314" s="31">
        <f t="shared" si="490"/>
        <v>10</v>
      </c>
      <c r="T314" s="38">
        <f t="shared" si="490"/>
        <v>1.1346000000000001</v>
      </c>
      <c r="U314" s="31">
        <f t="shared" si="490"/>
        <v>0</v>
      </c>
      <c r="V314" s="38">
        <f t="shared" si="490"/>
        <v>0</v>
      </c>
      <c r="X314" s="29"/>
    </row>
    <row r="315" spans="1:24">
      <c r="A315" s="26" t="s">
        <v>14</v>
      </c>
      <c r="B315" s="26" t="s">
        <v>174</v>
      </c>
      <c r="C315" s="26">
        <v>5.37</v>
      </c>
      <c r="D315" s="27">
        <v>6.6</v>
      </c>
      <c r="E315" s="28">
        <v>64</v>
      </c>
      <c r="F315" s="16">
        <f t="shared" ref="F315:F325" si="491">(C315*D315*E315/1000)</f>
        <v>2.2682880000000001</v>
      </c>
      <c r="G315" s="17" t="s">
        <v>111</v>
      </c>
      <c r="H315" s="18">
        <v>36</v>
      </c>
      <c r="I315" s="19">
        <f t="shared" ref="I315:I325" si="492">(C315*D315*H315/1000)</f>
        <v>1.2759119999999999</v>
      </c>
      <c r="J315" s="16" t="s">
        <v>93</v>
      </c>
      <c r="K315" s="18">
        <v>28</v>
      </c>
      <c r="L315" s="19">
        <f t="shared" ref="L315:L325" si="493">(C315*D315*K315/1000)</f>
        <v>0.99237599999999992</v>
      </c>
      <c r="M315" s="16"/>
      <c r="N315" s="18"/>
      <c r="O315" s="19">
        <f t="shared" ref="O315:O325" si="494">(C315*D315*N315/1000)</f>
        <v>0</v>
      </c>
      <c r="P315" s="16"/>
      <c r="Q315" s="18"/>
      <c r="R315" s="19">
        <f t="shared" ref="R315:R325" si="495">(C315*D315*Q315/1000)</f>
        <v>0</v>
      </c>
      <c r="S315" s="20">
        <f t="shared" ref="S315:S325" si="496">+H315+K315+Q315+N315</f>
        <v>64</v>
      </c>
      <c r="T315" s="19">
        <f t="shared" ref="T315:T325" si="497">+I315+L315+R315+O315</f>
        <v>2.2682880000000001</v>
      </c>
      <c r="U315" s="21">
        <f t="shared" ref="U315:U325" si="498">E315-S315</f>
        <v>0</v>
      </c>
      <c r="V315" s="19">
        <f t="shared" ref="V315:V325" si="499">F315-T315</f>
        <v>0</v>
      </c>
      <c r="X315" s="29"/>
    </row>
    <row r="316" spans="1:24">
      <c r="A316" s="26" t="s">
        <v>14</v>
      </c>
      <c r="B316" s="26" t="s">
        <v>174</v>
      </c>
      <c r="C316" s="26">
        <v>5.37</v>
      </c>
      <c r="D316" s="27">
        <v>8</v>
      </c>
      <c r="E316" s="28">
        <v>4</v>
      </c>
      <c r="F316" s="16">
        <f t="shared" ref="F316:F318" si="500">(C316*D316*E316/1000)</f>
        <v>0.17183999999999999</v>
      </c>
      <c r="G316" s="17" t="s">
        <v>196</v>
      </c>
      <c r="H316" s="18">
        <v>1</v>
      </c>
      <c r="I316" s="19">
        <f t="shared" ref="I316:I318" si="501">(C316*D316*H316/1000)</f>
        <v>4.2959999999999998E-2</v>
      </c>
      <c r="J316" s="16" t="s">
        <v>200</v>
      </c>
      <c r="K316" s="18">
        <v>3</v>
      </c>
      <c r="L316" s="19">
        <f t="shared" ref="L316:L318" si="502">(C316*D316*K316/1000)</f>
        <v>0.12887999999999999</v>
      </c>
      <c r="M316" s="16"/>
      <c r="N316" s="18"/>
      <c r="O316" s="19">
        <f t="shared" ref="O316:O318" si="503">(C316*D316*N316/1000)</f>
        <v>0</v>
      </c>
      <c r="P316" s="16"/>
      <c r="Q316" s="18"/>
      <c r="R316" s="19">
        <f t="shared" ref="R316:R318" si="504">(C316*D316*Q316/1000)</f>
        <v>0</v>
      </c>
      <c r="S316" s="20">
        <f t="shared" ref="S316:S318" si="505">+H316+K316+Q316+N316</f>
        <v>4</v>
      </c>
      <c r="T316" s="19">
        <f t="shared" ref="T316:T318" si="506">+I316+L316+R316+O316</f>
        <v>0.17183999999999999</v>
      </c>
      <c r="U316" s="21">
        <f t="shared" ref="U316:U318" si="507">E316-S316</f>
        <v>0</v>
      </c>
      <c r="V316" s="19">
        <f t="shared" ref="V316:V318" si="508">F316-T316</f>
        <v>0</v>
      </c>
      <c r="X316" s="29"/>
    </row>
    <row r="317" spans="1:24">
      <c r="A317" s="26" t="s">
        <v>14</v>
      </c>
      <c r="B317" s="26" t="s">
        <v>174</v>
      </c>
      <c r="C317" s="26">
        <v>5.37</v>
      </c>
      <c r="D317" s="27">
        <v>10</v>
      </c>
      <c r="E317" s="28">
        <v>11</v>
      </c>
      <c r="F317" s="16">
        <f t="shared" si="500"/>
        <v>0.5907</v>
      </c>
      <c r="G317" s="17"/>
      <c r="H317" s="18">
        <v>6</v>
      </c>
      <c r="I317" s="19">
        <f t="shared" si="501"/>
        <v>0.32220000000000004</v>
      </c>
      <c r="J317" s="16"/>
      <c r="K317" s="18">
        <v>5</v>
      </c>
      <c r="L317" s="19">
        <f t="shared" si="502"/>
        <v>0.26850000000000002</v>
      </c>
      <c r="M317" s="16"/>
      <c r="N317" s="18"/>
      <c r="O317" s="19">
        <f t="shared" si="503"/>
        <v>0</v>
      </c>
      <c r="P317" s="16"/>
      <c r="Q317" s="18"/>
      <c r="R317" s="19">
        <f t="shared" si="504"/>
        <v>0</v>
      </c>
      <c r="S317" s="20">
        <f t="shared" si="505"/>
        <v>11</v>
      </c>
      <c r="T317" s="19">
        <f t="shared" si="506"/>
        <v>0.5907</v>
      </c>
      <c r="U317" s="21">
        <f t="shared" si="507"/>
        <v>0</v>
      </c>
      <c r="V317" s="19">
        <f t="shared" si="508"/>
        <v>0</v>
      </c>
      <c r="X317" s="29"/>
    </row>
    <row r="318" spans="1:24">
      <c r="A318" s="26" t="s">
        <v>14</v>
      </c>
      <c r="B318" s="26" t="s">
        <v>174</v>
      </c>
      <c r="C318" s="26">
        <v>5.37</v>
      </c>
      <c r="D318" s="27">
        <v>10.5</v>
      </c>
      <c r="E318" s="28">
        <v>10</v>
      </c>
      <c r="F318" s="16">
        <f t="shared" si="500"/>
        <v>0.56385000000000007</v>
      </c>
      <c r="G318" s="17"/>
      <c r="H318" s="18">
        <v>9</v>
      </c>
      <c r="I318" s="19">
        <f t="shared" si="501"/>
        <v>0.50746499999999994</v>
      </c>
      <c r="J318" s="16"/>
      <c r="K318" s="18">
        <v>1</v>
      </c>
      <c r="L318" s="19">
        <f t="shared" si="502"/>
        <v>5.6384999999999998E-2</v>
      </c>
      <c r="M318" s="16"/>
      <c r="N318" s="18"/>
      <c r="O318" s="19">
        <f t="shared" si="503"/>
        <v>0</v>
      </c>
      <c r="P318" s="16"/>
      <c r="Q318" s="18"/>
      <c r="R318" s="19">
        <f t="shared" si="504"/>
        <v>0</v>
      </c>
      <c r="S318" s="20">
        <f t="shared" si="505"/>
        <v>10</v>
      </c>
      <c r="T318" s="19">
        <f t="shared" si="506"/>
        <v>0.56384999999999996</v>
      </c>
      <c r="U318" s="21">
        <f t="shared" si="507"/>
        <v>0</v>
      </c>
      <c r="V318" s="19">
        <f t="shared" si="508"/>
        <v>0</v>
      </c>
      <c r="X318" s="29"/>
    </row>
    <row r="319" spans="1:24">
      <c r="A319" s="26" t="s">
        <v>14</v>
      </c>
      <c r="B319" s="26" t="s">
        <v>174</v>
      </c>
      <c r="C319" s="26">
        <v>5.37</v>
      </c>
      <c r="D319" s="27">
        <v>11.35</v>
      </c>
      <c r="E319" s="28">
        <v>72</v>
      </c>
      <c r="F319" s="16">
        <f t="shared" si="491"/>
        <v>4.3883639999999993</v>
      </c>
      <c r="G319" s="17"/>
      <c r="H319" s="18">
        <v>15</v>
      </c>
      <c r="I319" s="19">
        <f t="shared" si="492"/>
        <v>0.91424250000000007</v>
      </c>
      <c r="J319" s="16"/>
      <c r="K319" s="18">
        <v>52</v>
      </c>
      <c r="L319" s="19">
        <f t="shared" si="493"/>
        <v>3.1693739999999999</v>
      </c>
      <c r="M319" s="16"/>
      <c r="N319" s="18"/>
      <c r="O319" s="19">
        <f t="shared" si="494"/>
        <v>0</v>
      </c>
      <c r="P319" s="16"/>
      <c r="Q319" s="18"/>
      <c r="R319" s="19">
        <f t="shared" si="495"/>
        <v>0</v>
      </c>
      <c r="S319" s="20">
        <f t="shared" si="496"/>
        <v>67</v>
      </c>
      <c r="T319" s="19">
        <f t="shared" si="497"/>
        <v>4.0836164999999998</v>
      </c>
      <c r="U319" s="21">
        <f t="shared" si="498"/>
        <v>5</v>
      </c>
      <c r="V319" s="19">
        <f t="shared" si="499"/>
        <v>0.3047474999999995</v>
      </c>
      <c r="X319" s="29"/>
    </row>
    <row r="320" spans="1:24">
      <c r="A320" s="26" t="s">
        <v>14</v>
      </c>
      <c r="B320" s="26" t="s">
        <v>174</v>
      </c>
      <c r="C320" s="26">
        <v>5.37</v>
      </c>
      <c r="D320" s="27">
        <v>11.5</v>
      </c>
      <c r="E320" s="28">
        <v>23</v>
      </c>
      <c r="F320" s="16">
        <f t="shared" ref="F320:F324" si="509">(C320*D320*E320/1000)</f>
        <v>1.4203650000000001</v>
      </c>
      <c r="G320" s="17"/>
      <c r="H320" s="18">
        <v>6</v>
      </c>
      <c r="I320" s="19">
        <f t="shared" ref="I320:I324" si="510">(C320*D320*H320/1000)</f>
        <v>0.37053000000000003</v>
      </c>
      <c r="J320" s="16"/>
      <c r="K320" s="18">
        <v>15</v>
      </c>
      <c r="L320" s="19">
        <f t="shared" ref="L320:L324" si="511">(C320*D320*K320/1000)</f>
        <v>0.92632500000000007</v>
      </c>
      <c r="M320" s="16"/>
      <c r="N320" s="18"/>
      <c r="O320" s="19">
        <f t="shared" ref="O320:O324" si="512">(C320*D320*N320/1000)</f>
        <v>0</v>
      </c>
      <c r="P320" s="16"/>
      <c r="Q320" s="18"/>
      <c r="R320" s="19">
        <f t="shared" ref="R320:R324" si="513">(C320*D320*Q320/1000)</f>
        <v>0</v>
      </c>
      <c r="S320" s="20">
        <f t="shared" ref="S320:S324" si="514">+H320+K320+Q320+N320</f>
        <v>21</v>
      </c>
      <c r="T320" s="19">
        <f t="shared" ref="T320:T324" si="515">+I320+L320+R320+O320</f>
        <v>1.2968550000000001</v>
      </c>
      <c r="U320" s="21">
        <f t="shared" ref="U320:U324" si="516">E320-S320</f>
        <v>2</v>
      </c>
      <c r="V320" s="19">
        <f t="shared" ref="V320:V324" si="517">F320-T320</f>
        <v>0.12351000000000001</v>
      </c>
      <c r="X320" s="29"/>
    </row>
    <row r="321" spans="1:24">
      <c r="A321" s="26" t="s">
        <v>14</v>
      </c>
      <c r="B321" s="26" t="s">
        <v>174</v>
      </c>
      <c r="C321" s="26">
        <v>5.37</v>
      </c>
      <c r="D321" s="27">
        <v>9.3000000000000007</v>
      </c>
      <c r="E321" s="28"/>
      <c r="F321" s="16">
        <f t="shared" si="509"/>
        <v>0</v>
      </c>
      <c r="G321" s="17"/>
      <c r="H321" s="18">
        <v>1</v>
      </c>
      <c r="I321" s="19">
        <f t="shared" si="510"/>
        <v>4.9940999999999999E-2</v>
      </c>
      <c r="J321" s="16"/>
      <c r="K321" s="18"/>
      <c r="L321" s="19">
        <f t="shared" si="511"/>
        <v>0</v>
      </c>
      <c r="M321" s="16"/>
      <c r="N321" s="18"/>
      <c r="O321" s="19">
        <f t="shared" si="512"/>
        <v>0</v>
      </c>
      <c r="P321" s="16"/>
      <c r="Q321" s="18"/>
      <c r="R321" s="19">
        <f t="shared" si="513"/>
        <v>0</v>
      </c>
      <c r="S321" s="20">
        <f t="shared" si="514"/>
        <v>1</v>
      </c>
      <c r="T321" s="19">
        <f t="shared" si="515"/>
        <v>4.9940999999999999E-2</v>
      </c>
      <c r="U321" s="21">
        <f t="shared" si="516"/>
        <v>-1</v>
      </c>
      <c r="V321" s="19">
        <f t="shared" si="517"/>
        <v>-4.9940999999999999E-2</v>
      </c>
      <c r="X321" s="29"/>
    </row>
    <row r="322" spans="1:24">
      <c r="A322" s="26" t="s">
        <v>14</v>
      </c>
      <c r="B322" s="26" t="s">
        <v>174</v>
      </c>
      <c r="C322" s="26">
        <v>5.37</v>
      </c>
      <c r="D322" s="27">
        <v>6.2</v>
      </c>
      <c r="E322" s="28"/>
      <c r="F322" s="16">
        <f t="shared" si="509"/>
        <v>0</v>
      </c>
      <c r="G322" s="17"/>
      <c r="H322" s="18"/>
      <c r="I322" s="19">
        <f t="shared" si="510"/>
        <v>0</v>
      </c>
      <c r="J322" s="16"/>
      <c r="K322" s="18">
        <v>1</v>
      </c>
      <c r="L322" s="19">
        <f t="shared" si="511"/>
        <v>3.3294000000000004E-2</v>
      </c>
      <c r="M322" s="16"/>
      <c r="N322" s="18"/>
      <c r="O322" s="19">
        <f t="shared" si="512"/>
        <v>0</v>
      </c>
      <c r="P322" s="16"/>
      <c r="Q322" s="18"/>
      <c r="R322" s="19">
        <f t="shared" si="513"/>
        <v>0</v>
      </c>
      <c r="S322" s="20">
        <f t="shared" si="514"/>
        <v>1</v>
      </c>
      <c r="T322" s="19">
        <f t="shared" si="515"/>
        <v>3.3294000000000004E-2</v>
      </c>
      <c r="U322" s="21">
        <f t="shared" si="516"/>
        <v>-1</v>
      </c>
      <c r="V322" s="19">
        <f t="shared" si="517"/>
        <v>-3.3294000000000004E-2</v>
      </c>
      <c r="X322" s="29"/>
    </row>
    <row r="323" spans="1:24">
      <c r="A323" s="26" t="s">
        <v>14</v>
      </c>
      <c r="B323" s="26" t="s">
        <v>174</v>
      </c>
      <c r="C323" s="26">
        <v>5.37</v>
      </c>
      <c r="D323" s="27">
        <v>10.5</v>
      </c>
      <c r="E323" s="28"/>
      <c r="F323" s="16">
        <f t="shared" si="509"/>
        <v>0</v>
      </c>
      <c r="G323" s="17"/>
      <c r="H323" s="18"/>
      <c r="I323" s="19">
        <f t="shared" si="510"/>
        <v>0</v>
      </c>
      <c r="J323" s="16"/>
      <c r="K323" s="18">
        <v>6</v>
      </c>
      <c r="L323" s="19">
        <f t="shared" si="511"/>
        <v>0.33831</v>
      </c>
      <c r="M323" s="16"/>
      <c r="N323" s="18"/>
      <c r="O323" s="19">
        <f t="shared" si="512"/>
        <v>0</v>
      </c>
      <c r="P323" s="16"/>
      <c r="Q323" s="18"/>
      <c r="R323" s="19">
        <f t="shared" si="513"/>
        <v>0</v>
      </c>
      <c r="S323" s="20">
        <f t="shared" si="514"/>
        <v>6</v>
      </c>
      <c r="T323" s="19">
        <f t="shared" si="515"/>
        <v>0.33831</v>
      </c>
      <c r="U323" s="21">
        <f t="shared" si="516"/>
        <v>-6</v>
      </c>
      <c r="V323" s="19">
        <f t="shared" si="517"/>
        <v>-0.33831</v>
      </c>
      <c r="X323" s="29"/>
    </row>
    <row r="324" spans="1:24">
      <c r="A324" s="26" t="s">
        <v>14</v>
      </c>
      <c r="B324" s="26" t="s">
        <v>174</v>
      </c>
      <c r="C324" s="26">
        <v>5.37</v>
      </c>
      <c r="D324" s="27">
        <v>9.5</v>
      </c>
      <c r="E324" s="28"/>
      <c r="F324" s="16">
        <f t="shared" si="509"/>
        <v>0</v>
      </c>
      <c r="G324" s="17"/>
      <c r="H324" s="18"/>
      <c r="I324" s="19">
        <f t="shared" si="510"/>
        <v>0</v>
      </c>
      <c r="J324" s="16"/>
      <c r="K324" s="18">
        <v>1</v>
      </c>
      <c r="L324" s="19">
        <f t="shared" si="511"/>
        <v>5.1014999999999998E-2</v>
      </c>
      <c r="M324" s="16"/>
      <c r="N324" s="18"/>
      <c r="O324" s="19">
        <f t="shared" si="512"/>
        <v>0</v>
      </c>
      <c r="P324" s="16"/>
      <c r="Q324" s="18"/>
      <c r="R324" s="19">
        <f t="shared" si="513"/>
        <v>0</v>
      </c>
      <c r="S324" s="20">
        <f t="shared" si="514"/>
        <v>1</v>
      </c>
      <c r="T324" s="19">
        <f t="shared" si="515"/>
        <v>5.1014999999999998E-2</v>
      </c>
      <c r="U324" s="21">
        <f t="shared" si="516"/>
        <v>-1</v>
      </c>
      <c r="V324" s="19">
        <f t="shared" si="517"/>
        <v>-5.1014999999999998E-2</v>
      </c>
      <c r="X324" s="29"/>
    </row>
    <row r="325" spans="1:24">
      <c r="A325" s="26" t="s">
        <v>14</v>
      </c>
      <c r="B325" s="26" t="s">
        <v>174</v>
      </c>
      <c r="C325" s="26">
        <v>5.37</v>
      </c>
      <c r="D325" s="27"/>
      <c r="E325" s="28"/>
      <c r="F325" s="16">
        <f t="shared" si="491"/>
        <v>0</v>
      </c>
      <c r="G325" s="17"/>
      <c r="H325" s="18"/>
      <c r="I325" s="19">
        <f t="shared" si="492"/>
        <v>0</v>
      </c>
      <c r="J325" s="16"/>
      <c r="K325" s="18"/>
      <c r="L325" s="19">
        <f t="shared" si="493"/>
        <v>0</v>
      </c>
      <c r="M325" s="16"/>
      <c r="N325" s="18"/>
      <c r="O325" s="19">
        <f t="shared" si="494"/>
        <v>0</v>
      </c>
      <c r="P325" s="16"/>
      <c r="Q325" s="18"/>
      <c r="R325" s="19">
        <f t="shared" si="495"/>
        <v>0</v>
      </c>
      <c r="S325" s="20">
        <f t="shared" si="496"/>
        <v>0</v>
      </c>
      <c r="T325" s="19">
        <f t="shared" si="497"/>
        <v>0</v>
      </c>
      <c r="U325" s="21">
        <f t="shared" si="498"/>
        <v>0</v>
      </c>
      <c r="V325" s="19">
        <f t="shared" si="499"/>
        <v>0</v>
      </c>
      <c r="X325" s="29"/>
    </row>
    <row r="326" spans="1:24">
      <c r="A326" s="36"/>
      <c r="B326" s="36"/>
      <c r="C326" s="36"/>
      <c r="D326" s="38"/>
      <c r="E326" s="31">
        <f>SUM(E315:E325)</f>
        <v>184</v>
      </c>
      <c r="F326" s="45">
        <f>SUM(F315:F325)</f>
        <v>9.4034069999999996</v>
      </c>
      <c r="G326" s="17"/>
      <c r="H326" s="31">
        <f>SUM(H315:H325)</f>
        <v>74</v>
      </c>
      <c r="I326" s="38">
        <f>SUM(I315:I325)</f>
        <v>3.4832504999999996</v>
      </c>
      <c r="J326" s="16"/>
      <c r="K326" s="31">
        <f>SUM(K315:K325)</f>
        <v>112</v>
      </c>
      <c r="L326" s="38">
        <f>SUM(L315:L325)</f>
        <v>5.9644589999999988</v>
      </c>
      <c r="M326" s="16"/>
      <c r="N326" s="31">
        <f>SUM(N315:N325)</f>
        <v>0</v>
      </c>
      <c r="O326" s="38">
        <f>SUM(O315:O325)</f>
        <v>0</v>
      </c>
      <c r="P326" s="16"/>
      <c r="Q326" s="31">
        <f t="shared" ref="Q326:V326" si="518">SUM(Q315:Q325)</f>
        <v>0</v>
      </c>
      <c r="R326" s="38">
        <f t="shared" si="518"/>
        <v>0</v>
      </c>
      <c r="S326" s="31">
        <f t="shared" si="518"/>
        <v>186</v>
      </c>
      <c r="T326" s="38">
        <f t="shared" si="518"/>
        <v>9.4477095000000002</v>
      </c>
      <c r="U326" s="31">
        <f t="shared" si="518"/>
        <v>-2</v>
      </c>
      <c r="V326" s="38">
        <f t="shared" si="518"/>
        <v>-4.4302500000000487E-2</v>
      </c>
      <c r="X326" s="29"/>
    </row>
    <row r="327" spans="1:24">
      <c r="A327" s="26" t="s">
        <v>14</v>
      </c>
      <c r="B327" s="26" t="s">
        <v>34</v>
      </c>
      <c r="C327" s="26">
        <v>5.76</v>
      </c>
      <c r="D327" s="27">
        <v>8.1</v>
      </c>
      <c r="E327" s="28">
        <v>64</v>
      </c>
      <c r="F327" s="16">
        <f t="shared" ref="F327:F334" si="519">(C327*D327*E327/1000)</f>
        <v>2.9859839999999997</v>
      </c>
      <c r="G327" s="16" t="s">
        <v>89</v>
      </c>
      <c r="H327" s="18">
        <v>31</v>
      </c>
      <c r="I327" s="19">
        <f t="shared" ref="I327:I334" si="520">(C327*D327*H327/1000)</f>
        <v>1.4463360000000001</v>
      </c>
      <c r="J327" s="16" t="s">
        <v>93</v>
      </c>
      <c r="K327" s="18"/>
      <c r="L327" s="19">
        <f t="shared" ref="L327:L334" si="521">(C327*D327*K327/1000)</f>
        <v>0</v>
      </c>
      <c r="M327" s="16" t="s">
        <v>111</v>
      </c>
      <c r="N327" s="18">
        <v>33</v>
      </c>
      <c r="O327" s="19">
        <f t="shared" ref="O327:O334" si="522">(C327*D327*N327/1000)</f>
        <v>1.5396479999999999</v>
      </c>
      <c r="P327" s="16"/>
      <c r="Q327" s="18"/>
      <c r="R327" s="19">
        <f t="shared" ref="R327:R334" si="523">(C327*D327*Q327/1000)</f>
        <v>0</v>
      </c>
      <c r="S327" s="20">
        <f t="shared" ref="S327:S334" si="524">+H327+K327+Q327+N327</f>
        <v>64</v>
      </c>
      <c r="T327" s="19">
        <f t="shared" ref="T327:T334" si="525">+I327+L327+R327+O327</f>
        <v>2.9859840000000002</v>
      </c>
      <c r="U327" s="21">
        <f t="shared" ref="U327:U334" si="526">E327-S327</f>
        <v>0</v>
      </c>
      <c r="V327" s="19">
        <f t="shared" ref="V327:V334" si="527">F327-T327</f>
        <v>0</v>
      </c>
      <c r="X327" s="29"/>
    </row>
    <row r="328" spans="1:24">
      <c r="A328" s="26" t="s">
        <v>14</v>
      </c>
      <c r="B328" s="26" t="s">
        <v>34</v>
      </c>
      <c r="C328" s="26">
        <v>5.76</v>
      </c>
      <c r="D328" s="27">
        <v>8.5</v>
      </c>
      <c r="E328" s="28">
        <v>20</v>
      </c>
      <c r="F328" s="16">
        <f t="shared" si="519"/>
        <v>0.97920000000000007</v>
      </c>
      <c r="G328" s="16" t="s">
        <v>197</v>
      </c>
      <c r="H328" s="18"/>
      <c r="I328" s="19">
        <f t="shared" si="520"/>
        <v>0</v>
      </c>
      <c r="J328" s="16" t="s">
        <v>200</v>
      </c>
      <c r="K328" s="18">
        <v>12</v>
      </c>
      <c r="L328" s="19">
        <f t="shared" si="521"/>
        <v>0.58751999999999993</v>
      </c>
      <c r="M328" s="16" t="s">
        <v>196</v>
      </c>
      <c r="N328" s="18">
        <v>11</v>
      </c>
      <c r="O328" s="19">
        <f t="shared" si="522"/>
        <v>0.53856000000000004</v>
      </c>
      <c r="P328" s="16"/>
      <c r="Q328" s="18"/>
      <c r="R328" s="19">
        <f t="shared" si="523"/>
        <v>0</v>
      </c>
      <c r="S328" s="20">
        <f t="shared" si="524"/>
        <v>23</v>
      </c>
      <c r="T328" s="19">
        <f t="shared" si="525"/>
        <v>1.12608</v>
      </c>
      <c r="U328" s="21">
        <f t="shared" si="526"/>
        <v>-3</v>
      </c>
      <c r="V328" s="19">
        <f t="shared" si="527"/>
        <v>-0.1468799999999999</v>
      </c>
      <c r="X328" s="29"/>
    </row>
    <row r="329" spans="1:24">
      <c r="A329" s="26" t="s">
        <v>14</v>
      </c>
      <c r="B329" s="26" t="s">
        <v>34</v>
      </c>
      <c r="C329" s="26">
        <v>5.76</v>
      </c>
      <c r="D329" s="27">
        <v>10</v>
      </c>
      <c r="E329" s="28">
        <v>8</v>
      </c>
      <c r="F329" s="16">
        <f t="shared" ref="F329:F333" si="528">(C329*D329*E329/1000)</f>
        <v>0.46079999999999993</v>
      </c>
      <c r="G329" s="17"/>
      <c r="H329" s="18"/>
      <c r="I329" s="19">
        <f t="shared" ref="I329:I333" si="529">(C329*D329*H329/1000)</f>
        <v>0</v>
      </c>
      <c r="J329" s="16"/>
      <c r="K329" s="18"/>
      <c r="L329" s="19">
        <f t="shared" ref="L329:L333" si="530">(C329*D329*K329/1000)</f>
        <v>0</v>
      </c>
      <c r="M329" s="16"/>
      <c r="N329" s="18"/>
      <c r="O329" s="19">
        <f t="shared" ref="O329:O333" si="531">(C329*D329*N329/1000)</f>
        <v>0</v>
      </c>
      <c r="P329" s="16"/>
      <c r="Q329" s="18"/>
      <c r="R329" s="19">
        <f t="shared" ref="R329:R333" si="532">(C329*D329*Q329/1000)</f>
        <v>0</v>
      </c>
      <c r="S329" s="20">
        <f t="shared" ref="S329:S333" si="533">+H329+K329+Q329+N329</f>
        <v>0</v>
      </c>
      <c r="T329" s="19">
        <f t="shared" ref="T329:T333" si="534">+I329+L329+R329+O329</f>
        <v>0</v>
      </c>
      <c r="U329" s="21">
        <f t="shared" ref="U329:U333" si="535">E329-S329</f>
        <v>8</v>
      </c>
      <c r="V329" s="19">
        <f t="shared" ref="V329:V333" si="536">F329-T329</f>
        <v>0.46079999999999993</v>
      </c>
      <c r="X329" s="29"/>
    </row>
    <row r="330" spans="1:24">
      <c r="A330" s="26" t="s">
        <v>14</v>
      </c>
      <c r="B330" s="26" t="s">
        <v>34</v>
      </c>
      <c r="C330" s="26">
        <v>5.76</v>
      </c>
      <c r="D330" s="27">
        <v>10.5</v>
      </c>
      <c r="E330" s="28">
        <v>6</v>
      </c>
      <c r="F330" s="16">
        <f t="shared" si="528"/>
        <v>0.36287999999999998</v>
      </c>
      <c r="G330" s="17"/>
      <c r="H330" s="18"/>
      <c r="I330" s="19">
        <f t="shared" si="529"/>
        <v>0</v>
      </c>
      <c r="J330" s="16"/>
      <c r="K330" s="18"/>
      <c r="L330" s="19">
        <f t="shared" si="530"/>
        <v>0</v>
      </c>
      <c r="M330" s="16"/>
      <c r="N330" s="18">
        <v>6</v>
      </c>
      <c r="O330" s="19">
        <f t="shared" si="531"/>
        <v>0.36287999999999998</v>
      </c>
      <c r="P330" s="16"/>
      <c r="Q330" s="18"/>
      <c r="R330" s="19">
        <f t="shared" si="532"/>
        <v>0</v>
      </c>
      <c r="S330" s="20">
        <f t="shared" si="533"/>
        <v>6</v>
      </c>
      <c r="T330" s="19">
        <f t="shared" si="534"/>
        <v>0.36287999999999998</v>
      </c>
      <c r="U330" s="21">
        <f t="shared" si="535"/>
        <v>0</v>
      </c>
      <c r="V330" s="19">
        <f t="shared" si="536"/>
        <v>0</v>
      </c>
      <c r="X330" s="29"/>
    </row>
    <row r="331" spans="1:24">
      <c r="A331" s="26" t="s">
        <v>14</v>
      </c>
      <c r="B331" s="26" t="s">
        <v>34</v>
      </c>
      <c r="C331" s="26">
        <v>5.76</v>
      </c>
      <c r="D331" s="27">
        <v>12</v>
      </c>
      <c r="E331" s="28">
        <v>4</v>
      </c>
      <c r="F331" s="16">
        <f t="shared" si="528"/>
        <v>0.27648</v>
      </c>
      <c r="G331" s="17"/>
      <c r="H331" s="18"/>
      <c r="I331" s="19">
        <f t="shared" si="529"/>
        <v>0</v>
      </c>
      <c r="J331" s="16"/>
      <c r="K331" s="18"/>
      <c r="L331" s="19">
        <f t="shared" si="530"/>
        <v>0</v>
      </c>
      <c r="M331" s="16"/>
      <c r="N331" s="18"/>
      <c r="O331" s="19">
        <f t="shared" si="531"/>
        <v>0</v>
      </c>
      <c r="P331" s="16"/>
      <c r="Q331" s="18"/>
      <c r="R331" s="19">
        <f t="shared" si="532"/>
        <v>0</v>
      </c>
      <c r="S331" s="20">
        <f t="shared" si="533"/>
        <v>0</v>
      </c>
      <c r="T331" s="19">
        <f t="shared" si="534"/>
        <v>0</v>
      </c>
      <c r="U331" s="21">
        <f t="shared" si="535"/>
        <v>4</v>
      </c>
      <c r="V331" s="19">
        <f t="shared" si="536"/>
        <v>0.27648</v>
      </c>
      <c r="X331" s="29"/>
    </row>
    <row r="332" spans="1:24">
      <c r="A332" s="26" t="s">
        <v>14</v>
      </c>
      <c r="B332" s="26" t="s">
        <v>34</v>
      </c>
      <c r="C332" s="26">
        <v>5.76</v>
      </c>
      <c r="D332" s="27">
        <v>11.5</v>
      </c>
      <c r="E332" s="28"/>
      <c r="F332" s="16">
        <f t="shared" si="528"/>
        <v>0</v>
      </c>
      <c r="G332" s="17"/>
      <c r="H332" s="18"/>
      <c r="I332" s="19">
        <f t="shared" si="529"/>
        <v>0</v>
      </c>
      <c r="J332" s="16"/>
      <c r="K332" s="18">
        <v>11</v>
      </c>
      <c r="L332" s="19">
        <f t="shared" si="530"/>
        <v>0.72863999999999995</v>
      </c>
      <c r="M332" s="16"/>
      <c r="N332" s="18"/>
      <c r="O332" s="19">
        <f t="shared" si="531"/>
        <v>0</v>
      </c>
      <c r="P332" s="16"/>
      <c r="Q332" s="18"/>
      <c r="R332" s="19">
        <f t="shared" si="532"/>
        <v>0</v>
      </c>
      <c r="S332" s="20">
        <f t="shared" si="533"/>
        <v>11</v>
      </c>
      <c r="T332" s="19">
        <f t="shared" si="534"/>
        <v>0.72863999999999995</v>
      </c>
      <c r="U332" s="21">
        <f t="shared" si="535"/>
        <v>-11</v>
      </c>
      <c r="V332" s="19">
        <f t="shared" si="536"/>
        <v>-0.72863999999999995</v>
      </c>
      <c r="X332" s="29"/>
    </row>
    <row r="333" spans="1:24">
      <c r="A333" s="26" t="s">
        <v>14</v>
      </c>
      <c r="B333" s="26" t="s">
        <v>34</v>
      </c>
      <c r="C333" s="26">
        <v>5.76</v>
      </c>
      <c r="D333" s="27">
        <v>11</v>
      </c>
      <c r="E333" s="28"/>
      <c r="F333" s="16">
        <f t="shared" si="528"/>
        <v>0</v>
      </c>
      <c r="G333" s="17"/>
      <c r="H333" s="18"/>
      <c r="I333" s="19">
        <f t="shared" si="529"/>
        <v>0</v>
      </c>
      <c r="J333" s="16"/>
      <c r="K333" s="18">
        <v>1</v>
      </c>
      <c r="L333" s="19">
        <f t="shared" si="530"/>
        <v>6.336E-2</v>
      </c>
      <c r="M333" s="16"/>
      <c r="N333" s="18"/>
      <c r="O333" s="19">
        <f t="shared" si="531"/>
        <v>0</v>
      </c>
      <c r="P333" s="16"/>
      <c r="Q333" s="18"/>
      <c r="R333" s="19">
        <f t="shared" si="532"/>
        <v>0</v>
      </c>
      <c r="S333" s="20">
        <f t="shared" si="533"/>
        <v>1</v>
      </c>
      <c r="T333" s="19">
        <f t="shared" si="534"/>
        <v>6.336E-2</v>
      </c>
      <c r="U333" s="21">
        <f t="shared" si="535"/>
        <v>-1</v>
      </c>
      <c r="V333" s="19">
        <f t="shared" si="536"/>
        <v>-6.336E-2</v>
      </c>
      <c r="X333" s="29"/>
    </row>
    <row r="334" spans="1:24">
      <c r="A334" s="26" t="s">
        <v>14</v>
      </c>
      <c r="B334" s="26" t="s">
        <v>34</v>
      </c>
      <c r="C334" s="26">
        <v>5.76</v>
      </c>
      <c r="D334" s="27">
        <v>9.25</v>
      </c>
      <c r="E334" s="28"/>
      <c r="F334" s="16">
        <f t="shared" si="519"/>
        <v>0</v>
      </c>
      <c r="G334" s="17"/>
      <c r="H334" s="18"/>
      <c r="I334" s="19">
        <f t="shared" si="520"/>
        <v>0</v>
      </c>
      <c r="J334" s="16"/>
      <c r="K334" s="18">
        <v>1</v>
      </c>
      <c r="L334" s="19">
        <f t="shared" si="521"/>
        <v>5.3280000000000001E-2</v>
      </c>
      <c r="M334" s="16"/>
      <c r="N334" s="18"/>
      <c r="O334" s="19">
        <f t="shared" si="522"/>
        <v>0</v>
      </c>
      <c r="P334" s="16"/>
      <c r="Q334" s="18"/>
      <c r="R334" s="19">
        <f t="shared" si="523"/>
        <v>0</v>
      </c>
      <c r="S334" s="20">
        <f t="shared" si="524"/>
        <v>1</v>
      </c>
      <c r="T334" s="19">
        <f t="shared" si="525"/>
        <v>5.3280000000000001E-2</v>
      </c>
      <c r="U334" s="21">
        <f t="shared" si="526"/>
        <v>-1</v>
      </c>
      <c r="V334" s="19">
        <f t="shared" si="527"/>
        <v>-5.3280000000000001E-2</v>
      </c>
      <c r="X334" s="29"/>
    </row>
    <row r="335" spans="1:24">
      <c r="A335" s="36"/>
      <c r="B335" s="36"/>
      <c r="C335" s="36"/>
      <c r="D335" s="38"/>
      <c r="E335" s="31">
        <f>SUM(E327:E334)</f>
        <v>102</v>
      </c>
      <c r="F335" s="38">
        <f>SUM(F327:F334)</f>
        <v>5.0653439999999996</v>
      </c>
      <c r="G335" s="17"/>
      <c r="H335" s="31">
        <f>SUM(H327:H334)</f>
        <v>31</v>
      </c>
      <c r="I335" s="38">
        <f>SUM(I327:I334)</f>
        <v>1.4463360000000001</v>
      </c>
      <c r="J335" s="16"/>
      <c r="K335" s="31">
        <f>SUM(K327:K334)</f>
        <v>25</v>
      </c>
      <c r="L335" s="38">
        <f>SUM(L327:L334)</f>
        <v>1.4328000000000001</v>
      </c>
      <c r="M335" s="16"/>
      <c r="N335" s="31">
        <f>SUM(N327:N334)</f>
        <v>50</v>
      </c>
      <c r="O335" s="38">
        <f>SUM(O327:O334)</f>
        <v>2.4410880000000001</v>
      </c>
      <c r="P335" s="16"/>
      <c r="Q335" s="31">
        <f t="shared" ref="Q335:V335" si="537">SUM(Q327:Q334)</f>
        <v>0</v>
      </c>
      <c r="R335" s="38">
        <f t="shared" si="537"/>
        <v>0</v>
      </c>
      <c r="S335" s="31">
        <f t="shared" si="537"/>
        <v>106</v>
      </c>
      <c r="T335" s="38">
        <f t="shared" si="537"/>
        <v>5.3202239999999996</v>
      </c>
      <c r="U335" s="31">
        <f t="shared" si="537"/>
        <v>-4</v>
      </c>
      <c r="V335" s="38">
        <f t="shared" si="537"/>
        <v>-0.25487999999999994</v>
      </c>
      <c r="X335" s="29"/>
    </row>
    <row r="336" spans="1:24">
      <c r="A336" s="26" t="s">
        <v>14</v>
      </c>
      <c r="B336" s="26" t="s">
        <v>35</v>
      </c>
      <c r="C336" s="26">
        <v>6.85</v>
      </c>
      <c r="D336" s="27">
        <v>10.5</v>
      </c>
      <c r="E336" s="28">
        <v>3</v>
      </c>
      <c r="F336" s="16">
        <f>(C336*D336*E336/1000)</f>
        <v>0.21577499999999997</v>
      </c>
      <c r="G336" s="17" t="s">
        <v>89</v>
      </c>
      <c r="H336" s="18">
        <v>3</v>
      </c>
      <c r="I336" s="19">
        <f>(C336*D336*H336/1000)</f>
        <v>0.21577499999999997</v>
      </c>
      <c r="J336" s="16"/>
      <c r="K336" s="18"/>
      <c r="L336" s="19">
        <f>(C336*D336*K336/1000)</f>
        <v>0</v>
      </c>
      <c r="M336" s="16"/>
      <c r="N336" s="18"/>
      <c r="O336" s="19">
        <f>(C336*D336*N336/1000)</f>
        <v>0</v>
      </c>
      <c r="P336" s="16"/>
      <c r="Q336" s="18"/>
      <c r="R336" s="19">
        <f>(C336*D336*Q336/1000)</f>
        <v>0</v>
      </c>
      <c r="S336" s="20">
        <f>+H336+K336+Q336+N336</f>
        <v>3</v>
      </c>
      <c r="T336" s="19">
        <f>+I336+L336+R336+O336</f>
        <v>0.21577499999999997</v>
      </c>
      <c r="U336" s="21">
        <f>E336-S336</f>
        <v>0</v>
      </c>
      <c r="V336" s="19">
        <f>F336-T336</f>
        <v>0</v>
      </c>
      <c r="X336" s="29"/>
    </row>
    <row r="337" spans="1:24">
      <c r="A337" s="26" t="s">
        <v>14</v>
      </c>
      <c r="B337" s="26" t="s">
        <v>35</v>
      </c>
      <c r="C337" s="26">
        <v>6.85</v>
      </c>
      <c r="D337" s="27">
        <v>12</v>
      </c>
      <c r="E337" s="28">
        <v>7</v>
      </c>
      <c r="F337" s="16">
        <f>(C337*D337*E337/1000)</f>
        <v>0.57539999999999991</v>
      </c>
      <c r="G337" s="17" t="s">
        <v>195</v>
      </c>
      <c r="H337" s="18">
        <v>7</v>
      </c>
      <c r="I337" s="19">
        <f>(C337*D337*H337/1000)</f>
        <v>0.57539999999999991</v>
      </c>
      <c r="J337" s="16"/>
      <c r="K337" s="18"/>
      <c r="L337" s="19">
        <f>(C337*D337*K337/1000)</f>
        <v>0</v>
      </c>
      <c r="M337" s="16"/>
      <c r="N337" s="18"/>
      <c r="O337" s="19">
        <f>(C337*D337*N337/1000)</f>
        <v>0</v>
      </c>
      <c r="P337" s="16"/>
      <c r="Q337" s="18"/>
      <c r="R337" s="19">
        <f>(C337*D337*Q337/1000)</f>
        <v>0</v>
      </c>
      <c r="S337" s="20">
        <f>+H337+K337+Q337+N337</f>
        <v>7</v>
      </c>
      <c r="T337" s="19">
        <f>+I337+L337+R337+O337</f>
        <v>0.57539999999999991</v>
      </c>
      <c r="U337" s="21">
        <f>E337-S337</f>
        <v>0</v>
      </c>
      <c r="V337" s="19">
        <f>F337-T337</f>
        <v>0</v>
      </c>
      <c r="X337" s="29"/>
    </row>
    <row r="338" spans="1:24">
      <c r="A338" s="36"/>
      <c r="B338" s="36"/>
      <c r="C338" s="36"/>
      <c r="D338" s="38"/>
      <c r="E338" s="31">
        <f t="shared" ref="E338:F338" si="538">SUM(E336:E337)</f>
        <v>10</v>
      </c>
      <c r="F338" s="38">
        <f t="shared" si="538"/>
        <v>0.79117499999999985</v>
      </c>
      <c r="G338" s="17"/>
      <c r="H338" s="31">
        <f t="shared" ref="H338" si="539">SUM(H336:H337)</f>
        <v>10</v>
      </c>
      <c r="I338" s="38">
        <f t="shared" ref="I338" si="540">SUM(I336:I337)</f>
        <v>0.79117499999999985</v>
      </c>
      <c r="J338" s="16"/>
      <c r="K338" s="31">
        <f t="shared" ref="K338" si="541">SUM(K336:K337)</f>
        <v>0</v>
      </c>
      <c r="L338" s="38">
        <f t="shared" ref="L338" si="542">SUM(L336:L337)</f>
        <v>0</v>
      </c>
      <c r="M338" s="16"/>
      <c r="N338" s="31">
        <f t="shared" ref="N338" si="543">SUM(N336:N337)</f>
        <v>0</v>
      </c>
      <c r="O338" s="38">
        <f t="shared" ref="O338" si="544">SUM(O336:O337)</f>
        <v>0</v>
      </c>
      <c r="P338" s="16"/>
      <c r="Q338" s="31">
        <f t="shared" ref="Q338" si="545">SUM(Q336:Q337)</f>
        <v>0</v>
      </c>
      <c r="R338" s="38">
        <f t="shared" ref="R338" si="546">SUM(R336:R337)</f>
        <v>0</v>
      </c>
      <c r="S338" s="31">
        <f t="shared" ref="S338" si="547">SUM(S336:S337)</f>
        <v>10</v>
      </c>
      <c r="T338" s="38">
        <f t="shared" ref="T338" si="548">SUM(T336:T337)</f>
        <v>0.79117499999999985</v>
      </c>
      <c r="U338" s="31">
        <f t="shared" ref="U338" si="549">SUM(U336:U337)</f>
        <v>0</v>
      </c>
      <c r="V338" s="38">
        <f t="shared" ref="V338" si="550">SUM(V336:V337)</f>
        <v>0</v>
      </c>
      <c r="X338" s="29"/>
    </row>
    <row r="339" spans="1:24">
      <c r="A339" s="26" t="s">
        <v>14</v>
      </c>
      <c r="B339" s="26" t="s">
        <v>26</v>
      </c>
      <c r="C339" s="26">
        <v>8.3000000000000007</v>
      </c>
      <c r="D339" s="27">
        <v>6.85</v>
      </c>
      <c r="E339" s="28">
        <v>26</v>
      </c>
      <c r="F339" s="16">
        <f t="shared" ref="F339:F347" si="551">(C339*D339*E339/1000)</f>
        <v>1.4782299999999999</v>
      </c>
      <c r="G339" s="17" t="s">
        <v>93</v>
      </c>
      <c r="H339" s="18">
        <v>15</v>
      </c>
      <c r="I339" s="19">
        <f t="shared" ref="I339:I347" si="552">(C339*D339*H339/1000)</f>
        <v>0.85282500000000006</v>
      </c>
      <c r="J339" s="17" t="s">
        <v>93</v>
      </c>
      <c r="K339" s="18"/>
      <c r="L339" s="19">
        <f t="shared" ref="L339:L347" si="553">(C339*D339*K339/1000)</f>
        <v>0</v>
      </c>
      <c r="M339" s="16"/>
      <c r="N339" s="18"/>
      <c r="O339" s="19">
        <f t="shared" ref="O339:O347" si="554">(C339*D339*N339/1000)</f>
        <v>0</v>
      </c>
      <c r="P339" s="16"/>
      <c r="Q339" s="18"/>
      <c r="R339" s="19">
        <f t="shared" ref="R339:R347" si="555">(C339*D339*Q339/1000)</f>
        <v>0</v>
      </c>
      <c r="S339" s="20">
        <f t="shared" ref="S339:S347" si="556">+H339+K339+Q339+N339</f>
        <v>15</v>
      </c>
      <c r="T339" s="19">
        <f t="shared" ref="T339:T347" si="557">+I339+L339+R339+O339</f>
        <v>0.85282500000000006</v>
      </c>
      <c r="U339" s="21">
        <f t="shared" ref="U339:U347" si="558">E339-S339</f>
        <v>11</v>
      </c>
      <c r="V339" s="19">
        <f t="shared" ref="V339:V347" si="559">F339-T339</f>
        <v>0.62540499999999988</v>
      </c>
      <c r="X339" s="29"/>
    </row>
    <row r="340" spans="1:24">
      <c r="A340" s="26" t="s">
        <v>14</v>
      </c>
      <c r="B340" s="26" t="s">
        <v>26</v>
      </c>
      <c r="C340" s="26">
        <v>8.3000000000000007</v>
      </c>
      <c r="D340" s="27">
        <v>8.1999999999999993</v>
      </c>
      <c r="E340" s="28">
        <v>8</v>
      </c>
      <c r="F340" s="16">
        <f t="shared" si="551"/>
        <v>0.54447999999999996</v>
      </c>
      <c r="G340" s="17" t="s">
        <v>236</v>
      </c>
      <c r="H340" s="18"/>
      <c r="I340" s="19">
        <f t="shared" si="552"/>
        <v>0</v>
      </c>
      <c r="J340" s="16" t="s">
        <v>280</v>
      </c>
      <c r="K340" s="18"/>
      <c r="L340" s="19">
        <f t="shared" si="553"/>
        <v>0</v>
      </c>
      <c r="M340" s="16"/>
      <c r="N340" s="18"/>
      <c r="O340" s="19">
        <f t="shared" si="554"/>
        <v>0</v>
      </c>
      <c r="P340" s="16"/>
      <c r="Q340" s="18"/>
      <c r="R340" s="19">
        <f t="shared" si="555"/>
        <v>0</v>
      </c>
      <c r="S340" s="20">
        <f t="shared" si="556"/>
        <v>0</v>
      </c>
      <c r="T340" s="19">
        <f t="shared" si="557"/>
        <v>0</v>
      </c>
      <c r="U340" s="21">
        <f t="shared" si="558"/>
        <v>8</v>
      </c>
      <c r="V340" s="19">
        <f t="shared" si="559"/>
        <v>0.54447999999999996</v>
      </c>
      <c r="X340" s="29"/>
    </row>
    <row r="341" spans="1:24" ht="17.25" customHeight="1">
      <c r="A341" s="26" t="s">
        <v>14</v>
      </c>
      <c r="B341" s="26" t="s">
        <v>26</v>
      </c>
      <c r="C341" s="26">
        <v>8.3000000000000007</v>
      </c>
      <c r="D341" s="27">
        <v>11.8</v>
      </c>
      <c r="E341" s="28">
        <v>9</v>
      </c>
      <c r="F341" s="16">
        <f t="shared" ref="F341:F346" si="560">(C341*D341*E341/1000)</f>
        <v>0.88146000000000013</v>
      </c>
      <c r="G341" s="17"/>
      <c r="H341" s="18"/>
      <c r="I341" s="19">
        <f t="shared" ref="I341:I346" si="561">(C341*D341*H341/1000)</f>
        <v>0</v>
      </c>
      <c r="J341" s="16"/>
      <c r="K341" s="18"/>
      <c r="L341" s="19">
        <f t="shared" ref="L341:L346" si="562">(C341*D341*K341/1000)</f>
        <v>0</v>
      </c>
      <c r="M341" s="16"/>
      <c r="N341" s="18"/>
      <c r="O341" s="19">
        <f t="shared" ref="O341:O346" si="563">(C341*D341*N341/1000)</f>
        <v>0</v>
      </c>
      <c r="P341" s="16"/>
      <c r="Q341" s="18"/>
      <c r="R341" s="19">
        <f t="shared" ref="R341:R346" si="564">(C341*D341*Q341/1000)</f>
        <v>0</v>
      </c>
      <c r="S341" s="20">
        <f t="shared" ref="S341:S346" si="565">+H341+K341+Q341+N341</f>
        <v>0</v>
      </c>
      <c r="T341" s="19">
        <f t="shared" ref="T341:T346" si="566">+I341+L341+R341+O341</f>
        <v>0</v>
      </c>
      <c r="U341" s="21">
        <f t="shared" ref="U341:U346" si="567">E341-S341</f>
        <v>9</v>
      </c>
      <c r="V341" s="19">
        <f t="shared" ref="V341:V346" si="568">F341-T341</f>
        <v>0.88146000000000013</v>
      </c>
      <c r="X341" s="29"/>
    </row>
    <row r="342" spans="1:24" ht="17.25" customHeight="1">
      <c r="A342" s="26" t="s">
        <v>14</v>
      </c>
      <c r="B342" s="26" t="s">
        <v>26</v>
      </c>
      <c r="C342" s="26">
        <v>8.3000000000000007</v>
      </c>
      <c r="D342" s="27">
        <v>11.4</v>
      </c>
      <c r="E342" s="28"/>
      <c r="F342" s="16">
        <f t="shared" si="560"/>
        <v>0</v>
      </c>
      <c r="G342" s="17"/>
      <c r="H342" s="18">
        <v>7</v>
      </c>
      <c r="I342" s="19">
        <f t="shared" si="561"/>
        <v>0.66234000000000004</v>
      </c>
      <c r="J342" s="16"/>
      <c r="K342" s="18"/>
      <c r="L342" s="19">
        <f t="shared" si="562"/>
        <v>0</v>
      </c>
      <c r="M342" s="16"/>
      <c r="N342" s="18"/>
      <c r="O342" s="19">
        <f t="shared" si="563"/>
        <v>0</v>
      </c>
      <c r="P342" s="16"/>
      <c r="Q342" s="18"/>
      <c r="R342" s="19">
        <f t="shared" si="564"/>
        <v>0</v>
      </c>
      <c r="S342" s="20">
        <f t="shared" si="565"/>
        <v>7</v>
      </c>
      <c r="T342" s="19">
        <f t="shared" si="566"/>
        <v>0.66234000000000004</v>
      </c>
      <c r="U342" s="21">
        <f t="shared" si="567"/>
        <v>-7</v>
      </c>
      <c r="V342" s="19">
        <f t="shared" si="568"/>
        <v>-0.66234000000000004</v>
      </c>
      <c r="X342" s="29"/>
    </row>
    <row r="343" spans="1:24">
      <c r="A343" s="26" t="s">
        <v>14</v>
      </c>
      <c r="B343" s="26" t="s">
        <v>26</v>
      </c>
      <c r="C343" s="26">
        <v>8.3000000000000007</v>
      </c>
      <c r="D343" s="27">
        <v>9</v>
      </c>
      <c r="E343" s="28"/>
      <c r="F343" s="16">
        <f t="shared" si="560"/>
        <v>0</v>
      </c>
      <c r="G343" s="17"/>
      <c r="H343" s="18">
        <v>11</v>
      </c>
      <c r="I343" s="19">
        <f t="shared" si="561"/>
        <v>0.8217000000000001</v>
      </c>
      <c r="J343" s="16"/>
      <c r="K343" s="18"/>
      <c r="L343" s="19">
        <f t="shared" si="562"/>
        <v>0</v>
      </c>
      <c r="M343" s="16"/>
      <c r="N343" s="18"/>
      <c r="O343" s="19">
        <f t="shared" si="563"/>
        <v>0</v>
      </c>
      <c r="P343" s="16"/>
      <c r="Q343" s="18"/>
      <c r="R343" s="19">
        <f t="shared" si="564"/>
        <v>0</v>
      </c>
      <c r="S343" s="20">
        <f t="shared" si="565"/>
        <v>11</v>
      </c>
      <c r="T343" s="19">
        <f t="shared" si="566"/>
        <v>0.8217000000000001</v>
      </c>
      <c r="U343" s="21">
        <f t="shared" si="567"/>
        <v>-11</v>
      </c>
      <c r="V343" s="19">
        <f t="shared" si="568"/>
        <v>-0.8217000000000001</v>
      </c>
      <c r="X343" s="29"/>
    </row>
    <row r="344" spans="1:24" ht="17.25" customHeight="1">
      <c r="A344" s="26" t="s">
        <v>14</v>
      </c>
      <c r="B344" s="26" t="s">
        <v>26</v>
      </c>
      <c r="C344" s="26">
        <v>8.3000000000000007</v>
      </c>
      <c r="D344" s="27">
        <v>10.7</v>
      </c>
      <c r="E344" s="28"/>
      <c r="F344" s="16">
        <f t="shared" si="560"/>
        <v>0</v>
      </c>
      <c r="G344" s="17"/>
      <c r="H344" s="18">
        <v>5</v>
      </c>
      <c r="I344" s="19">
        <f t="shared" si="561"/>
        <v>0.44405</v>
      </c>
      <c r="J344" s="16"/>
      <c r="K344" s="18"/>
      <c r="L344" s="19">
        <f t="shared" si="562"/>
        <v>0</v>
      </c>
      <c r="M344" s="16"/>
      <c r="N344" s="18"/>
      <c r="O344" s="19">
        <f t="shared" si="563"/>
        <v>0</v>
      </c>
      <c r="P344" s="16"/>
      <c r="Q344" s="18"/>
      <c r="R344" s="19">
        <f t="shared" si="564"/>
        <v>0</v>
      </c>
      <c r="S344" s="20">
        <f t="shared" si="565"/>
        <v>5</v>
      </c>
      <c r="T344" s="19">
        <f t="shared" si="566"/>
        <v>0.44405</v>
      </c>
      <c r="U344" s="21">
        <f t="shared" si="567"/>
        <v>-5</v>
      </c>
      <c r="V344" s="19">
        <f t="shared" si="568"/>
        <v>-0.44405</v>
      </c>
      <c r="X344" s="29"/>
    </row>
    <row r="345" spans="1:24" ht="17.25" customHeight="1">
      <c r="A345" s="26" t="s">
        <v>14</v>
      </c>
      <c r="B345" s="26" t="s">
        <v>26</v>
      </c>
      <c r="C345" s="26">
        <v>8.3000000000000007</v>
      </c>
      <c r="D345" s="27">
        <v>10.5</v>
      </c>
      <c r="E345" s="28"/>
      <c r="F345" s="16">
        <f t="shared" si="560"/>
        <v>0</v>
      </c>
      <c r="G345" s="17"/>
      <c r="H345" s="18">
        <v>1</v>
      </c>
      <c r="I345" s="19">
        <f t="shared" si="561"/>
        <v>8.7150000000000005E-2</v>
      </c>
      <c r="J345" s="16"/>
      <c r="K345" s="18"/>
      <c r="L345" s="19">
        <f t="shared" si="562"/>
        <v>0</v>
      </c>
      <c r="M345" s="16"/>
      <c r="N345" s="18"/>
      <c r="O345" s="19">
        <f t="shared" si="563"/>
        <v>0</v>
      </c>
      <c r="P345" s="16"/>
      <c r="Q345" s="18"/>
      <c r="R345" s="19">
        <f t="shared" si="564"/>
        <v>0</v>
      </c>
      <c r="S345" s="20">
        <f t="shared" si="565"/>
        <v>1</v>
      </c>
      <c r="T345" s="19">
        <f t="shared" si="566"/>
        <v>8.7150000000000005E-2</v>
      </c>
      <c r="U345" s="21">
        <f t="shared" si="567"/>
        <v>-1</v>
      </c>
      <c r="V345" s="19">
        <f t="shared" si="568"/>
        <v>-8.7150000000000005E-2</v>
      </c>
      <c r="X345" s="29"/>
    </row>
    <row r="346" spans="1:24" ht="17.25" customHeight="1">
      <c r="A346" s="26" t="s">
        <v>14</v>
      </c>
      <c r="B346" s="26" t="s">
        <v>26</v>
      </c>
      <c r="C346" s="26">
        <v>8.3000000000000007</v>
      </c>
      <c r="D346" s="27">
        <v>10.35</v>
      </c>
      <c r="E346" s="28"/>
      <c r="F346" s="16">
        <f t="shared" si="560"/>
        <v>0</v>
      </c>
      <c r="G346" s="17"/>
      <c r="H346" s="18"/>
      <c r="I346" s="19">
        <f t="shared" si="561"/>
        <v>0</v>
      </c>
      <c r="J346" s="16"/>
      <c r="K346" s="18">
        <v>16</v>
      </c>
      <c r="L346" s="19">
        <f t="shared" si="562"/>
        <v>1.3744799999999999</v>
      </c>
      <c r="M346" s="16"/>
      <c r="N346" s="18"/>
      <c r="O346" s="19">
        <f t="shared" si="563"/>
        <v>0</v>
      </c>
      <c r="P346" s="16"/>
      <c r="Q346" s="18"/>
      <c r="R346" s="19">
        <f t="shared" si="564"/>
        <v>0</v>
      </c>
      <c r="S346" s="20">
        <f t="shared" si="565"/>
        <v>16</v>
      </c>
      <c r="T346" s="19">
        <f t="shared" si="566"/>
        <v>1.3744799999999999</v>
      </c>
      <c r="U346" s="21">
        <f t="shared" si="567"/>
        <v>-16</v>
      </c>
      <c r="V346" s="19">
        <f t="shared" si="568"/>
        <v>-1.3744799999999999</v>
      </c>
      <c r="X346" s="29"/>
    </row>
    <row r="347" spans="1:24" ht="17.25" customHeight="1">
      <c r="A347" s="26" t="s">
        <v>14</v>
      </c>
      <c r="B347" s="26" t="s">
        <v>26</v>
      </c>
      <c r="C347" s="26">
        <v>8.3000000000000007</v>
      </c>
      <c r="D347" s="27">
        <v>10</v>
      </c>
      <c r="E347" s="28"/>
      <c r="F347" s="16">
        <f t="shared" si="551"/>
        <v>0</v>
      </c>
      <c r="G347" s="17"/>
      <c r="H347" s="18"/>
      <c r="I347" s="19">
        <f t="shared" si="552"/>
        <v>0</v>
      </c>
      <c r="J347" s="16"/>
      <c r="K347" s="18">
        <v>7</v>
      </c>
      <c r="L347" s="19">
        <f t="shared" si="553"/>
        <v>0.58099999999999996</v>
      </c>
      <c r="M347" s="16"/>
      <c r="N347" s="18"/>
      <c r="O347" s="19">
        <f t="shared" si="554"/>
        <v>0</v>
      </c>
      <c r="P347" s="16"/>
      <c r="Q347" s="18"/>
      <c r="R347" s="19">
        <f t="shared" si="555"/>
        <v>0</v>
      </c>
      <c r="S347" s="20">
        <f t="shared" si="556"/>
        <v>7</v>
      </c>
      <c r="T347" s="19">
        <f t="shared" si="557"/>
        <v>0.58099999999999996</v>
      </c>
      <c r="U347" s="21">
        <f t="shared" si="558"/>
        <v>-7</v>
      </c>
      <c r="V347" s="19">
        <f t="shared" si="559"/>
        <v>-0.58099999999999996</v>
      </c>
      <c r="X347" s="29"/>
    </row>
    <row r="348" spans="1:24" ht="17.25" customHeight="1">
      <c r="A348" s="36"/>
      <c r="B348" s="36"/>
      <c r="C348" s="36"/>
      <c r="D348" s="38"/>
      <c r="E348" s="31">
        <f>SUM(E339:E347)</f>
        <v>43</v>
      </c>
      <c r="F348" s="38">
        <f>SUM(F339:F347)</f>
        <v>2.9041700000000001</v>
      </c>
      <c r="G348" s="17"/>
      <c r="H348" s="31">
        <f>SUM(H339:H347)</f>
        <v>39</v>
      </c>
      <c r="I348" s="38">
        <f>SUM(I339:I347)</f>
        <v>2.8680650000000001</v>
      </c>
      <c r="J348" s="16"/>
      <c r="K348" s="31">
        <f>SUM(K339:K347)</f>
        <v>23</v>
      </c>
      <c r="L348" s="38">
        <f>SUM(L339:L347)</f>
        <v>1.9554799999999999</v>
      </c>
      <c r="M348" s="16"/>
      <c r="N348" s="31">
        <f>SUM(N339:N347)</f>
        <v>0</v>
      </c>
      <c r="O348" s="38">
        <f>SUM(O339:O347)</f>
        <v>0</v>
      </c>
      <c r="P348" s="16"/>
      <c r="Q348" s="31">
        <f t="shared" ref="Q348:V348" si="569">SUM(Q339:Q347)</f>
        <v>0</v>
      </c>
      <c r="R348" s="38">
        <f t="shared" si="569"/>
        <v>0</v>
      </c>
      <c r="S348" s="31">
        <f t="shared" si="569"/>
        <v>62</v>
      </c>
      <c r="T348" s="38">
        <f t="shared" si="569"/>
        <v>4.8235449999999993</v>
      </c>
      <c r="U348" s="31">
        <f t="shared" si="569"/>
        <v>-19</v>
      </c>
      <c r="V348" s="38">
        <f t="shared" si="569"/>
        <v>-1.9193750000000001</v>
      </c>
      <c r="X348" s="29"/>
    </row>
    <row r="349" spans="1:24" ht="17.25" customHeight="1">
      <c r="A349" s="26" t="s">
        <v>14</v>
      </c>
      <c r="B349" s="26" t="s">
        <v>37</v>
      </c>
      <c r="C349" s="26">
        <v>9.61</v>
      </c>
      <c r="D349" s="27">
        <v>8.3000000000000007</v>
      </c>
      <c r="E349" s="28">
        <v>8</v>
      </c>
      <c r="F349" s="16">
        <f>(C349*D349*E349/1000)</f>
        <v>0.638104</v>
      </c>
      <c r="G349" s="16" t="s">
        <v>89</v>
      </c>
      <c r="H349" s="18">
        <v>8</v>
      </c>
      <c r="I349" s="19">
        <f>(C349*D349*H349/1000)</f>
        <v>0.638104</v>
      </c>
      <c r="J349" s="16"/>
      <c r="K349" s="18"/>
      <c r="L349" s="19">
        <f>(C349*D349*K349/1000)</f>
        <v>0</v>
      </c>
      <c r="M349" s="16"/>
      <c r="N349" s="18"/>
      <c r="O349" s="19">
        <f>(C349*D349*N349/1000)</f>
        <v>0</v>
      </c>
      <c r="P349" s="16"/>
      <c r="Q349" s="18"/>
      <c r="R349" s="19">
        <f>(C349*D349*Q349/1000)</f>
        <v>0</v>
      </c>
      <c r="S349" s="20">
        <f>+H349+K349+Q349+N349</f>
        <v>8</v>
      </c>
      <c r="T349" s="19">
        <f>+I349+L349+R349+O349</f>
        <v>0.638104</v>
      </c>
      <c r="U349" s="21">
        <f>E349-S349</f>
        <v>0</v>
      </c>
      <c r="V349" s="19">
        <f>F349-T349</f>
        <v>0</v>
      </c>
      <c r="X349" s="29"/>
    </row>
    <row r="350" spans="1:24" ht="17.25" customHeight="1">
      <c r="A350" s="36"/>
      <c r="B350" s="36"/>
      <c r="C350" s="36"/>
      <c r="D350" s="38"/>
      <c r="E350" s="31">
        <f>SUM(E349)</f>
        <v>8</v>
      </c>
      <c r="F350" s="38">
        <f>SUM(F349)</f>
        <v>0.638104</v>
      </c>
      <c r="G350" s="16" t="s">
        <v>206</v>
      </c>
      <c r="H350" s="31">
        <f>SUM(H349)</f>
        <v>8</v>
      </c>
      <c r="I350" s="38">
        <f>SUM(I349)</f>
        <v>0.638104</v>
      </c>
      <c r="J350" s="16"/>
      <c r="K350" s="31">
        <f>SUM(K349)</f>
        <v>0</v>
      </c>
      <c r="L350" s="38">
        <f>SUM(L349)</f>
        <v>0</v>
      </c>
      <c r="M350" s="16"/>
      <c r="N350" s="31">
        <f>SUM(N349)</f>
        <v>0</v>
      </c>
      <c r="O350" s="38">
        <f>SUM(O349)</f>
        <v>0</v>
      </c>
      <c r="P350" s="16"/>
      <c r="Q350" s="31">
        <f t="shared" ref="Q350:V350" si="570">SUM(Q349)</f>
        <v>0</v>
      </c>
      <c r="R350" s="38">
        <f t="shared" si="570"/>
        <v>0</v>
      </c>
      <c r="S350" s="31">
        <f t="shared" si="570"/>
        <v>8</v>
      </c>
      <c r="T350" s="38">
        <f t="shared" si="570"/>
        <v>0.638104</v>
      </c>
      <c r="U350" s="31">
        <f t="shared" si="570"/>
        <v>0</v>
      </c>
      <c r="V350" s="38">
        <f t="shared" si="570"/>
        <v>0</v>
      </c>
      <c r="X350" s="29"/>
    </row>
    <row r="351" spans="1:24" ht="17.25" customHeight="1">
      <c r="A351" s="33"/>
      <c r="B351" s="33"/>
      <c r="C351" s="34"/>
      <c r="D351" s="34"/>
      <c r="E351" s="34">
        <f>SUM(E6:E350)/2</f>
        <v>7320</v>
      </c>
      <c r="F351" s="35">
        <f>SUM(F6:F350)/2</f>
        <v>848.72861799999964</v>
      </c>
      <c r="G351" s="26"/>
      <c r="H351" s="34">
        <f>SUM(H6:H350)/2</f>
        <v>3479</v>
      </c>
      <c r="I351" s="35">
        <f>SUM(I6:I350)/2</f>
        <v>398.44499747999959</v>
      </c>
      <c r="J351" s="26"/>
      <c r="K351" s="34">
        <f>SUM(K6:K350)/2</f>
        <v>2365</v>
      </c>
      <c r="L351" s="35">
        <f>SUM(L6:L350)/2</f>
        <v>268.17499702000003</v>
      </c>
      <c r="M351" s="26"/>
      <c r="N351" s="34">
        <f>SUM(N6:N350)/2</f>
        <v>1056</v>
      </c>
      <c r="O351" s="35">
        <f>SUM(O6:O350)/2</f>
        <v>123.172343</v>
      </c>
      <c r="P351" s="26"/>
      <c r="Q351" s="34">
        <f t="shared" ref="Q351:V351" si="571">SUM(Q6:Q350)/2</f>
        <v>422</v>
      </c>
      <c r="R351" s="35">
        <f t="shared" si="571"/>
        <v>57.709427999999974</v>
      </c>
      <c r="S351" s="34">
        <f t="shared" si="571"/>
        <v>7322</v>
      </c>
      <c r="T351" s="35">
        <f t="shared" si="571"/>
        <v>847.50176550000106</v>
      </c>
      <c r="U351" s="34">
        <f t="shared" si="571"/>
        <v>-2</v>
      </c>
      <c r="V351" s="35">
        <f t="shared" si="571"/>
        <v>1.2268525000000079</v>
      </c>
    </row>
    <row r="366" spans="18:18">
      <c r="R366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5"/>
  <dimension ref="A1:X40"/>
  <sheetViews>
    <sheetView zoomScale="75" zoomScaleNormal="75" workbookViewId="0">
      <pane ySplit="5" topLeftCell="A6" activePane="bottomLeft" state="frozen"/>
      <selection pane="bottomLeft" activeCell="I16" sqref="I16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138</v>
      </c>
      <c r="H1" s="144"/>
      <c r="I1" s="145" t="s">
        <v>190</v>
      </c>
      <c r="J1" s="144"/>
      <c r="K1" s="3"/>
      <c r="L1" s="4"/>
      <c r="M1" s="4"/>
      <c r="N1" s="3"/>
      <c r="O1" s="4"/>
      <c r="P1" s="146" t="str">
        <f>+F2</f>
        <v>LOI- 338  15.06.23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147</v>
      </c>
      <c r="B2" s="8"/>
      <c r="C2" s="9"/>
      <c r="D2" s="9"/>
      <c r="E2" s="10"/>
      <c r="F2" s="146" t="s">
        <v>189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LOI- 338  15.06.23</v>
      </c>
      <c r="V2" s="146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34</v>
      </c>
      <c r="C6" s="26">
        <v>5.76</v>
      </c>
      <c r="D6" s="27">
        <v>11</v>
      </c>
      <c r="E6" s="28">
        <v>18</v>
      </c>
      <c r="F6" s="16">
        <f t="shared" ref="F6:F7" si="0">(C6*D6*E6/1000)</f>
        <v>1.1404799999999999</v>
      </c>
      <c r="G6" s="17" t="s">
        <v>89</v>
      </c>
      <c r="H6" s="18"/>
      <c r="I6" s="19">
        <f t="shared" ref="I6:I7" si="1">(C6*D6*H6/1000)</f>
        <v>0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0</v>
      </c>
      <c r="T6" s="19">
        <f t="shared" si="5"/>
        <v>0</v>
      </c>
      <c r="U6" s="21">
        <f t="shared" ref="U6:V7" si="6">E6-S6</f>
        <v>18</v>
      </c>
      <c r="V6" s="19">
        <f t="shared" si="6"/>
        <v>1.1404799999999999</v>
      </c>
      <c r="X6" s="29"/>
    </row>
    <row r="7" spans="1:24">
      <c r="A7" s="26" t="s">
        <v>13</v>
      </c>
      <c r="B7" s="26" t="s">
        <v>34</v>
      </c>
      <c r="C7" s="26">
        <v>5.76</v>
      </c>
      <c r="D7" s="27">
        <v>12</v>
      </c>
      <c r="E7" s="28">
        <v>29</v>
      </c>
      <c r="F7" s="16">
        <f t="shared" si="0"/>
        <v>2.00448</v>
      </c>
      <c r="G7" s="17" t="s">
        <v>195</v>
      </c>
      <c r="H7" s="18">
        <v>41</v>
      </c>
      <c r="I7" s="19">
        <f t="shared" si="1"/>
        <v>2.83392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41</v>
      </c>
      <c r="T7" s="19">
        <f t="shared" si="5"/>
        <v>2.83392</v>
      </c>
      <c r="U7" s="21">
        <f t="shared" si="6"/>
        <v>-12</v>
      </c>
      <c r="V7" s="19">
        <f t="shared" si="6"/>
        <v>-0.82943999999999996</v>
      </c>
      <c r="X7" s="29"/>
    </row>
    <row r="8" spans="1:24">
      <c r="A8" s="36"/>
      <c r="B8" s="36"/>
      <c r="C8" s="36"/>
      <c r="D8" s="38"/>
      <c r="E8" s="31">
        <f>SUM(E6:E7)</f>
        <v>47</v>
      </c>
      <c r="F8" s="38">
        <f>SUM(F6:F7)</f>
        <v>3.1449600000000002</v>
      </c>
      <c r="G8" s="17"/>
      <c r="H8" s="31">
        <f>SUM(H6:H7)</f>
        <v>41</v>
      </c>
      <c r="I8" s="38">
        <f>SUM(I6:I7)</f>
        <v>2.83392</v>
      </c>
      <c r="J8" s="16"/>
      <c r="K8" s="31">
        <f>SUM(K6:K7)</f>
        <v>0</v>
      </c>
      <c r="L8" s="38">
        <f>SUM(L6:L7)</f>
        <v>0</v>
      </c>
      <c r="M8" s="16"/>
      <c r="N8" s="31">
        <f>SUM(N6:N7)</f>
        <v>0</v>
      </c>
      <c r="O8" s="38">
        <f>SUM(O6:O7)</f>
        <v>0</v>
      </c>
      <c r="P8" s="16"/>
      <c r="Q8" s="31">
        <f t="shared" ref="Q8:V8" si="7">SUM(Q6:Q7)</f>
        <v>0</v>
      </c>
      <c r="R8" s="38">
        <f t="shared" si="7"/>
        <v>0</v>
      </c>
      <c r="S8" s="31">
        <f t="shared" si="7"/>
        <v>41</v>
      </c>
      <c r="T8" s="38">
        <f t="shared" si="7"/>
        <v>2.83392</v>
      </c>
      <c r="U8" s="31">
        <f t="shared" si="7"/>
        <v>6</v>
      </c>
      <c r="V8" s="38">
        <f t="shared" si="7"/>
        <v>0.31103999999999998</v>
      </c>
      <c r="X8" s="29"/>
    </row>
    <row r="9" spans="1:24">
      <c r="A9" s="26" t="s">
        <v>13</v>
      </c>
      <c r="B9" s="26" t="s">
        <v>35</v>
      </c>
      <c r="C9" s="26">
        <v>6.85</v>
      </c>
      <c r="D9" s="27">
        <v>10.199999999999999</v>
      </c>
      <c r="E9" s="28">
        <v>29</v>
      </c>
      <c r="F9" s="16">
        <f t="shared" ref="F9:F10" si="8">(C9*D9*E9/1000)</f>
        <v>2.02623</v>
      </c>
      <c r="G9" s="17" t="s">
        <v>89</v>
      </c>
      <c r="H9" s="18">
        <v>21</v>
      </c>
      <c r="I9" s="19">
        <f t="shared" ref="I9:I10" si="9">(C9*D9*H9/1000)</f>
        <v>1.4672699999999999</v>
      </c>
      <c r="J9" s="16"/>
      <c r="K9" s="18"/>
      <c r="L9" s="19">
        <f t="shared" ref="L9:L10" si="10">(C9*D9*K9/1000)</f>
        <v>0</v>
      </c>
      <c r="M9" s="16"/>
      <c r="N9" s="18"/>
      <c r="O9" s="19">
        <f t="shared" ref="O9:O10" si="11">(C9*D9*N9/1000)</f>
        <v>0</v>
      </c>
      <c r="P9" s="16"/>
      <c r="Q9" s="18"/>
      <c r="R9" s="19">
        <f t="shared" ref="R9:R10" si="12">(C9*D9*Q9/1000)</f>
        <v>0</v>
      </c>
      <c r="S9" s="20">
        <f t="shared" ref="S9:T10" si="13">+H9+K9+Q9+N9</f>
        <v>21</v>
      </c>
      <c r="T9" s="19">
        <f t="shared" si="13"/>
        <v>1.4672699999999999</v>
      </c>
      <c r="U9" s="21">
        <f t="shared" ref="U9:V10" si="14">E9-S9</f>
        <v>8</v>
      </c>
      <c r="V9" s="19">
        <f t="shared" si="14"/>
        <v>0.55896000000000012</v>
      </c>
      <c r="X9" s="29"/>
    </row>
    <row r="10" spans="1:24">
      <c r="A10" s="26" t="s">
        <v>13</v>
      </c>
      <c r="B10" s="26" t="s">
        <v>35</v>
      </c>
      <c r="C10" s="26">
        <v>6.85</v>
      </c>
      <c r="D10" s="27">
        <v>11.7</v>
      </c>
      <c r="E10" s="28">
        <v>24</v>
      </c>
      <c r="F10" s="16">
        <f t="shared" si="8"/>
        <v>1.9234800000000001</v>
      </c>
      <c r="G10" s="17" t="s">
        <v>195</v>
      </c>
      <c r="H10" s="18">
        <v>32</v>
      </c>
      <c r="I10" s="19">
        <f t="shared" si="9"/>
        <v>2.5646399999999998</v>
      </c>
      <c r="J10" s="16"/>
      <c r="K10" s="18"/>
      <c r="L10" s="19">
        <f t="shared" si="10"/>
        <v>0</v>
      </c>
      <c r="M10" s="16"/>
      <c r="N10" s="18"/>
      <c r="O10" s="19">
        <f t="shared" si="11"/>
        <v>0</v>
      </c>
      <c r="P10" s="16"/>
      <c r="Q10" s="18"/>
      <c r="R10" s="19">
        <f t="shared" si="12"/>
        <v>0</v>
      </c>
      <c r="S10" s="20">
        <f t="shared" si="13"/>
        <v>32</v>
      </c>
      <c r="T10" s="19">
        <f t="shared" si="13"/>
        <v>2.5646399999999998</v>
      </c>
      <c r="U10" s="21">
        <f t="shared" si="14"/>
        <v>-8</v>
      </c>
      <c r="V10" s="19">
        <f t="shared" si="14"/>
        <v>-0.64115999999999973</v>
      </c>
      <c r="X10" s="29"/>
    </row>
    <row r="11" spans="1:24">
      <c r="A11" s="36"/>
      <c r="B11" s="36"/>
      <c r="C11" s="36"/>
      <c r="D11" s="38"/>
      <c r="E11" s="31">
        <f>SUM(E9:E10)</f>
        <v>53</v>
      </c>
      <c r="F11" s="38">
        <f>SUM(F9:F10)</f>
        <v>3.9497100000000001</v>
      </c>
      <c r="G11" s="17"/>
      <c r="H11" s="31">
        <f>SUM(H9:H10)</f>
        <v>53</v>
      </c>
      <c r="I11" s="38">
        <f>SUM(I9:I10)</f>
        <v>4.0319099999999999</v>
      </c>
      <c r="J11" s="16"/>
      <c r="K11" s="31">
        <f>SUM(K9:K10)</f>
        <v>0</v>
      </c>
      <c r="L11" s="38">
        <f>SUM(L9:L10)</f>
        <v>0</v>
      </c>
      <c r="M11" s="16"/>
      <c r="N11" s="31">
        <f>SUM(N9:N10)</f>
        <v>0</v>
      </c>
      <c r="O11" s="38">
        <f>SUM(O9:O10)</f>
        <v>0</v>
      </c>
      <c r="P11" s="16"/>
      <c r="Q11" s="31">
        <f t="shared" ref="Q11:V11" si="15">SUM(Q9:Q10)</f>
        <v>0</v>
      </c>
      <c r="R11" s="38">
        <f t="shared" si="15"/>
        <v>0</v>
      </c>
      <c r="S11" s="31">
        <f t="shared" si="15"/>
        <v>53</v>
      </c>
      <c r="T11" s="38">
        <f t="shared" si="15"/>
        <v>4.0319099999999999</v>
      </c>
      <c r="U11" s="31">
        <f t="shared" si="15"/>
        <v>0</v>
      </c>
      <c r="V11" s="38">
        <f t="shared" si="15"/>
        <v>-8.2199999999999607E-2</v>
      </c>
      <c r="X11" s="29"/>
    </row>
    <row r="12" spans="1:24">
      <c r="A12" s="26" t="s">
        <v>13</v>
      </c>
      <c r="B12" s="26" t="s">
        <v>26</v>
      </c>
      <c r="C12" s="26">
        <v>8.3000000000000007</v>
      </c>
      <c r="D12" s="27">
        <v>9</v>
      </c>
      <c r="E12" s="28">
        <v>69</v>
      </c>
      <c r="F12" s="16">
        <f t="shared" ref="F12:F17" si="16">(C12*D12*E12/1000)</f>
        <v>5.1543000000000001</v>
      </c>
      <c r="G12" s="16" t="s">
        <v>89</v>
      </c>
      <c r="H12" s="18">
        <v>19</v>
      </c>
      <c r="I12" s="19">
        <f t="shared" ref="I12:I17" si="17">(C12*D12*H12/1000)</f>
        <v>1.4193</v>
      </c>
      <c r="J12" s="16" t="s">
        <v>89</v>
      </c>
      <c r="K12" s="18">
        <v>43</v>
      </c>
      <c r="L12" s="19">
        <f t="shared" ref="L12:L17" si="18">(C12*D12*K12/1000)</f>
        <v>3.2121</v>
      </c>
      <c r="M12" s="16"/>
      <c r="N12" s="18"/>
      <c r="O12" s="19">
        <f t="shared" ref="O12:O17" si="19">(C12*D12*N12/1000)</f>
        <v>0</v>
      </c>
      <c r="P12" s="16"/>
      <c r="Q12" s="18"/>
      <c r="R12" s="19">
        <f t="shared" ref="R12:R17" si="20">(C12*D12*Q12/1000)</f>
        <v>0</v>
      </c>
      <c r="S12" s="20">
        <f t="shared" ref="S12:T17" si="21">+H12+K12+Q12+N12</f>
        <v>62</v>
      </c>
      <c r="T12" s="19">
        <f t="shared" si="21"/>
        <v>4.6314000000000002</v>
      </c>
      <c r="U12" s="21">
        <f t="shared" ref="U12:V17" si="22">E12-S12</f>
        <v>7</v>
      </c>
      <c r="V12" s="19">
        <f t="shared" si="22"/>
        <v>0.52289999999999992</v>
      </c>
      <c r="X12" s="29"/>
    </row>
    <row r="13" spans="1:24">
      <c r="A13" s="26" t="s">
        <v>13</v>
      </c>
      <c r="B13" s="26" t="s">
        <v>26</v>
      </c>
      <c r="C13" s="26">
        <v>8.3000000000000007</v>
      </c>
      <c r="D13" s="27">
        <v>10.5</v>
      </c>
      <c r="E13" s="28">
        <v>36</v>
      </c>
      <c r="F13" s="16">
        <f t="shared" si="16"/>
        <v>3.1374</v>
      </c>
      <c r="G13" s="16" t="s">
        <v>197</v>
      </c>
      <c r="H13" s="18">
        <v>20</v>
      </c>
      <c r="I13" s="19">
        <f t="shared" si="17"/>
        <v>1.7430000000000001</v>
      </c>
      <c r="J13" s="16" t="s">
        <v>197</v>
      </c>
      <c r="K13" s="18">
        <v>11</v>
      </c>
      <c r="L13" s="19">
        <f t="shared" si="18"/>
        <v>0.95865000000000011</v>
      </c>
      <c r="M13" s="16"/>
      <c r="N13" s="18"/>
      <c r="O13" s="19">
        <f t="shared" si="19"/>
        <v>0</v>
      </c>
      <c r="P13" s="16"/>
      <c r="Q13" s="18"/>
      <c r="R13" s="19">
        <f t="shared" si="20"/>
        <v>0</v>
      </c>
      <c r="S13" s="20">
        <f t="shared" si="21"/>
        <v>31</v>
      </c>
      <c r="T13" s="19">
        <f t="shared" si="21"/>
        <v>2.7016500000000003</v>
      </c>
      <c r="U13" s="21">
        <f t="shared" si="22"/>
        <v>5</v>
      </c>
      <c r="V13" s="19">
        <f t="shared" si="22"/>
        <v>0.43574999999999964</v>
      </c>
      <c r="X13" s="29"/>
    </row>
    <row r="14" spans="1:24">
      <c r="A14" s="26" t="s">
        <v>13</v>
      </c>
      <c r="B14" s="26" t="s">
        <v>26</v>
      </c>
      <c r="C14" s="26">
        <v>8.3000000000000007</v>
      </c>
      <c r="D14" s="27">
        <v>11.5</v>
      </c>
      <c r="E14" s="28">
        <v>18</v>
      </c>
      <c r="F14" s="16">
        <f t="shared" ref="F14:F16" si="23">(C14*D14*E14/1000)</f>
        <v>1.7181000000000002</v>
      </c>
      <c r="G14" s="17"/>
      <c r="H14" s="18"/>
      <c r="I14" s="19">
        <f t="shared" ref="I14:I16" si="24">(C14*D14*H14/1000)</f>
        <v>0</v>
      </c>
      <c r="J14" s="16"/>
      <c r="K14" s="18">
        <v>18</v>
      </c>
      <c r="L14" s="19">
        <f t="shared" ref="L14:L16" si="25">(C14*D14*K14/1000)</f>
        <v>1.7181000000000002</v>
      </c>
      <c r="M14" s="16"/>
      <c r="N14" s="18"/>
      <c r="O14" s="19">
        <f t="shared" ref="O14:O16" si="26">(C14*D14*N14/1000)</f>
        <v>0</v>
      </c>
      <c r="P14" s="16"/>
      <c r="Q14" s="18"/>
      <c r="R14" s="19">
        <f t="shared" ref="R14:R16" si="27">(C14*D14*Q14/1000)</f>
        <v>0</v>
      </c>
      <c r="S14" s="20">
        <f t="shared" ref="S14:S16" si="28">+H14+K14+Q14+N14</f>
        <v>18</v>
      </c>
      <c r="T14" s="19">
        <f t="shared" ref="T14:T16" si="29">+I14+L14+R14+O14</f>
        <v>1.7181000000000002</v>
      </c>
      <c r="U14" s="21">
        <f t="shared" ref="U14:U16" si="30">E14-S14</f>
        <v>0</v>
      </c>
      <c r="V14" s="19">
        <f t="shared" ref="V14:V16" si="31">F14-T14</f>
        <v>0</v>
      </c>
      <c r="X14" s="29"/>
    </row>
    <row r="15" spans="1:24">
      <c r="A15" s="26" t="s">
        <v>13</v>
      </c>
      <c r="B15" s="26" t="s">
        <v>26</v>
      </c>
      <c r="C15" s="26">
        <v>8.3000000000000007</v>
      </c>
      <c r="D15" s="27">
        <v>10.6</v>
      </c>
      <c r="E15" s="28"/>
      <c r="F15" s="16">
        <f t="shared" si="23"/>
        <v>0</v>
      </c>
      <c r="G15" s="17"/>
      <c r="H15" s="18"/>
      <c r="I15" s="19">
        <f t="shared" si="24"/>
        <v>0</v>
      </c>
      <c r="J15" s="16"/>
      <c r="K15" s="18">
        <v>8</v>
      </c>
      <c r="L15" s="19">
        <f t="shared" si="25"/>
        <v>0.70384000000000002</v>
      </c>
      <c r="M15" s="16"/>
      <c r="N15" s="18"/>
      <c r="O15" s="19">
        <f t="shared" si="26"/>
        <v>0</v>
      </c>
      <c r="P15" s="16"/>
      <c r="Q15" s="18"/>
      <c r="R15" s="19">
        <f t="shared" si="27"/>
        <v>0</v>
      </c>
      <c r="S15" s="20">
        <f t="shared" si="28"/>
        <v>8</v>
      </c>
      <c r="T15" s="19">
        <f t="shared" si="29"/>
        <v>0.70384000000000002</v>
      </c>
      <c r="U15" s="21">
        <f t="shared" si="30"/>
        <v>-8</v>
      </c>
      <c r="V15" s="19">
        <f t="shared" si="31"/>
        <v>-0.70384000000000002</v>
      </c>
      <c r="X15" s="29"/>
    </row>
    <row r="16" spans="1:24">
      <c r="A16" s="26" t="s">
        <v>13</v>
      </c>
      <c r="B16" s="26" t="s">
        <v>26</v>
      </c>
      <c r="C16" s="26">
        <v>8.3000000000000007</v>
      </c>
      <c r="D16" s="27">
        <v>10.4</v>
      </c>
      <c r="E16" s="28"/>
      <c r="F16" s="16">
        <f t="shared" si="23"/>
        <v>0</v>
      </c>
      <c r="G16" s="17"/>
      <c r="H16" s="18"/>
      <c r="I16" s="19">
        <f t="shared" si="24"/>
        <v>0</v>
      </c>
      <c r="J16" s="16"/>
      <c r="K16" s="18">
        <v>4</v>
      </c>
      <c r="L16" s="19">
        <f t="shared" si="25"/>
        <v>0.34528000000000003</v>
      </c>
      <c r="M16" s="16"/>
      <c r="N16" s="18"/>
      <c r="O16" s="19">
        <f t="shared" si="26"/>
        <v>0</v>
      </c>
      <c r="P16" s="16"/>
      <c r="Q16" s="18"/>
      <c r="R16" s="19">
        <f t="shared" si="27"/>
        <v>0</v>
      </c>
      <c r="S16" s="20">
        <f t="shared" si="28"/>
        <v>4</v>
      </c>
      <c r="T16" s="19">
        <f t="shared" si="29"/>
        <v>0.34528000000000003</v>
      </c>
      <c r="U16" s="21">
        <f t="shared" si="30"/>
        <v>-4</v>
      </c>
      <c r="V16" s="19">
        <f t="shared" si="31"/>
        <v>-0.34528000000000003</v>
      </c>
      <c r="X16" s="29"/>
    </row>
    <row r="17" spans="1:24">
      <c r="A17" s="26" t="s">
        <v>13</v>
      </c>
      <c r="B17" s="26" t="s">
        <v>26</v>
      </c>
      <c r="C17" s="26">
        <v>8.3000000000000007</v>
      </c>
      <c r="D17" s="27"/>
      <c r="E17" s="28"/>
      <c r="F17" s="16">
        <f t="shared" si="16"/>
        <v>0</v>
      </c>
      <c r="G17" s="17"/>
      <c r="H17" s="18"/>
      <c r="I17" s="19">
        <f t="shared" si="17"/>
        <v>0</v>
      </c>
      <c r="J17" s="16"/>
      <c r="K17" s="18"/>
      <c r="L17" s="19">
        <f t="shared" si="18"/>
        <v>0</v>
      </c>
      <c r="M17" s="16"/>
      <c r="N17" s="18"/>
      <c r="O17" s="19">
        <f t="shared" si="19"/>
        <v>0</v>
      </c>
      <c r="P17" s="16"/>
      <c r="Q17" s="18"/>
      <c r="R17" s="19">
        <f t="shared" si="20"/>
        <v>0</v>
      </c>
      <c r="S17" s="20">
        <f t="shared" si="21"/>
        <v>0</v>
      </c>
      <c r="T17" s="19">
        <f t="shared" si="21"/>
        <v>0</v>
      </c>
      <c r="U17" s="21">
        <f t="shared" si="22"/>
        <v>0</v>
      </c>
      <c r="V17" s="19">
        <f t="shared" si="22"/>
        <v>0</v>
      </c>
      <c r="X17" s="29"/>
    </row>
    <row r="18" spans="1:24">
      <c r="A18" s="36"/>
      <c r="B18" s="36"/>
      <c r="C18" s="36"/>
      <c r="D18" s="38"/>
      <c r="E18" s="31">
        <f>SUM(E12:E17)</f>
        <v>123</v>
      </c>
      <c r="F18" s="38">
        <f>SUM(F12:F17)</f>
        <v>10.0098</v>
      </c>
      <c r="G18" s="17"/>
      <c r="H18" s="31">
        <f>SUM(H12:H17)</f>
        <v>39</v>
      </c>
      <c r="I18" s="38">
        <f>SUM(I12:I17)</f>
        <v>3.1623000000000001</v>
      </c>
      <c r="J18" s="16"/>
      <c r="K18" s="31">
        <f>SUM(K12:K17)</f>
        <v>84</v>
      </c>
      <c r="L18" s="38">
        <f>SUM(L12:L17)</f>
        <v>6.9379699999999991</v>
      </c>
      <c r="M18" s="16"/>
      <c r="N18" s="31">
        <f>SUM(N12:N17)</f>
        <v>0</v>
      </c>
      <c r="O18" s="38">
        <f>SUM(O12:O17)</f>
        <v>0</v>
      </c>
      <c r="P18" s="16"/>
      <c r="Q18" s="31">
        <f t="shared" ref="Q18:V18" si="32">SUM(Q12:Q17)</f>
        <v>0</v>
      </c>
      <c r="R18" s="38">
        <f t="shared" si="32"/>
        <v>0</v>
      </c>
      <c r="S18" s="31">
        <f t="shared" si="32"/>
        <v>123</v>
      </c>
      <c r="T18" s="38">
        <f t="shared" si="32"/>
        <v>10.10027</v>
      </c>
      <c r="U18" s="31">
        <f t="shared" si="32"/>
        <v>0</v>
      </c>
      <c r="V18" s="38">
        <f t="shared" si="32"/>
        <v>-9.0470000000000494E-2</v>
      </c>
      <c r="X18" s="29"/>
    </row>
    <row r="19" spans="1:24">
      <c r="A19" s="26" t="s">
        <v>14</v>
      </c>
      <c r="B19" s="26" t="s">
        <v>34</v>
      </c>
      <c r="C19" s="26">
        <v>5.76</v>
      </c>
      <c r="D19" s="27">
        <v>10</v>
      </c>
      <c r="E19" s="28">
        <v>24</v>
      </c>
      <c r="F19" s="16">
        <f t="shared" ref="F19" si="33">(C19*D19*E19/1000)</f>
        <v>1.3823999999999999</v>
      </c>
      <c r="G19" s="17" t="s">
        <v>89</v>
      </c>
      <c r="H19" s="18">
        <v>24</v>
      </c>
      <c r="I19" s="19">
        <f t="shared" ref="I19" si="34">(C19*D19*H19/1000)</f>
        <v>1.3823999999999999</v>
      </c>
      <c r="J19" s="16"/>
      <c r="K19" s="18"/>
      <c r="L19" s="19">
        <f t="shared" ref="L19" si="35">(C19*D19*K19/1000)</f>
        <v>0</v>
      </c>
      <c r="M19" s="16"/>
      <c r="N19" s="18"/>
      <c r="O19" s="19">
        <f t="shared" ref="O19" si="36">(C19*D19*N19/1000)</f>
        <v>0</v>
      </c>
      <c r="P19" s="16"/>
      <c r="Q19" s="18"/>
      <c r="R19" s="19">
        <f t="shared" ref="R19" si="37">(C19*D19*Q19/1000)</f>
        <v>0</v>
      </c>
      <c r="S19" s="20">
        <f t="shared" ref="S19:T19" si="38">+H19+K19+Q19+N19</f>
        <v>24</v>
      </c>
      <c r="T19" s="19">
        <f t="shared" si="38"/>
        <v>1.3823999999999999</v>
      </c>
      <c r="U19" s="21">
        <f t="shared" ref="U19:V19" si="39">E19-S19</f>
        <v>0</v>
      </c>
      <c r="V19" s="19">
        <f t="shared" si="39"/>
        <v>0</v>
      </c>
      <c r="X19" s="29"/>
    </row>
    <row r="20" spans="1:24">
      <c r="A20" s="36"/>
      <c r="B20" s="36"/>
      <c r="C20" s="36"/>
      <c r="D20" s="38"/>
      <c r="E20" s="31">
        <f>SUM(E19:E19)</f>
        <v>24</v>
      </c>
      <c r="F20" s="38">
        <f>SUM(F19:F19)</f>
        <v>1.3823999999999999</v>
      </c>
      <c r="G20" s="17" t="s">
        <v>195</v>
      </c>
      <c r="H20" s="31">
        <f>SUM(H19:H19)</f>
        <v>24</v>
      </c>
      <c r="I20" s="38">
        <f>SUM(I19:I19)</f>
        <v>1.3823999999999999</v>
      </c>
      <c r="J20" s="16"/>
      <c r="K20" s="31">
        <f>SUM(K19:K19)</f>
        <v>0</v>
      </c>
      <c r="L20" s="38">
        <f>SUM(L19:L19)</f>
        <v>0</v>
      </c>
      <c r="M20" s="16"/>
      <c r="N20" s="31">
        <f>SUM(N19:N19)</f>
        <v>0</v>
      </c>
      <c r="O20" s="38">
        <f>SUM(O19:O19)</f>
        <v>0</v>
      </c>
      <c r="P20" s="16"/>
      <c r="Q20" s="31">
        <f t="shared" ref="Q20:V20" si="40">SUM(Q19:Q19)</f>
        <v>0</v>
      </c>
      <c r="R20" s="38">
        <f t="shared" si="40"/>
        <v>0</v>
      </c>
      <c r="S20" s="31">
        <f t="shared" si="40"/>
        <v>24</v>
      </c>
      <c r="T20" s="38">
        <f t="shared" si="40"/>
        <v>1.3823999999999999</v>
      </c>
      <c r="U20" s="31">
        <f t="shared" si="40"/>
        <v>0</v>
      </c>
      <c r="V20" s="38">
        <f t="shared" si="40"/>
        <v>0</v>
      </c>
      <c r="X20" s="29"/>
    </row>
    <row r="21" spans="1:24">
      <c r="A21" s="26" t="s">
        <v>14</v>
      </c>
      <c r="B21" s="26" t="s">
        <v>26</v>
      </c>
      <c r="C21" s="26">
        <v>8.3000000000000007</v>
      </c>
      <c r="D21" s="27">
        <v>8.1999999999999993</v>
      </c>
      <c r="E21" s="28">
        <v>16</v>
      </c>
      <c r="F21" s="16">
        <f t="shared" ref="F21" si="41">(C21*D21*E21/1000)</f>
        <v>1.0889599999999999</v>
      </c>
      <c r="G21" s="17" t="s">
        <v>93</v>
      </c>
      <c r="H21" s="18"/>
      <c r="I21" s="19">
        <f t="shared" ref="I21" si="42">(C21*D21*H21/1000)</f>
        <v>0</v>
      </c>
      <c r="J21" s="16"/>
      <c r="K21" s="18"/>
      <c r="L21" s="19">
        <f t="shared" ref="L21" si="43">(C21*D21*K21/1000)</f>
        <v>0</v>
      </c>
      <c r="M21" s="16"/>
      <c r="N21" s="18"/>
      <c r="O21" s="19">
        <f t="shared" ref="O21" si="44">(C21*D21*N21/1000)</f>
        <v>0</v>
      </c>
      <c r="P21" s="16"/>
      <c r="Q21" s="18"/>
      <c r="R21" s="19">
        <f t="shared" ref="R21" si="45">(C21*D21*Q21/1000)</f>
        <v>0</v>
      </c>
      <c r="S21" s="20">
        <f t="shared" ref="S21:T21" si="46">+H21+K21+Q21+N21</f>
        <v>0</v>
      </c>
      <c r="T21" s="19">
        <f t="shared" si="46"/>
        <v>0</v>
      </c>
      <c r="U21" s="21">
        <f t="shared" ref="U21:V21" si="47">E21-S21</f>
        <v>16</v>
      </c>
      <c r="V21" s="19">
        <f t="shared" si="47"/>
        <v>1.0889599999999999</v>
      </c>
      <c r="X21" s="29"/>
    </row>
    <row r="22" spans="1:24">
      <c r="A22" s="26" t="s">
        <v>14</v>
      </c>
      <c r="B22" s="26" t="s">
        <v>26</v>
      </c>
      <c r="C22" s="26">
        <v>8.3000000000000007</v>
      </c>
      <c r="D22" s="27">
        <v>10.5</v>
      </c>
      <c r="E22" s="28"/>
      <c r="F22" s="16">
        <f t="shared" ref="F22:F23" si="48">(C22*D22*E22/1000)</f>
        <v>0</v>
      </c>
      <c r="G22" s="17" t="s">
        <v>236</v>
      </c>
      <c r="H22" s="18">
        <v>11</v>
      </c>
      <c r="I22" s="19">
        <f t="shared" ref="I22:I23" si="49">(C22*D22*H22/1000)</f>
        <v>0.95865000000000011</v>
      </c>
      <c r="J22" s="16"/>
      <c r="K22" s="18"/>
      <c r="L22" s="19">
        <f t="shared" ref="L22:L23" si="50">(C22*D22*K22/1000)</f>
        <v>0</v>
      </c>
      <c r="M22" s="16"/>
      <c r="N22" s="18"/>
      <c r="O22" s="19">
        <f t="shared" ref="O22:O23" si="51">(C22*D22*N22/1000)</f>
        <v>0</v>
      </c>
      <c r="P22" s="16"/>
      <c r="Q22" s="18"/>
      <c r="R22" s="19">
        <f t="shared" ref="R22:R23" si="52">(C22*D22*Q22/1000)</f>
        <v>0</v>
      </c>
      <c r="S22" s="20">
        <f t="shared" ref="S22:S23" si="53">+H22+K22+Q22+N22</f>
        <v>11</v>
      </c>
      <c r="T22" s="19">
        <f t="shared" ref="T22:T23" si="54">+I22+L22+R22+O22</f>
        <v>0.95865000000000011</v>
      </c>
      <c r="U22" s="21">
        <f t="shared" ref="U22:U23" si="55">E22-S22</f>
        <v>-11</v>
      </c>
      <c r="V22" s="19">
        <f t="shared" ref="V22:V23" si="56">F22-T22</f>
        <v>-0.95865000000000011</v>
      </c>
      <c r="X22" s="29"/>
    </row>
    <row r="23" spans="1:24">
      <c r="A23" s="26" t="s">
        <v>14</v>
      </c>
      <c r="B23" s="26" t="s">
        <v>26</v>
      </c>
      <c r="C23" s="26">
        <v>8.3000000000000007</v>
      </c>
      <c r="D23" s="27">
        <v>8.5</v>
      </c>
      <c r="E23" s="28"/>
      <c r="F23" s="16">
        <f t="shared" si="48"/>
        <v>0</v>
      </c>
      <c r="G23" s="17"/>
      <c r="H23" s="18">
        <v>2</v>
      </c>
      <c r="I23" s="19">
        <f t="shared" si="49"/>
        <v>0.14110000000000003</v>
      </c>
      <c r="J23" s="16"/>
      <c r="K23" s="18"/>
      <c r="L23" s="19">
        <f t="shared" si="50"/>
        <v>0</v>
      </c>
      <c r="M23" s="16"/>
      <c r="N23" s="18"/>
      <c r="O23" s="19">
        <f t="shared" si="51"/>
        <v>0</v>
      </c>
      <c r="P23" s="16"/>
      <c r="Q23" s="18"/>
      <c r="R23" s="19">
        <f t="shared" si="52"/>
        <v>0</v>
      </c>
      <c r="S23" s="20">
        <f t="shared" si="53"/>
        <v>2</v>
      </c>
      <c r="T23" s="19">
        <f t="shared" si="54"/>
        <v>0.14110000000000003</v>
      </c>
      <c r="U23" s="21">
        <f t="shared" si="55"/>
        <v>-2</v>
      </c>
      <c r="V23" s="19">
        <f t="shared" si="56"/>
        <v>-0.14110000000000003</v>
      </c>
      <c r="X23" s="29"/>
    </row>
    <row r="24" spans="1:24">
      <c r="A24" s="36"/>
      <c r="B24" s="36"/>
      <c r="C24" s="36"/>
      <c r="D24" s="38"/>
      <c r="E24" s="31">
        <f t="shared" ref="E24:F24" si="57">SUM(E21:E23)</f>
        <v>16</v>
      </c>
      <c r="F24" s="38">
        <f t="shared" si="57"/>
        <v>1.0889599999999999</v>
      </c>
      <c r="G24" s="17"/>
      <c r="H24" s="31">
        <f t="shared" ref="H24" si="58">SUM(H21:H23)</f>
        <v>13</v>
      </c>
      <c r="I24" s="38">
        <f t="shared" ref="I24" si="59">SUM(I21:I23)</f>
        <v>1.0997500000000002</v>
      </c>
      <c r="J24" s="16"/>
      <c r="K24" s="31">
        <f t="shared" ref="K24" si="60">SUM(K21:K23)</f>
        <v>0</v>
      </c>
      <c r="L24" s="38">
        <f t="shared" ref="L24" si="61">SUM(L21:L23)</f>
        <v>0</v>
      </c>
      <c r="M24" s="16"/>
      <c r="N24" s="31">
        <f t="shared" ref="N24" si="62">SUM(N21:N23)</f>
        <v>0</v>
      </c>
      <c r="O24" s="38">
        <f t="shared" ref="O24" si="63">SUM(O21:O23)</f>
        <v>0</v>
      </c>
      <c r="P24" s="16"/>
      <c r="Q24" s="31">
        <f t="shared" ref="Q24" si="64">SUM(Q21:Q23)</f>
        <v>0</v>
      </c>
      <c r="R24" s="38">
        <f t="shared" ref="R24" si="65">SUM(R21:R23)</f>
        <v>0</v>
      </c>
      <c r="S24" s="31">
        <f t="shared" ref="S24" si="66">SUM(S21:S23)</f>
        <v>13</v>
      </c>
      <c r="T24" s="38">
        <f t="shared" ref="T24" si="67">SUM(T21:T23)</f>
        <v>1.0997500000000002</v>
      </c>
      <c r="U24" s="31">
        <f t="shared" ref="U24" si="68">SUM(U21:U23)</f>
        <v>3</v>
      </c>
      <c r="V24" s="38">
        <f t="shared" ref="V24" si="69">SUM(V21:V23)</f>
        <v>-1.0790000000000216E-2</v>
      </c>
      <c r="X24" s="29"/>
    </row>
    <row r="25" spans="1:24">
      <c r="A25" s="33"/>
      <c r="B25" s="33"/>
      <c r="C25" s="34"/>
      <c r="D25" s="34"/>
      <c r="E25" s="34">
        <f>SUM(E6:E24)/2</f>
        <v>263</v>
      </c>
      <c r="F25" s="35">
        <f>SUM(F6:F24)/2</f>
        <v>19.575829999999996</v>
      </c>
      <c r="G25" s="26"/>
      <c r="H25" s="34">
        <f>SUM(H6:H24)/2</f>
        <v>170</v>
      </c>
      <c r="I25" s="35">
        <f>SUM(I6:I24)/2</f>
        <v>12.510280000000002</v>
      </c>
      <c r="J25" s="26"/>
      <c r="K25" s="34">
        <f>SUM(K6:K24)/2</f>
        <v>84</v>
      </c>
      <c r="L25" s="35">
        <f>SUM(L6:L24)/2</f>
        <v>6.9379699999999991</v>
      </c>
      <c r="M25" s="26"/>
      <c r="N25" s="34">
        <f>SUM(N6:N24)/2</f>
        <v>0</v>
      </c>
      <c r="O25" s="35">
        <f>SUM(O6:O24)/2</f>
        <v>0</v>
      </c>
      <c r="P25" s="26"/>
      <c r="Q25" s="34">
        <f t="shared" ref="Q25:V25" si="70">SUM(Q6:Q24)/2</f>
        <v>0</v>
      </c>
      <c r="R25" s="35">
        <f t="shared" si="70"/>
        <v>0</v>
      </c>
      <c r="S25" s="34">
        <f t="shared" si="70"/>
        <v>254</v>
      </c>
      <c r="T25" s="35">
        <f t="shared" si="70"/>
        <v>19.448249999999998</v>
      </c>
      <c r="U25" s="34">
        <f t="shared" si="70"/>
        <v>9</v>
      </c>
      <c r="V25" s="35">
        <f t="shared" si="70"/>
        <v>0.12757999999999969</v>
      </c>
    </row>
    <row r="40" spans="18:18">
      <c r="R40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6"/>
  <dimension ref="A1:X26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284</v>
      </c>
      <c r="H1" s="144"/>
      <c r="I1" s="145" t="s">
        <v>190</v>
      </c>
      <c r="J1" s="144"/>
      <c r="K1" s="3"/>
      <c r="L1" s="4"/>
      <c r="M1" s="4"/>
      <c r="N1" s="3"/>
      <c r="O1" s="4"/>
      <c r="P1" s="146" t="str">
        <f>+F2</f>
        <v>LOI- 405  20.06.23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120</v>
      </c>
      <c r="B2" s="8"/>
      <c r="C2" s="9"/>
      <c r="D2" s="9"/>
      <c r="E2" s="10"/>
      <c r="F2" s="146" t="s">
        <v>285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LOI- 405  20.06.23</v>
      </c>
      <c r="V2" s="146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46</v>
      </c>
      <c r="C6" s="26">
        <v>10.7</v>
      </c>
      <c r="D6" s="27">
        <v>12</v>
      </c>
      <c r="E6" s="28">
        <v>6</v>
      </c>
      <c r="F6" s="16">
        <f t="shared" ref="F6:F9" si="0">(C6*D6*E6/1000)</f>
        <v>0.77039999999999986</v>
      </c>
      <c r="G6" s="17" t="s">
        <v>88</v>
      </c>
      <c r="H6" s="18"/>
      <c r="I6" s="19">
        <f t="shared" ref="I6:I9" si="1">(C6*D6*H6/1000)</f>
        <v>0</v>
      </c>
      <c r="J6" s="16"/>
      <c r="K6" s="18"/>
      <c r="L6" s="19">
        <f t="shared" ref="L6:L9" si="2">(C6*D6*K6/1000)</f>
        <v>0</v>
      </c>
      <c r="M6" s="16"/>
      <c r="N6" s="18"/>
      <c r="O6" s="19">
        <f t="shared" ref="O6:O9" si="3">(C6*D6*N6/1000)</f>
        <v>0</v>
      </c>
      <c r="P6" s="16"/>
      <c r="Q6" s="18"/>
      <c r="R6" s="19">
        <f t="shared" ref="R6:R9" si="4">(C6*D6*Q6/1000)</f>
        <v>0</v>
      </c>
      <c r="S6" s="20">
        <f t="shared" ref="S6:T9" si="5">+H6+K6+Q6+N6</f>
        <v>0</v>
      </c>
      <c r="T6" s="19">
        <f t="shared" si="5"/>
        <v>0</v>
      </c>
      <c r="U6" s="21">
        <f t="shared" ref="U6:V9" si="6">E6-S6</f>
        <v>6</v>
      </c>
      <c r="V6" s="19">
        <f t="shared" si="6"/>
        <v>0.77039999999999986</v>
      </c>
      <c r="X6" s="29"/>
    </row>
    <row r="7" spans="1:24">
      <c r="A7" s="26" t="s">
        <v>13</v>
      </c>
      <c r="B7" s="26" t="s">
        <v>46</v>
      </c>
      <c r="C7" s="26">
        <v>10.7</v>
      </c>
      <c r="D7" s="27">
        <v>6.1</v>
      </c>
      <c r="E7" s="28"/>
      <c r="F7" s="16">
        <f t="shared" ref="F7:F8" si="7">(C7*D7*E7/1000)</f>
        <v>0</v>
      </c>
      <c r="G7" s="17" t="s">
        <v>286</v>
      </c>
      <c r="H7" s="18">
        <v>7</v>
      </c>
      <c r="I7" s="19">
        <f t="shared" ref="I7:I8" si="8">(C7*D7*H7/1000)</f>
        <v>0.45688999999999996</v>
      </c>
      <c r="J7" s="16"/>
      <c r="K7" s="18"/>
      <c r="L7" s="19">
        <f t="shared" ref="L7:L8" si="9">(C7*D7*K7/1000)</f>
        <v>0</v>
      </c>
      <c r="M7" s="16"/>
      <c r="N7" s="18"/>
      <c r="O7" s="19">
        <f t="shared" ref="O7:O8" si="10">(C7*D7*N7/1000)</f>
        <v>0</v>
      </c>
      <c r="P7" s="16"/>
      <c r="Q7" s="18"/>
      <c r="R7" s="19">
        <f t="shared" ref="R7:R8" si="11">(C7*D7*Q7/1000)</f>
        <v>0</v>
      </c>
      <c r="S7" s="20">
        <f t="shared" ref="S7:S8" si="12">+H7+K7+Q7+N7</f>
        <v>7</v>
      </c>
      <c r="T7" s="19">
        <f t="shared" ref="T7:T8" si="13">+I7+L7+R7+O7</f>
        <v>0.45688999999999996</v>
      </c>
      <c r="U7" s="21">
        <f t="shared" ref="U7:U8" si="14">E7-S7</f>
        <v>-7</v>
      </c>
      <c r="V7" s="19">
        <f t="shared" ref="V7:V8" si="15">F7-T7</f>
        <v>-0.45688999999999996</v>
      </c>
      <c r="X7" s="29"/>
    </row>
    <row r="8" spans="1:24">
      <c r="A8" s="26" t="s">
        <v>13</v>
      </c>
      <c r="B8" s="26" t="s">
        <v>46</v>
      </c>
      <c r="C8" s="26">
        <v>10.7</v>
      </c>
      <c r="D8" s="27">
        <v>7</v>
      </c>
      <c r="E8" s="28"/>
      <c r="F8" s="16">
        <f t="shared" si="7"/>
        <v>0</v>
      </c>
      <c r="G8" s="17"/>
      <c r="H8" s="18">
        <v>1</v>
      </c>
      <c r="I8" s="19">
        <f t="shared" si="8"/>
        <v>7.4899999999999994E-2</v>
      </c>
      <c r="J8" s="16"/>
      <c r="K8" s="18"/>
      <c r="L8" s="19">
        <f t="shared" si="9"/>
        <v>0</v>
      </c>
      <c r="M8" s="16"/>
      <c r="N8" s="18"/>
      <c r="O8" s="19">
        <f t="shared" si="10"/>
        <v>0</v>
      </c>
      <c r="P8" s="16"/>
      <c r="Q8" s="18"/>
      <c r="R8" s="19">
        <f t="shared" si="11"/>
        <v>0</v>
      </c>
      <c r="S8" s="20">
        <f t="shared" si="12"/>
        <v>1</v>
      </c>
      <c r="T8" s="19">
        <f t="shared" si="13"/>
        <v>7.4899999999999994E-2</v>
      </c>
      <c r="U8" s="21">
        <f t="shared" si="14"/>
        <v>-1</v>
      </c>
      <c r="V8" s="19">
        <f t="shared" si="15"/>
        <v>-7.4899999999999994E-2</v>
      </c>
      <c r="X8" s="29"/>
    </row>
    <row r="9" spans="1:24">
      <c r="A9" s="26" t="s">
        <v>13</v>
      </c>
      <c r="B9" s="26" t="s">
        <v>46</v>
      </c>
      <c r="C9" s="26">
        <v>10.7</v>
      </c>
      <c r="D9" s="27">
        <v>7.5</v>
      </c>
      <c r="E9" s="28"/>
      <c r="F9" s="16">
        <f t="shared" si="0"/>
        <v>0</v>
      </c>
      <c r="G9" s="17"/>
      <c r="H9" s="18">
        <v>4</v>
      </c>
      <c r="I9" s="19">
        <f t="shared" si="1"/>
        <v>0.32100000000000001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4</v>
      </c>
      <c r="T9" s="19">
        <f t="shared" si="5"/>
        <v>0.32100000000000001</v>
      </c>
      <c r="U9" s="21">
        <f t="shared" si="6"/>
        <v>-4</v>
      </c>
      <c r="V9" s="19">
        <f t="shared" si="6"/>
        <v>-0.32100000000000001</v>
      </c>
      <c r="X9" s="29"/>
    </row>
    <row r="10" spans="1:24">
      <c r="A10" s="36"/>
      <c r="B10" s="36"/>
      <c r="C10" s="36"/>
      <c r="D10" s="38"/>
      <c r="E10" s="31">
        <f>SUM(E6:E9)</f>
        <v>6</v>
      </c>
      <c r="F10" s="38">
        <f>SUM(F6:F9)</f>
        <v>0.77039999999999986</v>
      </c>
      <c r="G10" s="17"/>
      <c r="H10" s="31">
        <f>SUM(H6:H9)</f>
        <v>12</v>
      </c>
      <c r="I10" s="38">
        <f>SUM(I6:I9)</f>
        <v>0.85278999999999994</v>
      </c>
      <c r="J10" s="16"/>
      <c r="K10" s="31">
        <f>SUM(K6:K9)</f>
        <v>0</v>
      </c>
      <c r="L10" s="38">
        <f>SUM(L6:L9)</f>
        <v>0</v>
      </c>
      <c r="M10" s="16"/>
      <c r="N10" s="31">
        <f>SUM(N6:N9)</f>
        <v>0</v>
      </c>
      <c r="O10" s="38">
        <f>SUM(O6:O9)</f>
        <v>0</v>
      </c>
      <c r="P10" s="16"/>
      <c r="Q10" s="31">
        <f t="shared" ref="Q10:V10" si="16">SUM(Q6:Q9)</f>
        <v>0</v>
      </c>
      <c r="R10" s="38">
        <f t="shared" si="16"/>
        <v>0</v>
      </c>
      <c r="S10" s="31">
        <f t="shared" si="16"/>
        <v>12</v>
      </c>
      <c r="T10" s="38">
        <f t="shared" si="16"/>
        <v>0.85278999999999994</v>
      </c>
      <c r="U10" s="31">
        <f t="shared" si="16"/>
        <v>-6</v>
      </c>
      <c r="V10" s="38">
        <f t="shared" si="16"/>
        <v>-8.2390000000000102E-2</v>
      </c>
      <c r="X10" s="29"/>
    </row>
    <row r="11" spans="1:24">
      <c r="A11" s="33"/>
      <c r="B11" s="33"/>
      <c r="C11" s="34"/>
      <c r="D11" s="34"/>
      <c r="E11" s="34">
        <f>SUM(E6:E10)/2</f>
        <v>6</v>
      </c>
      <c r="F11" s="35">
        <f>SUM(F6:F10)/2</f>
        <v>0.77039999999999986</v>
      </c>
      <c r="G11" s="26"/>
      <c r="H11" s="34">
        <f>SUM(H6:H10)/2</f>
        <v>12</v>
      </c>
      <c r="I11" s="35">
        <f>SUM(I6:I10)/2</f>
        <v>0.85278999999999994</v>
      </c>
      <c r="J11" s="26"/>
      <c r="K11" s="34">
        <f>SUM(K6:K10)/2</f>
        <v>0</v>
      </c>
      <c r="L11" s="35">
        <f>SUM(L6:L10)/2</f>
        <v>0</v>
      </c>
      <c r="M11" s="26"/>
      <c r="N11" s="34">
        <f>SUM(N6:N10)/2</f>
        <v>0</v>
      </c>
      <c r="O11" s="35">
        <f>SUM(O6:O10)/2</f>
        <v>0</v>
      </c>
      <c r="P11" s="26"/>
      <c r="Q11" s="34">
        <f t="shared" ref="Q11:V11" si="17">SUM(Q6:Q10)/2</f>
        <v>0</v>
      </c>
      <c r="R11" s="35">
        <f t="shared" si="17"/>
        <v>0</v>
      </c>
      <c r="S11" s="34">
        <f t="shared" si="17"/>
        <v>12</v>
      </c>
      <c r="T11" s="35">
        <f t="shared" si="17"/>
        <v>0.85278999999999994</v>
      </c>
      <c r="U11" s="34">
        <f t="shared" si="17"/>
        <v>-6</v>
      </c>
      <c r="V11" s="35">
        <f t="shared" si="17"/>
        <v>-8.2390000000000102E-2</v>
      </c>
    </row>
    <row r="26" spans="18:18">
      <c r="R26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7"/>
  <dimension ref="A1:X94"/>
  <sheetViews>
    <sheetView zoomScale="75" zoomScaleNormal="75" workbookViewId="0">
      <pane ySplit="5" topLeftCell="A40" activePane="bottomLeft" state="frozen"/>
      <selection pane="bottomLeft" activeCell="H65" sqref="H6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211</v>
      </c>
      <c r="H1" s="144"/>
      <c r="I1" s="145" t="s">
        <v>154</v>
      </c>
      <c r="J1" s="144"/>
      <c r="K1" s="3"/>
      <c r="L1" s="4"/>
      <c r="M1" s="4"/>
      <c r="N1" s="3"/>
      <c r="O1" s="4"/>
      <c r="P1" s="146" t="str">
        <f>+F2</f>
        <v>LOI-416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28</v>
      </c>
      <c r="B2" s="8"/>
      <c r="C2" s="9"/>
      <c r="D2" s="9"/>
      <c r="E2" s="10"/>
      <c r="F2" s="146" t="s">
        <v>210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LOI-416  03.07.23</v>
      </c>
      <c r="V2" s="146"/>
    </row>
    <row r="3" spans="1:24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53" t="s">
        <v>13</v>
      </c>
      <c r="B6" s="26" t="s">
        <v>123</v>
      </c>
      <c r="C6" s="30">
        <v>21.6</v>
      </c>
      <c r="D6" s="30">
        <v>12</v>
      </c>
      <c r="E6" s="28">
        <v>10</v>
      </c>
      <c r="F6" s="16">
        <f>(C6*D6*E6/1000)</f>
        <v>2.5920000000000005</v>
      </c>
      <c r="G6" s="17" t="s">
        <v>93</v>
      </c>
      <c r="H6" s="18">
        <v>4</v>
      </c>
      <c r="I6" s="19">
        <f>(C6*D6*H6/1000)</f>
        <v>1.0368000000000002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4</v>
      </c>
      <c r="T6" s="19">
        <f>+I6+L6+R6</f>
        <v>1.0368000000000002</v>
      </c>
      <c r="U6" s="21">
        <f>E6-S6</f>
        <v>6</v>
      </c>
      <c r="V6" s="19">
        <f>F6-T6</f>
        <v>1.5552000000000004</v>
      </c>
      <c r="X6" s="29"/>
    </row>
    <row r="7" spans="1:24">
      <c r="A7" s="53" t="s">
        <v>13</v>
      </c>
      <c r="B7" s="26" t="s">
        <v>123</v>
      </c>
      <c r="C7" s="30">
        <v>21.6</v>
      </c>
      <c r="D7" s="30">
        <v>11</v>
      </c>
      <c r="E7" s="28"/>
      <c r="F7" s="16">
        <f t="shared" ref="F7:F13" si="0">(C7*D7*E7/1000)</f>
        <v>0</v>
      </c>
      <c r="G7" s="17" t="s">
        <v>235</v>
      </c>
      <c r="H7" s="18">
        <v>1</v>
      </c>
      <c r="I7" s="19">
        <f t="shared" ref="I7:I13" si="1">(C7*D7*H7/1000)</f>
        <v>0.23760000000000003</v>
      </c>
      <c r="J7" s="16"/>
      <c r="K7" s="18"/>
      <c r="L7" s="19">
        <f t="shared" ref="L7:L13" si="2">(C7*D7*K7/1000)</f>
        <v>0</v>
      </c>
      <c r="M7" s="16"/>
      <c r="N7" s="18"/>
      <c r="O7" s="19">
        <f t="shared" ref="O7:O13" si="3">(C7*D7*N7/1000)</f>
        <v>0</v>
      </c>
      <c r="P7" s="16"/>
      <c r="Q7" s="18"/>
      <c r="R7" s="19">
        <f t="shared" ref="R7:R13" si="4">(C7*D7*Q7/1000)</f>
        <v>0</v>
      </c>
      <c r="S7" s="20">
        <f t="shared" ref="S7:S13" si="5">+H7+K7+Q7</f>
        <v>1</v>
      </c>
      <c r="T7" s="19">
        <f t="shared" ref="T7:T13" si="6">+I7+L7+R7</f>
        <v>0.23760000000000003</v>
      </c>
      <c r="U7" s="21">
        <f t="shared" ref="U7:U13" si="7">E7-S7</f>
        <v>-1</v>
      </c>
      <c r="V7" s="19">
        <f t="shared" ref="V7:V13" si="8">F7-T7</f>
        <v>-0.23760000000000003</v>
      </c>
      <c r="X7" s="29"/>
    </row>
    <row r="8" spans="1:24">
      <c r="A8" s="53" t="s">
        <v>13</v>
      </c>
      <c r="B8" s="26" t="s">
        <v>123</v>
      </c>
      <c r="C8" s="30">
        <v>21.6</v>
      </c>
      <c r="D8" s="30">
        <v>9</v>
      </c>
      <c r="E8" s="28"/>
      <c r="F8" s="16">
        <f t="shared" si="0"/>
        <v>0</v>
      </c>
      <c r="G8" s="17"/>
      <c r="H8" s="18">
        <v>4</v>
      </c>
      <c r="I8" s="19">
        <f t="shared" si="1"/>
        <v>0.77760000000000007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4</v>
      </c>
      <c r="T8" s="19">
        <f t="shared" si="6"/>
        <v>0.77760000000000007</v>
      </c>
      <c r="U8" s="21">
        <f t="shared" si="7"/>
        <v>-4</v>
      </c>
      <c r="V8" s="19">
        <f t="shared" si="8"/>
        <v>-0.77760000000000007</v>
      </c>
      <c r="X8" s="29"/>
    </row>
    <row r="9" spans="1:24">
      <c r="A9" s="53" t="s">
        <v>13</v>
      </c>
      <c r="B9" s="26" t="s">
        <v>123</v>
      </c>
      <c r="C9" s="30">
        <v>21.6</v>
      </c>
      <c r="D9" s="30">
        <v>9.9</v>
      </c>
      <c r="E9" s="28"/>
      <c r="F9" s="16">
        <f t="shared" si="0"/>
        <v>0</v>
      </c>
      <c r="G9" s="17"/>
      <c r="H9" s="18">
        <v>4</v>
      </c>
      <c r="I9" s="19">
        <f t="shared" si="1"/>
        <v>0.85536000000000012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4</v>
      </c>
      <c r="T9" s="19">
        <f t="shared" si="6"/>
        <v>0.85536000000000012</v>
      </c>
      <c r="U9" s="21">
        <f t="shared" si="7"/>
        <v>-4</v>
      </c>
      <c r="V9" s="19">
        <f t="shared" si="8"/>
        <v>-0.85536000000000012</v>
      </c>
      <c r="X9" s="29"/>
    </row>
    <row r="10" spans="1:24">
      <c r="A10" s="53" t="s">
        <v>13</v>
      </c>
      <c r="B10" s="26" t="s">
        <v>123</v>
      </c>
      <c r="C10" s="30">
        <v>21.6</v>
      </c>
      <c r="D10" s="30">
        <v>9.6999999999999993</v>
      </c>
      <c r="E10" s="28"/>
      <c r="F10" s="16">
        <f t="shared" si="0"/>
        <v>0</v>
      </c>
      <c r="G10" s="17"/>
      <c r="H10" s="18">
        <v>3</v>
      </c>
      <c r="I10" s="19">
        <f t="shared" si="1"/>
        <v>0.62856000000000001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</v>
      </c>
      <c r="T10" s="19">
        <f t="shared" si="6"/>
        <v>0.62856000000000001</v>
      </c>
      <c r="U10" s="21">
        <f t="shared" si="7"/>
        <v>-3</v>
      </c>
      <c r="V10" s="19">
        <f t="shared" si="8"/>
        <v>-0.62856000000000001</v>
      </c>
      <c r="X10" s="29"/>
    </row>
    <row r="11" spans="1:24">
      <c r="A11" s="53" t="s">
        <v>13</v>
      </c>
      <c r="B11" s="26" t="s">
        <v>123</v>
      </c>
      <c r="C11" s="30">
        <v>21.6</v>
      </c>
      <c r="D11" s="30"/>
      <c r="E11" s="28"/>
      <c r="F11" s="16">
        <f t="shared" si="0"/>
        <v>0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0</v>
      </c>
      <c r="V11" s="19">
        <f t="shared" si="8"/>
        <v>0</v>
      </c>
      <c r="X11" s="29"/>
    </row>
    <row r="12" spans="1:24">
      <c r="A12" s="53" t="s">
        <v>13</v>
      </c>
      <c r="B12" s="26" t="s">
        <v>123</v>
      </c>
      <c r="C12" s="30">
        <v>21.6</v>
      </c>
      <c r="D12" s="30"/>
      <c r="E12" s="28"/>
      <c r="F12" s="16">
        <f t="shared" si="0"/>
        <v>0</v>
      </c>
      <c r="G12" s="17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16"/>
      <c r="Q12" s="18"/>
      <c r="R12" s="19">
        <f t="shared" si="4"/>
        <v>0</v>
      </c>
      <c r="S12" s="20">
        <f t="shared" si="5"/>
        <v>0</v>
      </c>
      <c r="T12" s="19">
        <f t="shared" si="6"/>
        <v>0</v>
      </c>
      <c r="U12" s="21">
        <f t="shared" si="7"/>
        <v>0</v>
      </c>
      <c r="V12" s="19">
        <f t="shared" si="8"/>
        <v>0</v>
      </c>
      <c r="X12" s="29"/>
    </row>
    <row r="13" spans="1:24">
      <c r="A13" s="53" t="s">
        <v>13</v>
      </c>
      <c r="B13" s="26" t="s">
        <v>123</v>
      </c>
      <c r="C13" s="30">
        <v>21.6</v>
      </c>
      <c r="D13" s="30"/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16"/>
      <c r="Q13" s="18"/>
      <c r="R13" s="19">
        <f t="shared" si="4"/>
        <v>0</v>
      </c>
      <c r="S13" s="20">
        <f t="shared" si="5"/>
        <v>0</v>
      </c>
      <c r="T13" s="19">
        <f t="shared" si="6"/>
        <v>0</v>
      </c>
      <c r="U13" s="21">
        <f t="shared" si="7"/>
        <v>0</v>
      </c>
      <c r="V13" s="19">
        <f t="shared" si="8"/>
        <v>0</v>
      </c>
      <c r="X13" s="29"/>
    </row>
    <row r="14" spans="1:24">
      <c r="A14" s="53"/>
      <c r="B14" s="26"/>
      <c r="C14" s="30"/>
      <c r="D14" s="30"/>
      <c r="E14" s="31">
        <f t="shared" ref="E14:F14" si="9">SUM(E6:E13)</f>
        <v>10</v>
      </c>
      <c r="F14" s="32">
        <f t="shared" si="9"/>
        <v>2.5920000000000005</v>
      </c>
      <c r="G14" s="17"/>
      <c r="H14" s="31">
        <f t="shared" ref="H14" si="10">SUM(H6:H13)</f>
        <v>16</v>
      </c>
      <c r="I14" s="32">
        <f t="shared" ref="I14" si="11">SUM(I6:I13)</f>
        <v>3.5359200000000008</v>
      </c>
      <c r="J14" s="16"/>
      <c r="K14" s="31">
        <f t="shared" ref="K14" si="12">SUM(K6:K13)</f>
        <v>0</v>
      </c>
      <c r="L14" s="32">
        <f t="shared" ref="L14" si="13">SUM(L6:L13)</f>
        <v>0</v>
      </c>
      <c r="M14" s="16"/>
      <c r="N14" s="31">
        <f t="shared" ref="N14" si="14">SUM(N6:N13)</f>
        <v>0</v>
      </c>
      <c r="O14" s="32">
        <f t="shared" ref="O14" si="15">SUM(O6:O13)</f>
        <v>0</v>
      </c>
      <c r="P14" s="16"/>
      <c r="Q14" s="31">
        <f t="shared" ref="Q14" si="16">SUM(Q6:Q13)</f>
        <v>0</v>
      </c>
      <c r="R14" s="32">
        <f t="shared" ref="R14" si="17">SUM(R6:R13)</f>
        <v>0</v>
      </c>
      <c r="S14" s="31">
        <f t="shared" ref="S14" si="18">SUM(S6:S13)</f>
        <v>16</v>
      </c>
      <c r="T14" s="32">
        <f t="shared" ref="T14" si="19">SUM(T6:T13)</f>
        <v>3.5359200000000008</v>
      </c>
      <c r="U14" s="31">
        <f t="shared" ref="U14" si="20">SUM(U6:U13)</f>
        <v>-6</v>
      </c>
      <c r="V14" s="32">
        <f t="shared" ref="V14" si="21">SUM(V6:V13)</f>
        <v>-0.94391999999999987</v>
      </c>
      <c r="X14" s="29"/>
    </row>
    <row r="15" spans="1:24">
      <c r="A15" s="53" t="s">
        <v>13</v>
      </c>
      <c r="B15" s="26" t="s">
        <v>49</v>
      </c>
      <c r="C15" s="30">
        <v>14.7</v>
      </c>
      <c r="D15" s="30">
        <v>12</v>
      </c>
      <c r="E15" s="28">
        <v>8</v>
      </c>
      <c r="F15" s="16">
        <f>(C15*D15*E15/1000)</f>
        <v>1.4111999999999998</v>
      </c>
      <c r="G15" s="17" t="s">
        <v>93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</f>
        <v>0</v>
      </c>
      <c r="T15" s="19">
        <f>+I15+L15+R15</f>
        <v>0</v>
      </c>
      <c r="U15" s="21">
        <f>E15-S15</f>
        <v>8</v>
      </c>
      <c r="V15" s="19">
        <f>F15-T15</f>
        <v>1.4111999999999998</v>
      </c>
      <c r="X15" s="29"/>
    </row>
    <row r="16" spans="1:24">
      <c r="A16" s="53" t="s">
        <v>13</v>
      </c>
      <c r="B16" s="26" t="s">
        <v>49</v>
      </c>
      <c r="C16" s="30">
        <v>14.7</v>
      </c>
      <c r="D16" s="30">
        <v>5.7</v>
      </c>
      <c r="E16" s="28"/>
      <c r="F16" s="16">
        <f t="shared" ref="F16:F24" si="22">(C16*D16*E16/1000)</f>
        <v>0</v>
      </c>
      <c r="G16" s="17" t="s">
        <v>235</v>
      </c>
      <c r="H16" s="18">
        <v>1</v>
      </c>
      <c r="I16" s="19">
        <f t="shared" ref="I16:I24" si="23">(C16*D16*H16/1000)</f>
        <v>8.3789999999999989E-2</v>
      </c>
      <c r="J16" s="16"/>
      <c r="K16" s="18"/>
      <c r="L16" s="19">
        <f t="shared" ref="L16:L24" si="24">(C16*D16*K16/1000)</f>
        <v>0</v>
      </c>
      <c r="M16" s="16"/>
      <c r="N16" s="18"/>
      <c r="O16" s="19">
        <f t="shared" ref="O16:O24" si="25">(C16*D16*N16/1000)</f>
        <v>0</v>
      </c>
      <c r="P16" s="16"/>
      <c r="Q16" s="18"/>
      <c r="R16" s="19">
        <f t="shared" ref="R16:R24" si="26">(C16*D16*Q16/1000)</f>
        <v>0</v>
      </c>
      <c r="S16" s="20">
        <f t="shared" ref="S16:S24" si="27">+H16+K16+Q16</f>
        <v>1</v>
      </c>
      <c r="T16" s="19">
        <f t="shared" ref="T16:T24" si="28">+I16+L16+R16</f>
        <v>8.3789999999999989E-2</v>
      </c>
      <c r="U16" s="21">
        <f t="shared" ref="U16:U24" si="29">E16-S16</f>
        <v>-1</v>
      </c>
      <c r="V16" s="19">
        <f t="shared" ref="V16:V24" si="30">F16-T16</f>
        <v>-8.3789999999999989E-2</v>
      </c>
      <c r="X16" s="29"/>
    </row>
    <row r="17" spans="1:24">
      <c r="A17" s="53" t="s">
        <v>13</v>
      </c>
      <c r="B17" s="26" t="s">
        <v>49</v>
      </c>
      <c r="C17" s="30">
        <v>14.7</v>
      </c>
      <c r="D17" s="30">
        <v>6</v>
      </c>
      <c r="E17" s="28"/>
      <c r="F17" s="16">
        <f t="shared" si="22"/>
        <v>0</v>
      </c>
      <c r="G17" s="17"/>
      <c r="H17" s="18">
        <v>1</v>
      </c>
      <c r="I17" s="19">
        <f t="shared" si="23"/>
        <v>8.8199999999999987E-2</v>
      </c>
      <c r="J17" s="16"/>
      <c r="K17" s="18"/>
      <c r="L17" s="19">
        <f t="shared" si="24"/>
        <v>0</v>
      </c>
      <c r="M17" s="16"/>
      <c r="N17" s="18"/>
      <c r="O17" s="19">
        <f t="shared" si="25"/>
        <v>0</v>
      </c>
      <c r="P17" s="16"/>
      <c r="Q17" s="18"/>
      <c r="R17" s="19">
        <f t="shared" si="26"/>
        <v>0</v>
      </c>
      <c r="S17" s="20">
        <f t="shared" si="27"/>
        <v>1</v>
      </c>
      <c r="T17" s="19">
        <f t="shared" si="28"/>
        <v>8.8199999999999987E-2</v>
      </c>
      <c r="U17" s="21">
        <f t="shared" si="29"/>
        <v>-1</v>
      </c>
      <c r="V17" s="19">
        <f t="shared" si="30"/>
        <v>-8.8199999999999987E-2</v>
      </c>
      <c r="X17" s="29"/>
    </row>
    <row r="18" spans="1:24">
      <c r="A18" s="53" t="s">
        <v>13</v>
      </c>
      <c r="B18" s="26" t="s">
        <v>49</v>
      </c>
      <c r="C18" s="30">
        <v>14.7</v>
      </c>
      <c r="D18" s="30">
        <v>7</v>
      </c>
      <c r="E18" s="28"/>
      <c r="F18" s="16">
        <f t="shared" si="22"/>
        <v>0</v>
      </c>
      <c r="G18" s="17"/>
      <c r="H18" s="18">
        <v>1</v>
      </c>
      <c r="I18" s="19">
        <f t="shared" si="23"/>
        <v>0.10289999999999999</v>
      </c>
      <c r="J18" s="16"/>
      <c r="K18" s="18"/>
      <c r="L18" s="19">
        <f t="shared" si="24"/>
        <v>0</v>
      </c>
      <c r="M18" s="16"/>
      <c r="N18" s="18"/>
      <c r="O18" s="19">
        <f t="shared" si="25"/>
        <v>0</v>
      </c>
      <c r="P18" s="16"/>
      <c r="Q18" s="18"/>
      <c r="R18" s="19">
        <f t="shared" si="26"/>
        <v>0</v>
      </c>
      <c r="S18" s="20">
        <f t="shared" si="27"/>
        <v>1</v>
      </c>
      <c r="T18" s="19">
        <f t="shared" si="28"/>
        <v>0.10289999999999999</v>
      </c>
      <c r="U18" s="21">
        <f t="shared" si="29"/>
        <v>-1</v>
      </c>
      <c r="V18" s="19">
        <f t="shared" si="30"/>
        <v>-0.10289999999999999</v>
      </c>
      <c r="X18" s="29"/>
    </row>
    <row r="19" spans="1:24">
      <c r="A19" s="53" t="s">
        <v>13</v>
      </c>
      <c r="B19" s="26" t="s">
        <v>49</v>
      </c>
      <c r="C19" s="30">
        <v>14.7</v>
      </c>
      <c r="D19" s="30">
        <v>10.199999999999999</v>
      </c>
      <c r="E19" s="28"/>
      <c r="F19" s="16">
        <f t="shared" si="22"/>
        <v>0</v>
      </c>
      <c r="G19" s="17"/>
      <c r="H19" s="18">
        <v>1</v>
      </c>
      <c r="I19" s="19">
        <f t="shared" si="23"/>
        <v>0.14993999999999996</v>
      </c>
      <c r="J19" s="16"/>
      <c r="K19" s="18"/>
      <c r="L19" s="19">
        <f t="shared" si="24"/>
        <v>0</v>
      </c>
      <c r="M19" s="16"/>
      <c r="N19" s="18"/>
      <c r="O19" s="19">
        <f t="shared" si="25"/>
        <v>0</v>
      </c>
      <c r="P19" s="16"/>
      <c r="Q19" s="18"/>
      <c r="R19" s="19">
        <f t="shared" si="26"/>
        <v>0</v>
      </c>
      <c r="S19" s="20">
        <f t="shared" si="27"/>
        <v>1</v>
      </c>
      <c r="T19" s="19">
        <f t="shared" si="28"/>
        <v>0.14993999999999996</v>
      </c>
      <c r="U19" s="21">
        <f t="shared" si="29"/>
        <v>-1</v>
      </c>
      <c r="V19" s="19">
        <f t="shared" si="30"/>
        <v>-0.14993999999999996</v>
      </c>
      <c r="X19" s="29"/>
    </row>
    <row r="20" spans="1:24">
      <c r="A20" s="53" t="s">
        <v>13</v>
      </c>
      <c r="B20" s="26" t="s">
        <v>49</v>
      </c>
      <c r="C20" s="30">
        <v>14.7</v>
      </c>
      <c r="D20" s="30">
        <v>10.8</v>
      </c>
      <c r="E20" s="28"/>
      <c r="F20" s="16">
        <f t="shared" ref="F20:F23" si="31">(C20*D20*E20/1000)</f>
        <v>0</v>
      </c>
      <c r="G20" s="17"/>
      <c r="H20" s="18">
        <v>3</v>
      </c>
      <c r="I20" s="19">
        <f t="shared" ref="I20:I23" si="32">(C20*D20*H20/1000)</f>
        <v>0.47627999999999998</v>
      </c>
      <c r="J20" s="16"/>
      <c r="K20" s="18"/>
      <c r="L20" s="19">
        <f t="shared" ref="L20:L23" si="33">(C20*D20*K20/1000)</f>
        <v>0</v>
      </c>
      <c r="M20" s="16"/>
      <c r="N20" s="18"/>
      <c r="O20" s="19">
        <f t="shared" ref="O20:O23" si="34">(C20*D20*N20/1000)</f>
        <v>0</v>
      </c>
      <c r="P20" s="16"/>
      <c r="Q20" s="18"/>
      <c r="R20" s="19">
        <f t="shared" ref="R20:R23" si="35">(C20*D20*Q20/1000)</f>
        <v>0</v>
      </c>
      <c r="S20" s="20">
        <f t="shared" ref="S20:S23" si="36">+H20+K20+Q20</f>
        <v>3</v>
      </c>
      <c r="T20" s="19">
        <f t="shared" ref="T20:T23" si="37">+I20+L20+R20</f>
        <v>0.47627999999999998</v>
      </c>
      <c r="U20" s="21">
        <f t="shared" ref="U20:U23" si="38">E20-S20</f>
        <v>-3</v>
      </c>
      <c r="V20" s="19">
        <f t="shared" ref="V20:V23" si="39">F20-T20</f>
        <v>-0.47627999999999998</v>
      </c>
      <c r="X20" s="29"/>
    </row>
    <row r="21" spans="1:24">
      <c r="A21" s="53" t="s">
        <v>13</v>
      </c>
      <c r="B21" s="26" t="s">
        <v>49</v>
      </c>
      <c r="C21" s="30">
        <v>14.7</v>
      </c>
      <c r="D21" s="30">
        <v>11</v>
      </c>
      <c r="E21" s="28"/>
      <c r="F21" s="16">
        <f t="shared" si="31"/>
        <v>0</v>
      </c>
      <c r="G21" s="17"/>
      <c r="H21" s="18">
        <v>4</v>
      </c>
      <c r="I21" s="19">
        <f t="shared" si="32"/>
        <v>0.64679999999999993</v>
      </c>
      <c r="J21" s="16"/>
      <c r="K21" s="18"/>
      <c r="L21" s="19">
        <f t="shared" si="33"/>
        <v>0</v>
      </c>
      <c r="M21" s="16"/>
      <c r="N21" s="18"/>
      <c r="O21" s="19">
        <f t="shared" si="34"/>
        <v>0</v>
      </c>
      <c r="P21" s="16"/>
      <c r="Q21" s="18"/>
      <c r="R21" s="19">
        <f t="shared" si="35"/>
        <v>0</v>
      </c>
      <c r="S21" s="20">
        <f t="shared" si="36"/>
        <v>4</v>
      </c>
      <c r="T21" s="19">
        <f t="shared" si="37"/>
        <v>0.64679999999999993</v>
      </c>
      <c r="U21" s="21">
        <f t="shared" si="38"/>
        <v>-4</v>
      </c>
      <c r="V21" s="19">
        <f t="shared" si="39"/>
        <v>-0.64679999999999993</v>
      </c>
      <c r="X21" s="29"/>
    </row>
    <row r="22" spans="1:24">
      <c r="A22" s="53" t="s">
        <v>13</v>
      </c>
      <c r="B22" s="26" t="s">
        <v>49</v>
      </c>
      <c r="C22" s="30">
        <v>14.7</v>
      </c>
      <c r="D22" s="30">
        <v>11.4</v>
      </c>
      <c r="E22" s="28"/>
      <c r="F22" s="16">
        <f t="shared" si="31"/>
        <v>0</v>
      </c>
      <c r="G22" s="17"/>
      <c r="H22" s="18">
        <v>1</v>
      </c>
      <c r="I22" s="19">
        <f t="shared" si="32"/>
        <v>0.16757999999999998</v>
      </c>
      <c r="J22" s="16"/>
      <c r="K22" s="18"/>
      <c r="L22" s="19">
        <f t="shared" si="33"/>
        <v>0</v>
      </c>
      <c r="M22" s="16"/>
      <c r="N22" s="18"/>
      <c r="O22" s="19">
        <f t="shared" si="34"/>
        <v>0</v>
      </c>
      <c r="P22" s="16"/>
      <c r="Q22" s="18"/>
      <c r="R22" s="19">
        <f t="shared" si="35"/>
        <v>0</v>
      </c>
      <c r="S22" s="20">
        <f t="shared" si="36"/>
        <v>1</v>
      </c>
      <c r="T22" s="19">
        <f t="shared" si="37"/>
        <v>0.16757999999999998</v>
      </c>
      <c r="U22" s="21">
        <f t="shared" si="38"/>
        <v>-1</v>
      </c>
      <c r="V22" s="19">
        <f t="shared" si="39"/>
        <v>-0.16757999999999998</v>
      </c>
      <c r="X22" s="29"/>
    </row>
    <row r="23" spans="1:24">
      <c r="A23" s="53" t="s">
        <v>13</v>
      </c>
      <c r="B23" s="26" t="s">
        <v>49</v>
      </c>
      <c r="C23" s="30">
        <v>14.7</v>
      </c>
      <c r="D23" s="30"/>
      <c r="E23" s="28"/>
      <c r="F23" s="16">
        <f t="shared" si="31"/>
        <v>0</v>
      </c>
      <c r="G23" s="17"/>
      <c r="H23" s="18"/>
      <c r="I23" s="19">
        <f t="shared" si="32"/>
        <v>0</v>
      </c>
      <c r="J23" s="16"/>
      <c r="K23" s="18"/>
      <c r="L23" s="19">
        <f t="shared" si="33"/>
        <v>0</v>
      </c>
      <c r="M23" s="16"/>
      <c r="N23" s="18"/>
      <c r="O23" s="19">
        <f t="shared" si="34"/>
        <v>0</v>
      </c>
      <c r="P23" s="16"/>
      <c r="Q23" s="18"/>
      <c r="R23" s="19">
        <f t="shared" si="35"/>
        <v>0</v>
      </c>
      <c r="S23" s="20">
        <f t="shared" si="36"/>
        <v>0</v>
      </c>
      <c r="T23" s="19">
        <f t="shared" si="37"/>
        <v>0</v>
      </c>
      <c r="U23" s="21">
        <f t="shared" si="38"/>
        <v>0</v>
      </c>
      <c r="V23" s="19">
        <f t="shared" si="39"/>
        <v>0</v>
      </c>
      <c r="X23" s="29"/>
    </row>
    <row r="24" spans="1:24">
      <c r="A24" s="53" t="s">
        <v>13</v>
      </c>
      <c r="B24" s="26" t="s">
        <v>49</v>
      </c>
      <c r="C24" s="30">
        <v>14.7</v>
      </c>
      <c r="D24" s="30"/>
      <c r="E24" s="28"/>
      <c r="F24" s="16">
        <f t="shared" si="22"/>
        <v>0</v>
      </c>
      <c r="G24" s="17"/>
      <c r="H24" s="18"/>
      <c r="I24" s="19">
        <f t="shared" si="23"/>
        <v>0</v>
      </c>
      <c r="J24" s="16"/>
      <c r="K24" s="18"/>
      <c r="L24" s="19">
        <f t="shared" si="24"/>
        <v>0</v>
      </c>
      <c r="M24" s="16"/>
      <c r="N24" s="18"/>
      <c r="O24" s="19">
        <f t="shared" si="25"/>
        <v>0</v>
      </c>
      <c r="P24" s="16"/>
      <c r="Q24" s="18"/>
      <c r="R24" s="19">
        <f t="shared" si="26"/>
        <v>0</v>
      </c>
      <c r="S24" s="20">
        <f t="shared" si="27"/>
        <v>0</v>
      </c>
      <c r="T24" s="19">
        <f t="shared" si="28"/>
        <v>0</v>
      </c>
      <c r="U24" s="21">
        <f t="shared" si="29"/>
        <v>0</v>
      </c>
      <c r="V24" s="19">
        <f t="shared" si="30"/>
        <v>0</v>
      </c>
      <c r="X24" s="29"/>
    </row>
    <row r="25" spans="1:24">
      <c r="A25" s="53"/>
      <c r="B25" s="26"/>
      <c r="C25" s="30"/>
      <c r="D25" s="30"/>
      <c r="E25" s="31">
        <f t="shared" ref="E25:F25" si="40">SUM(E15:E24)</f>
        <v>8</v>
      </c>
      <c r="F25" s="32">
        <f t="shared" si="40"/>
        <v>1.4111999999999998</v>
      </c>
      <c r="G25" s="17"/>
      <c r="H25" s="31">
        <f t="shared" ref="H25" si="41">SUM(H15:H24)</f>
        <v>12</v>
      </c>
      <c r="I25" s="32">
        <f t="shared" ref="I25" si="42">SUM(I15:I24)</f>
        <v>1.71549</v>
      </c>
      <c r="J25" s="16"/>
      <c r="K25" s="31">
        <f t="shared" ref="K25" si="43">SUM(K15:K24)</f>
        <v>0</v>
      </c>
      <c r="L25" s="32">
        <f t="shared" ref="L25" si="44">SUM(L15:L24)</f>
        <v>0</v>
      </c>
      <c r="M25" s="16"/>
      <c r="N25" s="31">
        <f t="shared" ref="N25" si="45">SUM(N15:N24)</f>
        <v>0</v>
      </c>
      <c r="O25" s="32">
        <f t="shared" ref="O25" si="46">SUM(O15:O24)</f>
        <v>0</v>
      </c>
      <c r="P25" s="16"/>
      <c r="Q25" s="31">
        <f t="shared" ref="Q25" si="47">SUM(Q15:Q24)</f>
        <v>0</v>
      </c>
      <c r="R25" s="32">
        <f t="shared" ref="R25" si="48">SUM(R15:R24)</f>
        <v>0</v>
      </c>
      <c r="S25" s="31">
        <f t="shared" ref="S25" si="49">SUM(S15:S24)</f>
        <v>12</v>
      </c>
      <c r="T25" s="32">
        <f t="shared" ref="T25" si="50">SUM(T15:T24)</f>
        <v>1.71549</v>
      </c>
      <c r="U25" s="31">
        <f t="shared" ref="U25" si="51">SUM(U15:U24)</f>
        <v>-4</v>
      </c>
      <c r="V25" s="32">
        <f t="shared" ref="V25" si="52">SUM(V15:V24)</f>
        <v>-0.30429000000000017</v>
      </c>
      <c r="X25" s="29"/>
    </row>
    <row r="26" spans="1:24">
      <c r="A26" s="53" t="s">
        <v>13</v>
      </c>
      <c r="B26" s="26" t="s">
        <v>212</v>
      </c>
      <c r="C26" s="30">
        <v>29.5</v>
      </c>
      <c r="D26" s="30">
        <v>10</v>
      </c>
      <c r="E26" s="28">
        <v>3</v>
      </c>
      <c r="F26" s="16">
        <f>(C26*D26*E26/1000)</f>
        <v>0.88500000000000001</v>
      </c>
      <c r="G26" s="17" t="s">
        <v>93</v>
      </c>
      <c r="H26" s="18"/>
      <c r="I26" s="19">
        <f>(C26*D26*H26/1000)</f>
        <v>0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</f>
        <v>0</v>
      </c>
      <c r="T26" s="19">
        <f>+I26+L26+R26</f>
        <v>0</v>
      </c>
      <c r="U26" s="21">
        <f>E26-S26</f>
        <v>3</v>
      </c>
      <c r="V26" s="19">
        <f>F26-T26</f>
        <v>0.88500000000000001</v>
      </c>
      <c r="X26" s="29"/>
    </row>
    <row r="27" spans="1:24">
      <c r="A27" s="53" t="s">
        <v>13</v>
      </c>
      <c r="B27" s="26" t="s">
        <v>212</v>
      </c>
      <c r="C27" s="30">
        <v>29.5</v>
      </c>
      <c r="D27" s="30">
        <v>9.8000000000000007</v>
      </c>
      <c r="E27" s="28"/>
      <c r="F27" s="16">
        <f t="shared" ref="F27:F32" si="53">(C27*D27*E27/1000)</f>
        <v>0</v>
      </c>
      <c r="G27" s="17" t="s">
        <v>235</v>
      </c>
      <c r="H27" s="18">
        <v>1</v>
      </c>
      <c r="I27" s="19">
        <f t="shared" ref="I27:I32" si="54">(C27*D27*H27/1000)</f>
        <v>0.28910000000000002</v>
      </c>
      <c r="J27" s="16"/>
      <c r="K27" s="18"/>
      <c r="L27" s="19">
        <f t="shared" ref="L27:L32" si="55">(C27*D27*K27/1000)</f>
        <v>0</v>
      </c>
      <c r="M27" s="16"/>
      <c r="N27" s="18"/>
      <c r="O27" s="19">
        <f t="shared" ref="O27:O32" si="56">(C27*D27*N27/1000)</f>
        <v>0</v>
      </c>
      <c r="P27" s="16"/>
      <c r="Q27" s="18"/>
      <c r="R27" s="19">
        <f t="shared" ref="R27:R32" si="57">(C27*D27*Q27/1000)</f>
        <v>0</v>
      </c>
      <c r="S27" s="20">
        <f t="shared" ref="S27:S32" si="58">+H27+K27+Q27</f>
        <v>1</v>
      </c>
      <c r="T27" s="19">
        <f t="shared" ref="T27:T32" si="59">+I27+L27+R27</f>
        <v>0.28910000000000002</v>
      </c>
      <c r="U27" s="21">
        <f t="shared" ref="U27:U32" si="60">E27-S27</f>
        <v>-1</v>
      </c>
      <c r="V27" s="19">
        <f t="shared" ref="V27:V32" si="61">F27-T27</f>
        <v>-0.28910000000000002</v>
      </c>
      <c r="X27" s="29"/>
    </row>
    <row r="28" spans="1:24">
      <c r="A28" s="53" t="s">
        <v>13</v>
      </c>
      <c r="B28" s="26" t="s">
        <v>212</v>
      </c>
      <c r="C28" s="30">
        <v>29.5</v>
      </c>
      <c r="D28" s="30">
        <v>10</v>
      </c>
      <c r="E28" s="28"/>
      <c r="F28" s="16">
        <f t="shared" si="53"/>
        <v>0</v>
      </c>
      <c r="G28" s="17"/>
      <c r="H28" s="18">
        <v>2</v>
      </c>
      <c r="I28" s="19">
        <f t="shared" si="54"/>
        <v>0.59</v>
      </c>
      <c r="J28" s="16"/>
      <c r="K28" s="18"/>
      <c r="L28" s="19">
        <f t="shared" si="55"/>
        <v>0</v>
      </c>
      <c r="M28" s="16"/>
      <c r="N28" s="18"/>
      <c r="O28" s="19">
        <f t="shared" si="56"/>
        <v>0</v>
      </c>
      <c r="P28" s="16"/>
      <c r="Q28" s="18"/>
      <c r="R28" s="19">
        <f t="shared" si="57"/>
        <v>0</v>
      </c>
      <c r="S28" s="20">
        <f t="shared" si="58"/>
        <v>2</v>
      </c>
      <c r="T28" s="19">
        <f t="shared" si="59"/>
        <v>0.59</v>
      </c>
      <c r="U28" s="21">
        <f t="shared" si="60"/>
        <v>-2</v>
      </c>
      <c r="V28" s="19">
        <f t="shared" si="61"/>
        <v>-0.59</v>
      </c>
      <c r="X28" s="29"/>
    </row>
    <row r="29" spans="1:24">
      <c r="A29" s="53" t="s">
        <v>13</v>
      </c>
      <c r="B29" s="26" t="s">
        <v>212</v>
      </c>
      <c r="C29" s="30">
        <v>29.5</v>
      </c>
      <c r="D29" s="30"/>
      <c r="E29" s="28"/>
      <c r="F29" s="16">
        <f t="shared" si="53"/>
        <v>0</v>
      </c>
      <c r="G29" s="17"/>
      <c r="H29" s="18"/>
      <c r="I29" s="19">
        <f t="shared" si="54"/>
        <v>0</v>
      </c>
      <c r="J29" s="16"/>
      <c r="K29" s="18"/>
      <c r="L29" s="19">
        <f t="shared" si="55"/>
        <v>0</v>
      </c>
      <c r="M29" s="16"/>
      <c r="N29" s="18"/>
      <c r="O29" s="19">
        <f t="shared" si="56"/>
        <v>0</v>
      </c>
      <c r="P29" s="16"/>
      <c r="Q29" s="18"/>
      <c r="R29" s="19">
        <f t="shared" si="57"/>
        <v>0</v>
      </c>
      <c r="S29" s="20">
        <f t="shared" si="58"/>
        <v>0</v>
      </c>
      <c r="T29" s="19">
        <f t="shared" si="59"/>
        <v>0</v>
      </c>
      <c r="U29" s="21">
        <f t="shared" si="60"/>
        <v>0</v>
      </c>
      <c r="V29" s="19">
        <f t="shared" si="61"/>
        <v>0</v>
      </c>
      <c r="X29" s="29"/>
    </row>
    <row r="30" spans="1:24">
      <c r="A30" s="53" t="s">
        <v>13</v>
      </c>
      <c r="B30" s="26" t="s">
        <v>212</v>
      </c>
      <c r="C30" s="30">
        <v>29.5</v>
      </c>
      <c r="D30" s="30"/>
      <c r="E30" s="28"/>
      <c r="F30" s="16">
        <f t="shared" si="53"/>
        <v>0</v>
      </c>
      <c r="G30" s="17"/>
      <c r="H30" s="18"/>
      <c r="I30" s="19">
        <f t="shared" si="54"/>
        <v>0</v>
      </c>
      <c r="J30" s="16"/>
      <c r="K30" s="18"/>
      <c r="L30" s="19">
        <f t="shared" si="55"/>
        <v>0</v>
      </c>
      <c r="M30" s="16"/>
      <c r="N30" s="18"/>
      <c r="O30" s="19">
        <f t="shared" si="56"/>
        <v>0</v>
      </c>
      <c r="P30" s="16"/>
      <c r="Q30" s="18"/>
      <c r="R30" s="19">
        <f t="shared" si="57"/>
        <v>0</v>
      </c>
      <c r="S30" s="20">
        <f t="shared" si="58"/>
        <v>0</v>
      </c>
      <c r="T30" s="19">
        <f t="shared" si="59"/>
        <v>0</v>
      </c>
      <c r="U30" s="21">
        <f t="shared" si="60"/>
        <v>0</v>
      </c>
      <c r="V30" s="19">
        <f t="shared" si="61"/>
        <v>0</v>
      </c>
      <c r="X30" s="29"/>
    </row>
    <row r="31" spans="1:24">
      <c r="A31" s="53" t="s">
        <v>13</v>
      </c>
      <c r="B31" s="26" t="s">
        <v>212</v>
      </c>
      <c r="C31" s="30">
        <v>29.5</v>
      </c>
      <c r="D31" s="30"/>
      <c r="E31" s="28"/>
      <c r="F31" s="16">
        <f t="shared" si="53"/>
        <v>0</v>
      </c>
      <c r="G31" s="17"/>
      <c r="H31" s="18"/>
      <c r="I31" s="19">
        <f t="shared" si="54"/>
        <v>0</v>
      </c>
      <c r="J31" s="16"/>
      <c r="K31" s="18"/>
      <c r="L31" s="19">
        <f t="shared" si="55"/>
        <v>0</v>
      </c>
      <c r="M31" s="16"/>
      <c r="N31" s="18"/>
      <c r="O31" s="19">
        <f t="shared" si="56"/>
        <v>0</v>
      </c>
      <c r="P31" s="16"/>
      <c r="Q31" s="18"/>
      <c r="R31" s="19">
        <f t="shared" si="57"/>
        <v>0</v>
      </c>
      <c r="S31" s="20">
        <f t="shared" si="58"/>
        <v>0</v>
      </c>
      <c r="T31" s="19">
        <f t="shared" si="59"/>
        <v>0</v>
      </c>
      <c r="U31" s="21">
        <f t="shared" si="60"/>
        <v>0</v>
      </c>
      <c r="V31" s="19">
        <f t="shared" si="61"/>
        <v>0</v>
      </c>
      <c r="X31" s="29"/>
    </row>
    <row r="32" spans="1:24">
      <c r="A32" s="53" t="s">
        <v>13</v>
      </c>
      <c r="B32" s="26" t="s">
        <v>212</v>
      </c>
      <c r="C32" s="30">
        <v>29.5</v>
      </c>
      <c r="D32" s="30"/>
      <c r="E32" s="28"/>
      <c r="F32" s="16">
        <f t="shared" si="53"/>
        <v>0</v>
      </c>
      <c r="G32" s="17"/>
      <c r="H32" s="18"/>
      <c r="I32" s="19">
        <f t="shared" si="54"/>
        <v>0</v>
      </c>
      <c r="J32" s="16"/>
      <c r="K32" s="18"/>
      <c r="L32" s="19">
        <f t="shared" si="55"/>
        <v>0</v>
      </c>
      <c r="M32" s="16"/>
      <c r="N32" s="18"/>
      <c r="O32" s="19">
        <f t="shared" si="56"/>
        <v>0</v>
      </c>
      <c r="P32" s="16"/>
      <c r="Q32" s="18"/>
      <c r="R32" s="19">
        <f t="shared" si="57"/>
        <v>0</v>
      </c>
      <c r="S32" s="20">
        <f t="shared" si="58"/>
        <v>0</v>
      </c>
      <c r="T32" s="19">
        <f t="shared" si="59"/>
        <v>0</v>
      </c>
      <c r="U32" s="21">
        <f t="shared" si="60"/>
        <v>0</v>
      </c>
      <c r="V32" s="19">
        <f t="shared" si="61"/>
        <v>0</v>
      </c>
      <c r="X32" s="29"/>
    </row>
    <row r="33" spans="1:24">
      <c r="A33" s="53"/>
      <c r="B33" s="26"/>
      <c r="C33" s="30"/>
      <c r="D33" s="30"/>
      <c r="E33" s="31">
        <f t="shared" ref="E33:F33" si="62">SUM(E26:E32)</f>
        <v>3</v>
      </c>
      <c r="F33" s="32">
        <f t="shared" si="62"/>
        <v>0.88500000000000001</v>
      </c>
      <c r="G33" s="17"/>
      <c r="H33" s="31">
        <f>SUM(H26:H32)</f>
        <v>3</v>
      </c>
      <c r="I33" s="32">
        <f>SUM(I26:I32)</f>
        <v>0.87909999999999999</v>
      </c>
      <c r="J33" s="16"/>
      <c r="K33" s="31">
        <f t="shared" ref="K33" si="63">SUM(K26:K32)</f>
        <v>0</v>
      </c>
      <c r="L33" s="32">
        <f t="shared" ref="L33" si="64">SUM(L26:L32)</f>
        <v>0</v>
      </c>
      <c r="M33" s="16"/>
      <c r="N33" s="31">
        <f t="shared" ref="N33" si="65">SUM(N26:N32)</f>
        <v>0</v>
      </c>
      <c r="O33" s="32">
        <f t="shared" ref="O33" si="66">SUM(O26:O32)</f>
        <v>0</v>
      </c>
      <c r="P33" s="16"/>
      <c r="Q33" s="31">
        <f t="shared" ref="Q33" si="67">SUM(Q26:Q32)</f>
        <v>0</v>
      </c>
      <c r="R33" s="32">
        <f t="shared" ref="R33" si="68">SUM(R26:R32)</f>
        <v>0</v>
      </c>
      <c r="S33" s="31">
        <f t="shared" ref="S33" si="69">SUM(S26:S32)</f>
        <v>3</v>
      </c>
      <c r="T33" s="32">
        <f t="shared" ref="T33" si="70">SUM(T26:T32)</f>
        <v>0.87909999999999999</v>
      </c>
      <c r="U33" s="31">
        <f t="shared" ref="U33" si="71">SUM(U26:U32)</f>
        <v>0</v>
      </c>
      <c r="V33" s="32">
        <f t="shared" ref="V33" si="72">SUM(V26:V32)</f>
        <v>5.9000000000000163E-3</v>
      </c>
      <c r="X33" s="29"/>
    </row>
    <row r="34" spans="1:24">
      <c r="A34" s="53" t="s">
        <v>13</v>
      </c>
      <c r="B34" s="26" t="s">
        <v>125</v>
      </c>
      <c r="C34" s="30">
        <v>27.3</v>
      </c>
      <c r="D34" s="30">
        <v>12</v>
      </c>
      <c r="E34" s="28">
        <v>3</v>
      </c>
      <c r="F34" s="16">
        <f>(C34*D34*E34/1000)</f>
        <v>0.98280000000000012</v>
      </c>
      <c r="G34" s="17" t="s">
        <v>93</v>
      </c>
      <c r="H34" s="18"/>
      <c r="I34" s="19">
        <f>(C34*D34*H34/1000)</f>
        <v>0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</f>
        <v>0</v>
      </c>
      <c r="T34" s="19">
        <f>+I34+L34+R34</f>
        <v>0</v>
      </c>
      <c r="U34" s="21">
        <f>E34-S34</f>
        <v>3</v>
      </c>
      <c r="V34" s="19">
        <f>F34-T34</f>
        <v>0.98280000000000012</v>
      </c>
      <c r="X34" s="29"/>
    </row>
    <row r="35" spans="1:24">
      <c r="A35" s="53" t="s">
        <v>13</v>
      </c>
      <c r="B35" s="26" t="s">
        <v>125</v>
      </c>
      <c r="C35" s="30">
        <v>27.3</v>
      </c>
      <c r="D35" s="30">
        <v>6.3</v>
      </c>
      <c r="E35" s="28"/>
      <c r="F35" s="16">
        <f t="shared" ref="F35:F40" si="73">(C35*D35*E35/1000)</f>
        <v>0</v>
      </c>
      <c r="G35" s="17" t="s">
        <v>235</v>
      </c>
      <c r="H35" s="18">
        <v>2</v>
      </c>
      <c r="I35" s="19">
        <f t="shared" ref="I35:I40" si="74">(C35*D35*H35/1000)</f>
        <v>0.34398000000000001</v>
      </c>
      <c r="J35" s="16"/>
      <c r="K35" s="18"/>
      <c r="L35" s="19">
        <f t="shared" ref="L35:L40" si="75">(C35*D35*K35/1000)</f>
        <v>0</v>
      </c>
      <c r="M35" s="16"/>
      <c r="N35" s="18"/>
      <c r="O35" s="19">
        <f t="shared" ref="O35:O40" si="76">(C35*D35*N35/1000)</f>
        <v>0</v>
      </c>
      <c r="P35" s="16"/>
      <c r="Q35" s="18"/>
      <c r="R35" s="19">
        <f t="shared" ref="R35:R40" si="77">(C35*D35*Q35/1000)</f>
        <v>0</v>
      </c>
      <c r="S35" s="20">
        <f t="shared" ref="S35:S40" si="78">+H35+K35+Q35</f>
        <v>2</v>
      </c>
      <c r="T35" s="19">
        <f t="shared" ref="T35:T40" si="79">+I35+L35+R35</f>
        <v>0.34398000000000001</v>
      </c>
      <c r="U35" s="21">
        <f t="shared" ref="U35:U40" si="80">E35-S35</f>
        <v>-2</v>
      </c>
      <c r="V35" s="19">
        <f t="shared" ref="V35:V40" si="81">F35-T35</f>
        <v>-0.34398000000000001</v>
      </c>
      <c r="X35" s="29"/>
    </row>
    <row r="36" spans="1:24">
      <c r="A36" s="53" t="s">
        <v>13</v>
      </c>
      <c r="B36" s="26" t="s">
        <v>125</v>
      </c>
      <c r="C36" s="30">
        <v>27.3</v>
      </c>
      <c r="D36" s="30">
        <v>6.8</v>
      </c>
      <c r="E36" s="28"/>
      <c r="F36" s="16">
        <f t="shared" si="73"/>
        <v>0</v>
      </c>
      <c r="G36" s="17"/>
      <c r="H36" s="18">
        <v>2</v>
      </c>
      <c r="I36" s="19">
        <f t="shared" si="74"/>
        <v>0.37128</v>
      </c>
      <c r="J36" s="16"/>
      <c r="K36" s="18"/>
      <c r="L36" s="19">
        <f t="shared" si="75"/>
        <v>0</v>
      </c>
      <c r="M36" s="16"/>
      <c r="N36" s="18"/>
      <c r="O36" s="19">
        <f t="shared" si="76"/>
        <v>0</v>
      </c>
      <c r="P36" s="16"/>
      <c r="Q36" s="18"/>
      <c r="R36" s="19">
        <f t="shared" si="77"/>
        <v>0</v>
      </c>
      <c r="S36" s="20">
        <f t="shared" si="78"/>
        <v>2</v>
      </c>
      <c r="T36" s="19">
        <f t="shared" si="79"/>
        <v>0.37128</v>
      </c>
      <c r="U36" s="21">
        <f t="shared" si="80"/>
        <v>-2</v>
      </c>
      <c r="V36" s="19">
        <f t="shared" si="81"/>
        <v>-0.37128</v>
      </c>
      <c r="X36" s="29"/>
    </row>
    <row r="37" spans="1:24">
      <c r="A37" s="53" t="s">
        <v>13</v>
      </c>
      <c r="B37" s="26" t="s">
        <v>125</v>
      </c>
      <c r="C37" s="30">
        <v>27.3</v>
      </c>
      <c r="D37" s="30">
        <v>6.2</v>
      </c>
      <c r="E37" s="28"/>
      <c r="F37" s="16">
        <f t="shared" si="73"/>
        <v>0</v>
      </c>
      <c r="G37" s="17"/>
      <c r="H37" s="18">
        <v>2</v>
      </c>
      <c r="I37" s="19">
        <f t="shared" si="74"/>
        <v>0.33852000000000004</v>
      </c>
      <c r="J37" s="16"/>
      <c r="K37" s="18"/>
      <c r="L37" s="19">
        <f t="shared" si="75"/>
        <v>0</v>
      </c>
      <c r="M37" s="16"/>
      <c r="N37" s="18"/>
      <c r="O37" s="19">
        <f t="shared" si="76"/>
        <v>0</v>
      </c>
      <c r="P37" s="16"/>
      <c r="Q37" s="18"/>
      <c r="R37" s="19">
        <f t="shared" si="77"/>
        <v>0</v>
      </c>
      <c r="S37" s="20">
        <f t="shared" si="78"/>
        <v>2</v>
      </c>
      <c r="T37" s="19">
        <f t="shared" si="79"/>
        <v>0.33852000000000004</v>
      </c>
      <c r="U37" s="21">
        <f t="shared" si="80"/>
        <v>-2</v>
      </c>
      <c r="V37" s="19">
        <f t="shared" si="81"/>
        <v>-0.33852000000000004</v>
      </c>
      <c r="X37" s="29"/>
    </row>
    <row r="38" spans="1:24">
      <c r="A38" s="53" t="s">
        <v>13</v>
      </c>
      <c r="B38" s="26" t="s">
        <v>125</v>
      </c>
      <c r="C38" s="30">
        <v>27.3</v>
      </c>
      <c r="D38" s="30"/>
      <c r="E38" s="28"/>
      <c r="F38" s="16">
        <f t="shared" si="73"/>
        <v>0</v>
      </c>
      <c r="G38" s="17"/>
      <c r="H38" s="18"/>
      <c r="I38" s="19">
        <f t="shared" si="74"/>
        <v>0</v>
      </c>
      <c r="J38" s="16"/>
      <c r="K38" s="18"/>
      <c r="L38" s="19">
        <f t="shared" si="75"/>
        <v>0</v>
      </c>
      <c r="M38" s="16"/>
      <c r="N38" s="18"/>
      <c r="O38" s="19">
        <f t="shared" si="76"/>
        <v>0</v>
      </c>
      <c r="P38" s="16"/>
      <c r="Q38" s="18"/>
      <c r="R38" s="19">
        <f t="shared" si="77"/>
        <v>0</v>
      </c>
      <c r="S38" s="20">
        <f t="shared" si="78"/>
        <v>0</v>
      </c>
      <c r="T38" s="19">
        <f t="shared" si="79"/>
        <v>0</v>
      </c>
      <c r="U38" s="21">
        <f t="shared" si="80"/>
        <v>0</v>
      </c>
      <c r="V38" s="19">
        <f t="shared" si="81"/>
        <v>0</v>
      </c>
      <c r="X38" s="29"/>
    </row>
    <row r="39" spans="1:24">
      <c r="A39" s="53" t="s">
        <v>13</v>
      </c>
      <c r="B39" s="26" t="s">
        <v>125</v>
      </c>
      <c r="C39" s="30">
        <v>27.3</v>
      </c>
      <c r="D39" s="30"/>
      <c r="E39" s="28"/>
      <c r="F39" s="16">
        <f t="shared" si="73"/>
        <v>0</v>
      </c>
      <c r="G39" s="17"/>
      <c r="H39" s="18"/>
      <c r="I39" s="19">
        <f t="shared" si="74"/>
        <v>0</v>
      </c>
      <c r="J39" s="16"/>
      <c r="K39" s="18"/>
      <c r="L39" s="19">
        <f t="shared" si="75"/>
        <v>0</v>
      </c>
      <c r="M39" s="16"/>
      <c r="N39" s="18"/>
      <c r="O39" s="19">
        <f t="shared" si="76"/>
        <v>0</v>
      </c>
      <c r="P39" s="16"/>
      <c r="Q39" s="18"/>
      <c r="R39" s="19">
        <f t="shared" si="77"/>
        <v>0</v>
      </c>
      <c r="S39" s="20">
        <f t="shared" si="78"/>
        <v>0</v>
      </c>
      <c r="T39" s="19">
        <f t="shared" si="79"/>
        <v>0</v>
      </c>
      <c r="U39" s="21">
        <f t="shared" si="80"/>
        <v>0</v>
      </c>
      <c r="V39" s="19">
        <f t="shared" si="81"/>
        <v>0</v>
      </c>
      <c r="X39" s="29"/>
    </row>
    <row r="40" spans="1:24">
      <c r="A40" s="53" t="s">
        <v>13</v>
      </c>
      <c r="B40" s="26" t="s">
        <v>125</v>
      </c>
      <c r="C40" s="30">
        <v>27.3</v>
      </c>
      <c r="D40" s="30"/>
      <c r="E40" s="28"/>
      <c r="F40" s="16">
        <f t="shared" si="73"/>
        <v>0</v>
      </c>
      <c r="G40" s="17"/>
      <c r="H40" s="18"/>
      <c r="I40" s="19">
        <f t="shared" si="74"/>
        <v>0</v>
      </c>
      <c r="J40" s="16"/>
      <c r="K40" s="18"/>
      <c r="L40" s="19">
        <f t="shared" si="75"/>
        <v>0</v>
      </c>
      <c r="M40" s="16"/>
      <c r="N40" s="18"/>
      <c r="O40" s="19">
        <f t="shared" si="76"/>
        <v>0</v>
      </c>
      <c r="P40" s="16"/>
      <c r="Q40" s="18"/>
      <c r="R40" s="19">
        <f t="shared" si="77"/>
        <v>0</v>
      </c>
      <c r="S40" s="20">
        <f t="shared" si="78"/>
        <v>0</v>
      </c>
      <c r="T40" s="19">
        <f t="shared" si="79"/>
        <v>0</v>
      </c>
      <c r="U40" s="21">
        <f t="shared" si="80"/>
        <v>0</v>
      </c>
      <c r="V40" s="19">
        <f t="shared" si="81"/>
        <v>0</v>
      </c>
      <c r="X40" s="29"/>
    </row>
    <row r="41" spans="1:24" ht="15.75" customHeight="1">
      <c r="A41" s="53"/>
      <c r="B41" s="26"/>
      <c r="C41" s="30"/>
      <c r="D41" s="30"/>
      <c r="E41" s="31">
        <f t="shared" ref="E41:F41" si="82">SUM(E34:E40)</f>
        <v>3</v>
      </c>
      <c r="F41" s="32">
        <f t="shared" si="82"/>
        <v>0.98280000000000012</v>
      </c>
      <c r="G41" s="17"/>
      <c r="H41" s="31">
        <f t="shared" ref="H41" si="83">SUM(H34:H40)</f>
        <v>6</v>
      </c>
      <c r="I41" s="32">
        <f t="shared" ref="I41" si="84">SUM(I34:I40)</f>
        <v>1.0537800000000002</v>
      </c>
      <c r="J41" s="16"/>
      <c r="K41" s="31">
        <f t="shared" ref="K41" si="85">SUM(K34:K40)</f>
        <v>0</v>
      </c>
      <c r="L41" s="32">
        <f t="shared" ref="L41" si="86">SUM(L34:L40)</f>
        <v>0</v>
      </c>
      <c r="M41" s="16"/>
      <c r="N41" s="31">
        <f t="shared" ref="N41" si="87">SUM(N34:N40)</f>
        <v>0</v>
      </c>
      <c r="O41" s="32">
        <f t="shared" ref="O41" si="88">SUM(O34:O40)</f>
        <v>0</v>
      </c>
      <c r="P41" s="16"/>
      <c r="Q41" s="31">
        <f t="shared" ref="Q41" si="89">SUM(Q34:Q40)</f>
        <v>0</v>
      </c>
      <c r="R41" s="32">
        <f t="shared" ref="R41" si="90">SUM(R34:R40)</f>
        <v>0</v>
      </c>
      <c r="S41" s="31">
        <f t="shared" ref="S41" si="91">SUM(S34:S40)</f>
        <v>6</v>
      </c>
      <c r="T41" s="32">
        <f t="shared" ref="T41" si="92">SUM(T34:T40)</f>
        <v>1.0537800000000002</v>
      </c>
      <c r="U41" s="31">
        <f t="shared" ref="U41" si="93">SUM(U34:U40)</f>
        <v>-3</v>
      </c>
      <c r="V41" s="32">
        <f t="shared" ref="V41" si="94">SUM(V34:V40)</f>
        <v>-7.0979999999999877E-2</v>
      </c>
      <c r="X41" s="29"/>
    </row>
    <row r="42" spans="1:24" ht="15.75" customHeight="1">
      <c r="A42" s="53" t="s">
        <v>14</v>
      </c>
      <c r="B42" s="26" t="s">
        <v>61</v>
      </c>
      <c r="C42" s="30">
        <v>12.2</v>
      </c>
      <c r="D42" s="30">
        <v>12</v>
      </c>
      <c r="E42" s="28">
        <v>14</v>
      </c>
      <c r="F42" s="16">
        <f>(C42*D42*E42/1000)</f>
        <v>2.0495999999999994</v>
      </c>
      <c r="G42" s="17"/>
      <c r="H42" s="18"/>
      <c r="I42" s="19">
        <f>(C42*D42*H42/1000)</f>
        <v>0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>+H42+K42+Q42</f>
        <v>0</v>
      </c>
      <c r="T42" s="19">
        <f>+I42+L42+R42</f>
        <v>0</v>
      </c>
      <c r="U42" s="21">
        <f>E42-S42</f>
        <v>14</v>
      </c>
      <c r="V42" s="19">
        <f>F42-T42</f>
        <v>2.0495999999999994</v>
      </c>
      <c r="X42" s="29"/>
    </row>
    <row r="43" spans="1:24" ht="15.75" customHeight="1">
      <c r="A43" s="53" t="s">
        <v>14</v>
      </c>
      <c r="B43" s="26" t="s">
        <v>61</v>
      </c>
      <c r="C43" s="30">
        <v>12.2</v>
      </c>
      <c r="D43" s="30">
        <v>5.8</v>
      </c>
      <c r="E43" s="28"/>
      <c r="F43" s="16">
        <f>(C43*D43*E43/1000)</f>
        <v>0</v>
      </c>
      <c r="G43" s="17" t="s">
        <v>93</v>
      </c>
      <c r="H43" s="18">
        <v>1</v>
      </c>
      <c r="I43" s="19">
        <f>(C43*D43*H43/1000)</f>
        <v>7.075999999999999E-2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>+H43+K43+Q43</f>
        <v>1</v>
      </c>
      <c r="T43" s="19">
        <f>+I43+L43+R43</f>
        <v>7.075999999999999E-2</v>
      </c>
      <c r="U43" s="21">
        <f>E43-S43</f>
        <v>-1</v>
      </c>
      <c r="V43" s="19">
        <f>F43-T43</f>
        <v>-7.075999999999999E-2</v>
      </c>
      <c r="X43" s="29"/>
    </row>
    <row r="44" spans="1:24" ht="15.75" customHeight="1">
      <c r="A44" s="53" t="s">
        <v>14</v>
      </c>
      <c r="B44" s="26" t="s">
        <v>61</v>
      </c>
      <c r="C44" s="30">
        <v>12.2</v>
      </c>
      <c r="D44" s="30">
        <v>6</v>
      </c>
      <c r="E44" s="28"/>
      <c r="F44" s="16">
        <f t="shared" ref="F44:F64" si="95">(C44*D44*E44/1000)</f>
        <v>0</v>
      </c>
      <c r="G44" s="17" t="s">
        <v>235</v>
      </c>
      <c r="H44" s="18">
        <v>1</v>
      </c>
      <c r="I44" s="19">
        <f t="shared" ref="I44:I64" si="96">(C44*D44*H44/1000)</f>
        <v>7.3199999999999987E-2</v>
      </c>
      <c r="J44" s="16"/>
      <c r="K44" s="18"/>
      <c r="L44" s="19">
        <f t="shared" ref="L44:L64" si="97">(C44*D44*K44/1000)</f>
        <v>0</v>
      </c>
      <c r="M44" s="16"/>
      <c r="N44" s="18"/>
      <c r="O44" s="19">
        <f t="shared" ref="O44:O64" si="98">(C44*D44*N44/1000)</f>
        <v>0</v>
      </c>
      <c r="P44" s="16"/>
      <c r="Q44" s="18"/>
      <c r="R44" s="19">
        <f t="shared" ref="R44:R64" si="99">(C44*D44*Q44/1000)</f>
        <v>0</v>
      </c>
      <c r="S44" s="20">
        <f t="shared" ref="S44:S64" si="100">+H44+K44+Q44</f>
        <v>1</v>
      </c>
      <c r="T44" s="19">
        <f t="shared" ref="T44:T64" si="101">+I44+L44+R44</f>
        <v>7.3199999999999987E-2</v>
      </c>
      <c r="U44" s="21">
        <f t="shared" ref="U44:U64" si="102">E44-S44</f>
        <v>-1</v>
      </c>
      <c r="V44" s="19">
        <f t="shared" ref="V44:V64" si="103">F44-T44</f>
        <v>-7.3199999999999987E-2</v>
      </c>
      <c r="X44" s="29"/>
    </row>
    <row r="45" spans="1:24" ht="15.75" customHeight="1">
      <c r="A45" s="53" t="s">
        <v>14</v>
      </c>
      <c r="B45" s="26" t="s">
        <v>61</v>
      </c>
      <c r="C45" s="30">
        <v>12.2</v>
      </c>
      <c r="D45" s="30">
        <v>6.1</v>
      </c>
      <c r="E45" s="28"/>
      <c r="F45" s="16">
        <f t="shared" si="95"/>
        <v>0</v>
      </c>
      <c r="G45" s="17"/>
      <c r="H45" s="18">
        <v>1</v>
      </c>
      <c r="I45" s="19">
        <f t="shared" si="96"/>
        <v>7.4419999999999986E-2</v>
      </c>
      <c r="J45" s="16"/>
      <c r="K45" s="18"/>
      <c r="L45" s="19">
        <f t="shared" si="97"/>
        <v>0</v>
      </c>
      <c r="M45" s="16"/>
      <c r="N45" s="18"/>
      <c r="O45" s="19">
        <f t="shared" si="98"/>
        <v>0</v>
      </c>
      <c r="P45" s="16"/>
      <c r="Q45" s="18"/>
      <c r="R45" s="19">
        <f t="shared" si="99"/>
        <v>0</v>
      </c>
      <c r="S45" s="20">
        <f t="shared" si="100"/>
        <v>1</v>
      </c>
      <c r="T45" s="19">
        <f t="shared" si="101"/>
        <v>7.4419999999999986E-2</v>
      </c>
      <c r="U45" s="21">
        <f t="shared" si="102"/>
        <v>-1</v>
      </c>
      <c r="V45" s="19">
        <f t="shared" si="103"/>
        <v>-7.4419999999999986E-2</v>
      </c>
      <c r="X45" s="29"/>
    </row>
    <row r="46" spans="1:24" ht="15.75" customHeight="1">
      <c r="A46" s="53" t="s">
        <v>14</v>
      </c>
      <c r="B46" s="26" t="s">
        <v>61</v>
      </c>
      <c r="C46" s="30">
        <v>12.2</v>
      </c>
      <c r="D46" s="30">
        <v>6.3</v>
      </c>
      <c r="E46" s="28"/>
      <c r="F46" s="16">
        <f t="shared" ref="F46:F50" si="104">(C46*D46*E46/1000)</f>
        <v>0</v>
      </c>
      <c r="G46" s="17"/>
      <c r="H46" s="18">
        <v>2</v>
      </c>
      <c r="I46" s="19">
        <f t="shared" ref="I46:I50" si="105">(C46*D46*H46/1000)</f>
        <v>0.15372</v>
      </c>
      <c r="J46" s="16"/>
      <c r="K46" s="18"/>
      <c r="L46" s="19">
        <f t="shared" ref="L46:L50" si="106">(C46*D46*K46/1000)</f>
        <v>0</v>
      </c>
      <c r="M46" s="16"/>
      <c r="N46" s="18"/>
      <c r="O46" s="19">
        <f t="shared" ref="O46:O50" si="107">(C46*D46*N46/1000)</f>
        <v>0</v>
      </c>
      <c r="P46" s="16"/>
      <c r="Q46" s="18"/>
      <c r="R46" s="19">
        <f t="shared" ref="R46:R50" si="108">(C46*D46*Q46/1000)</f>
        <v>0</v>
      </c>
      <c r="S46" s="20">
        <f t="shared" ref="S46:S50" si="109">+H46+K46+Q46</f>
        <v>2</v>
      </c>
      <c r="T46" s="19">
        <f t="shared" ref="T46:T50" si="110">+I46+L46+R46</f>
        <v>0.15372</v>
      </c>
      <c r="U46" s="21">
        <f t="shared" ref="U46:U50" si="111">E46-S46</f>
        <v>-2</v>
      </c>
      <c r="V46" s="19">
        <f t="shared" ref="V46:V50" si="112">F46-T46</f>
        <v>-0.15372</v>
      </c>
      <c r="X46" s="29"/>
    </row>
    <row r="47" spans="1:24" ht="15.75" customHeight="1">
      <c r="A47" s="53" t="s">
        <v>14</v>
      </c>
      <c r="B47" s="26" t="s">
        <v>61</v>
      </c>
      <c r="C47" s="30">
        <v>12.2</v>
      </c>
      <c r="D47" s="30">
        <v>6.5</v>
      </c>
      <c r="E47" s="28"/>
      <c r="F47" s="16">
        <f t="shared" si="104"/>
        <v>0</v>
      </c>
      <c r="G47" s="17"/>
      <c r="H47" s="18">
        <v>1</v>
      </c>
      <c r="I47" s="19">
        <f t="shared" si="105"/>
        <v>7.9299999999999995E-2</v>
      </c>
      <c r="J47" s="16"/>
      <c r="K47" s="18"/>
      <c r="L47" s="19">
        <f t="shared" si="106"/>
        <v>0</v>
      </c>
      <c r="M47" s="16"/>
      <c r="N47" s="18"/>
      <c r="O47" s="19">
        <f t="shared" si="107"/>
        <v>0</v>
      </c>
      <c r="P47" s="16"/>
      <c r="Q47" s="18"/>
      <c r="R47" s="19">
        <f t="shared" si="108"/>
        <v>0</v>
      </c>
      <c r="S47" s="20">
        <f t="shared" si="109"/>
        <v>1</v>
      </c>
      <c r="T47" s="19">
        <f t="shared" si="110"/>
        <v>7.9299999999999995E-2</v>
      </c>
      <c r="U47" s="21">
        <f t="shared" si="111"/>
        <v>-1</v>
      </c>
      <c r="V47" s="19">
        <f t="shared" si="112"/>
        <v>-7.9299999999999995E-2</v>
      </c>
      <c r="X47" s="29"/>
    </row>
    <row r="48" spans="1:24" ht="15.75" customHeight="1">
      <c r="A48" s="53" t="s">
        <v>14</v>
      </c>
      <c r="B48" s="26" t="s">
        <v>61</v>
      </c>
      <c r="C48" s="30">
        <v>12.2</v>
      </c>
      <c r="D48" s="30">
        <v>6.7</v>
      </c>
      <c r="E48" s="28"/>
      <c r="F48" s="16">
        <f t="shared" si="104"/>
        <v>0</v>
      </c>
      <c r="G48" s="17"/>
      <c r="H48" s="18">
        <v>1</v>
      </c>
      <c r="I48" s="19">
        <f t="shared" si="105"/>
        <v>8.1739999999999993E-2</v>
      </c>
      <c r="J48" s="16"/>
      <c r="K48" s="18"/>
      <c r="L48" s="19">
        <f t="shared" si="106"/>
        <v>0</v>
      </c>
      <c r="M48" s="16"/>
      <c r="N48" s="18"/>
      <c r="O48" s="19">
        <f t="shared" si="107"/>
        <v>0</v>
      </c>
      <c r="P48" s="16"/>
      <c r="Q48" s="18"/>
      <c r="R48" s="19">
        <f t="shared" si="108"/>
        <v>0</v>
      </c>
      <c r="S48" s="20">
        <f t="shared" si="109"/>
        <v>1</v>
      </c>
      <c r="T48" s="19">
        <f t="shared" si="110"/>
        <v>8.1739999999999993E-2</v>
      </c>
      <c r="U48" s="21">
        <f t="shared" si="111"/>
        <v>-1</v>
      </c>
      <c r="V48" s="19">
        <f t="shared" si="112"/>
        <v>-8.1739999999999993E-2</v>
      </c>
      <c r="X48" s="29"/>
    </row>
    <row r="49" spans="1:24" ht="15.75" customHeight="1">
      <c r="A49" s="53" t="s">
        <v>14</v>
      </c>
      <c r="B49" s="26" t="s">
        <v>61</v>
      </c>
      <c r="C49" s="30">
        <v>12.2</v>
      </c>
      <c r="D49" s="30">
        <v>6.9</v>
      </c>
      <c r="E49" s="28"/>
      <c r="F49" s="16">
        <f t="shared" si="104"/>
        <v>0</v>
      </c>
      <c r="G49" s="17"/>
      <c r="H49" s="18">
        <v>1</v>
      </c>
      <c r="I49" s="19">
        <f t="shared" si="105"/>
        <v>8.4179999999999991E-2</v>
      </c>
      <c r="J49" s="16"/>
      <c r="K49" s="18"/>
      <c r="L49" s="19">
        <f t="shared" si="106"/>
        <v>0</v>
      </c>
      <c r="M49" s="16"/>
      <c r="N49" s="18"/>
      <c r="O49" s="19">
        <f t="shared" si="107"/>
        <v>0</v>
      </c>
      <c r="P49" s="16"/>
      <c r="Q49" s="18"/>
      <c r="R49" s="19">
        <f t="shared" si="108"/>
        <v>0</v>
      </c>
      <c r="S49" s="20">
        <f t="shared" si="109"/>
        <v>1</v>
      </c>
      <c r="T49" s="19">
        <f t="shared" si="110"/>
        <v>8.4179999999999991E-2</v>
      </c>
      <c r="U49" s="21">
        <f t="shared" si="111"/>
        <v>-1</v>
      </c>
      <c r="V49" s="19">
        <f t="shared" si="112"/>
        <v>-8.4179999999999991E-2</v>
      </c>
      <c r="X49" s="29"/>
    </row>
    <row r="50" spans="1:24" ht="15.75" customHeight="1">
      <c r="A50" s="53" t="s">
        <v>14</v>
      </c>
      <c r="B50" s="26" t="s">
        <v>61</v>
      </c>
      <c r="C50" s="30">
        <v>12.2</v>
      </c>
      <c r="D50" s="30">
        <v>7</v>
      </c>
      <c r="E50" s="28"/>
      <c r="F50" s="16">
        <f t="shared" si="104"/>
        <v>0</v>
      </c>
      <c r="G50" s="17"/>
      <c r="H50" s="18">
        <v>2</v>
      </c>
      <c r="I50" s="19">
        <f t="shared" si="105"/>
        <v>0.17079999999999998</v>
      </c>
      <c r="J50" s="16"/>
      <c r="K50" s="18"/>
      <c r="L50" s="19">
        <f t="shared" si="106"/>
        <v>0</v>
      </c>
      <c r="M50" s="16"/>
      <c r="N50" s="18"/>
      <c r="O50" s="19">
        <f t="shared" si="107"/>
        <v>0</v>
      </c>
      <c r="P50" s="16"/>
      <c r="Q50" s="18"/>
      <c r="R50" s="19">
        <f t="shared" si="108"/>
        <v>0</v>
      </c>
      <c r="S50" s="20">
        <f t="shared" si="109"/>
        <v>2</v>
      </c>
      <c r="T50" s="19">
        <f t="shared" si="110"/>
        <v>0.17079999999999998</v>
      </c>
      <c r="U50" s="21">
        <f t="shared" si="111"/>
        <v>-2</v>
      </c>
      <c r="V50" s="19">
        <f t="shared" si="112"/>
        <v>-0.17079999999999998</v>
      </c>
      <c r="X50" s="29"/>
    </row>
    <row r="51" spans="1:24" ht="15.75" customHeight="1">
      <c r="A51" s="53" t="s">
        <v>14</v>
      </c>
      <c r="B51" s="26" t="s">
        <v>61</v>
      </c>
      <c r="C51" s="30">
        <v>12.2</v>
      </c>
      <c r="D51" s="30">
        <v>7.2</v>
      </c>
      <c r="E51" s="28"/>
      <c r="F51" s="16">
        <f t="shared" si="95"/>
        <v>0</v>
      </c>
      <c r="G51" s="17"/>
      <c r="H51" s="18">
        <v>1</v>
      </c>
      <c r="I51" s="19">
        <f t="shared" si="96"/>
        <v>8.7840000000000001E-2</v>
      </c>
      <c r="J51" s="16"/>
      <c r="K51" s="18"/>
      <c r="L51" s="19">
        <f t="shared" si="97"/>
        <v>0</v>
      </c>
      <c r="M51" s="16"/>
      <c r="N51" s="18"/>
      <c r="O51" s="19">
        <f t="shared" si="98"/>
        <v>0</v>
      </c>
      <c r="P51" s="16"/>
      <c r="Q51" s="18"/>
      <c r="R51" s="19">
        <f t="shared" si="99"/>
        <v>0</v>
      </c>
      <c r="S51" s="20">
        <f t="shared" si="100"/>
        <v>1</v>
      </c>
      <c r="T51" s="19">
        <f t="shared" si="101"/>
        <v>8.7840000000000001E-2</v>
      </c>
      <c r="U51" s="21">
        <f t="shared" si="102"/>
        <v>-1</v>
      </c>
      <c r="V51" s="19">
        <f t="shared" si="103"/>
        <v>-8.7840000000000001E-2</v>
      </c>
      <c r="X51" s="29"/>
    </row>
    <row r="52" spans="1:24" ht="15.75" customHeight="1">
      <c r="A52" s="53" t="s">
        <v>14</v>
      </c>
      <c r="B52" s="26" t="s">
        <v>61</v>
      </c>
      <c r="C52" s="30">
        <v>12.2</v>
      </c>
      <c r="D52" s="30">
        <v>7.3</v>
      </c>
      <c r="E52" s="28"/>
      <c r="F52" s="16">
        <f t="shared" si="95"/>
        <v>0</v>
      </c>
      <c r="G52" s="17"/>
      <c r="H52" s="18">
        <v>4</v>
      </c>
      <c r="I52" s="19">
        <f t="shared" si="96"/>
        <v>0.35623999999999995</v>
      </c>
      <c r="J52" s="16"/>
      <c r="K52" s="18"/>
      <c r="L52" s="19">
        <f t="shared" si="97"/>
        <v>0</v>
      </c>
      <c r="M52" s="16"/>
      <c r="N52" s="18"/>
      <c r="O52" s="19">
        <f t="shared" si="98"/>
        <v>0</v>
      </c>
      <c r="P52" s="16"/>
      <c r="Q52" s="18"/>
      <c r="R52" s="19">
        <f t="shared" si="99"/>
        <v>0</v>
      </c>
      <c r="S52" s="20">
        <f t="shared" si="100"/>
        <v>4</v>
      </c>
      <c r="T52" s="19">
        <f t="shared" si="101"/>
        <v>0.35623999999999995</v>
      </c>
      <c r="U52" s="21">
        <f t="shared" si="102"/>
        <v>-4</v>
      </c>
      <c r="V52" s="19">
        <f t="shared" si="103"/>
        <v>-0.35623999999999995</v>
      </c>
      <c r="X52" s="29"/>
    </row>
    <row r="53" spans="1:24" ht="15.75" customHeight="1">
      <c r="A53" s="53" t="s">
        <v>14</v>
      </c>
      <c r="B53" s="26" t="s">
        <v>61</v>
      </c>
      <c r="C53" s="30">
        <v>12.2</v>
      </c>
      <c r="D53" s="30">
        <v>8.3000000000000007</v>
      </c>
      <c r="E53" s="28"/>
      <c r="F53" s="16">
        <f t="shared" si="95"/>
        <v>0</v>
      </c>
      <c r="G53" s="17"/>
      <c r="H53" s="18">
        <v>4</v>
      </c>
      <c r="I53" s="19">
        <f t="shared" si="96"/>
        <v>0.40504000000000001</v>
      </c>
      <c r="J53" s="16"/>
      <c r="K53" s="18"/>
      <c r="L53" s="19">
        <f t="shared" si="97"/>
        <v>0</v>
      </c>
      <c r="M53" s="16"/>
      <c r="N53" s="18"/>
      <c r="O53" s="19">
        <f t="shared" si="98"/>
        <v>0</v>
      </c>
      <c r="P53" s="16"/>
      <c r="Q53" s="18"/>
      <c r="R53" s="19">
        <f t="shared" si="99"/>
        <v>0</v>
      </c>
      <c r="S53" s="20">
        <f t="shared" si="100"/>
        <v>4</v>
      </c>
      <c r="T53" s="19">
        <f t="shared" si="101"/>
        <v>0.40504000000000001</v>
      </c>
      <c r="U53" s="21">
        <f t="shared" si="102"/>
        <v>-4</v>
      </c>
      <c r="V53" s="19">
        <f t="shared" si="103"/>
        <v>-0.40504000000000001</v>
      </c>
      <c r="X53" s="29"/>
    </row>
    <row r="54" spans="1:24" ht="15.75" customHeight="1">
      <c r="A54" s="53" t="s">
        <v>14</v>
      </c>
      <c r="B54" s="26" t="s">
        <v>61</v>
      </c>
      <c r="C54" s="30">
        <v>12.2</v>
      </c>
      <c r="D54" s="30">
        <v>9</v>
      </c>
      <c r="E54" s="28"/>
      <c r="F54" s="16">
        <f t="shared" si="95"/>
        <v>0</v>
      </c>
      <c r="G54" s="17"/>
      <c r="H54" s="18">
        <v>1</v>
      </c>
      <c r="I54" s="19">
        <f t="shared" si="96"/>
        <v>0.10979999999999999</v>
      </c>
      <c r="J54" s="16"/>
      <c r="K54" s="18"/>
      <c r="L54" s="19">
        <f t="shared" si="97"/>
        <v>0</v>
      </c>
      <c r="M54" s="16"/>
      <c r="N54" s="18"/>
      <c r="O54" s="19">
        <f t="shared" si="98"/>
        <v>0</v>
      </c>
      <c r="P54" s="16"/>
      <c r="Q54" s="18"/>
      <c r="R54" s="19">
        <f t="shared" si="99"/>
        <v>0</v>
      </c>
      <c r="S54" s="20">
        <f t="shared" si="100"/>
        <v>1</v>
      </c>
      <c r="T54" s="19">
        <f t="shared" si="101"/>
        <v>0.10979999999999999</v>
      </c>
      <c r="U54" s="21">
        <f t="shared" si="102"/>
        <v>-1</v>
      </c>
      <c r="V54" s="19">
        <f t="shared" si="103"/>
        <v>-0.10979999999999999</v>
      </c>
      <c r="X54" s="29"/>
    </row>
    <row r="55" spans="1:24" ht="15.75" customHeight="1">
      <c r="A55" s="53" t="s">
        <v>14</v>
      </c>
      <c r="B55" s="26" t="s">
        <v>61</v>
      </c>
      <c r="C55" s="30">
        <v>12.2</v>
      </c>
      <c r="D55" s="30">
        <v>9.1</v>
      </c>
      <c r="E55" s="28"/>
      <c r="F55" s="16">
        <f t="shared" si="95"/>
        <v>0</v>
      </c>
      <c r="G55" s="17"/>
      <c r="H55" s="18">
        <v>1</v>
      </c>
      <c r="I55" s="19">
        <f t="shared" si="96"/>
        <v>0.11101999999999999</v>
      </c>
      <c r="J55" s="16"/>
      <c r="K55" s="18"/>
      <c r="L55" s="19">
        <f t="shared" si="97"/>
        <v>0</v>
      </c>
      <c r="M55" s="16"/>
      <c r="N55" s="18"/>
      <c r="O55" s="19">
        <f t="shared" si="98"/>
        <v>0</v>
      </c>
      <c r="P55" s="16"/>
      <c r="Q55" s="18"/>
      <c r="R55" s="19">
        <f t="shared" si="99"/>
        <v>0</v>
      </c>
      <c r="S55" s="20">
        <f t="shared" si="100"/>
        <v>1</v>
      </c>
      <c r="T55" s="19">
        <f t="shared" si="101"/>
        <v>0.11101999999999999</v>
      </c>
      <c r="U55" s="21">
        <f t="shared" si="102"/>
        <v>-1</v>
      </c>
      <c r="V55" s="19">
        <f t="shared" si="103"/>
        <v>-0.11101999999999999</v>
      </c>
      <c r="X55" s="29"/>
    </row>
    <row r="56" spans="1:24" ht="15.75" customHeight="1">
      <c r="A56" s="53" t="s">
        <v>14</v>
      </c>
      <c r="B56" s="26" t="s">
        <v>61</v>
      </c>
      <c r="C56" s="30">
        <v>12.2</v>
      </c>
      <c r="D56" s="30">
        <v>9.5</v>
      </c>
      <c r="E56" s="28"/>
      <c r="F56" s="16">
        <f t="shared" si="95"/>
        <v>0</v>
      </c>
      <c r="G56" s="17"/>
      <c r="H56" s="18">
        <v>1</v>
      </c>
      <c r="I56" s="19">
        <f t="shared" si="96"/>
        <v>0.11589999999999999</v>
      </c>
      <c r="J56" s="16"/>
      <c r="K56" s="18"/>
      <c r="L56" s="19">
        <f t="shared" si="97"/>
        <v>0</v>
      </c>
      <c r="M56" s="16"/>
      <c r="N56" s="18"/>
      <c r="O56" s="19">
        <f t="shared" si="98"/>
        <v>0</v>
      </c>
      <c r="P56" s="16"/>
      <c r="Q56" s="18"/>
      <c r="R56" s="19">
        <f t="shared" si="99"/>
        <v>0</v>
      </c>
      <c r="S56" s="20">
        <f t="shared" si="100"/>
        <v>1</v>
      </c>
      <c r="T56" s="19">
        <f t="shared" si="101"/>
        <v>0.11589999999999999</v>
      </c>
      <c r="U56" s="21">
        <f t="shared" si="102"/>
        <v>-1</v>
      </c>
      <c r="V56" s="19">
        <f t="shared" si="103"/>
        <v>-0.11589999999999999</v>
      </c>
      <c r="X56" s="29"/>
    </row>
    <row r="57" spans="1:24" ht="15.75" customHeight="1">
      <c r="A57" s="53" t="s">
        <v>14</v>
      </c>
      <c r="B57" s="26" t="s">
        <v>61</v>
      </c>
      <c r="C57" s="30">
        <v>12.2</v>
      </c>
      <c r="D57" s="30">
        <v>9.8000000000000007</v>
      </c>
      <c r="E57" s="28"/>
      <c r="F57" s="16">
        <f t="shared" si="95"/>
        <v>0</v>
      </c>
      <c r="G57" s="17"/>
      <c r="H57" s="18">
        <v>1</v>
      </c>
      <c r="I57" s="19">
        <f t="shared" si="96"/>
        <v>0.11956</v>
      </c>
      <c r="J57" s="16"/>
      <c r="K57" s="18"/>
      <c r="L57" s="19">
        <f t="shared" si="97"/>
        <v>0</v>
      </c>
      <c r="M57" s="16"/>
      <c r="N57" s="18"/>
      <c r="O57" s="19">
        <f t="shared" si="98"/>
        <v>0</v>
      </c>
      <c r="P57" s="16"/>
      <c r="Q57" s="18"/>
      <c r="R57" s="19">
        <f t="shared" si="99"/>
        <v>0</v>
      </c>
      <c r="S57" s="20">
        <f t="shared" si="100"/>
        <v>1</v>
      </c>
      <c r="T57" s="19">
        <f t="shared" si="101"/>
        <v>0.11956</v>
      </c>
      <c r="U57" s="21">
        <f t="shared" si="102"/>
        <v>-1</v>
      </c>
      <c r="V57" s="19">
        <f t="shared" si="103"/>
        <v>-0.11956</v>
      </c>
      <c r="X57" s="29"/>
    </row>
    <row r="58" spans="1:24" ht="15.75" customHeight="1">
      <c r="A58" s="53" t="s">
        <v>14</v>
      </c>
      <c r="B58" s="26" t="s">
        <v>61</v>
      </c>
      <c r="C58" s="30">
        <v>12.2</v>
      </c>
      <c r="D58" s="30">
        <v>10.1</v>
      </c>
      <c r="E58" s="28"/>
      <c r="F58" s="16">
        <f t="shared" si="95"/>
        <v>0</v>
      </c>
      <c r="G58" s="17"/>
      <c r="H58" s="18">
        <v>1</v>
      </c>
      <c r="I58" s="19">
        <f t="shared" si="96"/>
        <v>0.12321999999999998</v>
      </c>
      <c r="J58" s="16"/>
      <c r="K58" s="18"/>
      <c r="L58" s="19">
        <f t="shared" si="97"/>
        <v>0</v>
      </c>
      <c r="M58" s="16"/>
      <c r="N58" s="18"/>
      <c r="O58" s="19">
        <f t="shared" si="98"/>
        <v>0</v>
      </c>
      <c r="P58" s="16"/>
      <c r="Q58" s="18"/>
      <c r="R58" s="19">
        <f t="shared" si="99"/>
        <v>0</v>
      </c>
      <c r="S58" s="20">
        <f t="shared" si="100"/>
        <v>1</v>
      </c>
      <c r="T58" s="19">
        <f t="shared" si="101"/>
        <v>0.12321999999999998</v>
      </c>
      <c r="U58" s="21">
        <f t="shared" si="102"/>
        <v>-1</v>
      </c>
      <c r="V58" s="19">
        <f t="shared" si="103"/>
        <v>-0.12321999999999998</v>
      </c>
      <c r="X58" s="29"/>
    </row>
    <row r="59" spans="1:24" ht="15.75" customHeight="1">
      <c r="A59" s="53" t="s">
        <v>14</v>
      </c>
      <c r="B59" s="26" t="s">
        <v>61</v>
      </c>
      <c r="C59" s="30">
        <v>12.2</v>
      </c>
      <c r="D59" s="30">
        <v>10.199999999999999</v>
      </c>
      <c r="E59" s="28"/>
      <c r="F59" s="16">
        <f t="shared" ref="F59:F63" si="113">(C59*D59*E59/1000)</f>
        <v>0</v>
      </c>
      <c r="G59" s="17"/>
      <c r="H59" s="18">
        <v>1</v>
      </c>
      <c r="I59" s="19">
        <f t="shared" ref="I59:I63" si="114">(C59*D59*H59/1000)</f>
        <v>0.12443999999999998</v>
      </c>
      <c r="J59" s="16"/>
      <c r="K59" s="18"/>
      <c r="L59" s="19">
        <f t="shared" ref="L59:L63" si="115">(C59*D59*K59/1000)</f>
        <v>0</v>
      </c>
      <c r="M59" s="16"/>
      <c r="N59" s="18"/>
      <c r="O59" s="19">
        <f t="shared" ref="O59:O63" si="116">(C59*D59*N59/1000)</f>
        <v>0</v>
      </c>
      <c r="P59" s="16"/>
      <c r="Q59" s="18"/>
      <c r="R59" s="19">
        <f t="shared" ref="R59:R63" si="117">(C59*D59*Q59/1000)</f>
        <v>0</v>
      </c>
      <c r="S59" s="20">
        <f t="shared" ref="S59:S63" si="118">+H59+K59+Q59</f>
        <v>1</v>
      </c>
      <c r="T59" s="19">
        <f t="shared" ref="T59:T63" si="119">+I59+L59+R59</f>
        <v>0.12443999999999998</v>
      </c>
      <c r="U59" s="21">
        <f t="shared" ref="U59:U63" si="120">E59-S59</f>
        <v>-1</v>
      </c>
      <c r="V59" s="19">
        <f t="shared" ref="V59:V63" si="121">F59-T59</f>
        <v>-0.12443999999999998</v>
      </c>
      <c r="X59" s="29"/>
    </row>
    <row r="60" spans="1:24" ht="15.75" customHeight="1">
      <c r="A60" s="53" t="s">
        <v>14</v>
      </c>
      <c r="B60" s="26" t="s">
        <v>61</v>
      </c>
      <c r="C60" s="30">
        <v>12.2</v>
      </c>
      <c r="D60" s="30">
        <v>10.3</v>
      </c>
      <c r="E60" s="28"/>
      <c r="F60" s="16">
        <f t="shared" si="113"/>
        <v>0</v>
      </c>
      <c r="G60" s="17"/>
      <c r="H60" s="18">
        <v>1</v>
      </c>
      <c r="I60" s="19">
        <f t="shared" si="114"/>
        <v>0.12565999999999999</v>
      </c>
      <c r="J60" s="16"/>
      <c r="K60" s="18"/>
      <c r="L60" s="19">
        <f t="shared" si="115"/>
        <v>0</v>
      </c>
      <c r="M60" s="16"/>
      <c r="N60" s="18"/>
      <c r="O60" s="19">
        <f t="shared" si="116"/>
        <v>0</v>
      </c>
      <c r="P60" s="16"/>
      <c r="Q60" s="18"/>
      <c r="R60" s="19">
        <f t="shared" si="117"/>
        <v>0</v>
      </c>
      <c r="S60" s="20">
        <f t="shared" si="118"/>
        <v>1</v>
      </c>
      <c r="T60" s="19">
        <f t="shared" si="119"/>
        <v>0.12565999999999999</v>
      </c>
      <c r="U60" s="21">
        <f t="shared" si="120"/>
        <v>-1</v>
      </c>
      <c r="V60" s="19">
        <f t="shared" si="121"/>
        <v>-0.12565999999999999</v>
      </c>
      <c r="X60" s="29"/>
    </row>
    <row r="61" spans="1:24" ht="15.75" customHeight="1">
      <c r="A61" s="53" t="s">
        <v>14</v>
      </c>
      <c r="B61" s="26" t="s">
        <v>61</v>
      </c>
      <c r="C61" s="30">
        <v>12.2</v>
      </c>
      <c r="D61" s="30">
        <v>10.5</v>
      </c>
      <c r="E61" s="28"/>
      <c r="F61" s="16">
        <f t="shared" si="113"/>
        <v>0</v>
      </c>
      <c r="G61" s="17"/>
      <c r="H61" s="18">
        <v>1</v>
      </c>
      <c r="I61" s="19">
        <f t="shared" si="114"/>
        <v>0.12809999999999999</v>
      </c>
      <c r="J61" s="16"/>
      <c r="K61" s="18"/>
      <c r="L61" s="19">
        <f t="shared" si="115"/>
        <v>0</v>
      </c>
      <c r="M61" s="16"/>
      <c r="N61" s="18"/>
      <c r="O61" s="19">
        <f t="shared" si="116"/>
        <v>0</v>
      </c>
      <c r="P61" s="16"/>
      <c r="Q61" s="18"/>
      <c r="R61" s="19">
        <f t="shared" si="117"/>
        <v>0</v>
      </c>
      <c r="S61" s="20">
        <f t="shared" si="118"/>
        <v>1</v>
      </c>
      <c r="T61" s="19">
        <f t="shared" si="119"/>
        <v>0.12809999999999999</v>
      </c>
      <c r="U61" s="21">
        <f t="shared" si="120"/>
        <v>-1</v>
      </c>
      <c r="V61" s="19">
        <f t="shared" si="121"/>
        <v>-0.12809999999999999</v>
      </c>
      <c r="X61" s="29"/>
    </row>
    <row r="62" spans="1:24" ht="15.75" customHeight="1">
      <c r="A62" s="53" t="s">
        <v>14</v>
      </c>
      <c r="B62" s="26" t="s">
        <v>61</v>
      </c>
      <c r="C62" s="30">
        <v>12.2</v>
      </c>
      <c r="D62" s="30">
        <v>11</v>
      </c>
      <c r="E62" s="28"/>
      <c r="F62" s="16">
        <f t="shared" si="113"/>
        <v>0</v>
      </c>
      <c r="G62" s="17"/>
      <c r="H62" s="18">
        <v>1</v>
      </c>
      <c r="I62" s="19">
        <f t="shared" si="114"/>
        <v>0.13419999999999999</v>
      </c>
      <c r="J62" s="16"/>
      <c r="K62" s="18"/>
      <c r="L62" s="19">
        <f t="shared" si="115"/>
        <v>0</v>
      </c>
      <c r="M62" s="16"/>
      <c r="N62" s="18"/>
      <c r="O62" s="19">
        <f t="shared" si="116"/>
        <v>0</v>
      </c>
      <c r="P62" s="16"/>
      <c r="Q62" s="18"/>
      <c r="R62" s="19">
        <f t="shared" si="117"/>
        <v>0</v>
      </c>
      <c r="S62" s="20">
        <f t="shared" si="118"/>
        <v>1</v>
      </c>
      <c r="T62" s="19">
        <f t="shared" si="119"/>
        <v>0.13419999999999999</v>
      </c>
      <c r="U62" s="21">
        <f t="shared" si="120"/>
        <v>-1</v>
      </c>
      <c r="V62" s="19">
        <f t="shared" si="121"/>
        <v>-0.13419999999999999</v>
      </c>
      <c r="X62" s="29"/>
    </row>
    <row r="63" spans="1:24" ht="15.75" customHeight="1">
      <c r="A63" s="53" t="s">
        <v>14</v>
      </c>
      <c r="B63" s="26" t="s">
        <v>61</v>
      </c>
      <c r="C63" s="30">
        <v>12.2</v>
      </c>
      <c r="D63" s="30"/>
      <c r="E63" s="28"/>
      <c r="F63" s="16">
        <f t="shared" si="113"/>
        <v>0</v>
      </c>
      <c r="G63" s="17"/>
      <c r="H63" s="18">
        <v>4</v>
      </c>
      <c r="I63" s="19">
        <f t="shared" si="114"/>
        <v>0</v>
      </c>
      <c r="J63" s="16"/>
      <c r="K63" s="18"/>
      <c r="L63" s="19">
        <f t="shared" si="115"/>
        <v>0</v>
      </c>
      <c r="M63" s="16"/>
      <c r="N63" s="18"/>
      <c r="O63" s="19">
        <f t="shared" si="116"/>
        <v>0</v>
      </c>
      <c r="P63" s="16"/>
      <c r="Q63" s="18"/>
      <c r="R63" s="19">
        <f t="shared" si="117"/>
        <v>0</v>
      </c>
      <c r="S63" s="20">
        <f t="shared" si="118"/>
        <v>4</v>
      </c>
      <c r="T63" s="19">
        <f t="shared" si="119"/>
        <v>0</v>
      </c>
      <c r="U63" s="21">
        <f t="shared" si="120"/>
        <v>-4</v>
      </c>
      <c r="V63" s="19">
        <f t="shared" si="121"/>
        <v>0</v>
      </c>
      <c r="X63" s="29"/>
    </row>
    <row r="64" spans="1:24" ht="15.75" customHeight="1">
      <c r="A64" s="53" t="s">
        <v>14</v>
      </c>
      <c r="B64" s="26" t="s">
        <v>61</v>
      </c>
      <c r="C64" s="30">
        <v>12.2</v>
      </c>
      <c r="D64" s="30"/>
      <c r="E64" s="28"/>
      <c r="F64" s="16">
        <f t="shared" si="95"/>
        <v>0</v>
      </c>
      <c r="G64" s="17"/>
      <c r="H64" s="18"/>
      <c r="I64" s="19">
        <f t="shared" si="96"/>
        <v>0</v>
      </c>
      <c r="J64" s="16"/>
      <c r="K64" s="18"/>
      <c r="L64" s="19">
        <f t="shared" si="97"/>
        <v>0</v>
      </c>
      <c r="M64" s="16"/>
      <c r="N64" s="18"/>
      <c r="O64" s="19">
        <f t="shared" si="98"/>
        <v>0</v>
      </c>
      <c r="P64" s="16"/>
      <c r="Q64" s="18"/>
      <c r="R64" s="19">
        <f t="shared" si="99"/>
        <v>0</v>
      </c>
      <c r="S64" s="20">
        <f t="shared" si="100"/>
        <v>0</v>
      </c>
      <c r="T64" s="19">
        <f t="shared" si="101"/>
        <v>0</v>
      </c>
      <c r="U64" s="21">
        <f t="shared" si="102"/>
        <v>0</v>
      </c>
      <c r="V64" s="19">
        <f t="shared" si="103"/>
        <v>0</v>
      </c>
      <c r="X64" s="29"/>
    </row>
    <row r="65" spans="1:24" ht="15.75" customHeight="1">
      <c r="A65" s="53"/>
      <c r="B65" s="26"/>
      <c r="C65" s="30"/>
      <c r="D65" s="30"/>
      <c r="E65" s="31">
        <f t="shared" ref="E65:F65" si="122">SUM(E42:E64)</f>
        <v>14</v>
      </c>
      <c r="F65" s="32">
        <f t="shared" si="122"/>
        <v>2.0495999999999994</v>
      </c>
      <c r="G65" s="17"/>
      <c r="H65" s="31">
        <f t="shared" ref="H65" si="123">SUM(H42:H64)</f>
        <v>32</v>
      </c>
      <c r="I65" s="32">
        <f t="shared" ref="I65" si="124">SUM(I42:I64)</f>
        <v>2.7291399999999992</v>
      </c>
      <c r="J65" s="16"/>
      <c r="K65" s="31">
        <f t="shared" ref="K65" si="125">SUM(K42:K64)</f>
        <v>0</v>
      </c>
      <c r="L65" s="32">
        <f t="shared" ref="L65" si="126">SUM(L42:L64)</f>
        <v>0</v>
      </c>
      <c r="M65" s="16"/>
      <c r="N65" s="31">
        <f t="shared" ref="N65" si="127">SUM(N42:N64)</f>
        <v>0</v>
      </c>
      <c r="O65" s="32">
        <f t="shared" ref="O65" si="128">SUM(O42:O64)</f>
        <v>0</v>
      </c>
      <c r="P65" s="16"/>
      <c r="Q65" s="31">
        <f t="shared" ref="Q65" si="129">SUM(Q42:Q64)</f>
        <v>0</v>
      </c>
      <c r="R65" s="32">
        <f t="shared" ref="R65" si="130">SUM(R42:R64)</f>
        <v>0</v>
      </c>
      <c r="S65" s="31">
        <f t="shared" ref="S65" si="131">SUM(S42:S64)</f>
        <v>32</v>
      </c>
      <c r="T65" s="32">
        <f t="shared" ref="T65" si="132">SUM(T42:T64)</f>
        <v>2.7291399999999992</v>
      </c>
      <c r="U65" s="31">
        <f t="shared" ref="U65" si="133">SUM(U42:U64)</f>
        <v>-18</v>
      </c>
      <c r="V65" s="32">
        <f t="shared" ref="V65" si="134">SUM(V42:V64)</f>
        <v>-0.67954000000000003</v>
      </c>
      <c r="X65" s="29"/>
    </row>
    <row r="66" spans="1:24" ht="15.75" customHeight="1">
      <c r="A66" s="53" t="s">
        <v>14</v>
      </c>
      <c r="B66" s="26" t="s">
        <v>34</v>
      </c>
      <c r="C66" s="30">
        <v>5.76</v>
      </c>
      <c r="D66" s="30">
        <v>12</v>
      </c>
      <c r="E66" s="28">
        <v>50</v>
      </c>
      <c r="F66" s="16">
        <f>(C66*D66*E66/1000)</f>
        <v>3.456</v>
      </c>
      <c r="G66" s="17" t="s">
        <v>93</v>
      </c>
      <c r="H66" s="18"/>
      <c r="I66" s="19">
        <f>(C66*D66*H66/1000)</f>
        <v>0</v>
      </c>
      <c r="J66" s="16"/>
      <c r="K66" s="18"/>
      <c r="L66" s="19">
        <f>(C66*D66*K66/1000)</f>
        <v>0</v>
      </c>
      <c r="M66" s="16"/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>+H66+K66+Q66</f>
        <v>0</v>
      </c>
      <c r="T66" s="19">
        <f>+I66+L66+R66</f>
        <v>0</v>
      </c>
      <c r="U66" s="21">
        <f>E66-S66</f>
        <v>50</v>
      </c>
      <c r="V66" s="19">
        <f>F66-T66</f>
        <v>3.456</v>
      </c>
      <c r="X66" s="29"/>
    </row>
    <row r="67" spans="1:24" ht="15.75" customHeight="1">
      <c r="A67" s="53" t="s">
        <v>14</v>
      </c>
      <c r="B67" s="26" t="s">
        <v>34</v>
      </c>
      <c r="C67" s="30">
        <v>5.76</v>
      </c>
      <c r="D67" s="30">
        <v>8.1</v>
      </c>
      <c r="E67" s="28"/>
      <c r="F67" s="16">
        <f t="shared" ref="F67:F77" si="135">(C67*D67*E67/1000)</f>
        <v>0</v>
      </c>
      <c r="G67" s="17" t="s">
        <v>235</v>
      </c>
      <c r="H67" s="18">
        <v>1</v>
      </c>
      <c r="I67" s="19">
        <f t="shared" ref="I67:I77" si="136">(C67*D67*H67/1000)</f>
        <v>4.6655999999999996E-2</v>
      </c>
      <c r="J67" s="16"/>
      <c r="K67" s="18"/>
      <c r="L67" s="19">
        <f t="shared" ref="L67:L77" si="137">(C67*D67*K67/1000)</f>
        <v>0</v>
      </c>
      <c r="M67" s="16"/>
      <c r="N67" s="18"/>
      <c r="O67" s="19">
        <f t="shared" ref="O67:O77" si="138">(C67*D67*N67/1000)</f>
        <v>0</v>
      </c>
      <c r="P67" s="16"/>
      <c r="Q67" s="18"/>
      <c r="R67" s="19">
        <f t="shared" ref="R67:R77" si="139">(C67*D67*Q67/1000)</f>
        <v>0</v>
      </c>
      <c r="S67" s="20">
        <f t="shared" ref="S67:S77" si="140">+H67+K67+Q67</f>
        <v>1</v>
      </c>
      <c r="T67" s="19">
        <f t="shared" ref="T67:T77" si="141">+I67+L67+R67</f>
        <v>4.6655999999999996E-2</v>
      </c>
      <c r="U67" s="21">
        <f t="shared" ref="U67:U77" si="142">E67-S67</f>
        <v>-1</v>
      </c>
      <c r="V67" s="19">
        <f t="shared" ref="V67:V77" si="143">F67-T67</f>
        <v>-4.6655999999999996E-2</v>
      </c>
      <c r="X67" s="29"/>
    </row>
    <row r="68" spans="1:24" ht="15.75" customHeight="1">
      <c r="A68" s="53" t="s">
        <v>14</v>
      </c>
      <c r="B68" s="26" t="s">
        <v>34</v>
      </c>
      <c r="C68" s="30">
        <v>5.76</v>
      </c>
      <c r="D68" s="30">
        <v>8.9</v>
      </c>
      <c r="E68" s="28"/>
      <c r="F68" s="16">
        <f t="shared" si="135"/>
        <v>0</v>
      </c>
      <c r="G68" s="17"/>
      <c r="H68" s="18">
        <v>1</v>
      </c>
      <c r="I68" s="19">
        <f t="shared" si="136"/>
        <v>5.1264000000000004E-2</v>
      </c>
      <c r="J68" s="16"/>
      <c r="K68" s="18"/>
      <c r="L68" s="19">
        <f t="shared" si="137"/>
        <v>0</v>
      </c>
      <c r="M68" s="16"/>
      <c r="N68" s="18"/>
      <c r="O68" s="19">
        <f t="shared" si="138"/>
        <v>0</v>
      </c>
      <c r="P68" s="16"/>
      <c r="Q68" s="18"/>
      <c r="R68" s="19">
        <f t="shared" si="139"/>
        <v>0</v>
      </c>
      <c r="S68" s="20">
        <f t="shared" si="140"/>
        <v>1</v>
      </c>
      <c r="T68" s="19">
        <f t="shared" si="141"/>
        <v>5.1264000000000004E-2</v>
      </c>
      <c r="U68" s="21">
        <f t="shared" si="142"/>
        <v>-1</v>
      </c>
      <c r="V68" s="19">
        <f t="shared" si="143"/>
        <v>-5.1264000000000004E-2</v>
      </c>
      <c r="X68" s="29"/>
    </row>
    <row r="69" spans="1:24" ht="15.75" customHeight="1">
      <c r="A69" s="53" t="s">
        <v>14</v>
      </c>
      <c r="B69" s="26" t="s">
        <v>34</v>
      </c>
      <c r="C69" s="30">
        <v>5.76</v>
      </c>
      <c r="D69" s="30">
        <v>9</v>
      </c>
      <c r="E69" s="28"/>
      <c r="F69" s="16">
        <f t="shared" si="135"/>
        <v>0</v>
      </c>
      <c r="G69" s="17"/>
      <c r="H69" s="18">
        <v>1</v>
      </c>
      <c r="I69" s="19">
        <f t="shared" si="136"/>
        <v>5.1839999999999997E-2</v>
      </c>
      <c r="J69" s="16"/>
      <c r="K69" s="18"/>
      <c r="L69" s="19">
        <f t="shared" si="137"/>
        <v>0</v>
      </c>
      <c r="M69" s="16"/>
      <c r="N69" s="18"/>
      <c r="O69" s="19">
        <f t="shared" si="138"/>
        <v>0</v>
      </c>
      <c r="P69" s="16"/>
      <c r="Q69" s="18"/>
      <c r="R69" s="19">
        <f t="shared" si="139"/>
        <v>0</v>
      </c>
      <c r="S69" s="20">
        <f t="shared" si="140"/>
        <v>1</v>
      </c>
      <c r="T69" s="19">
        <f t="shared" si="141"/>
        <v>5.1839999999999997E-2</v>
      </c>
      <c r="U69" s="21">
        <f t="shared" si="142"/>
        <v>-1</v>
      </c>
      <c r="V69" s="19">
        <f t="shared" si="143"/>
        <v>-5.1839999999999997E-2</v>
      </c>
      <c r="X69" s="29"/>
    </row>
    <row r="70" spans="1:24" ht="15.75" customHeight="1">
      <c r="A70" s="53" t="s">
        <v>14</v>
      </c>
      <c r="B70" s="26" t="s">
        <v>34</v>
      </c>
      <c r="C70" s="30">
        <v>5.76</v>
      </c>
      <c r="D70" s="30">
        <v>9.5</v>
      </c>
      <c r="E70" s="28"/>
      <c r="F70" s="16">
        <f t="shared" si="135"/>
        <v>0</v>
      </c>
      <c r="G70" s="17"/>
      <c r="H70" s="18">
        <v>3</v>
      </c>
      <c r="I70" s="19">
        <f t="shared" si="136"/>
        <v>0.16416</v>
      </c>
      <c r="J70" s="16"/>
      <c r="K70" s="18"/>
      <c r="L70" s="19">
        <f t="shared" si="137"/>
        <v>0</v>
      </c>
      <c r="M70" s="16"/>
      <c r="N70" s="18"/>
      <c r="O70" s="19">
        <f t="shared" si="138"/>
        <v>0</v>
      </c>
      <c r="P70" s="16"/>
      <c r="Q70" s="18"/>
      <c r="R70" s="19">
        <f t="shared" si="139"/>
        <v>0</v>
      </c>
      <c r="S70" s="20">
        <f t="shared" si="140"/>
        <v>3</v>
      </c>
      <c r="T70" s="19">
        <f t="shared" si="141"/>
        <v>0.16416</v>
      </c>
      <c r="U70" s="21">
        <f t="shared" si="142"/>
        <v>-3</v>
      </c>
      <c r="V70" s="19">
        <f t="shared" si="143"/>
        <v>-0.16416</v>
      </c>
      <c r="X70" s="29"/>
    </row>
    <row r="71" spans="1:24" ht="15.75" customHeight="1">
      <c r="A71" s="53" t="s">
        <v>14</v>
      </c>
      <c r="B71" s="26" t="s">
        <v>34</v>
      </c>
      <c r="C71" s="30">
        <v>5.76</v>
      </c>
      <c r="D71" s="30">
        <v>9.8000000000000007</v>
      </c>
      <c r="E71" s="28"/>
      <c r="F71" s="16">
        <f t="shared" si="135"/>
        <v>0</v>
      </c>
      <c r="G71" s="17"/>
      <c r="H71" s="18">
        <v>4</v>
      </c>
      <c r="I71" s="19">
        <f t="shared" si="136"/>
        <v>0.22579199999999999</v>
      </c>
      <c r="J71" s="16"/>
      <c r="K71" s="18"/>
      <c r="L71" s="19">
        <f t="shared" si="137"/>
        <v>0</v>
      </c>
      <c r="M71" s="16"/>
      <c r="N71" s="18"/>
      <c r="O71" s="19">
        <f t="shared" si="138"/>
        <v>0</v>
      </c>
      <c r="P71" s="16"/>
      <c r="Q71" s="18"/>
      <c r="R71" s="19">
        <f t="shared" si="139"/>
        <v>0</v>
      </c>
      <c r="S71" s="20">
        <f t="shared" si="140"/>
        <v>4</v>
      </c>
      <c r="T71" s="19">
        <f t="shared" si="141"/>
        <v>0.22579199999999999</v>
      </c>
      <c r="U71" s="21">
        <f t="shared" si="142"/>
        <v>-4</v>
      </c>
      <c r="V71" s="19">
        <f t="shared" si="143"/>
        <v>-0.22579199999999999</v>
      </c>
      <c r="X71" s="29"/>
    </row>
    <row r="72" spans="1:24" ht="15.75" customHeight="1">
      <c r="A72" s="53" t="s">
        <v>14</v>
      </c>
      <c r="B72" s="26" t="s">
        <v>34</v>
      </c>
      <c r="C72" s="30">
        <v>5.76</v>
      </c>
      <c r="D72" s="30">
        <v>9.9</v>
      </c>
      <c r="E72" s="28"/>
      <c r="F72" s="16">
        <f t="shared" si="135"/>
        <v>0</v>
      </c>
      <c r="G72" s="17"/>
      <c r="H72" s="18">
        <v>1</v>
      </c>
      <c r="I72" s="19">
        <f t="shared" si="136"/>
        <v>5.7023999999999998E-2</v>
      </c>
      <c r="J72" s="16"/>
      <c r="K72" s="18"/>
      <c r="L72" s="19">
        <f t="shared" si="137"/>
        <v>0</v>
      </c>
      <c r="M72" s="16"/>
      <c r="N72" s="18"/>
      <c r="O72" s="19">
        <f t="shared" si="138"/>
        <v>0</v>
      </c>
      <c r="P72" s="16"/>
      <c r="Q72" s="18"/>
      <c r="R72" s="19">
        <f t="shared" si="139"/>
        <v>0</v>
      </c>
      <c r="S72" s="20">
        <f t="shared" si="140"/>
        <v>1</v>
      </c>
      <c r="T72" s="19">
        <f t="shared" si="141"/>
        <v>5.7023999999999998E-2</v>
      </c>
      <c r="U72" s="21">
        <f t="shared" si="142"/>
        <v>-1</v>
      </c>
      <c r="V72" s="19">
        <f t="shared" si="143"/>
        <v>-5.7023999999999998E-2</v>
      </c>
      <c r="X72" s="29"/>
    </row>
    <row r="73" spans="1:24" ht="15.75" customHeight="1">
      <c r="A73" s="53" t="s">
        <v>14</v>
      </c>
      <c r="B73" s="26" t="s">
        <v>34</v>
      </c>
      <c r="C73" s="30">
        <v>5.76</v>
      </c>
      <c r="D73" s="30">
        <v>10</v>
      </c>
      <c r="E73" s="28"/>
      <c r="F73" s="16">
        <f t="shared" si="135"/>
        <v>0</v>
      </c>
      <c r="G73" s="17"/>
      <c r="H73" s="18">
        <v>13</v>
      </c>
      <c r="I73" s="19">
        <f t="shared" si="136"/>
        <v>0.74879999999999991</v>
      </c>
      <c r="J73" s="16"/>
      <c r="K73" s="18"/>
      <c r="L73" s="19">
        <f t="shared" si="137"/>
        <v>0</v>
      </c>
      <c r="M73" s="16"/>
      <c r="N73" s="18"/>
      <c r="O73" s="19">
        <f t="shared" si="138"/>
        <v>0</v>
      </c>
      <c r="P73" s="16"/>
      <c r="Q73" s="18"/>
      <c r="R73" s="19">
        <f t="shared" si="139"/>
        <v>0</v>
      </c>
      <c r="S73" s="20">
        <f t="shared" si="140"/>
        <v>13</v>
      </c>
      <c r="T73" s="19">
        <f t="shared" si="141"/>
        <v>0.74879999999999991</v>
      </c>
      <c r="U73" s="21">
        <f t="shared" si="142"/>
        <v>-13</v>
      </c>
      <c r="V73" s="19">
        <f t="shared" si="143"/>
        <v>-0.74879999999999991</v>
      </c>
      <c r="X73" s="29"/>
    </row>
    <row r="74" spans="1:24" ht="15.75" customHeight="1">
      <c r="A74" s="53" t="s">
        <v>14</v>
      </c>
      <c r="B74" s="26" t="s">
        <v>34</v>
      </c>
      <c r="C74" s="30">
        <v>5.76</v>
      </c>
      <c r="D74" s="30">
        <v>10.199999999999999</v>
      </c>
      <c r="E74" s="28"/>
      <c r="F74" s="16">
        <f t="shared" ref="F74:F76" si="144">(C74*D74*E74/1000)</f>
        <v>0</v>
      </c>
      <c r="G74" s="17"/>
      <c r="H74" s="18">
        <v>5</v>
      </c>
      <c r="I74" s="19">
        <f t="shared" ref="I74:I76" si="145">(C74*D74*H74/1000)</f>
        <v>0.29375999999999997</v>
      </c>
      <c r="J74" s="16"/>
      <c r="K74" s="18"/>
      <c r="L74" s="19">
        <f t="shared" ref="L74:L76" si="146">(C74*D74*K74/1000)</f>
        <v>0</v>
      </c>
      <c r="M74" s="16"/>
      <c r="N74" s="18"/>
      <c r="O74" s="19">
        <f t="shared" ref="O74:O76" si="147">(C74*D74*N74/1000)</f>
        <v>0</v>
      </c>
      <c r="P74" s="16"/>
      <c r="Q74" s="18"/>
      <c r="R74" s="19">
        <f t="shared" ref="R74:R76" si="148">(C74*D74*Q74/1000)</f>
        <v>0</v>
      </c>
      <c r="S74" s="20">
        <f t="shared" ref="S74:S76" si="149">+H74+K74+Q74</f>
        <v>5</v>
      </c>
      <c r="T74" s="19">
        <f t="shared" ref="T74:T76" si="150">+I74+L74+R74</f>
        <v>0.29375999999999997</v>
      </c>
      <c r="U74" s="21">
        <f t="shared" ref="U74:U76" si="151">E74-S74</f>
        <v>-5</v>
      </c>
      <c r="V74" s="19">
        <f t="shared" ref="V74:V76" si="152">F74-T74</f>
        <v>-0.29375999999999997</v>
      </c>
      <c r="X74" s="29"/>
    </row>
    <row r="75" spans="1:24" ht="15.75" customHeight="1">
      <c r="A75" s="53" t="s">
        <v>14</v>
      </c>
      <c r="B75" s="26" t="s">
        <v>34</v>
      </c>
      <c r="C75" s="30">
        <v>5.76</v>
      </c>
      <c r="D75" s="30">
        <v>10.5</v>
      </c>
      <c r="E75" s="28"/>
      <c r="F75" s="16">
        <f t="shared" si="144"/>
        <v>0</v>
      </c>
      <c r="G75" s="17"/>
      <c r="H75" s="18">
        <v>3</v>
      </c>
      <c r="I75" s="19">
        <f t="shared" si="145"/>
        <v>0.18143999999999999</v>
      </c>
      <c r="J75" s="16"/>
      <c r="K75" s="18"/>
      <c r="L75" s="19">
        <f t="shared" si="146"/>
        <v>0</v>
      </c>
      <c r="M75" s="16"/>
      <c r="N75" s="18"/>
      <c r="O75" s="19">
        <f t="shared" si="147"/>
        <v>0</v>
      </c>
      <c r="P75" s="16"/>
      <c r="Q75" s="18"/>
      <c r="R75" s="19">
        <f t="shared" si="148"/>
        <v>0</v>
      </c>
      <c r="S75" s="20">
        <f t="shared" si="149"/>
        <v>3</v>
      </c>
      <c r="T75" s="19">
        <f t="shared" si="150"/>
        <v>0.18143999999999999</v>
      </c>
      <c r="U75" s="21">
        <f t="shared" si="151"/>
        <v>-3</v>
      </c>
      <c r="V75" s="19">
        <f t="shared" si="152"/>
        <v>-0.18143999999999999</v>
      </c>
      <c r="X75" s="29"/>
    </row>
    <row r="76" spans="1:24" ht="15.75" customHeight="1">
      <c r="A76" s="53" t="s">
        <v>14</v>
      </c>
      <c r="B76" s="26" t="s">
        <v>34</v>
      </c>
      <c r="C76" s="30">
        <v>5.76</v>
      </c>
      <c r="D76" s="30">
        <v>11.5</v>
      </c>
      <c r="E76" s="28"/>
      <c r="F76" s="16">
        <f t="shared" si="144"/>
        <v>0</v>
      </c>
      <c r="G76" s="17"/>
      <c r="H76" s="18">
        <v>27</v>
      </c>
      <c r="I76" s="19">
        <f t="shared" si="145"/>
        <v>1.7884799999999998</v>
      </c>
      <c r="J76" s="16"/>
      <c r="K76" s="18"/>
      <c r="L76" s="19">
        <f t="shared" si="146"/>
        <v>0</v>
      </c>
      <c r="M76" s="16"/>
      <c r="N76" s="18"/>
      <c r="O76" s="19">
        <f t="shared" si="147"/>
        <v>0</v>
      </c>
      <c r="P76" s="16"/>
      <c r="Q76" s="18"/>
      <c r="R76" s="19">
        <f t="shared" si="148"/>
        <v>0</v>
      </c>
      <c r="S76" s="20">
        <f t="shared" si="149"/>
        <v>27</v>
      </c>
      <c r="T76" s="19">
        <f t="shared" si="150"/>
        <v>1.7884799999999998</v>
      </c>
      <c r="U76" s="21">
        <f t="shared" si="151"/>
        <v>-27</v>
      </c>
      <c r="V76" s="19">
        <f t="shared" si="152"/>
        <v>-1.7884799999999998</v>
      </c>
      <c r="X76" s="29"/>
    </row>
    <row r="77" spans="1:24" ht="15.75" customHeight="1">
      <c r="A77" s="53" t="s">
        <v>14</v>
      </c>
      <c r="B77" s="26" t="s">
        <v>34</v>
      </c>
      <c r="C77" s="30">
        <v>5.76</v>
      </c>
      <c r="D77" s="30"/>
      <c r="E77" s="28"/>
      <c r="F77" s="16">
        <f t="shared" si="135"/>
        <v>0</v>
      </c>
      <c r="G77" s="17"/>
      <c r="H77" s="18"/>
      <c r="I77" s="19">
        <f t="shared" si="136"/>
        <v>0</v>
      </c>
      <c r="J77" s="16"/>
      <c r="K77" s="18"/>
      <c r="L77" s="19">
        <f t="shared" si="137"/>
        <v>0</v>
      </c>
      <c r="M77" s="16"/>
      <c r="N77" s="18"/>
      <c r="O77" s="19">
        <f t="shared" si="138"/>
        <v>0</v>
      </c>
      <c r="P77" s="16"/>
      <c r="Q77" s="18"/>
      <c r="R77" s="19">
        <f t="shared" si="139"/>
        <v>0</v>
      </c>
      <c r="S77" s="20">
        <f t="shared" si="140"/>
        <v>0</v>
      </c>
      <c r="T77" s="19">
        <f t="shared" si="141"/>
        <v>0</v>
      </c>
      <c r="U77" s="21">
        <f t="shared" si="142"/>
        <v>0</v>
      </c>
      <c r="V77" s="19">
        <f t="shared" si="143"/>
        <v>0</v>
      </c>
      <c r="X77" s="29"/>
    </row>
    <row r="78" spans="1:24" ht="15.75" customHeight="1">
      <c r="A78" s="53"/>
      <c r="B78" s="26"/>
      <c r="C78" s="30"/>
      <c r="D78" s="30"/>
      <c r="E78" s="31">
        <f t="shared" ref="E78:F78" si="153">SUM(E66:E77)</f>
        <v>50</v>
      </c>
      <c r="F78" s="32">
        <f t="shared" si="153"/>
        <v>3.456</v>
      </c>
      <c r="G78" s="17"/>
      <c r="H78" s="31">
        <f t="shared" ref="H78" si="154">SUM(H66:H77)</f>
        <v>59</v>
      </c>
      <c r="I78" s="32">
        <f t="shared" ref="I78" si="155">SUM(I66:I77)</f>
        <v>3.609216</v>
      </c>
      <c r="J78" s="16"/>
      <c r="K78" s="31">
        <f t="shared" ref="K78" si="156">SUM(K66:K77)</f>
        <v>0</v>
      </c>
      <c r="L78" s="32">
        <f t="shared" ref="L78" si="157">SUM(L66:L77)</f>
        <v>0</v>
      </c>
      <c r="M78" s="16"/>
      <c r="N78" s="31">
        <f t="shared" ref="N78" si="158">SUM(N66:N77)</f>
        <v>0</v>
      </c>
      <c r="O78" s="32">
        <f t="shared" ref="O78" si="159">SUM(O66:O77)</f>
        <v>0</v>
      </c>
      <c r="P78" s="16"/>
      <c r="Q78" s="31">
        <f t="shared" ref="Q78" si="160">SUM(Q66:Q77)</f>
        <v>0</v>
      </c>
      <c r="R78" s="32">
        <f t="shared" ref="R78" si="161">SUM(R66:R77)</f>
        <v>0</v>
      </c>
      <c r="S78" s="31">
        <f t="shared" ref="S78" si="162">SUM(S66:S77)</f>
        <v>59</v>
      </c>
      <c r="T78" s="32">
        <f t="shared" ref="T78" si="163">SUM(T66:T77)</f>
        <v>3.609216</v>
      </c>
      <c r="U78" s="31">
        <f t="shared" ref="U78" si="164">SUM(U66:U77)</f>
        <v>-9</v>
      </c>
      <c r="V78" s="32">
        <f t="shared" ref="V78" si="165">SUM(V66:V77)</f>
        <v>-0.15321600000000046</v>
      </c>
      <c r="X78" s="29"/>
    </row>
    <row r="79" spans="1:24" ht="15.75" customHeight="1">
      <c r="A79" s="33"/>
      <c r="B79" s="33"/>
      <c r="C79" s="34"/>
      <c r="D79" s="34"/>
      <c r="E79" s="34">
        <f>SUM(E6:E78)/2</f>
        <v>88</v>
      </c>
      <c r="F79" s="35">
        <f>SUM(F6:F78)/2</f>
        <v>11.3766</v>
      </c>
      <c r="G79" s="26"/>
      <c r="H79" s="34">
        <f>SUM(H6:H78)/2</f>
        <v>128</v>
      </c>
      <c r="I79" s="35">
        <f>SUM(I6:I78)/2</f>
        <v>13.522645999999993</v>
      </c>
      <c r="J79" s="26"/>
      <c r="K79" s="34">
        <f>SUM(K6:K78)/2</f>
        <v>0</v>
      </c>
      <c r="L79" s="35">
        <f>SUM(L6:L78)/2</f>
        <v>0</v>
      </c>
      <c r="M79" s="26"/>
      <c r="N79" s="34">
        <f>SUM(N6:N78)/2</f>
        <v>0</v>
      </c>
      <c r="O79" s="35">
        <f>SUM(O6:O78)/2</f>
        <v>0</v>
      </c>
      <c r="P79" s="26"/>
      <c r="Q79" s="34">
        <f t="shared" ref="Q79:V79" si="166">SUM(Q6:Q78)/2</f>
        <v>0</v>
      </c>
      <c r="R79" s="35">
        <f t="shared" si="166"/>
        <v>0</v>
      </c>
      <c r="S79" s="34">
        <f t="shared" si="166"/>
        <v>128</v>
      </c>
      <c r="T79" s="35">
        <f t="shared" si="166"/>
        <v>13.522645999999993</v>
      </c>
      <c r="U79" s="34">
        <f t="shared" si="166"/>
        <v>-40</v>
      </c>
      <c r="V79" s="35">
        <f t="shared" si="166"/>
        <v>-2.1460459999999992</v>
      </c>
    </row>
    <row r="94" spans="18:18">
      <c r="R94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8"/>
  <dimension ref="A1:X26"/>
  <sheetViews>
    <sheetView zoomScale="75" zoomScaleNormal="75" workbookViewId="0">
      <pane ySplit="5" topLeftCell="A6" activePane="bottomLeft" state="frozen"/>
      <selection pane="bottomLeft" activeCell="G8" sqref="G8:G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203</v>
      </c>
      <c r="H1" s="144"/>
      <c r="I1" s="145" t="s">
        <v>185</v>
      </c>
      <c r="J1" s="144"/>
      <c r="K1" s="3"/>
      <c r="L1" s="4"/>
      <c r="M1" s="4"/>
      <c r="N1" s="3"/>
      <c r="O1" s="4"/>
      <c r="P1" s="146" t="str">
        <f>+F2</f>
        <v>LOI-419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213</v>
      </c>
      <c r="B2" s="8"/>
      <c r="C2" s="9"/>
      <c r="D2" s="9"/>
      <c r="E2" s="10"/>
      <c r="F2" s="146" t="s">
        <v>214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LOI-419  03.07.23</v>
      </c>
      <c r="V2" s="146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53" t="s">
        <v>14</v>
      </c>
      <c r="B6" s="26" t="s">
        <v>25</v>
      </c>
      <c r="C6" s="30">
        <v>13.4</v>
      </c>
      <c r="D6" s="30">
        <v>11.8</v>
      </c>
      <c r="E6" s="28">
        <v>8</v>
      </c>
      <c r="F6" s="16">
        <f>(C6*D6*E6/1000)</f>
        <v>1.2649600000000001</v>
      </c>
      <c r="G6" s="17" t="s">
        <v>298</v>
      </c>
      <c r="H6" s="18">
        <v>8</v>
      </c>
      <c r="I6" s="19">
        <f>(C6*D6*H6/1000)</f>
        <v>1.2649600000000001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8</v>
      </c>
      <c r="T6" s="19">
        <f>+I6+L6+R6</f>
        <v>1.2649600000000001</v>
      </c>
      <c r="U6" s="21">
        <f>E6-S6</f>
        <v>0</v>
      </c>
      <c r="V6" s="19">
        <f>F6-T6</f>
        <v>0</v>
      </c>
      <c r="X6" s="29"/>
    </row>
    <row r="7" spans="1:24">
      <c r="A7" s="53"/>
      <c r="B7" s="26"/>
      <c r="C7" s="30"/>
      <c r="D7" s="30"/>
      <c r="E7" s="31">
        <f t="shared" ref="E7" si="0">SUM(E6)</f>
        <v>8</v>
      </c>
      <c r="F7" s="32">
        <f>SUM(F6)</f>
        <v>1.2649600000000001</v>
      </c>
      <c r="G7" s="17" t="s">
        <v>297</v>
      </c>
      <c r="H7" s="31">
        <f t="shared" ref="H7:I7" si="1">SUM(H6)</f>
        <v>8</v>
      </c>
      <c r="I7" s="32">
        <f t="shared" si="1"/>
        <v>1.2649600000000001</v>
      </c>
      <c r="J7" s="16"/>
      <c r="K7" s="31">
        <f t="shared" ref="K7:L7" si="2">SUM(K6)</f>
        <v>0</v>
      </c>
      <c r="L7" s="32">
        <f t="shared" si="2"/>
        <v>0</v>
      </c>
      <c r="M7" s="16"/>
      <c r="N7" s="31">
        <f t="shared" ref="N7:O7" si="3">SUM(N6)</f>
        <v>0</v>
      </c>
      <c r="O7" s="32">
        <f t="shared" si="3"/>
        <v>0</v>
      </c>
      <c r="P7" s="16"/>
      <c r="Q7" s="31">
        <f t="shared" ref="Q7:V7" si="4">SUM(Q6)</f>
        <v>0</v>
      </c>
      <c r="R7" s="32">
        <f t="shared" si="4"/>
        <v>0</v>
      </c>
      <c r="S7" s="31">
        <f t="shared" si="4"/>
        <v>8</v>
      </c>
      <c r="T7" s="32">
        <f t="shared" si="4"/>
        <v>1.2649600000000001</v>
      </c>
      <c r="U7" s="31">
        <f t="shared" si="4"/>
        <v>0</v>
      </c>
      <c r="V7" s="32">
        <f t="shared" si="4"/>
        <v>0</v>
      </c>
      <c r="X7" s="29"/>
    </row>
    <row r="8" spans="1:24">
      <c r="A8" s="53" t="s">
        <v>14</v>
      </c>
      <c r="B8" s="26" t="s">
        <v>18</v>
      </c>
      <c r="C8" s="30">
        <v>16.579999999999998</v>
      </c>
      <c r="D8" s="30">
        <v>11.5</v>
      </c>
      <c r="E8" s="28">
        <v>9</v>
      </c>
      <c r="F8" s="16">
        <f>(C8*D8*E8/1000)</f>
        <v>1.7160299999999999</v>
      </c>
      <c r="G8" s="17" t="s">
        <v>298</v>
      </c>
      <c r="H8" s="18">
        <v>9</v>
      </c>
      <c r="I8" s="19">
        <f>(C8*D8*H8/1000)</f>
        <v>1.7160299999999999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9</v>
      </c>
      <c r="T8" s="19">
        <f>+I8+L8+R8</f>
        <v>1.7160299999999999</v>
      </c>
      <c r="U8" s="21">
        <f>E8-S8</f>
        <v>0</v>
      </c>
      <c r="V8" s="19">
        <f>F8-T8</f>
        <v>0</v>
      </c>
      <c r="X8" s="29"/>
    </row>
    <row r="9" spans="1:24">
      <c r="A9" s="53" t="s">
        <v>14</v>
      </c>
      <c r="B9" s="26" t="s">
        <v>18</v>
      </c>
      <c r="C9" s="30">
        <v>16.579999999999998</v>
      </c>
      <c r="D9" s="30">
        <v>7</v>
      </c>
      <c r="E9" s="28">
        <v>2</v>
      </c>
      <c r="F9" s="16">
        <f>(C9*D9*E9/1000)</f>
        <v>0.23211999999999997</v>
      </c>
      <c r="G9" s="17" t="s">
        <v>297</v>
      </c>
      <c r="H9" s="18">
        <v>2</v>
      </c>
      <c r="I9" s="19">
        <f>(C9*D9*H9/1000)</f>
        <v>0.23211999999999997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</f>
        <v>2</v>
      </c>
      <c r="T9" s="19">
        <f>+I9+L9+R9</f>
        <v>0.23211999999999997</v>
      </c>
      <c r="U9" s="21">
        <f>E9-S9</f>
        <v>0</v>
      </c>
      <c r="V9" s="19">
        <f>F9-T9</f>
        <v>0</v>
      </c>
      <c r="X9" s="29"/>
    </row>
    <row r="10" spans="1:24">
      <c r="A10" s="53"/>
      <c r="B10" s="26"/>
      <c r="C10" s="30"/>
      <c r="D10" s="30"/>
      <c r="E10" s="31">
        <f t="shared" ref="E10:F10" si="5">SUM(E8:E9)</f>
        <v>11</v>
      </c>
      <c r="F10" s="32">
        <f t="shared" si="5"/>
        <v>1.9481499999999998</v>
      </c>
      <c r="G10" s="17"/>
      <c r="H10" s="31">
        <f t="shared" ref="H10" si="6">SUM(H8:H9)</f>
        <v>11</v>
      </c>
      <c r="I10" s="32">
        <f t="shared" ref="I10" si="7">SUM(I8:I9)</f>
        <v>1.9481499999999998</v>
      </c>
      <c r="J10" s="16"/>
      <c r="K10" s="31">
        <f t="shared" ref="K10" si="8">SUM(K8:K9)</f>
        <v>0</v>
      </c>
      <c r="L10" s="32">
        <f t="shared" ref="L10" si="9">SUM(L8:L9)</f>
        <v>0</v>
      </c>
      <c r="M10" s="16"/>
      <c r="N10" s="31">
        <f t="shared" ref="N10" si="10">SUM(N8:N9)</f>
        <v>0</v>
      </c>
      <c r="O10" s="32">
        <f t="shared" ref="O10" si="11">SUM(O8:O9)</f>
        <v>0</v>
      </c>
      <c r="P10" s="16"/>
      <c r="Q10" s="31">
        <f t="shared" ref="Q10" si="12">SUM(Q8:Q9)</f>
        <v>0</v>
      </c>
      <c r="R10" s="32">
        <f t="shared" ref="R10" si="13">SUM(R8:R9)</f>
        <v>0</v>
      </c>
      <c r="S10" s="31">
        <f t="shared" ref="S10" si="14">SUM(S8:S9)</f>
        <v>11</v>
      </c>
      <c r="T10" s="32">
        <f t="shared" ref="T10" si="15">SUM(T8:T9)</f>
        <v>1.9481499999999998</v>
      </c>
      <c r="U10" s="31">
        <f t="shared" ref="U10" si="16">SUM(U8:U9)</f>
        <v>0</v>
      </c>
      <c r="V10" s="32">
        <f t="shared" ref="V10" si="17">SUM(V8:V9)</f>
        <v>0</v>
      </c>
      <c r="X10" s="29"/>
    </row>
    <row r="11" spans="1:24">
      <c r="A11" s="33"/>
      <c r="B11" s="33"/>
      <c r="C11" s="34"/>
      <c r="D11" s="34"/>
      <c r="E11" s="34">
        <f>SUM(E6:E10)/2</f>
        <v>19</v>
      </c>
      <c r="F11" s="35">
        <f>SUM(F6:F10)/2</f>
        <v>3.2131100000000004</v>
      </c>
      <c r="G11" s="26"/>
      <c r="H11" s="34">
        <f>SUM(H6:H10)/2</f>
        <v>19</v>
      </c>
      <c r="I11" s="35">
        <f>SUM(I6:I10)/2</f>
        <v>3.2131100000000004</v>
      </c>
      <c r="J11" s="26"/>
      <c r="K11" s="34">
        <f>SUM(K6:K10)/2</f>
        <v>0</v>
      </c>
      <c r="L11" s="35">
        <f>SUM(L6:L10)/2</f>
        <v>0</v>
      </c>
      <c r="M11" s="26"/>
      <c r="N11" s="34">
        <f>SUM(N6:N10)/2</f>
        <v>0</v>
      </c>
      <c r="O11" s="35">
        <f>SUM(O6:O10)/2</f>
        <v>0</v>
      </c>
      <c r="P11" s="26"/>
      <c r="Q11" s="34">
        <f t="shared" ref="Q11:V11" si="18">SUM(Q6:Q10)/2</f>
        <v>0</v>
      </c>
      <c r="R11" s="35">
        <f t="shared" si="18"/>
        <v>0</v>
      </c>
      <c r="S11" s="34">
        <f t="shared" si="18"/>
        <v>19</v>
      </c>
      <c r="T11" s="35">
        <f t="shared" si="18"/>
        <v>3.2131100000000004</v>
      </c>
      <c r="U11" s="34">
        <f t="shared" si="18"/>
        <v>0</v>
      </c>
      <c r="V11" s="35">
        <f t="shared" si="18"/>
        <v>0</v>
      </c>
    </row>
    <row r="26" spans="18:18">
      <c r="R26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29"/>
  <dimension ref="A1:X29"/>
  <sheetViews>
    <sheetView zoomScale="75" zoomScaleNormal="75" workbookViewId="0">
      <pane ySplit="5" topLeftCell="A6" activePane="bottomLeft" state="frozen"/>
      <selection pane="bottomLeft" activeCell="G10" sqref="G10:G1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221</v>
      </c>
      <c r="H1" s="144"/>
      <c r="I1" s="145" t="s">
        <v>185</v>
      </c>
      <c r="J1" s="144"/>
      <c r="K1" s="3"/>
      <c r="L1" s="4"/>
      <c r="M1" s="4"/>
      <c r="N1" s="3"/>
      <c r="O1" s="4"/>
      <c r="P1" s="146" t="str">
        <f>+F2</f>
        <v>LOI-420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220</v>
      </c>
      <c r="B2" s="8"/>
      <c r="C2" s="9"/>
      <c r="D2" s="9"/>
      <c r="E2" s="10"/>
      <c r="F2" s="146" t="s">
        <v>215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LOI-420  03.07.23</v>
      </c>
      <c r="V2" s="146"/>
    </row>
    <row r="3" spans="1:24">
      <c r="A3" s="12" t="s">
        <v>217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53" t="s">
        <v>216</v>
      </c>
      <c r="B6" s="26" t="s">
        <v>45</v>
      </c>
      <c r="C6" s="30">
        <v>9.26</v>
      </c>
      <c r="D6" s="30">
        <v>12</v>
      </c>
      <c r="E6" s="28">
        <v>16</v>
      </c>
      <c r="F6" s="16">
        <f>(C6*D6*E6/1000)</f>
        <v>1.7779200000000002</v>
      </c>
      <c r="G6" s="16" t="s">
        <v>293</v>
      </c>
      <c r="H6" s="18">
        <v>16</v>
      </c>
      <c r="I6" s="19">
        <f>(C6*D6*H6/1000)</f>
        <v>1.7779200000000002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16</v>
      </c>
      <c r="T6" s="19">
        <f>+I6+L6+R6</f>
        <v>1.7779200000000002</v>
      </c>
      <c r="U6" s="21">
        <f>E6-S6</f>
        <v>0</v>
      </c>
      <c r="V6" s="19">
        <f>F6-T6</f>
        <v>0</v>
      </c>
      <c r="X6" s="29"/>
    </row>
    <row r="7" spans="1:24">
      <c r="A7" s="53"/>
      <c r="B7" s="26"/>
      <c r="C7" s="30"/>
      <c r="D7" s="30"/>
      <c r="E7" s="31">
        <f t="shared" ref="E7" si="0">SUM(E6)</f>
        <v>16</v>
      </c>
      <c r="F7" s="32">
        <f>SUM(F6)</f>
        <v>1.7779200000000002</v>
      </c>
      <c r="G7" s="16" t="s">
        <v>294</v>
      </c>
      <c r="H7" s="31">
        <f t="shared" ref="H7" si="1">SUM(H6)</f>
        <v>16</v>
      </c>
      <c r="I7" s="32">
        <f t="shared" ref="I7" si="2">SUM(I6)</f>
        <v>1.7779200000000002</v>
      </c>
      <c r="J7" s="16"/>
      <c r="K7" s="31">
        <f t="shared" ref="K7" si="3">SUM(K6)</f>
        <v>0</v>
      </c>
      <c r="L7" s="32">
        <f t="shared" ref="L7" si="4">SUM(L6)</f>
        <v>0</v>
      </c>
      <c r="M7" s="16"/>
      <c r="N7" s="31">
        <f t="shared" ref="N7" si="5">SUM(N6)</f>
        <v>0</v>
      </c>
      <c r="O7" s="32">
        <f t="shared" ref="O7" si="6">SUM(O6)</f>
        <v>0</v>
      </c>
      <c r="P7" s="16"/>
      <c r="Q7" s="31">
        <f t="shared" ref="Q7" si="7">SUM(Q6)</f>
        <v>0</v>
      </c>
      <c r="R7" s="32">
        <f t="shared" ref="R7" si="8">SUM(R6)</f>
        <v>0</v>
      </c>
      <c r="S7" s="31">
        <f t="shared" ref="S7" si="9">SUM(S6)</f>
        <v>16</v>
      </c>
      <c r="T7" s="32">
        <f t="shared" ref="T7" si="10">SUM(T6)</f>
        <v>1.7779200000000002</v>
      </c>
      <c r="U7" s="31">
        <f t="shared" ref="U7" si="11">SUM(U6)</f>
        <v>0</v>
      </c>
      <c r="V7" s="32">
        <f t="shared" ref="V7" si="12">SUM(V6)</f>
        <v>0</v>
      </c>
      <c r="X7" s="29"/>
    </row>
    <row r="8" spans="1:24">
      <c r="A8" s="53" t="s">
        <v>216</v>
      </c>
      <c r="B8" s="26" t="s">
        <v>25</v>
      </c>
      <c r="C8" s="30">
        <v>13.4</v>
      </c>
      <c r="D8" s="30">
        <v>12</v>
      </c>
      <c r="E8" s="28">
        <v>17</v>
      </c>
      <c r="F8" s="16">
        <f>(C8*D8*E8/1000)</f>
        <v>2.7336000000000005</v>
      </c>
      <c r="G8" s="16" t="s">
        <v>111</v>
      </c>
      <c r="H8" s="18">
        <v>17</v>
      </c>
      <c r="I8" s="19">
        <f>(C8*D8*H8/1000)</f>
        <v>2.7336000000000005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17</v>
      </c>
      <c r="T8" s="19">
        <f>+I8+L8+R8</f>
        <v>2.7336000000000005</v>
      </c>
      <c r="U8" s="21">
        <f>E8-S8</f>
        <v>0</v>
      </c>
      <c r="V8" s="19">
        <f>F8-T8</f>
        <v>0</v>
      </c>
      <c r="X8" s="29"/>
    </row>
    <row r="9" spans="1:24">
      <c r="A9" s="53"/>
      <c r="B9" s="26"/>
      <c r="C9" s="30"/>
      <c r="D9" s="30"/>
      <c r="E9" s="31">
        <f>SUM(E8:E8)</f>
        <v>17</v>
      </c>
      <c r="F9" s="32">
        <f>SUM(F8:F8)</f>
        <v>2.7336000000000005</v>
      </c>
      <c r="G9" s="16" t="s">
        <v>294</v>
      </c>
      <c r="H9" s="31">
        <f>SUM(H8:H8)</f>
        <v>17</v>
      </c>
      <c r="I9" s="32">
        <f>SUM(I8:I8)</f>
        <v>2.7336000000000005</v>
      </c>
      <c r="J9" s="16"/>
      <c r="K9" s="31">
        <f>SUM(K8:K8)</f>
        <v>0</v>
      </c>
      <c r="L9" s="32">
        <f>SUM(L8:L8)</f>
        <v>0</v>
      </c>
      <c r="M9" s="16"/>
      <c r="N9" s="31">
        <f>SUM(N8:N8)</f>
        <v>0</v>
      </c>
      <c r="O9" s="32">
        <f>SUM(O8:O8)</f>
        <v>0</v>
      </c>
      <c r="P9" s="16"/>
      <c r="Q9" s="31">
        <f t="shared" ref="Q9:V9" si="13">SUM(Q8:Q8)</f>
        <v>0</v>
      </c>
      <c r="R9" s="32">
        <f t="shared" si="13"/>
        <v>0</v>
      </c>
      <c r="S9" s="31">
        <f t="shared" si="13"/>
        <v>17</v>
      </c>
      <c r="T9" s="32">
        <f t="shared" si="13"/>
        <v>2.7336000000000005</v>
      </c>
      <c r="U9" s="31">
        <f t="shared" si="13"/>
        <v>0</v>
      </c>
      <c r="V9" s="32">
        <f t="shared" si="13"/>
        <v>0</v>
      </c>
      <c r="X9" s="29"/>
    </row>
    <row r="10" spans="1:24">
      <c r="A10" s="53" t="s">
        <v>216</v>
      </c>
      <c r="B10" s="26" t="s">
        <v>31</v>
      </c>
      <c r="C10" s="30">
        <v>10.199999999999999</v>
      </c>
      <c r="D10" s="30">
        <v>12</v>
      </c>
      <c r="E10" s="28">
        <v>4</v>
      </c>
      <c r="F10" s="16">
        <f>(C10*D10*E10/1000)</f>
        <v>0.48959999999999998</v>
      </c>
      <c r="G10" s="16" t="s">
        <v>295</v>
      </c>
      <c r="H10" s="18">
        <v>4</v>
      </c>
      <c r="I10" s="19">
        <f>(C10*D10*H10/1000)</f>
        <v>0.48959999999999998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</f>
        <v>4</v>
      </c>
      <c r="T10" s="19">
        <f>+I10+L10+R10</f>
        <v>0.48959999999999998</v>
      </c>
      <c r="U10" s="21">
        <f>E10-S10</f>
        <v>0</v>
      </c>
      <c r="V10" s="19">
        <f>F10-T10</f>
        <v>0</v>
      </c>
      <c r="X10" s="29"/>
    </row>
    <row r="11" spans="1:24">
      <c r="A11" s="53"/>
      <c r="B11" s="26"/>
      <c r="C11" s="30"/>
      <c r="D11" s="30"/>
      <c r="E11" s="31">
        <f t="shared" ref="E11" si="14">SUM(E10)</f>
        <v>4</v>
      </c>
      <c r="F11" s="32">
        <f>SUM(F10)</f>
        <v>0.48959999999999998</v>
      </c>
      <c r="G11" s="16" t="s">
        <v>300</v>
      </c>
      <c r="H11" s="31">
        <f t="shared" ref="H11:I11" si="15">SUM(H10)</f>
        <v>4</v>
      </c>
      <c r="I11" s="32">
        <f t="shared" si="15"/>
        <v>0.48959999999999998</v>
      </c>
      <c r="J11" s="16"/>
      <c r="K11" s="31">
        <f t="shared" ref="K11:L11" si="16">SUM(K10)</f>
        <v>0</v>
      </c>
      <c r="L11" s="32">
        <f t="shared" si="16"/>
        <v>0</v>
      </c>
      <c r="M11" s="16"/>
      <c r="N11" s="31">
        <f t="shared" ref="N11:O11" si="17">SUM(N10)</f>
        <v>0</v>
      </c>
      <c r="O11" s="32">
        <f t="shared" si="17"/>
        <v>0</v>
      </c>
      <c r="P11" s="16"/>
      <c r="Q11" s="31">
        <f t="shared" ref="Q11:V11" si="18">SUM(Q10)</f>
        <v>0</v>
      </c>
      <c r="R11" s="32">
        <f t="shared" si="18"/>
        <v>0</v>
      </c>
      <c r="S11" s="31">
        <f t="shared" si="18"/>
        <v>4</v>
      </c>
      <c r="T11" s="32">
        <f t="shared" si="18"/>
        <v>0.48959999999999998</v>
      </c>
      <c r="U11" s="31">
        <f t="shared" si="18"/>
        <v>0</v>
      </c>
      <c r="V11" s="32">
        <f t="shared" si="18"/>
        <v>0</v>
      </c>
      <c r="X11" s="29"/>
    </row>
    <row r="12" spans="1:24">
      <c r="A12" s="53" t="s">
        <v>216</v>
      </c>
      <c r="B12" s="26" t="s">
        <v>46</v>
      </c>
      <c r="C12" s="30">
        <v>10.73</v>
      </c>
      <c r="D12" s="30">
        <v>12</v>
      </c>
      <c r="E12" s="28">
        <v>6</v>
      </c>
      <c r="F12" s="16">
        <f>(C12*D12*E12/1000)</f>
        <v>0.77255999999999991</v>
      </c>
      <c r="G12" s="16" t="s">
        <v>293</v>
      </c>
      <c r="H12" s="18">
        <v>6</v>
      </c>
      <c r="I12" s="19">
        <f>(C12*D12*H12/1000)</f>
        <v>0.77255999999999991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</f>
        <v>6</v>
      </c>
      <c r="T12" s="19">
        <f>+I12+L12+R12</f>
        <v>0.77255999999999991</v>
      </c>
      <c r="U12" s="21">
        <f>E12-S12</f>
        <v>0</v>
      </c>
      <c r="V12" s="19">
        <f>F12-T12</f>
        <v>0</v>
      </c>
      <c r="X12" s="29"/>
    </row>
    <row r="13" spans="1:24">
      <c r="A13" s="53"/>
      <c r="B13" s="26"/>
      <c r="C13" s="30"/>
      <c r="D13" s="30"/>
      <c r="E13" s="31">
        <f>SUM(E12:E12)</f>
        <v>6</v>
      </c>
      <c r="F13" s="32">
        <f>SUM(F12:F12)</f>
        <v>0.77255999999999991</v>
      </c>
      <c r="G13" s="16" t="s">
        <v>294</v>
      </c>
      <c r="H13" s="31">
        <f>SUM(H12:H12)</f>
        <v>6</v>
      </c>
      <c r="I13" s="32">
        <f>SUM(I12:I12)</f>
        <v>0.77255999999999991</v>
      </c>
      <c r="J13" s="16"/>
      <c r="K13" s="31">
        <f>SUM(K12:K12)</f>
        <v>0</v>
      </c>
      <c r="L13" s="32">
        <f>SUM(L12:L12)</f>
        <v>0</v>
      </c>
      <c r="M13" s="16"/>
      <c r="N13" s="31">
        <f>SUM(N12:N12)</f>
        <v>0</v>
      </c>
      <c r="O13" s="32">
        <f>SUM(O12:O12)</f>
        <v>0</v>
      </c>
      <c r="P13" s="16"/>
      <c r="Q13" s="31">
        <f t="shared" ref="Q13:V13" si="19">SUM(Q12:Q12)</f>
        <v>0</v>
      </c>
      <c r="R13" s="32">
        <f t="shared" si="19"/>
        <v>0</v>
      </c>
      <c r="S13" s="31">
        <f t="shared" si="19"/>
        <v>6</v>
      </c>
      <c r="T13" s="32">
        <f t="shared" si="19"/>
        <v>0.77255999999999991</v>
      </c>
      <c r="U13" s="31">
        <f t="shared" si="19"/>
        <v>0</v>
      </c>
      <c r="V13" s="32">
        <f t="shared" si="19"/>
        <v>0</v>
      </c>
      <c r="X13" s="29"/>
    </row>
    <row r="14" spans="1:24">
      <c r="A14" s="33"/>
      <c r="B14" s="33"/>
      <c r="C14" s="34"/>
      <c r="D14" s="34"/>
      <c r="E14" s="34">
        <f t="shared" ref="E14:F14" si="20">SUM(E13,E11,E9,E7)</f>
        <v>43</v>
      </c>
      <c r="F14" s="35">
        <f t="shared" si="20"/>
        <v>5.7736800000000006</v>
      </c>
      <c r="G14" s="26"/>
      <c r="H14" s="34">
        <f t="shared" ref="H14" si="21">SUM(H13,H11,H9,H7)</f>
        <v>43</v>
      </c>
      <c r="I14" s="35">
        <f t="shared" ref="I14" si="22">SUM(I13,I11,I9,I7)</f>
        <v>5.7736800000000006</v>
      </c>
      <c r="J14" s="26"/>
      <c r="K14" s="34">
        <f t="shared" ref="K14" si="23">SUM(K13,K11,K9,K7)</f>
        <v>0</v>
      </c>
      <c r="L14" s="35">
        <f t="shared" ref="L14" si="24">SUM(L13,L11,L9,L7)</f>
        <v>0</v>
      </c>
      <c r="M14" s="26"/>
      <c r="N14" s="34">
        <f t="shared" ref="N14" si="25">SUM(N13,N11,N9,N7)</f>
        <v>0</v>
      </c>
      <c r="O14" s="35">
        <f t="shared" ref="O14" si="26">SUM(O13,O11,O9,O7)</f>
        <v>0</v>
      </c>
      <c r="P14" s="26"/>
      <c r="Q14" s="34">
        <f t="shared" ref="Q14" si="27">SUM(Q13,Q11,Q9,Q7)</f>
        <v>0</v>
      </c>
      <c r="R14" s="35">
        <f t="shared" ref="R14" si="28">SUM(R13,R11,R9,R7)</f>
        <v>0</v>
      </c>
      <c r="S14" s="34">
        <f t="shared" ref="S14" si="29">SUM(S13,S11,S9,S7)</f>
        <v>43</v>
      </c>
      <c r="T14" s="35">
        <f t="shared" ref="T14" si="30">SUM(T13,T11,T9,T7)</f>
        <v>5.7736800000000006</v>
      </c>
      <c r="U14" s="34">
        <f t="shared" ref="U14" si="31">SUM(U13,U11,U9,U7)</f>
        <v>0</v>
      </c>
      <c r="V14" s="35">
        <f t="shared" ref="V14" si="32">SUM(V13,V11,V9,V7)</f>
        <v>0</v>
      </c>
    </row>
    <row r="29" spans="18:18">
      <c r="R29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0"/>
  <dimension ref="A1:X81"/>
  <sheetViews>
    <sheetView zoomScale="75" zoomScaleNormal="75" workbookViewId="0">
      <pane ySplit="5" topLeftCell="A29" activePane="bottomLeft" state="frozen"/>
      <selection pane="bottomLeft" activeCell="S40" sqref="S40:T44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222</v>
      </c>
      <c r="H1" s="144"/>
      <c r="I1" s="145" t="s">
        <v>185</v>
      </c>
      <c r="J1" s="144"/>
      <c r="K1" s="3"/>
      <c r="L1" s="4"/>
      <c r="M1" s="4"/>
      <c r="N1" s="3"/>
      <c r="O1" s="4"/>
      <c r="P1" s="146" t="str">
        <f>+F2</f>
        <v>LOI-420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218</v>
      </c>
      <c r="B2" s="8"/>
      <c r="C2" s="9"/>
      <c r="D2" s="9"/>
      <c r="E2" s="10"/>
      <c r="F2" s="146" t="s">
        <v>215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LOI-420  03.07.23</v>
      </c>
      <c r="V2" s="146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9.6999999999999993</v>
      </c>
      <c r="E6" s="28">
        <v>32</v>
      </c>
      <c r="F6" s="16">
        <f t="shared" ref="F6:F11" si="0">(C6*D6*E6/1000)</f>
        <v>2.8743039999999995</v>
      </c>
      <c r="G6" s="17" t="s">
        <v>88</v>
      </c>
      <c r="H6" s="18">
        <v>25</v>
      </c>
      <c r="I6" s="19">
        <f t="shared" ref="I6:I11" si="1">(C6*D6*H6/1000)</f>
        <v>2.2455499999999997</v>
      </c>
      <c r="J6" s="16" t="s">
        <v>89</v>
      </c>
      <c r="K6" s="18">
        <v>6</v>
      </c>
      <c r="L6" s="19">
        <f t="shared" ref="L6:L11" si="2">(C6*D6*K6/1000)</f>
        <v>0.53893199999999986</v>
      </c>
      <c r="M6" s="16"/>
      <c r="N6" s="18"/>
      <c r="O6" s="19">
        <f t="shared" ref="O6:O11" si="3">(C6*D6*N6/1000)</f>
        <v>0</v>
      </c>
      <c r="P6" s="16"/>
      <c r="Q6" s="18"/>
      <c r="R6" s="19">
        <f t="shared" ref="R6:R11" si="4">(C6*D6*Q6/1000)</f>
        <v>0</v>
      </c>
      <c r="S6" s="20">
        <f t="shared" ref="S6:S11" si="5">+H6+K6+Q6</f>
        <v>31</v>
      </c>
      <c r="T6" s="19">
        <f t="shared" ref="T6:T11" si="6">+I6+L6+R6</f>
        <v>2.7844819999999997</v>
      </c>
      <c r="U6" s="21">
        <f t="shared" ref="U6:U11" si="7">E6-S6</f>
        <v>1</v>
      </c>
      <c r="V6" s="19">
        <f t="shared" ref="V6:V11" si="8">F6-T6</f>
        <v>8.9821999999999846E-2</v>
      </c>
      <c r="X6" s="29"/>
    </row>
    <row r="7" spans="1:24">
      <c r="A7" s="26" t="s">
        <v>13</v>
      </c>
      <c r="B7" s="26" t="s">
        <v>45</v>
      </c>
      <c r="C7" s="30">
        <v>9.26</v>
      </c>
      <c r="D7" s="27">
        <v>10</v>
      </c>
      <c r="E7" s="28">
        <v>24</v>
      </c>
      <c r="F7" s="16">
        <f t="shared" si="0"/>
        <v>2.2223999999999995</v>
      </c>
      <c r="G7" s="17" t="s">
        <v>303</v>
      </c>
      <c r="H7" s="18">
        <v>19</v>
      </c>
      <c r="I7" s="19">
        <f t="shared" si="1"/>
        <v>1.7593999999999999</v>
      </c>
      <c r="J7" s="16" t="s">
        <v>304</v>
      </c>
      <c r="K7" s="18">
        <v>6</v>
      </c>
      <c r="L7" s="19">
        <f t="shared" si="2"/>
        <v>0.55559999999999987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25</v>
      </c>
      <c r="T7" s="19">
        <f t="shared" si="6"/>
        <v>2.3149999999999995</v>
      </c>
      <c r="U7" s="21">
        <f t="shared" si="7"/>
        <v>-1</v>
      </c>
      <c r="V7" s="19">
        <f t="shared" si="8"/>
        <v>-9.2600000000000016E-2</v>
      </c>
      <c r="X7" s="29"/>
    </row>
    <row r="8" spans="1:24">
      <c r="A8" s="26" t="s">
        <v>13</v>
      </c>
      <c r="B8" s="26" t="s">
        <v>45</v>
      </c>
      <c r="C8" s="30">
        <v>9.26</v>
      </c>
      <c r="D8" s="27">
        <v>10.9</v>
      </c>
      <c r="E8" s="28">
        <v>38</v>
      </c>
      <c r="F8" s="16">
        <f t="shared" si="0"/>
        <v>3.8354919999999999</v>
      </c>
      <c r="G8" s="17"/>
      <c r="H8" s="18">
        <v>12</v>
      </c>
      <c r="I8" s="19">
        <f t="shared" si="1"/>
        <v>1.2112080000000001</v>
      </c>
      <c r="J8" s="16"/>
      <c r="K8" s="18">
        <v>26</v>
      </c>
      <c r="L8" s="19">
        <f t="shared" si="2"/>
        <v>2.6242840000000003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38</v>
      </c>
      <c r="T8" s="19">
        <f t="shared" si="6"/>
        <v>3.8354920000000003</v>
      </c>
      <c r="U8" s="21">
        <f t="shared" si="7"/>
        <v>0</v>
      </c>
      <c r="V8" s="19">
        <f t="shared" si="8"/>
        <v>0</v>
      </c>
      <c r="X8" s="29"/>
    </row>
    <row r="9" spans="1:24">
      <c r="A9" s="26" t="s">
        <v>13</v>
      </c>
      <c r="B9" s="26" t="s">
        <v>45</v>
      </c>
      <c r="C9" s="30">
        <v>9.26</v>
      </c>
      <c r="D9" s="27">
        <v>11.3</v>
      </c>
      <c r="E9" s="28">
        <v>34</v>
      </c>
      <c r="F9" s="16">
        <f t="shared" si="0"/>
        <v>3.5576919999999999</v>
      </c>
      <c r="G9" s="17"/>
      <c r="H9" s="18">
        <v>23</v>
      </c>
      <c r="I9" s="19">
        <f t="shared" si="1"/>
        <v>2.4066739999999998</v>
      </c>
      <c r="J9" s="16"/>
      <c r="K9" s="18">
        <v>11</v>
      </c>
      <c r="L9" s="19">
        <f t="shared" si="2"/>
        <v>1.1510180000000001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34</v>
      </c>
      <c r="T9" s="19">
        <f t="shared" si="6"/>
        <v>3.5576919999999999</v>
      </c>
      <c r="U9" s="21">
        <f t="shared" si="7"/>
        <v>0</v>
      </c>
      <c r="V9" s="19">
        <f t="shared" si="8"/>
        <v>0</v>
      </c>
      <c r="X9" s="29"/>
    </row>
    <row r="10" spans="1:24">
      <c r="A10" s="26" t="s">
        <v>13</v>
      </c>
      <c r="B10" s="26" t="s">
        <v>45</v>
      </c>
      <c r="C10" s="30">
        <v>9.26</v>
      </c>
      <c r="D10" s="27">
        <v>11.4</v>
      </c>
      <c r="E10" s="28">
        <v>37</v>
      </c>
      <c r="F10" s="16">
        <f t="shared" ref="F10" si="9">(C10*D10*E10/1000)</f>
        <v>3.9058680000000003</v>
      </c>
      <c r="G10" s="17"/>
      <c r="H10" s="18">
        <f>5+13</f>
        <v>18</v>
      </c>
      <c r="I10" s="19">
        <f t="shared" ref="I10" si="10">(C10*D10*H10/1000)</f>
        <v>1.9001520000000001</v>
      </c>
      <c r="J10" s="16"/>
      <c r="K10" s="18">
        <v>19</v>
      </c>
      <c r="L10" s="19">
        <f t="shared" ref="L10" si="11">(C10*D10*K10/1000)</f>
        <v>2.0057160000000001</v>
      </c>
      <c r="M10" s="16"/>
      <c r="N10" s="18"/>
      <c r="O10" s="19">
        <f t="shared" ref="O10" si="12">(C10*D10*N10/1000)</f>
        <v>0</v>
      </c>
      <c r="P10" s="16"/>
      <c r="Q10" s="18"/>
      <c r="R10" s="19">
        <f t="shared" ref="R10" si="13">(C10*D10*Q10/1000)</f>
        <v>0</v>
      </c>
      <c r="S10" s="20">
        <f t="shared" ref="S10" si="14">+H10+K10+Q10</f>
        <v>37</v>
      </c>
      <c r="T10" s="19">
        <f t="shared" ref="T10" si="15">+I10+L10+R10</f>
        <v>3.9058679999999999</v>
      </c>
      <c r="U10" s="21">
        <f t="shared" ref="U10" si="16">E10-S10</f>
        <v>0</v>
      </c>
      <c r="V10" s="19">
        <f t="shared" ref="V10" si="17">F10-T10</f>
        <v>0</v>
      </c>
      <c r="X10" s="29"/>
    </row>
    <row r="11" spans="1:24">
      <c r="A11" s="26" t="s">
        <v>13</v>
      </c>
      <c r="B11" s="26" t="s">
        <v>45</v>
      </c>
      <c r="C11" s="30">
        <v>9.26</v>
      </c>
      <c r="D11" s="27">
        <v>9.5</v>
      </c>
      <c r="E11" s="28"/>
      <c r="F11" s="16">
        <f t="shared" si="0"/>
        <v>0</v>
      </c>
      <c r="G11" s="17"/>
      <c r="H11" s="18">
        <v>1</v>
      </c>
      <c r="I11" s="19">
        <f t="shared" si="1"/>
        <v>8.7969999999999993E-2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1</v>
      </c>
      <c r="T11" s="19">
        <f t="shared" si="6"/>
        <v>8.7969999999999993E-2</v>
      </c>
      <c r="U11" s="21">
        <f t="shared" si="7"/>
        <v>-1</v>
      </c>
      <c r="V11" s="19">
        <f t="shared" si="8"/>
        <v>-8.7969999999999993E-2</v>
      </c>
      <c r="X11" s="29"/>
    </row>
    <row r="12" spans="1:24">
      <c r="A12" s="36"/>
      <c r="B12" s="36"/>
      <c r="C12" s="37"/>
      <c r="D12" s="38"/>
      <c r="E12" s="31">
        <f>SUM(E6:E11)</f>
        <v>165</v>
      </c>
      <c r="F12" s="38">
        <f>SUM(F6:F11)</f>
        <v>16.395755999999999</v>
      </c>
      <c r="G12" s="17"/>
      <c r="H12" s="31">
        <f>SUM(H6:H11)</f>
        <v>98</v>
      </c>
      <c r="I12" s="38">
        <f>SUM(I6:I11)</f>
        <v>9.6109539999999996</v>
      </c>
      <c r="J12" s="16"/>
      <c r="K12" s="31">
        <f>SUM(K6:K11)</f>
        <v>68</v>
      </c>
      <c r="L12" s="38">
        <f>SUM(L6:L11)</f>
        <v>6.8755500000000005</v>
      </c>
      <c r="M12" s="16"/>
      <c r="N12" s="31">
        <f>SUM(N6:N11)</f>
        <v>0</v>
      </c>
      <c r="O12" s="38">
        <f>SUM(O6:O11)</f>
        <v>0</v>
      </c>
      <c r="P12" s="16"/>
      <c r="Q12" s="31">
        <f t="shared" ref="Q12:V12" si="18">SUM(Q6:Q11)</f>
        <v>0</v>
      </c>
      <c r="R12" s="38">
        <f t="shared" si="18"/>
        <v>0</v>
      </c>
      <c r="S12" s="31">
        <f t="shared" si="18"/>
        <v>166</v>
      </c>
      <c r="T12" s="38">
        <f t="shared" si="18"/>
        <v>16.486503999999996</v>
      </c>
      <c r="U12" s="31">
        <f t="shared" si="18"/>
        <v>-1</v>
      </c>
      <c r="V12" s="38">
        <f t="shared" si="18"/>
        <v>-9.0748000000000162E-2</v>
      </c>
      <c r="X12" s="29"/>
    </row>
    <row r="13" spans="1:24">
      <c r="A13" s="26" t="s">
        <v>13</v>
      </c>
      <c r="B13" s="26" t="s">
        <v>46</v>
      </c>
      <c r="C13" s="30">
        <v>10.73</v>
      </c>
      <c r="D13" s="27">
        <v>6.9</v>
      </c>
      <c r="E13" s="28">
        <v>32</v>
      </c>
      <c r="F13" s="16">
        <f t="shared" ref="F13:F17" si="19">(C13*D13*E13/1000)</f>
        <v>2.3691840000000002</v>
      </c>
      <c r="G13" s="17" t="s">
        <v>88</v>
      </c>
      <c r="H13" s="18">
        <v>8</v>
      </c>
      <c r="I13" s="19">
        <f t="shared" ref="I13:I17" si="20">(C13*D13*H13/1000)</f>
        <v>0.59229600000000004</v>
      </c>
      <c r="J13" s="16" t="s">
        <v>89</v>
      </c>
      <c r="K13" s="18">
        <v>26</v>
      </c>
      <c r="L13" s="19">
        <f t="shared" ref="L13:L17" si="21">(C13*D13*K13/1000)</f>
        <v>1.9249620000000003</v>
      </c>
      <c r="M13" s="16"/>
      <c r="N13" s="18"/>
      <c r="O13" s="19">
        <f t="shared" ref="O13:O17" si="22">(C13*D13*N13/1000)</f>
        <v>0</v>
      </c>
      <c r="P13" s="16"/>
      <c r="Q13" s="18"/>
      <c r="R13" s="19">
        <f t="shared" ref="R13:R17" si="23">(C13*D13*Q13/1000)</f>
        <v>0</v>
      </c>
      <c r="S13" s="20">
        <f t="shared" ref="S13:S17" si="24">+H13+K13+Q13</f>
        <v>34</v>
      </c>
      <c r="T13" s="19">
        <f t="shared" ref="T13:T17" si="25">+I13+L13+R13</f>
        <v>2.5172580000000004</v>
      </c>
      <c r="U13" s="21">
        <f t="shared" ref="U13:U17" si="26">E13-S13</f>
        <v>-2</v>
      </c>
      <c r="V13" s="19">
        <f t="shared" ref="V13:V17" si="27">F13-T13</f>
        <v>-0.14807400000000026</v>
      </c>
      <c r="X13" s="29"/>
    </row>
    <row r="14" spans="1:24">
      <c r="A14" s="26" t="s">
        <v>13</v>
      </c>
      <c r="B14" s="26" t="s">
        <v>46</v>
      </c>
      <c r="C14" s="30">
        <v>10.73</v>
      </c>
      <c r="D14" s="27">
        <v>9.4</v>
      </c>
      <c r="E14" s="28">
        <v>14</v>
      </c>
      <c r="F14" s="16">
        <f t="shared" si="19"/>
        <v>1.4120680000000001</v>
      </c>
      <c r="G14" s="17" t="s">
        <v>303</v>
      </c>
      <c r="H14" s="18">
        <v>13</v>
      </c>
      <c r="I14" s="19">
        <f t="shared" si="20"/>
        <v>1.3112060000000001</v>
      </c>
      <c r="J14" s="16" t="s">
        <v>304</v>
      </c>
      <c r="K14" s="18">
        <v>1</v>
      </c>
      <c r="L14" s="19">
        <f t="shared" si="21"/>
        <v>0.10086200000000001</v>
      </c>
      <c r="M14" s="16"/>
      <c r="N14" s="18"/>
      <c r="O14" s="19">
        <f t="shared" si="22"/>
        <v>0</v>
      </c>
      <c r="P14" s="16"/>
      <c r="Q14" s="18"/>
      <c r="R14" s="19">
        <f t="shared" si="23"/>
        <v>0</v>
      </c>
      <c r="S14" s="20">
        <f t="shared" si="24"/>
        <v>14</v>
      </c>
      <c r="T14" s="19">
        <f t="shared" si="25"/>
        <v>1.4120680000000001</v>
      </c>
      <c r="U14" s="21">
        <f t="shared" si="26"/>
        <v>0</v>
      </c>
      <c r="V14" s="19">
        <f t="shared" si="27"/>
        <v>0</v>
      </c>
      <c r="X14" s="29"/>
    </row>
    <row r="15" spans="1:24">
      <c r="A15" s="26" t="s">
        <v>13</v>
      </c>
      <c r="B15" s="26" t="s">
        <v>46</v>
      </c>
      <c r="C15" s="30">
        <v>10.73</v>
      </c>
      <c r="D15" s="27">
        <v>10.8</v>
      </c>
      <c r="E15" s="28">
        <v>12</v>
      </c>
      <c r="F15" s="16">
        <f t="shared" si="19"/>
        <v>1.3906080000000001</v>
      </c>
      <c r="G15" s="17"/>
      <c r="H15" s="18">
        <v>8</v>
      </c>
      <c r="I15" s="19">
        <f t="shared" si="20"/>
        <v>0.92707200000000012</v>
      </c>
      <c r="J15" s="16"/>
      <c r="K15" s="18">
        <v>2</v>
      </c>
      <c r="L15" s="19">
        <f t="shared" si="21"/>
        <v>0.23176800000000003</v>
      </c>
      <c r="M15" s="16"/>
      <c r="N15" s="18"/>
      <c r="O15" s="19">
        <f t="shared" si="22"/>
        <v>0</v>
      </c>
      <c r="P15" s="16"/>
      <c r="Q15" s="18"/>
      <c r="R15" s="19">
        <f t="shared" si="23"/>
        <v>0</v>
      </c>
      <c r="S15" s="20">
        <f t="shared" si="24"/>
        <v>10</v>
      </c>
      <c r="T15" s="19">
        <f t="shared" si="25"/>
        <v>1.1588400000000001</v>
      </c>
      <c r="U15" s="21">
        <f t="shared" si="26"/>
        <v>2</v>
      </c>
      <c r="V15" s="19">
        <f t="shared" si="27"/>
        <v>0.23176799999999997</v>
      </c>
      <c r="X15" s="29"/>
    </row>
    <row r="16" spans="1:24">
      <c r="A16" s="26" t="s">
        <v>13</v>
      </c>
      <c r="B16" s="26" t="s">
        <v>46</v>
      </c>
      <c r="C16" s="30">
        <v>10.73</v>
      </c>
      <c r="D16" s="27">
        <v>11.3</v>
      </c>
      <c r="E16" s="28">
        <v>40</v>
      </c>
      <c r="F16" s="16">
        <f t="shared" si="19"/>
        <v>4.8499600000000003</v>
      </c>
      <c r="G16" s="17"/>
      <c r="H16" s="18">
        <v>40</v>
      </c>
      <c r="I16" s="19">
        <f t="shared" si="20"/>
        <v>4.8499600000000003</v>
      </c>
      <c r="J16" s="16"/>
      <c r="K16" s="18">
        <v>2</v>
      </c>
      <c r="L16" s="19">
        <f t="shared" si="21"/>
        <v>0.24249800000000002</v>
      </c>
      <c r="M16" s="16"/>
      <c r="N16" s="18"/>
      <c r="O16" s="19">
        <f t="shared" si="22"/>
        <v>0</v>
      </c>
      <c r="P16" s="16"/>
      <c r="Q16" s="18"/>
      <c r="R16" s="19">
        <f t="shared" si="23"/>
        <v>0</v>
      </c>
      <c r="S16" s="20">
        <f t="shared" si="24"/>
        <v>42</v>
      </c>
      <c r="T16" s="19">
        <f t="shared" si="25"/>
        <v>5.0924580000000006</v>
      </c>
      <c r="U16" s="21">
        <f t="shared" si="26"/>
        <v>-2</v>
      </c>
      <c r="V16" s="19">
        <f t="shared" si="27"/>
        <v>-0.24249800000000032</v>
      </c>
      <c r="X16" s="29"/>
    </row>
    <row r="17" spans="1:24">
      <c r="A17" s="26" t="s">
        <v>13</v>
      </c>
      <c r="B17" s="26" t="s">
        <v>46</v>
      </c>
      <c r="C17" s="30">
        <v>10.73</v>
      </c>
      <c r="D17" s="27">
        <v>12</v>
      </c>
      <c r="E17" s="28">
        <v>44</v>
      </c>
      <c r="F17" s="16">
        <f t="shared" si="19"/>
        <v>5.6654399999999994</v>
      </c>
      <c r="G17" s="17"/>
      <c r="H17" s="18">
        <v>44</v>
      </c>
      <c r="I17" s="19">
        <f t="shared" si="20"/>
        <v>5.6654399999999994</v>
      </c>
      <c r="J17" s="16"/>
      <c r="K17" s="18"/>
      <c r="L17" s="19">
        <f t="shared" si="21"/>
        <v>0</v>
      </c>
      <c r="M17" s="16"/>
      <c r="N17" s="18"/>
      <c r="O17" s="19">
        <f t="shared" si="22"/>
        <v>0</v>
      </c>
      <c r="P17" s="16"/>
      <c r="Q17" s="18"/>
      <c r="R17" s="19">
        <f t="shared" si="23"/>
        <v>0</v>
      </c>
      <c r="S17" s="20">
        <f t="shared" si="24"/>
        <v>44</v>
      </c>
      <c r="T17" s="19">
        <f t="shared" si="25"/>
        <v>5.6654399999999994</v>
      </c>
      <c r="U17" s="21">
        <f t="shared" si="26"/>
        <v>0</v>
      </c>
      <c r="V17" s="19">
        <f t="shared" si="27"/>
        <v>0</v>
      </c>
      <c r="X17" s="29"/>
    </row>
    <row r="18" spans="1:24">
      <c r="A18" s="36"/>
      <c r="B18" s="36"/>
      <c r="C18" s="37"/>
      <c r="D18" s="38"/>
      <c r="E18" s="31">
        <f>SUM(E13:E17)</f>
        <v>142</v>
      </c>
      <c r="F18" s="38">
        <f>SUM(F13:F17)</f>
        <v>15.687260000000002</v>
      </c>
      <c r="G18" s="17"/>
      <c r="H18" s="31">
        <f>SUM(H13:H17)</f>
        <v>113</v>
      </c>
      <c r="I18" s="38">
        <f>SUM(I13:I17)</f>
        <v>13.345974</v>
      </c>
      <c r="J18" s="16"/>
      <c r="K18" s="31">
        <f>SUM(K13:K17)</f>
        <v>31</v>
      </c>
      <c r="L18" s="38">
        <f>SUM(L13:L17)</f>
        <v>2.5000900000000001</v>
      </c>
      <c r="M18" s="16"/>
      <c r="N18" s="31">
        <f>SUM(N13:N17)</f>
        <v>0</v>
      </c>
      <c r="O18" s="38">
        <f>SUM(O13:O17)</f>
        <v>0</v>
      </c>
      <c r="P18" s="16"/>
      <c r="Q18" s="31">
        <f t="shared" ref="Q18:V18" si="28">SUM(Q13:Q17)</f>
        <v>0</v>
      </c>
      <c r="R18" s="38">
        <f t="shared" si="28"/>
        <v>0</v>
      </c>
      <c r="S18" s="31">
        <f t="shared" si="28"/>
        <v>144</v>
      </c>
      <c r="T18" s="38">
        <f t="shared" si="28"/>
        <v>15.846064000000002</v>
      </c>
      <c r="U18" s="31">
        <f t="shared" si="28"/>
        <v>-2</v>
      </c>
      <c r="V18" s="38">
        <f t="shared" si="28"/>
        <v>-0.15880400000000061</v>
      </c>
      <c r="X18" s="29"/>
    </row>
    <row r="19" spans="1:24">
      <c r="A19" s="26" t="s">
        <v>13</v>
      </c>
      <c r="B19" s="26" t="s">
        <v>61</v>
      </c>
      <c r="C19" s="30">
        <v>12.18</v>
      </c>
      <c r="D19" s="27">
        <v>6.8</v>
      </c>
      <c r="E19" s="28">
        <v>48</v>
      </c>
      <c r="F19" s="16">
        <f t="shared" ref="F19:F20" si="29">(C19*D19*E19/1000)</f>
        <v>3.9755519999999995</v>
      </c>
      <c r="G19" s="17"/>
      <c r="H19" s="18"/>
      <c r="I19" s="19">
        <f t="shared" ref="I19:I20" si="30">(C19*D19*H19/1000)</f>
        <v>0</v>
      </c>
      <c r="J19" s="16" t="s">
        <v>89</v>
      </c>
      <c r="K19" s="18">
        <f>31+17</f>
        <v>48</v>
      </c>
      <c r="L19" s="19">
        <f t="shared" ref="L19:L20" si="31">(C19*D19*K19/1000)</f>
        <v>3.9755519999999995</v>
      </c>
      <c r="M19" s="16"/>
      <c r="N19" s="18"/>
      <c r="O19" s="19">
        <f t="shared" ref="O19:O20" si="32">(C19*D19*N19/1000)</f>
        <v>0</v>
      </c>
      <c r="P19" s="16"/>
      <c r="Q19" s="18"/>
      <c r="R19" s="19">
        <f t="shared" ref="R19:R20" si="33">(C19*D19*Q19/1000)</f>
        <v>0</v>
      </c>
      <c r="S19" s="20">
        <f t="shared" ref="S19:S20" si="34">+H19+K19+Q19</f>
        <v>48</v>
      </c>
      <c r="T19" s="19">
        <f t="shared" ref="T19:T20" si="35">+I19+L19+R19</f>
        <v>3.9755519999999995</v>
      </c>
      <c r="U19" s="21">
        <f t="shared" ref="U19:U20" si="36">E19-S19</f>
        <v>0</v>
      </c>
      <c r="V19" s="19">
        <f t="shared" ref="V19:V20" si="37">F19-T19</f>
        <v>0</v>
      </c>
      <c r="X19" s="29"/>
    </row>
    <row r="20" spans="1:24">
      <c r="A20" s="26" t="s">
        <v>13</v>
      </c>
      <c r="B20" s="26" t="s">
        <v>61</v>
      </c>
      <c r="C20" s="30">
        <v>12.18</v>
      </c>
      <c r="D20" s="27">
        <v>12</v>
      </c>
      <c r="E20" s="28">
        <v>9</v>
      </c>
      <c r="F20" s="16">
        <f t="shared" si="29"/>
        <v>1.3154400000000002</v>
      </c>
      <c r="G20" s="17"/>
      <c r="H20" s="18"/>
      <c r="I20" s="19">
        <f t="shared" si="30"/>
        <v>0</v>
      </c>
      <c r="J20" s="16" t="s">
        <v>304</v>
      </c>
      <c r="K20" s="18">
        <v>9</v>
      </c>
      <c r="L20" s="19">
        <f t="shared" si="31"/>
        <v>1.3154400000000002</v>
      </c>
      <c r="M20" s="16"/>
      <c r="N20" s="18"/>
      <c r="O20" s="19">
        <f t="shared" si="32"/>
        <v>0</v>
      </c>
      <c r="P20" s="16"/>
      <c r="Q20" s="18"/>
      <c r="R20" s="19">
        <f t="shared" si="33"/>
        <v>0</v>
      </c>
      <c r="S20" s="20">
        <f t="shared" si="34"/>
        <v>9</v>
      </c>
      <c r="T20" s="19">
        <f t="shared" si="35"/>
        <v>1.3154400000000002</v>
      </c>
      <c r="U20" s="21">
        <f t="shared" si="36"/>
        <v>0</v>
      </c>
      <c r="V20" s="19">
        <f t="shared" si="37"/>
        <v>0</v>
      </c>
      <c r="X20" s="29"/>
    </row>
    <row r="21" spans="1:24">
      <c r="A21" s="36"/>
      <c r="B21" s="36"/>
      <c r="C21" s="37"/>
      <c r="D21" s="38"/>
      <c r="E21" s="31">
        <f>SUM(E19:E20)</f>
        <v>57</v>
      </c>
      <c r="F21" s="38">
        <f>SUM(F19:F20)</f>
        <v>5.2909919999999993</v>
      </c>
      <c r="G21" s="17"/>
      <c r="H21" s="31">
        <f>SUM(H19:H20)</f>
        <v>0</v>
      </c>
      <c r="I21" s="38">
        <f>SUM(I19:I20)</f>
        <v>0</v>
      </c>
      <c r="J21" s="16"/>
      <c r="K21" s="31">
        <f>SUM(K19:K20)</f>
        <v>57</v>
      </c>
      <c r="L21" s="38">
        <f>SUM(L19:L20)</f>
        <v>5.2909919999999993</v>
      </c>
      <c r="M21" s="16"/>
      <c r="N21" s="31">
        <f>SUM(N19:N20)</f>
        <v>0</v>
      </c>
      <c r="O21" s="38">
        <f>SUM(O19:O20)</f>
        <v>0</v>
      </c>
      <c r="P21" s="16"/>
      <c r="Q21" s="31">
        <f t="shared" ref="Q21:V21" si="38">SUM(Q19:Q20)</f>
        <v>0</v>
      </c>
      <c r="R21" s="38">
        <f t="shared" si="38"/>
        <v>0</v>
      </c>
      <c r="S21" s="31">
        <f t="shared" si="38"/>
        <v>57</v>
      </c>
      <c r="T21" s="38">
        <f t="shared" si="38"/>
        <v>5.2909919999999993</v>
      </c>
      <c r="U21" s="31">
        <f t="shared" si="38"/>
        <v>0</v>
      </c>
      <c r="V21" s="38">
        <f t="shared" si="38"/>
        <v>0</v>
      </c>
      <c r="X21" s="29"/>
    </row>
    <row r="22" spans="1:24">
      <c r="A22" s="26" t="s">
        <v>13</v>
      </c>
      <c r="B22" s="26" t="s">
        <v>18</v>
      </c>
      <c r="C22" s="30">
        <v>16.579999999999998</v>
      </c>
      <c r="D22" s="27">
        <v>8.6</v>
      </c>
      <c r="E22" s="28">
        <v>8</v>
      </c>
      <c r="F22" s="16">
        <f>(C22*D22*E22/1000)</f>
        <v>1.1407039999999997</v>
      </c>
      <c r="G22" s="16" t="s">
        <v>89</v>
      </c>
      <c r="H22" s="18">
        <v>8</v>
      </c>
      <c r="I22" s="19">
        <f>(C22*D22*H22/1000)</f>
        <v>1.1407039999999997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</f>
        <v>8</v>
      </c>
      <c r="T22" s="19">
        <f>+I22+L22+R22</f>
        <v>1.1407039999999997</v>
      </c>
      <c r="U22" s="21">
        <f>E22-S22</f>
        <v>0</v>
      </c>
      <c r="V22" s="19">
        <f>F22-T22</f>
        <v>0</v>
      </c>
      <c r="X22" s="29"/>
    </row>
    <row r="23" spans="1:24">
      <c r="A23" s="36"/>
      <c r="B23" s="36"/>
      <c r="C23" s="37"/>
      <c r="D23" s="38"/>
      <c r="E23" s="31">
        <f t="shared" ref="E23:F23" si="39">SUM(E22)</f>
        <v>8</v>
      </c>
      <c r="F23" s="38">
        <f t="shared" si="39"/>
        <v>1.1407039999999997</v>
      </c>
      <c r="G23" s="16" t="s">
        <v>327</v>
      </c>
      <c r="H23" s="31">
        <f t="shared" ref="H23" si="40">SUM(H22)</f>
        <v>8</v>
      </c>
      <c r="I23" s="38">
        <f t="shared" ref="I23" si="41">SUM(I22)</f>
        <v>1.1407039999999997</v>
      </c>
      <c r="J23" s="16"/>
      <c r="K23" s="31">
        <f t="shared" ref="K23" si="42">SUM(K22)</f>
        <v>0</v>
      </c>
      <c r="L23" s="38">
        <f t="shared" ref="L23" si="43">SUM(L22)</f>
        <v>0</v>
      </c>
      <c r="M23" s="16"/>
      <c r="N23" s="31">
        <f t="shared" ref="N23" si="44">SUM(N22)</f>
        <v>0</v>
      </c>
      <c r="O23" s="38">
        <f t="shared" ref="O23" si="45">SUM(O22)</f>
        <v>0</v>
      </c>
      <c r="P23" s="16"/>
      <c r="Q23" s="31">
        <f t="shared" ref="Q23" si="46">SUM(Q22)</f>
        <v>0</v>
      </c>
      <c r="R23" s="38">
        <f t="shared" ref="R23" si="47">SUM(R22)</f>
        <v>0</v>
      </c>
      <c r="S23" s="31">
        <f t="shared" ref="S23" si="48">SUM(S22)</f>
        <v>8</v>
      </c>
      <c r="T23" s="38">
        <f t="shared" ref="T23" si="49">SUM(T22)</f>
        <v>1.1407039999999997</v>
      </c>
      <c r="U23" s="31">
        <f t="shared" ref="U23" si="50">SUM(U22)</f>
        <v>0</v>
      </c>
      <c r="V23" s="38">
        <f t="shared" ref="V23" si="51">SUM(V22)</f>
        <v>0</v>
      </c>
      <c r="X23" s="29"/>
    </row>
    <row r="24" spans="1:24">
      <c r="A24" s="26" t="s">
        <v>13</v>
      </c>
      <c r="B24" s="26" t="s">
        <v>31</v>
      </c>
      <c r="C24" s="30">
        <v>10.199999999999999</v>
      </c>
      <c r="D24" s="27">
        <v>7</v>
      </c>
      <c r="E24" s="28">
        <v>13</v>
      </c>
      <c r="F24" s="16">
        <f t="shared" ref="F24:F27" si="52">(C24*D24*E24/1000)</f>
        <v>0.92819999999999991</v>
      </c>
      <c r="G24" s="16" t="s">
        <v>89</v>
      </c>
      <c r="H24" s="18"/>
      <c r="I24" s="19">
        <f t="shared" ref="I24:I27" si="53">(C24*D24*H24/1000)</f>
        <v>0</v>
      </c>
      <c r="J24" s="16"/>
      <c r="K24" s="18"/>
      <c r="L24" s="19">
        <f t="shared" ref="L24:L27" si="54">(C24*D24*K24/1000)</f>
        <v>0</v>
      </c>
      <c r="M24" s="16"/>
      <c r="N24" s="18"/>
      <c r="O24" s="19">
        <f t="shared" ref="O24:O27" si="55">(C24*D24*N24/1000)</f>
        <v>0</v>
      </c>
      <c r="P24" s="16"/>
      <c r="Q24" s="18"/>
      <c r="R24" s="19">
        <f t="shared" ref="R24:R27" si="56">(C24*D24*Q24/1000)</f>
        <v>0</v>
      </c>
      <c r="S24" s="20">
        <f t="shared" ref="S24:S27" si="57">+H24+K24+Q24</f>
        <v>0</v>
      </c>
      <c r="T24" s="19">
        <f t="shared" ref="T24:T27" si="58">+I24+L24+R24</f>
        <v>0</v>
      </c>
      <c r="U24" s="21">
        <f t="shared" ref="U24:U27" si="59">E24-S24</f>
        <v>13</v>
      </c>
      <c r="V24" s="19">
        <f t="shared" ref="V24:V27" si="60">F24-T24</f>
        <v>0.92819999999999991</v>
      </c>
      <c r="X24" s="29"/>
    </row>
    <row r="25" spans="1:24">
      <c r="A25" s="26" t="s">
        <v>13</v>
      </c>
      <c r="B25" s="26" t="s">
        <v>31</v>
      </c>
      <c r="C25" s="30">
        <v>10.199999999999999</v>
      </c>
      <c r="D25" s="27">
        <v>9.8000000000000007</v>
      </c>
      <c r="E25" s="28">
        <v>10</v>
      </c>
      <c r="F25" s="16">
        <f t="shared" ref="F25:F26" si="61">(C25*D25*E25/1000)</f>
        <v>0.99959999999999993</v>
      </c>
      <c r="G25" s="16" t="s">
        <v>327</v>
      </c>
      <c r="H25" s="18">
        <v>21</v>
      </c>
      <c r="I25" s="19">
        <f t="shared" ref="I25:I26" si="62">(C25*D25*H25/1000)</f>
        <v>2.0991599999999999</v>
      </c>
      <c r="J25" s="16"/>
      <c r="K25" s="18"/>
      <c r="L25" s="19">
        <f t="shared" ref="L25:L26" si="63">(C25*D25*K25/1000)</f>
        <v>0</v>
      </c>
      <c r="M25" s="16"/>
      <c r="N25" s="18"/>
      <c r="O25" s="19">
        <f t="shared" ref="O25:O26" si="64">(C25*D25*N25/1000)</f>
        <v>0</v>
      </c>
      <c r="P25" s="16"/>
      <c r="Q25" s="18"/>
      <c r="R25" s="19">
        <f t="shared" ref="R25:R26" si="65">(C25*D25*Q25/1000)</f>
        <v>0</v>
      </c>
      <c r="S25" s="20">
        <f t="shared" ref="S25:S26" si="66">+H25+K25+Q25</f>
        <v>21</v>
      </c>
      <c r="T25" s="19">
        <f t="shared" ref="T25:T26" si="67">+I25+L25+R25</f>
        <v>2.0991599999999999</v>
      </c>
      <c r="U25" s="21">
        <f t="shared" ref="U25:U26" si="68">E25-S25</f>
        <v>-11</v>
      </c>
      <c r="V25" s="19">
        <f t="shared" ref="V25:V26" si="69">F25-T25</f>
        <v>-1.0995599999999999</v>
      </c>
      <c r="X25" s="29"/>
    </row>
    <row r="26" spans="1:24">
      <c r="A26" s="26" t="s">
        <v>13</v>
      </c>
      <c r="B26" s="26" t="s">
        <v>31</v>
      </c>
      <c r="C26" s="30">
        <v>10.199999999999999</v>
      </c>
      <c r="D26" s="27">
        <v>8.6</v>
      </c>
      <c r="E26" s="28"/>
      <c r="F26" s="16">
        <f t="shared" si="61"/>
        <v>0</v>
      </c>
      <c r="G26" s="16"/>
      <c r="H26" s="18">
        <v>2</v>
      </c>
      <c r="I26" s="19">
        <f t="shared" si="62"/>
        <v>0.17543999999999996</v>
      </c>
      <c r="J26" s="16"/>
      <c r="K26" s="18"/>
      <c r="L26" s="19">
        <f t="shared" si="63"/>
        <v>0</v>
      </c>
      <c r="M26" s="16"/>
      <c r="N26" s="18"/>
      <c r="O26" s="19">
        <f t="shared" si="64"/>
        <v>0</v>
      </c>
      <c r="P26" s="16"/>
      <c r="Q26" s="18"/>
      <c r="R26" s="19">
        <f t="shared" si="65"/>
        <v>0</v>
      </c>
      <c r="S26" s="20">
        <f t="shared" si="66"/>
        <v>2</v>
      </c>
      <c r="T26" s="19">
        <f t="shared" si="67"/>
        <v>0.17543999999999996</v>
      </c>
      <c r="U26" s="21">
        <f t="shared" si="68"/>
        <v>-2</v>
      </c>
      <c r="V26" s="19">
        <f t="shared" si="69"/>
        <v>-0.17543999999999996</v>
      </c>
      <c r="X26" s="29"/>
    </row>
    <row r="27" spans="1:24">
      <c r="A27" s="26" t="s">
        <v>13</v>
      </c>
      <c r="B27" s="26" t="s">
        <v>31</v>
      </c>
      <c r="C27" s="30">
        <v>10.199999999999999</v>
      </c>
      <c r="D27" s="27"/>
      <c r="E27" s="28"/>
      <c r="F27" s="16">
        <f t="shared" si="52"/>
        <v>0</v>
      </c>
      <c r="G27" s="16"/>
      <c r="H27" s="18"/>
      <c r="I27" s="19">
        <f t="shared" si="53"/>
        <v>0</v>
      </c>
      <c r="J27" s="16"/>
      <c r="K27" s="18"/>
      <c r="L27" s="19">
        <f t="shared" si="54"/>
        <v>0</v>
      </c>
      <c r="M27" s="16"/>
      <c r="N27" s="18"/>
      <c r="O27" s="19">
        <f t="shared" si="55"/>
        <v>0</v>
      </c>
      <c r="P27" s="16"/>
      <c r="Q27" s="18"/>
      <c r="R27" s="19">
        <f t="shared" si="56"/>
        <v>0</v>
      </c>
      <c r="S27" s="20">
        <f t="shared" si="57"/>
        <v>0</v>
      </c>
      <c r="T27" s="19">
        <f t="shared" si="58"/>
        <v>0</v>
      </c>
      <c r="U27" s="21">
        <f t="shared" si="59"/>
        <v>0</v>
      </c>
      <c r="V27" s="19">
        <f t="shared" si="60"/>
        <v>0</v>
      </c>
      <c r="X27" s="29"/>
    </row>
    <row r="28" spans="1:24">
      <c r="A28" s="36"/>
      <c r="B28" s="36"/>
      <c r="C28" s="37"/>
      <c r="D28" s="38"/>
      <c r="E28" s="31">
        <f t="shared" ref="E28:F28" si="70">SUM(E24:E27)</f>
        <v>23</v>
      </c>
      <c r="F28" s="38">
        <f t="shared" si="70"/>
        <v>1.9278</v>
      </c>
      <c r="G28" s="17"/>
      <c r="H28" s="31">
        <f t="shared" ref="H28" si="71">SUM(H24:H27)</f>
        <v>23</v>
      </c>
      <c r="I28" s="38">
        <f t="shared" ref="I28" si="72">SUM(I24:I27)</f>
        <v>2.2746</v>
      </c>
      <c r="J28" s="16"/>
      <c r="K28" s="31">
        <f t="shared" ref="K28" si="73">SUM(K24:K27)</f>
        <v>0</v>
      </c>
      <c r="L28" s="38">
        <f t="shared" ref="L28" si="74">SUM(L24:L27)</f>
        <v>0</v>
      </c>
      <c r="M28" s="16"/>
      <c r="N28" s="31">
        <f t="shared" ref="N28" si="75">SUM(N24:N27)</f>
        <v>0</v>
      </c>
      <c r="O28" s="38">
        <f t="shared" ref="O28" si="76">SUM(O24:O27)</f>
        <v>0</v>
      </c>
      <c r="P28" s="16"/>
      <c r="Q28" s="31">
        <f t="shared" ref="Q28" si="77">SUM(Q24:Q27)</f>
        <v>0</v>
      </c>
      <c r="R28" s="38">
        <f t="shared" ref="R28" si="78">SUM(R24:R27)</f>
        <v>0</v>
      </c>
      <c r="S28" s="31">
        <f t="shared" ref="S28" si="79">SUM(S24:S27)</f>
        <v>23</v>
      </c>
      <c r="T28" s="38">
        <f t="shared" ref="T28" si="80">SUM(T24:T27)</f>
        <v>2.2746</v>
      </c>
      <c r="U28" s="31">
        <f t="shared" ref="U28" si="81">SUM(U24:U27)</f>
        <v>0</v>
      </c>
      <c r="V28" s="38">
        <f t="shared" ref="V28" si="82">SUM(V24:V27)</f>
        <v>-0.34679999999999989</v>
      </c>
      <c r="X28" s="29"/>
    </row>
    <row r="29" spans="1:24">
      <c r="A29" s="26" t="s">
        <v>13</v>
      </c>
      <c r="B29" s="26" t="s">
        <v>32</v>
      </c>
      <c r="C29" s="30">
        <v>11.8</v>
      </c>
      <c r="D29" s="27">
        <v>9.6</v>
      </c>
      <c r="E29" s="28">
        <v>54</v>
      </c>
      <c r="F29" s="16">
        <f t="shared" ref="F29:F38" si="83">(C29*D29*E29/1000)</f>
        <v>6.1171199999999999</v>
      </c>
      <c r="G29" s="17" t="s">
        <v>325</v>
      </c>
      <c r="H29" s="18">
        <v>51</v>
      </c>
      <c r="I29" s="19">
        <f t="shared" ref="I29:I38" si="84">(C29*D29*H29/1000)</f>
        <v>5.7772799999999993</v>
      </c>
      <c r="J29" s="16" t="s">
        <v>89</v>
      </c>
      <c r="K29" s="18">
        <v>3</v>
      </c>
      <c r="L29" s="19">
        <f t="shared" ref="L29:L38" si="85">(C29*D29*K29/1000)</f>
        <v>0.33984000000000003</v>
      </c>
      <c r="M29" s="16"/>
      <c r="N29" s="18"/>
      <c r="O29" s="19">
        <f t="shared" ref="O29:O38" si="86">(C29*D29*N29/1000)</f>
        <v>0</v>
      </c>
      <c r="P29" s="16"/>
      <c r="Q29" s="18"/>
      <c r="R29" s="19">
        <f t="shared" ref="R29:R38" si="87">(C29*D29*Q29/1000)</f>
        <v>0</v>
      </c>
      <c r="S29" s="20">
        <f t="shared" ref="S29:S38" si="88">+H29+K29+Q29</f>
        <v>54</v>
      </c>
      <c r="T29" s="19">
        <f t="shared" ref="T29:T38" si="89">+I29+L29+R29</f>
        <v>6.117119999999999</v>
      </c>
      <c r="U29" s="21">
        <f t="shared" ref="U29:U38" si="90">E29-S29</f>
        <v>0</v>
      </c>
      <c r="V29" s="19">
        <f t="shared" ref="V29:V38" si="91">F29-T29</f>
        <v>0</v>
      </c>
      <c r="X29" s="29"/>
    </row>
    <row r="30" spans="1:24">
      <c r="A30" s="26" t="s">
        <v>13</v>
      </c>
      <c r="B30" s="26" t="s">
        <v>32</v>
      </c>
      <c r="C30" s="30">
        <v>11.8</v>
      </c>
      <c r="D30" s="27">
        <v>10.199999999999999</v>
      </c>
      <c r="E30" s="28">
        <v>73</v>
      </c>
      <c r="F30" s="16">
        <f t="shared" si="83"/>
        <v>8.7862800000000014</v>
      </c>
      <c r="G30" s="17" t="s">
        <v>326</v>
      </c>
      <c r="H30" s="18">
        <v>31</v>
      </c>
      <c r="I30" s="19">
        <f t="shared" si="84"/>
        <v>3.73116</v>
      </c>
      <c r="J30" s="16" t="s">
        <v>327</v>
      </c>
      <c r="K30" s="18">
        <v>35</v>
      </c>
      <c r="L30" s="19">
        <f t="shared" si="85"/>
        <v>4.2126000000000001</v>
      </c>
      <c r="M30" s="16"/>
      <c r="N30" s="18"/>
      <c r="O30" s="19">
        <f t="shared" si="86"/>
        <v>0</v>
      </c>
      <c r="P30" s="16"/>
      <c r="Q30" s="18"/>
      <c r="R30" s="19">
        <f t="shared" si="87"/>
        <v>0</v>
      </c>
      <c r="S30" s="20">
        <f t="shared" si="88"/>
        <v>66</v>
      </c>
      <c r="T30" s="19">
        <f t="shared" si="89"/>
        <v>7.9437600000000002</v>
      </c>
      <c r="U30" s="21">
        <f t="shared" si="90"/>
        <v>7</v>
      </c>
      <c r="V30" s="19">
        <f t="shared" si="91"/>
        <v>0.84252000000000127</v>
      </c>
      <c r="X30" s="29"/>
    </row>
    <row r="31" spans="1:24">
      <c r="A31" s="26" t="s">
        <v>13</v>
      </c>
      <c r="B31" s="26" t="s">
        <v>32</v>
      </c>
      <c r="C31" s="30">
        <v>11.8</v>
      </c>
      <c r="D31" s="27">
        <v>11.3</v>
      </c>
      <c r="E31" s="28">
        <v>28</v>
      </c>
      <c r="F31" s="16">
        <f t="shared" si="83"/>
        <v>3.7335199999999999</v>
      </c>
      <c r="G31" s="17"/>
      <c r="H31" s="18">
        <v>12</v>
      </c>
      <c r="I31" s="19">
        <f t="shared" si="84"/>
        <v>1.6000799999999999</v>
      </c>
      <c r="J31" s="16"/>
      <c r="K31" s="18">
        <v>17</v>
      </c>
      <c r="L31" s="19">
        <f t="shared" si="85"/>
        <v>2.2667800000000002</v>
      </c>
      <c r="M31" s="16"/>
      <c r="N31" s="18"/>
      <c r="O31" s="19">
        <f t="shared" si="86"/>
        <v>0</v>
      </c>
      <c r="P31" s="16"/>
      <c r="Q31" s="18"/>
      <c r="R31" s="19">
        <f t="shared" si="87"/>
        <v>0</v>
      </c>
      <c r="S31" s="20">
        <f t="shared" si="88"/>
        <v>29</v>
      </c>
      <c r="T31" s="19">
        <f t="shared" si="89"/>
        <v>3.86686</v>
      </c>
      <c r="U31" s="21">
        <f t="shared" si="90"/>
        <v>-1</v>
      </c>
      <c r="V31" s="19">
        <f t="shared" si="91"/>
        <v>-0.13334000000000001</v>
      </c>
      <c r="X31" s="29"/>
    </row>
    <row r="32" spans="1:24">
      <c r="A32" s="26" t="s">
        <v>13</v>
      </c>
      <c r="B32" s="26" t="s">
        <v>32</v>
      </c>
      <c r="C32" s="30">
        <v>11.8</v>
      </c>
      <c r="D32" s="27">
        <v>11.8</v>
      </c>
      <c r="E32" s="28">
        <v>28</v>
      </c>
      <c r="F32" s="16">
        <f t="shared" ref="F32:F37" si="92">(C32*D32*E32/1000)</f>
        <v>3.8987200000000004</v>
      </c>
      <c r="G32" s="17"/>
      <c r="H32" s="18">
        <v>18</v>
      </c>
      <c r="I32" s="19">
        <f t="shared" ref="I32:I37" si="93">(C32*D32*H32/1000)</f>
        <v>2.5063200000000001</v>
      </c>
      <c r="J32" s="16"/>
      <c r="K32" s="18">
        <v>7</v>
      </c>
      <c r="L32" s="19">
        <f t="shared" ref="L32:L37" si="94">(C32*D32*K32/1000)</f>
        <v>0.9746800000000001</v>
      </c>
      <c r="M32" s="16"/>
      <c r="N32" s="18"/>
      <c r="O32" s="19">
        <f t="shared" ref="O32:O37" si="95">(C32*D32*N32/1000)</f>
        <v>0</v>
      </c>
      <c r="P32" s="16"/>
      <c r="Q32" s="18"/>
      <c r="R32" s="19">
        <f t="shared" ref="R32:R37" si="96">(C32*D32*Q32/1000)</f>
        <v>0</v>
      </c>
      <c r="S32" s="20">
        <f t="shared" ref="S32:S37" si="97">+H32+K32+Q32</f>
        <v>25</v>
      </c>
      <c r="T32" s="19">
        <f t="shared" ref="T32:T37" si="98">+I32+L32+R32</f>
        <v>3.4810000000000003</v>
      </c>
      <c r="U32" s="21">
        <f t="shared" ref="U32:U37" si="99">E32-S32</f>
        <v>3</v>
      </c>
      <c r="V32" s="19">
        <f t="shared" ref="V32:V37" si="100">F32-T32</f>
        <v>0.41772000000000009</v>
      </c>
      <c r="X32" s="29"/>
    </row>
    <row r="33" spans="1:24">
      <c r="A33" s="26" t="s">
        <v>13</v>
      </c>
      <c r="B33" s="26" t="s">
        <v>32</v>
      </c>
      <c r="C33" s="30">
        <v>11.8</v>
      </c>
      <c r="D33" s="27">
        <v>11</v>
      </c>
      <c r="E33" s="28"/>
      <c r="F33" s="16">
        <f t="shared" si="92"/>
        <v>0</v>
      </c>
      <c r="G33" s="17"/>
      <c r="H33" s="18"/>
      <c r="I33" s="19">
        <f t="shared" si="93"/>
        <v>0</v>
      </c>
      <c r="J33" s="16"/>
      <c r="K33" s="18">
        <v>1</v>
      </c>
      <c r="L33" s="19">
        <f t="shared" si="94"/>
        <v>0.1298</v>
      </c>
      <c r="M33" s="16"/>
      <c r="N33" s="18"/>
      <c r="O33" s="19">
        <f t="shared" si="95"/>
        <v>0</v>
      </c>
      <c r="P33" s="16"/>
      <c r="Q33" s="18"/>
      <c r="R33" s="19">
        <f t="shared" si="96"/>
        <v>0</v>
      </c>
      <c r="S33" s="20">
        <f t="shared" si="97"/>
        <v>1</v>
      </c>
      <c r="T33" s="19">
        <f t="shared" si="98"/>
        <v>0.1298</v>
      </c>
      <c r="U33" s="21">
        <f t="shared" si="99"/>
        <v>-1</v>
      </c>
      <c r="V33" s="19">
        <f t="shared" si="100"/>
        <v>-0.1298</v>
      </c>
      <c r="X33" s="29"/>
    </row>
    <row r="34" spans="1:24">
      <c r="A34" s="26" t="s">
        <v>13</v>
      </c>
      <c r="B34" s="26" t="s">
        <v>32</v>
      </c>
      <c r="C34" s="30">
        <v>11.8</v>
      </c>
      <c r="D34" s="27">
        <v>11.1</v>
      </c>
      <c r="E34" s="28"/>
      <c r="F34" s="16">
        <f t="shared" si="92"/>
        <v>0</v>
      </c>
      <c r="G34" s="17"/>
      <c r="H34" s="18"/>
      <c r="I34" s="19">
        <f t="shared" si="93"/>
        <v>0</v>
      </c>
      <c r="J34" s="16"/>
      <c r="K34" s="18">
        <v>1</v>
      </c>
      <c r="L34" s="19">
        <f t="shared" si="94"/>
        <v>0.13097999999999999</v>
      </c>
      <c r="M34" s="16"/>
      <c r="N34" s="18"/>
      <c r="O34" s="19">
        <f t="shared" si="95"/>
        <v>0</v>
      </c>
      <c r="P34" s="16"/>
      <c r="Q34" s="18"/>
      <c r="R34" s="19">
        <f t="shared" si="96"/>
        <v>0</v>
      </c>
      <c r="S34" s="20">
        <f t="shared" si="97"/>
        <v>1</v>
      </c>
      <c r="T34" s="19">
        <f t="shared" si="98"/>
        <v>0.13097999999999999</v>
      </c>
      <c r="U34" s="21">
        <f t="shared" si="99"/>
        <v>-1</v>
      </c>
      <c r="V34" s="19">
        <f t="shared" si="100"/>
        <v>-0.13097999999999999</v>
      </c>
      <c r="X34" s="29"/>
    </row>
    <row r="35" spans="1:24">
      <c r="A35" s="26" t="s">
        <v>13</v>
      </c>
      <c r="B35" s="26" t="s">
        <v>32</v>
      </c>
      <c r="C35" s="30">
        <v>11.8</v>
      </c>
      <c r="D35" s="27">
        <v>9.4</v>
      </c>
      <c r="E35" s="28"/>
      <c r="F35" s="16">
        <f t="shared" si="92"/>
        <v>0</v>
      </c>
      <c r="G35" s="17"/>
      <c r="H35" s="18"/>
      <c r="I35" s="19">
        <f t="shared" si="93"/>
        <v>0</v>
      </c>
      <c r="J35" s="16"/>
      <c r="K35" s="18">
        <v>1</v>
      </c>
      <c r="L35" s="19">
        <f t="shared" si="94"/>
        <v>0.11092000000000002</v>
      </c>
      <c r="M35" s="16"/>
      <c r="N35" s="18"/>
      <c r="O35" s="19">
        <f t="shared" si="95"/>
        <v>0</v>
      </c>
      <c r="P35" s="16"/>
      <c r="Q35" s="18"/>
      <c r="R35" s="19">
        <f t="shared" si="96"/>
        <v>0</v>
      </c>
      <c r="S35" s="20">
        <f t="shared" si="97"/>
        <v>1</v>
      </c>
      <c r="T35" s="19">
        <f t="shared" si="98"/>
        <v>0.11092000000000002</v>
      </c>
      <c r="U35" s="21">
        <f t="shared" si="99"/>
        <v>-1</v>
      </c>
      <c r="V35" s="19">
        <f t="shared" si="100"/>
        <v>-0.11092000000000002</v>
      </c>
      <c r="X35" s="29"/>
    </row>
    <row r="36" spans="1:24">
      <c r="A36" s="26" t="s">
        <v>13</v>
      </c>
      <c r="B36" s="26" t="s">
        <v>32</v>
      </c>
      <c r="C36" s="30">
        <v>11.8</v>
      </c>
      <c r="D36" s="27">
        <v>9.6</v>
      </c>
      <c r="E36" s="28"/>
      <c r="F36" s="16">
        <f t="shared" si="92"/>
        <v>0</v>
      </c>
      <c r="G36" s="17"/>
      <c r="H36" s="18"/>
      <c r="I36" s="19">
        <f t="shared" si="93"/>
        <v>0</v>
      </c>
      <c r="J36" s="16"/>
      <c r="K36" s="18">
        <v>4</v>
      </c>
      <c r="L36" s="19">
        <f t="shared" si="94"/>
        <v>0.45312000000000002</v>
      </c>
      <c r="M36" s="16"/>
      <c r="N36" s="18"/>
      <c r="O36" s="19">
        <f t="shared" si="95"/>
        <v>0</v>
      </c>
      <c r="P36" s="16"/>
      <c r="Q36" s="18"/>
      <c r="R36" s="19">
        <f t="shared" si="96"/>
        <v>0</v>
      </c>
      <c r="S36" s="20">
        <f t="shared" si="97"/>
        <v>4</v>
      </c>
      <c r="T36" s="19">
        <f t="shared" si="98"/>
        <v>0.45312000000000002</v>
      </c>
      <c r="U36" s="21">
        <f t="shared" si="99"/>
        <v>-4</v>
      </c>
      <c r="V36" s="19">
        <f t="shared" si="100"/>
        <v>-0.45312000000000002</v>
      </c>
      <c r="X36" s="29"/>
    </row>
    <row r="37" spans="1:24">
      <c r="A37" s="26" t="s">
        <v>13</v>
      </c>
      <c r="B37" s="26" t="s">
        <v>32</v>
      </c>
      <c r="C37" s="30">
        <v>11.8</v>
      </c>
      <c r="D37" s="27">
        <v>12</v>
      </c>
      <c r="E37" s="28"/>
      <c r="F37" s="16">
        <f t="shared" si="92"/>
        <v>0</v>
      </c>
      <c r="G37" s="17"/>
      <c r="H37" s="18"/>
      <c r="I37" s="19">
        <f t="shared" si="93"/>
        <v>0</v>
      </c>
      <c r="J37" s="16"/>
      <c r="K37" s="18">
        <v>3</v>
      </c>
      <c r="L37" s="19">
        <f t="shared" si="94"/>
        <v>0.42480000000000007</v>
      </c>
      <c r="M37" s="16"/>
      <c r="N37" s="18"/>
      <c r="O37" s="19">
        <f t="shared" si="95"/>
        <v>0</v>
      </c>
      <c r="P37" s="16"/>
      <c r="Q37" s="18"/>
      <c r="R37" s="19">
        <f t="shared" si="96"/>
        <v>0</v>
      </c>
      <c r="S37" s="20">
        <f t="shared" si="97"/>
        <v>3</v>
      </c>
      <c r="T37" s="19">
        <f t="shared" si="98"/>
        <v>0.42480000000000007</v>
      </c>
      <c r="U37" s="21">
        <f t="shared" si="99"/>
        <v>-3</v>
      </c>
      <c r="V37" s="19">
        <f t="shared" si="100"/>
        <v>-0.42480000000000007</v>
      </c>
      <c r="X37" s="29"/>
    </row>
    <row r="38" spans="1:24">
      <c r="A38" s="26" t="s">
        <v>13</v>
      </c>
      <c r="B38" s="26" t="s">
        <v>32</v>
      </c>
      <c r="C38" s="30">
        <v>11.8</v>
      </c>
      <c r="D38" s="27"/>
      <c r="E38" s="28"/>
      <c r="F38" s="16">
        <f t="shared" si="83"/>
        <v>0</v>
      </c>
      <c r="G38" s="17"/>
      <c r="H38" s="18"/>
      <c r="I38" s="19">
        <f t="shared" si="84"/>
        <v>0</v>
      </c>
      <c r="J38" s="16"/>
      <c r="K38" s="18"/>
      <c r="L38" s="19">
        <f t="shared" si="85"/>
        <v>0</v>
      </c>
      <c r="M38" s="16"/>
      <c r="N38" s="18"/>
      <c r="O38" s="19">
        <f t="shared" si="86"/>
        <v>0</v>
      </c>
      <c r="P38" s="16"/>
      <c r="Q38" s="18"/>
      <c r="R38" s="19">
        <f t="shared" si="87"/>
        <v>0</v>
      </c>
      <c r="S38" s="20">
        <f t="shared" si="88"/>
        <v>0</v>
      </c>
      <c r="T38" s="19">
        <f t="shared" si="89"/>
        <v>0</v>
      </c>
      <c r="U38" s="21">
        <f t="shared" si="90"/>
        <v>0</v>
      </c>
      <c r="V38" s="19">
        <f t="shared" si="91"/>
        <v>0</v>
      </c>
      <c r="X38" s="29"/>
    </row>
    <row r="39" spans="1:24">
      <c r="A39" s="36"/>
      <c r="B39" s="36"/>
      <c r="C39" s="37"/>
      <c r="D39" s="38"/>
      <c r="E39" s="31">
        <f t="shared" ref="E39:F39" si="101">SUM(E29:E38)</f>
        <v>183</v>
      </c>
      <c r="F39" s="38">
        <f t="shared" si="101"/>
        <v>22.535640000000001</v>
      </c>
      <c r="G39" s="17"/>
      <c r="H39" s="31">
        <f t="shared" ref="H39" si="102">SUM(H29:H38)</f>
        <v>112</v>
      </c>
      <c r="I39" s="38">
        <f t="shared" ref="I39" si="103">SUM(I29:I38)</f>
        <v>13.614840000000001</v>
      </c>
      <c r="J39" s="16"/>
      <c r="K39" s="31">
        <f t="shared" ref="K39" si="104">SUM(K29:K38)</f>
        <v>72</v>
      </c>
      <c r="L39" s="38">
        <f t="shared" ref="L39" si="105">SUM(L29:L38)</f>
        <v>9.0435199999999991</v>
      </c>
      <c r="M39" s="16"/>
      <c r="N39" s="31">
        <f t="shared" ref="N39" si="106">SUM(N29:N38)</f>
        <v>0</v>
      </c>
      <c r="O39" s="38">
        <f t="shared" ref="O39" si="107">SUM(O29:O38)</f>
        <v>0</v>
      </c>
      <c r="P39" s="16"/>
      <c r="Q39" s="31">
        <f t="shared" ref="Q39" si="108">SUM(Q29:Q38)</f>
        <v>0</v>
      </c>
      <c r="R39" s="38">
        <f t="shared" ref="R39" si="109">SUM(R29:R38)</f>
        <v>0</v>
      </c>
      <c r="S39" s="31">
        <f t="shared" ref="S39" si="110">SUM(S29:S38)</f>
        <v>184</v>
      </c>
      <c r="T39" s="38">
        <f t="shared" ref="T39" si="111">SUM(T29:T38)</f>
        <v>22.658360000000002</v>
      </c>
      <c r="U39" s="31">
        <f t="shared" ref="U39" si="112">SUM(U29:U38)</f>
        <v>-1</v>
      </c>
      <c r="V39" s="38">
        <f t="shared" ref="V39" si="113">SUM(V29:V38)</f>
        <v>-0.12271999999999877</v>
      </c>
      <c r="X39" s="29"/>
    </row>
    <row r="40" spans="1:24">
      <c r="A40" s="26" t="s">
        <v>13</v>
      </c>
      <c r="B40" s="26" t="s">
        <v>25</v>
      </c>
      <c r="C40" s="30">
        <v>13.4</v>
      </c>
      <c r="D40" s="27">
        <v>6.2</v>
      </c>
      <c r="E40" s="28">
        <v>49</v>
      </c>
      <c r="F40" s="16">
        <f t="shared" ref="F40:F44" si="114">(C40*D40*E40/1000)</f>
        <v>4.0709200000000001</v>
      </c>
      <c r="G40" s="17" t="s">
        <v>325</v>
      </c>
      <c r="H40" s="18">
        <v>16</v>
      </c>
      <c r="I40" s="19">
        <f t="shared" ref="I40:I44" si="115">(C40*D40*H40/1000)</f>
        <v>1.32928</v>
      </c>
      <c r="J40" s="16" t="s">
        <v>89</v>
      </c>
      <c r="K40" s="18">
        <v>24</v>
      </c>
      <c r="L40" s="19">
        <f t="shared" ref="L40:L44" si="116">(C40*D40*K40/1000)</f>
        <v>1.9939200000000001</v>
      </c>
      <c r="M40" s="16" t="s">
        <v>86</v>
      </c>
      <c r="N40" s="18"/>
      <c r="O40" s="19">
        <f t="shared" ref="O40:O44" si="117">(C40*D40*N40/1000)</f>
        <v>0</v>
      </c>
      <c r="P40" s="16"/>
      <c r="Q40" s="18"/>
      <c r="R40" s="19">
        <f t="shared" ref="R40:R44" si="118">(C40*D40*Q40/1000)</f>
        <v>0</v>
      </c>
      <c r="S40" s="20">
        <f t="shared" ref="S40:S44" si="119">+H40+K40+Q40+N40</f>
        <v>40</v>
      </c>
      <c r="T40" s="19">
        <f t="shared" ref="T40:T44" si="120">+I40+L40+R40+O40</f>
        <v>3.3231999999999999</v>
      </c>
      <c r="U40" s="21">
        <f t="shared" ref="U40:U44" si="121">E40-S40</f>
        <v>9</v>
      </c>
      <c r="V40" s="19">
        <f t="shared" ref="V40:V44" si="122">F40-T40</f>
        <v>0.74772000000000016</v>
      </c>
      <c r="X40" s="29"/>
    </row>
    <row r="41" spans="1:24">
      <c r="A41" s="26" t="s">
        <v>13</v>
      </c>
      <c r="B41" s="26" t="s">
        <v>25</v>
      </c>
      <c r="C41" s="30">
        <v>13.4</v>
      </c>
      <c r="D41" s="27">
        <v>7.5</v>
      </c>
      <c r="E41" s="28">
        <v>22</v>
      </c>
      <c r="F41" s="16">
        <f t="shared" si="114"/>
        <v>2.2109999999999999</v>
      </c>
      <c r="G41" s="17" t="s">
        <v>326</v>
      </c>
      <c r="H41" s="18">
        <v>11</v>
      </c>
      <c r="I41" s="19">
        <f t="shared" si="115"/>
        <v>1.1054999999999999</v>
      </c>
      <c r="J41" s="16" t="s">
        <v>327</v>
      </c>
      <c r="K41" s="18">
        <v>14</v>
      </c>
      <c r="L41" s="19">
        <f t="shared" si="116"/>
        <v>1.407</v>
      </c>
      <c r="M41" s="16" t="s">
        <v>343</v>
      </c>
      <c r="N41" s="18"/>
      <c r="O41" s="19">
        <f t="shared" si="117"/>
        <v>0</v>
      </c>
      <c r="P41" s="16"/>
      <c r="Q41" s="18"/>
      <c r="R41" s="19">
        <f t="shared" si="118"/>
        <v>0</v>
      </c>
      <c r="S41" s="20">
        <f t="shared" si="119"/>
        <v>25</v>
      </c>
      <c r="T41" s="19">
        <f t="shared" si="120"/>
        <v>2.5125000000000002</v>
      </c>
      <c r="U41" s="21">
        <f t="shared" si="121"/>
        <v>-3</v>
      </c>
      <c r="V41" s="19">
        <f t="shared" si="122"/>
        <v>-0.30150000000000032</v>
      </c>
      <c r="X41" s="29"/>
    </row>
    <row r="42" spans="1:24">
      <c r="A42" s="26" t="s">
        <v>13</v>
      </c>
      <c r="B42" s="26" t="s">
        <v>25</v>
      </c>
      <c r="C42" s="30">
        <v>13.4</v>
      </c>
      <c r="D42" s="27">
        <v>11.6</v>
      </c>
      <c r="E42" s="28">
        <v>24</v>
      </c>
      <c r="F42" s="16">
        <f t="shared" ref="F42:F43" si="123">(C42*D42*E42/1000)</f>
        <v>3.7305600000000001</v>
      </c>
      <c r="G42" s="17"/>
      <c r="H42" s="18">
        <v>10</v>
      </c>
      <c r="I42" s="19">
        <f t="shared" ref="I42:I43" si="124">(C42*D42*H42/1000)</f>
        <v>1.5544</v>
      </c>
      <c r="J42" s="16"/>
      <c r="K42" s="18">
        <v>13</v>
      </c>
      <c r="L42" s="19">
        <f t="shared" ref="L42:L43" si="125">(C42*D42*K42/1000)</f>
        <v>2.0207199999999998</v>
      </c>
      <c r="M42" s="16"/>
      <c r="N42" s="18"/>
      <c r="O42" s="19">
        <f t="shared" ref="O42:O43" si="126">(C42*D42*N42/1000)</f>
        <v>0</v>
      </c>
      <c r="P42" s="16"/>
      <c r="Q42" s="18"/>
      <c r="R42" s="19">
        <f t="shared" ref="R42:R43" si="127">(C42*D42*Q42/1000)</f>
        <v>0</v>
      </c>
      <c r="S42" s="20">
        <f t="shared" si="119"/>
        <v>23</v>
      </c>
      <c r="T42" s="19">
        <f t="shared" si="120"/>
        <v>3.5751200000000001</v>
      </c>
      <c r="U42" s="21">
        <f t="shared" ref="U42:U43" si="128">E42-S42</f>
        <v>1</v>
      </c>
      <c r="V42" s="19">
        <f t="shared" ref="V42:V43" si="129">F42-T42</f>
        <v>0.15544000000000002</v>
      </c>
      <c r="X42" s="29"/>
    </row>
    <row r="43" spans="1:24">
      <c r="A43" s="26" t="s">
        <v>13</v>
      </c>
      <c r="B43" s="26" t="s">
        <v>25</v>
      </c>
      <c r="C43" s="30">
        <v>13.4</v>
      </c>
      <c r="D43" s="27">
        <v>11.1</v>
      </c>
      <c r="E43" s="28"/>
      <c r="F43" s="16">
        <f t="shared" si="123"/>
        <v>0</v>
      </c>
      <c r="G43" s="17"/>
      <c r="H43" s="18"/>
      <c r="I43" s="19">
        <f t="shared" si="124"/>
        <v>0</v>
      </c>
      <c r="J43" s="16"/>
      <c r="K43" s="18"/>
      <c r="L43" s="19">
        <f t="shared" si="125"/>
        <v>0</v>
      </c>
      <c r="M43" s="16"/>
      <c r="N43" s="18">
        <v>3</v>
      </c>
      <c r="O43" s="19">
        <f t="shared" si="126"/>
        <v>0.44622000000000001</v>
      </c>
      <c r="P43" s="16"/>
      <c r="Q43" s="18"/>
      <c r="R43" s="19">
        <f t="shared" si="127"/>
        <v>0</v>
      </c>
      <c r="S43" s="20">
        <f t="shared" si="119"/>
        <v>3</v>
      </c>
      <c r="T43" s="19">
        <f t="shared" si="120"/>
        <v>0.44622000000000001</v>
      </c>
      <c r="U43" s="21">
        <f t="shared" si="128"/>
        <v>-3</v>
      </c>
      <c r="V43" s="19">
        <f t="shared" si="129"/>
        <v>-0.44622000000000001</v>
      </c>
      <c r="X43" s="29"/>
    </row>
    <row r="44" spans="1:24">
      <c r="A44" s="26" t="s">
        <v>13</v>
      </c>
      <c r="B44" s="26" t="s">
        <v>25</v>
      </c>
      <c r="C44" s="30">
        <v>13.4</v>
      </c>
      <c r="D44" s="27">
        <v>10.8</v>
      </c>
      <c r="E44" s="28"/>
      <c r="F44" s="16">
        <f t="shared" si="114"/>
        <v>0</v>
      </c>
      <c r="G44" s="17"/>
      <c r="H44" s="18"/>
      <c r="I44" s="19">
        <f t="shared" si="115"/>
        <v>0</v>
      </c>
      <c r="J44" s="16"/>
      <c r="K44" s="18"/>
      <c r="L44" s="19">
        <f t="shared" si="116"/>
        <v>0</v>
      </c>
      <c r="M44" s="16"/>
      <c r="N44" s="18">
        <v>2</v>
      </c>
      <c r="O44" s="19">
        <f t="shared" si="117"/>
        <v>0.28944000000000003</v>
      </c>
      <c r="P44" s="16"/>
      <c r="Q44" s="18"/>
      <c r="R44" s="19">
        <f t="shared" si="118"/>
        <v>0</v>
      </c>
      <c r="S44" s="20">
        <f t="shared" si="119"/>
        <v>2</v>
      </c>
      <c r="T44" s="19">
        <f t="shared" si="120"/>
        <v>0.28944000000000003</v>
      </c>
      <c r="U44" s="21">
        <f t="shared" si="121"/>
        <v>-2</v>
      </c>
      <c r="V44" s="19">
        <f t="shared" si="122"/>
        <v>-0.28944000000000003</v>
      </c>
      <c r="X44" s="29"/>
    </row>
    <row r="45" spans="1:24">
      <c r="A45" s="36"/>
      <c r="B45" s="36"/>
      <c r="C45" s="37"/>
      <c r="D45" s="38"/>
      <c r="E45" s="31">
        <f>SUM(E40:E44)</f>
        <v>95</v>
      </c>
      <c r="F45" s="38">
        <f>SUM(F40:F44)</f>
        <v>10.01248</v>
      </c>
      <c r="G45" s="17"/>
      <c r="H45" s="31">
        <f>SUM(H40:H44)</f>
        <v>37</v>
      </c>
      <c r="I45" s="38">
        <f>SUM(I40:I44)</f>
        <v>3.9891800000000002</v>
      </c>
      <c r="J45" s="16"/>
      <c r="K45" s="31">
        <f>SUM(K40:K44)</f>
        <v>51</v>
      </c>
      <c r="L45" s="38">
        <f>SUM(L40:L44)</f>
        <v>5.42164</v>
      </c>
      <c r="M45" s="16"/>
      <c r="N45" s="31">
        <f>SUM(N40:N44)</f>
        <v>5</v>
      </c>
      <c r="O45" s="38">
        <f>SUM(O40:O44)</f>
        <v>0.73565999999999998</v>
      </c>
      <c r="P45" s="16"/>
      <c r="Q45" s="31">
        <f t="shared" ref="Q45:V45" si="130">SUM(Q40:Q44)</f>
        <v>0</v>
      </c>
      <c r="R45" s="38">
        <f t="shared" si="130"/>
        <v>0</v>
      </c>
      <c r="S45" s="31">
        <f t="shared" si="130"/>
        <v>93</v>
      </c>
      <c r="T45" s="38">
        <f t="shared" si="130"/>
        <v>10.146480000000002</v>
      </c>
      <c r="U45" s="31">
        <f t="shared" si="130"/>
        <v>2</v>
      </c>
      <c r="V45" s="38">
        <f t="shared" si="130"/>
        <v>-0.13400000000000017</v>
      </c>
      <c r="X45" s="29"/>
    </row>
    <row r="46" spans="1:24">
      <c r="A46" s="26" t="s">
        <v>14</v>
      </c>
      <c r="B46" s="26" t="s">
        <v>45</v>
      </c>
      <c r="C46" s="30">
        <v>9.26</v>
      </c>
      <c r="D46" s="27">
        <v>12</v>
      </c>
      <c r="E46" s="28">
        <v>12</v>
      </c>
      <c r="F46" s="16">
        <f>(C46*D46*E46/1000)</f>
        <v>1.33344</v>
      </c>
      <c r="G46" s="16" t="s">
        <v>89</v>
      </c>
      <c r="H46" s="18">
        <v>12</v>
      </c>
      <c r="I46" s="19">
        <f>(C46*D46*H46/1000)</f>
        <v>1.33344</v>
      </c>
      <c r="J46" s="16"/>
      <c r="K46" s="18"/>
      <c r="L46" s="19">
        <f>(C46*D46*K46/1000)</f>
        <v>0</v>
      </c>
      <c r="M46" s="16"/>
      <c r="N46" s="18"/>
      <c r="O46" s="19">
        <f>(C46*D46*N46/1000)</f>
        <v>0</v>
      </c>
      <c r="P46" s="16"/>
      <c r="Q46" s="18"/>
      <c r="R46" s="19">
        <f>(C46*D46*Q46/1000)</f>
        <v>0</v>
      </c>
      <c r="S46" s="20">
        <f>+H46+K46+Q46</f>
        <v>12</v>
      </c>
      <c r="T46" s="19">
        <f>+I46+L46+R46</f>
        <v>1.33344</v>
      </c>
      <c r="U46" s="21">
        <f>E46-S46</f>
        <v>0</v>
      </c>
      <c r="V46" s="19">
        <f>F46-T46</f>
        <v>0</v>
      </c>
      <c r="X46" s="29"/>
    </row>
    <row r="47" spans="1:24">
      <c r="A47" s="36"/>
      <c r="B47" s="36"/>
      <c r="C47" s="37"/>
      <c r="D47" s="38"/>
      <c r="E47" s="31">
        <f t="shared" ref="E47:F47" si="131">SUM(E46)</f>
        <v>12</v>
      </c>
      <c r="F47" s="38">
        <f t="shared" si="131"/>
        <v>1.33344</v>
      </c>
      <c r="G47" s="16" t="s">
        <v>304</v>
      </c>
      <c r="H47" s="31">
        <f t="shared" ref="H47" si="132">SUM(H46)</f>
        <v>12</v>
      </c>
      <c r="I47" s="38">
        <f t="shared" ref="I47" si="133">SUM(I46)</f>
        <v>1.33344</v>
      </c>
      <c r="J47" s="16"/>
      <c r="K47" s="31">
        <f t="shared" ref="K47" si="134">SUM(K46)</f>
        <v>0</v>
      </c>
      <c r="L47" s="38">
        <f t="shared" ref="L47" si="135">SUM(L46)</f>
        <v>0</v>
      </c>
      <c r="M47" s="16"/>
      <c r="N47" s="31">
        <f t="shared" ref="N47" si="136">SUM(N46)</f>
        <v>0</v>
      </c>
      <c r="O47" s="38">
        <f t="shared" ref="O47" si="137">SUM(O46)</f>
        <v>0</v>
      </c>
      <c r="P47" s="16"/>
      <c r="Q47" s="31">
        <f t="shared" ref="Q47" si="138">SUM(Q46)</f>
        <v>0</v>
      </c>
      <c r="R47" s="38">
        <f t="shared" ref="R47" si="139">SUM(R46)</f>
        <v>0</v>
      </c>
      <c r="S47" s="31">
        <f t="shared" ref="S47" si="140">SUM(S46)</f>
        <v>12</v>
      </c>
      <c r="T47" s="38">
        <f t="shared" ref="T47" si="141">SUM(T46)</f>
        <v>1.33344</v>
      </c>
      <c r="U47" s="31">
        <f t="shared" ref="U47" si="142">SUM(U46)</f>
        <v>0</v>
      </c>
      <c r="V47" s="38">
        <f t="shared" ref="V47" si="143">SUM(V46)</f>
        <v>0</v>
      </c>
      <c r="X47" s="29"/>
    </row>
    <row r="48" spans="1:24">
      <c r="A48" s="33"/>
      <c r="B48" s="33"/>
      <c r="C48" s="34"/>
      <c r="D48" s="34"/>
      <c r="E48" s="34">
        <f t="shared" ref="E48:F48" si="144">SUM(E47,E45,E39,E28,E23,E21,E18,E12)</f>
        <v>685</v>
      </c>
      <c r="F48" s="35">
        <f t="shared" si="144"/>
        <v>74.324072000000001</v>
      </c>
      <c r="G48" s="26"/>
      <c r="H48" s="34">
        <f t="shared" ref="H48" si="145">SUM(H47,H45,H39,H28,H23,H21,H18,H12)</f>
        <v>403</v>
      </c>
      <c r="I48" s="35">
        <f t="shared" ref="I48" si="146">SUM(I47,I45,I39,I28,I23,I21,I18,I12)</f>
        <v>45.309691999999998</v>
      </c>
      <c r="J48" s="26"/>
      <c r="K48" s="34">
        <f t="shared" ref="K48" si="147">SUM(K47,K45,K39,K28,K23,K21,K18,K12)</f>
        <v>279</v>
      </c>
      <c r="L48" s="35">
        <f t="shared" ref="L48" si="148">SUM(L47,L45,L39,L28,L23,L21,L18,L12)</f>
        <v>29.131792000000001</v>
      </c>
      <c r="M48" s="26"/>
      <c r="N48" s="34">
        <f t="shared" ref="N48" si="149">SUM(N47,N45,N39,N28,N23,N21,N18,N12)</f>
        <v>5</v>
      </c>
      <c r="O48" s="35">
        <f t="shared" ref="O48" si="150">SUM(O47,O45,O39,O28,O23,O21,O18,O12)</f>
        <v>0.73565999999999998</v>
      </c>
      <c r="P48" s="26"/>
      <c r="Q48" s="34">
        <f t="shared" ref="Q48" si="151">SUM(Q47,Q45,Q39,Q28,Q23,Q21,Q18,Q12)</f>
        <v>0</v>
      </c>
      <c r="R48" s="35">
        <f t="shared" ref="R48" si="152">SUM(R47,R45,R39,R28,R23,R21,R18,R12)</f>
        <v>0</v>
      </c>
      <c r="S48" s="34">
        <f t="shared" ref="S48" si="153">SUM(S47,S45,S39,S28,S23,S21,S18,S12)</f>
        <v>687</v>
      </c>
      <c r="T48" s="35">
        <f t="shared" ref="T48" si="154">SUM(T47,T45,T39,T28,T23,T21,T18,T12)</f>
        <v>75.177143999999998</v>
      </c>
      <c r="U48" s="34">
        <f t="shared" ref="U48" si="155">SUM(U47,U45,U39,U28,U23,U21,U18,U12)</f>
        <v>-2</v>
      </c>
      <c r="V48" s="35">
        <f t="shared" ref="V48" si="156">SUM(V47,V45,V39,V28,V23,V21,V18,V12)</f>
        <v>-0.85307199999999961</v>
      </c>
    </row>
    <row r="51" spans="1:24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</row>
    <row r="52" spans="1:24">
      <c r="A52" s="57" t="s">
        <v>13</v>
      </c>
      <c r="B52" s="57" t="s">
        <v>36</v>
      </c>
      <c r="C52" s="58">
        <v>6.97</v>
      </c>
      <c r="D52" s="59">
        <v>6.25</v>
      </c>
      <c r="E52" s="60">
        <v>104</v>
      </c>
      <c r="F52" s="61">
        <f t="shared" ref="F52:F57" si="157">(C52*D52*E52/1000)</f>
        <v>4.5305</v>
      </c>
      <c r="G52" s="62"/>
      <c r="H52" s="63"/>
      <c r="I52" s="64">
        <f t="shared" ref="I52:I57" si="158">(C52*D52*H52/1000)</f>
        <v>0</v>
      </c>
      <c r="J52" s="61"/>
      <c r="K52" s="63"/>
      <c r="L52" s="64">
        <f t="shared" ref="L52:L57" si="159">(C52*D52*K52/1000)</f>
        <v>0</v>
      </c>
      <c r="M52" s="61"/>
      <c r="N52" s="63"/>
      <c r="O52" s="64">
        <f t="shared" ref="O52:O57" si="160">(C52*D52*N52/1000)</f>
        <v>0</v>
      </c>
      <c r="P52" s="61"/>
      <c r="Q52" s="63"/>
      <c r="R52" s="64">
        <f t="shared" ref="R52:R57" si="161">(C52*D52*Q52/1000)</f>
        <v>0</v>
      </c>
      <c r="S52" s="65">
        <f t="shared" ref="S52:S57" si="162">+H52+K52+Q52</f>
        <v>0</v>
      </c>
      <c r="T52" s="64">
        <f t="shared" ref="T52:T57" si="163">+I52+L52+R52</f>
        <v>0</v>
      </c>
      <c r="U52" s="42">
        <f t="shared" ref="U52:U57" si="164">E52-S52</f>
        <v>104</v>
      </c>
      <c r="V52" s="64">
        <f t="shared" ref="V52:V57" si="165">F52-T52</f>
        <v>4.5305</v>
      </c>
      <c r="W52" s="56"/>
      <c r="X52" s="29"/>
    </row>
    <row r="53" spans="1:24">
      <c r="A53" s="57" t="s">
        <v>13</v>
      </c>
      <c r="B53" s="57" t="s">
        <v>36</v>
      </c>
      <c r="C53" s="58">
        <v>6.97</v>
      </c>
      <c r="D53" s="59">
        <v>6.95</v>
      </c>
      <c r="E53" s="60">
        <v>114</v>
      </c>
      <c r="F53" s="61">
        <f t="shared" si="157"/>
        <v>5.5223310000000003</v>
      </c>
      <c r="G53" s="62"/>
      <c r="H53" s="63"/>
      <c r="I53" s="64">
        <f t="shared" si="158"/>
        <v>0</v>
      </c>
      <c r="J53" s="61"/>
      <c r="K53" s="63"/>
      <c r="L53" s="64">
        <f t="shared" si="159"/>
        <v>0</v>
      </c>
      <c r="M53" s="61"/>
      <c r="N53" s="63"/>
      <c r="O53" s="64">
        <f t="shared" si="160"/>
        <v>0</v>
      </c>
      <c r="P53" s="61"/>
      <c r="Q53" s="63"/>
      <c r="R53" s="64">
        <f t="shared" si="161"/>
        <v>0</v>
      </c>
      <c r="S53" s="65">
        <f t="shared" si="162"/>
        <v>0</v>
      </c>
      <c r="T53" s="64">
        <f t="shared" si="163"/>
        <v>0</v>
      </c>
      <c r="U53" s="42">
        <f t="shared" si="164"/>
        <v>114</v>
      </c>
      <c r="V53" s="64">
        <f t="shared" si="165"/>
        <v>5.5223310000000003</v>
      </c>
      <c r="W53" s="56"/>
      <c r="X53" s="29"/>
    </row>
    <row r="54" spans="1:24">
      <c r="A54" s="57" t="s">
        <v>13</v>
      </c>
      <c r="B54" s="57" t="s">
        <v>36</v>
      </c>
      <c r="C54" s="58">
        <v>6.97</v>
      </c>
      <c r="D54" s="59">
        <v>8.9499999999999993</v>
      </c>
      <c r="E54" s="60">
        <v>24</v>
      </c>
      <c r="F54" s="61">
        <f t="shared" si="157"/>
        <v>1.4971559999999999</v>
      </c>
      <c r="G54" s="62"/>
      <c r="H54" s="63"/>
      <c r="I54" s="64">
        <f t="shared" si="158"/>
        <v>0</v>
      </c>
      <c r="J54" s="61"/>
      <c r="K54" s="63"/>
      <c r="L54" s="64">
        <f t="shared" si="159"/>
        <v>0</v>
      </c>
      <c r="M54" s="61"/>
      <c r="N54" s="63"/>
      <c r="O54" s="64">
        <f t="shared" si="160"/>
        <v>0</v>
      </c>
      <c r="P54" s="61"/>
      <c r="Q54" s="63"/>
      <c r="R54" s="64">
        <f t="shared" si="161"/>
        <v>0</v>
      </c>
      <c r="S54" s="65">
        <f t="shared" si="162"/>
        <v>0</v>
      </c>
      <c r="T54" s="64">
        <f t="shared" si="163"/>
        <v>0</v>
      </c>
      <c r="U54" s="42">
        <f t="shared" si="164"/>
        <v>24</v>
      </c>
      <c r="V54" s="64">
        <f t="shared" si="165"/>
        <v>1.4971559999999999</v>
      </c>
      <c r="W54" s="56"/>
      <c r="X54" s="29"/>
    </row>
    <row r="55" spans="1:24">
      <c r="A55" s="57" t="s">
        <v>13</v>
      </c>
      <c r="B55" s="57" t="s">
        <v>36</v>
      </c>
      <c r="C55" s="58">
        <v>6.97</v>
      </c>
      <c r="D55" s="59">
        <v>11.2</v>
      </c>
      <c r="E55" s="60">
        <v>50</v>
      </c>
      <c r="F55" s="61">
        <f t="shared" si="157"/>
        <v>3.9032</v>
      </c>
      <c r="G55" s="62"/>
      <c r="H55" s="63"/>
      <c r="I55" s="64">
        <f t="shared" si="158"/>
        <v>0</v>
      </c>
      <c r="J55" s="61"/>
      <c r="K55" s="63"/>
      <c r="L55" s="64">
        <f t="shared" si="159"/>
        <v>0</v>
      </c>
      <c r="M55" s="61"/>
      <c r="N55" s="63"/>
      <c r="O55" s="64">
        <f t="shared" si="160"/>
        <v>0</v>
      </c>
      <c r="P55" s="61"/>
      <c r="Q55" s="63"/>
      <c r="R55" s="64">
        <f t="shared" si="161"/>
        <v>0</v>
      </c>
      <c r="S55" s="65">
        <f t="shared" si="162"/>
        <v>0</v>
      </c>
      <c r="T55" s="64">
        <f t="shared" si="163"/>
        <v>0</v>
      </c>
      <c r="U55" s="42">
        <f t="shared" si="164"/>
        <v>50</v>
      </c>
      <c r="V55" s="64">
        <f t="shared" si="165"/>
        <v>3.9032</v>
      </c>
      <c r="W55" s="56"/>
      <c r="X55" s="29"/>
    </row>
    <row r="56" spans="1:24">
      <c r="A56" s="57" t="s">
        <v>13</v>
      </c>
      <c r="B56" s="57" t="s">
        <v>36</v>
      </c>
      <c r="C56" s="58">
        <v>6.97</v>
      </c>
      <c r="D56" s="59">
        <v>11.6</v>
      </c>
      <c r="E56" s="60">
        <v>28</v>
      </c>
      <c r="F56" s="61">
        <f t="shared" si="157"/>
        <v>2.2638559999999996</v>
      </c>
      <c r="G56" s="62"/>
      <c r="H56" s="63"/>
      <c r="I56" s="64">
        <f t="shared" si="158"/>
        <v>0</v>
      </c>
      <c r="J56" s="61"/>
      <c r="K56" s="63"/>
      <c r="L56" s="64">
        <f t="shared" si="159"/>
        <v>0</v>
      </c>
      <c r="M56" s="61"/>
      <c r="N56" s="63"/>
      <c r="O56" s="64">
        <f t="shared" si="160"/>
        <v>0</v>
      </c>
      <c r="P56" s="61"/>
      <c r="Q56" s="63"/>
      <c r="R56" s="64">
        <f t="shared" si="161"/>
        <v>0</v>
      </c>
      <c r="S56" s="65">
        <f t="shared" si="162"/>
        <v>0</v>
      </c>
      <c r="T56" s="64">
        <f t="shared" si="163"/>
        <v>0</v>
      </c>
      <c r="U56" s="42">
        <f t="shared" si="164"/>
        <v>28</v>
      </c>
      <c r="V56" s="64">
        <f t="shared" si="165"/>
        <v>2.2638559999999996</v>
      </c>
      <c r="W56" s="56"/>
      <c r="X56" s="29"/>
    </row>
    <row r="57" spans="1:24">
      <c r="A57" s="57" t="s">
        <v>13</v>
      </c>
      <c r="B57" s="57" t="s">
        <v>36</v>
      </c>
      <c r="C57" s="58">
        <v>6.97</v>
      </c>
      <c r="D57" s="59">
        <v>12</v>
      </c>
      <c r="E57" s="60">
        <v>36</v>
      </c>
      <c r="F57" s="61">
        <f t="shared" si="157"/>
        <v>3.0110399999999999</v>
      </c>
      <c r="G57" s="62"/>
      <c r="H57" s="63"/>
      <c r="I57" s="64">
        <f t="shared" si="158"/>
        <v>0</v>
      </c>
      <c r="J57" s="61"/>
      <c r="K57" s="63"/>
      <c r="L57" s="64">
        <f t="shared" si="159"/>
        <v>0</v>
      </c>
      <c r="M57" s="61"/>
      <c r="N57" s="63"/>
      <c r="O57" s="64">
        <f t="shared" si="160"/>
        <v>0</v>
      </c>
      <c r="P57" s="61"/>
      <c r="Q57" s="63"/>
      <c r="R57" s="64">
        <f t="shared" si="161"/>
        <v>0</v>
      </c>
      <c r="S57" s="65">
        <f t="shared" si="162"/>
        <v>0</v>
      </c>
      <c r="T57" s="64">
        <f t="shared" si="163"/>
        <v>0</v>
      </c>
      <c r="U57" s="42">
        <f t="shared" si="164"/>
        <v>36</v>
      </c>
      <c r="V57" s="64">
        <f t="shared" si="165"/>
        <v>3.0110399999999999</v>
      </c>
      <c r="W57" s="56"/>
      <c r="X57" s="29"/>
    </row>
    <row r="58" spans="1:24">
      <c r="A58" s="41"/>
      <c r="B58" s="41"/>
      <c r="C58" s="66"/>
      <c r="D58" s="67"/>
      <c r="E58" s="68">
        <f t="shared" ref="E58:F58" si="166">SUM(E52:E57)</f>
        <v>356</v>
      </c>
      <c r="F58" s="67">
        <f t="shared" si="166"/>
        <v>20.728083000000002</v>
      </c>
      <c r="G58" s="62"/>
      <c r="H58" s="68">
        <f t="shared" ref="H58:I58" si="167">SUM(H52:H57)</f>
        <v>0</v>
      </c>
      <c r="I58" s="67">
        <f t="shared" si="167"/>
        <v>0</v>
      </c>
      <c r="J58" s="61"/>
      <c r="K58" s="68">
        <f t="shared" ref="K58:L58" si="168">SUM(K52:K57)</f>
        <v>0</v>
      </c>
      <c r="L58" s="67">
        <f t="shared" si="168"/>
        <v>0</v>
      </c>
      <c r="M58" s="61"/>
      <c r="N58" s="68">
        <f t="shared" ref="N58:O58" si="169">SUM(N52:N57)</f>
        <v>0</v>
      </c>
      <c r="O58" s="67">
        <f t="shared" si="169"/>
        <v>0</v>
      </c>
      <c r="P58" s="61"/>
      <c r="Q58" s="68">
        <f t="shared" ref="Q58:V58" si="170">SUM(Q52:Q57)</f>
        <v>0</v>
      </c>
      <c r="R58" s="67">
        <f t="shared" si="170"/>
        <v>0</v>
      </c>
      <c r="S58" s="68">
        <f t="shared" si="170"/>
        <v>0</v>
      </c>
      <c r="T58" s="67">
        <f t="shared" si="170"/>
        <v>0</v>
      </c>
      <c r="U58" s="68">
        <f t="shared" si="170"/>
        <v>356</v>
      </c>
      <c r="V58" s="67">
        <f t="shared" si="170"/>
        <v>20.728083000000002</v>
      </c>
      <c r="W58" s="56"/>
      <c r="X58" s="29"/>
    </row>
    <row r="59" spans="1:24">
      <c r="A59" s="57" t="s">
        <v>13</v>
      </c>
      <c r="B59" s="57" t="s">
        <v>26</v>
      </c>
      <c r="C59" s="58">
        <v>8.3000000000000007</v>
      </c>
      <c r="D59" s="59">
        <v>8.3000000000000007</v>
      </c>
      <c r="E59" s="60">
        <v>124</v>
      </c>
      <c r="F59" s="61">
        <f t="shared" ref="F59:F63" si="171">(C59*D59*E59/1000)</f>
        <v>8.5423600000000022</v>
      </c>
      <c r="G59" s="62"/>
      <c r="H59" s="63"/>
      <c r="I59" s="64">
        <f t="shared" ref="I59:I63" si="172">(C59*D59*H59/1000)</f>
        <v>0</v>
      </c>
      <c r="J59" s="61"/>
      <c r="K59" s="63"/>
      <c r="L59" s="64">
        <f t="shared" ref="L59:L63" si="173">(C59*D59*K59/1000)</f>
        <v>0</v>
      </c>
      <c r="M59" s="61"/>
      <c r="N59" s="63"/>
      <c r="O59" s="64">
        <f t="shared" ref="O59:O63" si="174">(C59*D59*N59/1000)</f>
        <v>0</v>
      </c>
      <c r="P59" s="61"/>
      <c r="Q59" s="63"/>
      <c r="R59" s="64">
        <f t="shared" ref="R59:R63" si="175">(C59*D59*Q59/1000)</f>
        <v>0</v>
      </c>
      <c r="S59" s="65">
        <f t="shared" ref="S59:S63" si="176">+H59+K59+Q59</f>
        <v>0</v>
      </c>
      <c r="T59" s="64">
        <f t="shared" ref="T59:T63" si="177">+I59+L59+R59</f>
        <v>0</v>
      </c>
      <c r="U59" s="42">
        <f t="shared" ref="U59:U63" si="178">E59-S59</f>
        <v>124</v>
      </c>
      <c r="V59" s="64">
        <f t="shared" ref="V59:V63" si="179">F59-T59</f>
        <v>8.5423600000000022</v>
      </c>
      <c r="W59" s="56"/>
      <c r="X59" s="29"/>
    </row>
    <row r="60" spans="1:24">
      <c r="A60" s="57" t="s">
        <v>13</v>
      </c>
      <c r="B60" s="57" t="s">
        <v>26</v>
      </c>
      <c r="C60" s="58">
        <v>8.3000000000000007</v>
      </c>
      <c r="D60" s="59">
        <v>8.5</v>
      </c>
      <c r="E60" s="60">
        <v>17</v>
      </c>
      <c r="F60" s="61">
        <f t="shared" si="171"/>
        <v>1.1993500000000001</v>
      </c>
      <c r="G60" s="62"/>
      <c r="H60" s="63"/>
      <c r="I60" s="64">
        <f t="shared" si="172"/>
        <v>0</v>
      </c>
      <c r="J60" s="61"/>
      <c r="K60" s="63"/>
      <c r="L60" s="64">
        <f t="shared" si="173"/>
        <v>0</v>
      </c>
      <c r="M60" s="61"/>
      <c r="N60" s="63"/>
      <c r="O60" s="64">
        <f t="shared" si="174"/>
        <v>0</v>
      </c>
      <c r="P60" s="61"/>
      <c r="Q60" s="63"/>
      <c r="R60" s="64">
        <f t="shared" si="175"/>
        <v>0</v>
      </c>
      <c r="S60" s="65">
        <f t="shared" si="176"/>
        <v>0</v>
      </c>
      <c r="T60" s="64">
        <f t="shared" si="177"/>
        <v>0</v>
      </c>
      <c r="U60" s="42">
        <f t="shared" si="178"/>
        <v>17</v>
      </c>
      <c r="V60" s="64">
        <f t="shared" si="179"/>
        <v>1.1993500000000001</v>
      </c>
      <c r="W60" s="56"/>
      <c r="X60" s="29"/>
    </row>
    <row r="61" spans="1:24">
      <c r="A61" s="57" t="s">
        <v>13</v>
      </c>
      <c r="B61" s="57" t="s">
        <v>26</v>
      </c>
      <c r="C61" s="58">
        <v>8.3000000000000007</v>
      </c>
      <c r="D61" s="59">
        <v>10</v>
      </c>
      <c r="E61" s="60">
        <v>39</v>
      </c>
      <c r="F61" s="61">
        <f t="shared" si="171"/>
        <v>3.2370000000000001</v>
      </c>
      <c r="G61" s="62"/>
      <c r="H61" s="63"/>
      <c r="I61" s="64">
        <f t="shared" si="172"/>
        <v>0</v>
      </c>
      <c r="J61" s="61"/>
      <c r="K61" s="63"/>
      <c r="L61" s="64">
        <f t="shared" si="173"/>
        <v>0</v>
      </c>
      <c r="M61" s="61"/>
      <c r="N61" s="63"/>
      <c r="O61" s="64">
        <f t="shared" si="174"/>
        <v>0</v>
      </c>
      <c r="P61" s="61"/>
      <c r="Q61" s="63"/>
      <c r="R61" s="64">
        <f t="shared" si="175"/>
        <v>0</v>
      </c>
      <c r="S61" s="65">
        <f t="shared" si="176"/>
        <v>0</v>
      </c>
      <c r="T61" s="64">
        <f t="shared" si="177"/>
        <v>0</v>
      </c>
      <c r="U61" s="42">
        <f t="shared" si="178"/>
        <v>39</v>
      </c>
      <c r="V61" s="64">
        <f t="shared" si="179"/>
        <v>3.2370000000000001</v>
      </c>
      <c r="W61" s="56"/>
      <c r="X61" s="29"/>
    </row>
    <row r="62" spans="1:24">
      <c r="A62" s="57" t="s">
        <v>13</v>
      </c>
      <c r="B62" s="57" t="s">
        <v>26</v>
      </c>
      <c r="C62" s="58">
        <v>8.3000000000000007</v>
      </c>
      <c r="D62" s="59">
        <v>11.6</v>
      </c>
      <c r="E62" s="60">
        <v>80</v>
      </c>
      <c r="F62" s="61">
        <f t="shared" si="171"/>
        <v>7.7023999999999999</v>
      </c>
      <c r="G62" s="62"/>
      <c r="H62" s="63"/>
      <c r="I62" s="64">
        <f t="shared" si="172"/>
        <v>0</v>
      </c>
      <c r="J62" s="61"/>
      <c r="K62" s="63"/>
      <c r="L62" s="64">
        <f t="shared" si="173"/>
        <v>0</v>
      </c>
      <c r="M62" s="61"/>
      <c r="N62" s="63"/>
      <c r="O62" s="64">
        <f t="shared" si="174"/>
        <v>0</v>
      </c>
      <c r="P62" s="61"/>
      <c r="Q62" s="63"/>
      <c r="R62" s="64">
        <f t="shared" si="175"/>
        <v>0</v>
      </c>
      <c r="S62" s="65">
        <f t="shared" si="176"/>
        <v>0</v>
      </c>
      <c r="T62" s="64">
        <f t="shared" si="177"/>
        <v>0</v>
      </c>
      <c r="U62" s="42">
        <f t="shared" si="178"/>
        <v>80</v>
      </c>
      <c r="V62" s="64">
        <f t="shared" si="179"/>
        <v>7.7023999999999999</v>
      </c>
      <c r="W62" s="56"/>
      <c r="X62" s="29"/>
    </row>
    <row r="63" spans="1:24">
      <c r="A63" s="57" t="s">
        <v>13</v>
      </c>
      <c r="B63" s="57" t="s">
        <v>26</v>
      </c>
      <c r="C63" s="58">
        <v>8.3000000000000007</v>
      </c>
      <c r="D63" s="59">
        <v>11.9</v>
      </c>
      <c r="E63" s="60">
        <v>7</v>
      </c>
      <c r="F63" s="61">
        <f t="shared" si="171"/>
        <v>0.69139000000000006</v>
      </c>
      <c r="G63" s="62"/>
      <c r="H63" s="63"/>
      <c r="I63" s="64">
        <f t="shared" si="172"/>
        <v>0</v>
      </c>
      <c r="J63" s="61"/>
      <c r="K63" s="63"/>
      <c r="L63" s="64">
        <f t="shared" si="173"/>
        <v>0</v>
      </c>
      <c r="M63" s="61"/>
      <c r="N63" s="63"/>
      <c r="O63" s="64">
        <f t="shared" si="174"/>
        <v>0</v>
      </c>
      <c r="P63" s="61"/>
      <c r="Q63" s="63"/>
      <c r="R63" s="64">
        <f t="shared" si="175"/>
        <v>0</v>
      </c>
      <c r="S63" s="65">
        <f t="shared" si="176"/>
        <v>0</v>
      </c>
      <c r="T63" s="64">
        <f t="shared" si="177"/>
        <v>0</v>
      </c>
      <c r="U63" s="42">
        <f t="shared" si="178"/>
        <v>7</v>
      </c>
      <c r="V63" s="64">
        <f t="shared" si="179"/>
        <v>0.69139000000000006</v>
      </c>
      <c r="W63" s="56"/>
      <c r="X63" s="29"/>
    </row>
    <row r="64" spans="1:24">
      <c r="A64" s="41"/>
      <c r="B64" s="41"/>
      <c r="C64" s="66"/>
      <c r="D64" s="67"/>
      <c r="E64" s="68">
        <f t="shared" ref="E64:F64" si="180">SUM(E59:E63)</f>
        <v>267</v>
      </c>
      <c r="F64" s="67">
        <f t="shared" si="180"/>
        <v>21.372500000000002</v>
      </c>
      <c r="G64" s="62"/>
      <c r="H64" s="68">
        <f t="shared" ref="H64:I64" si="181">SUM(H59:H63)</f>
        <v>0</v>
      </c>
      <c r="I64" s="67">
        <f t="shared" si="181"/>
        <v>0</v>
      </c>
      <c r="J64" s="61"/>
      <c r="K64" s="68">
        <f t="shared" ref="K64:L64" si="182">SUM(K59:K63)</f>
        <v>0</v>
      </c>
      <c r="L64" s="67">
        <f t="shared" si="182"/>
        <v>0</v>
      </c>
      <c r="M64" s="61"/>
      <c r="N64" s="68">
        <f t="shared" ref="N64:O64" si="183">SUM(N59:N63)</f>
        <v>0</v>
      </c>
      <c r="O64" s="67">
        <f t="shared" si="183"/>
        <v>0</v>
      </c>
      <c r="P64" s="61"/>
      <c r="Q64" s="68">
        <f t="shared" ref="Q64:V64" si="184">SUM(Q59:Q63)</f>
        <v>0</v>
      </c>
      <c r="R64" s="67">
        <f t="shared" si="184"/>
        <v>0</v>
      </c>
      <c r="S64" s="68">
        <f t="shared" si="184"/>
        <v>0</v>
      </c>
      <c r="T64" s="67">
        <f t="shared" si="184"/>
        <v>0</v>
      </c>
      <c r="U64" s="68">
        <f t="shared" si="184"/>
        <v>267</v>
      </c>
      <c r="V64" s="67">
        <f t="shared" si="184"/>
        <v>21.372500000000002</v>
      </c>
      <c r="W64" s="56"/>
      <c r="X64" s="29"/>
    </row>
    <row r="65" spans="1:24">
      <c r="A65" s="57" t="s">
        <v>14</v>
      </c>
      <c r="B65" s="57" t="s">
        <v>36</v>
      </c>
      <c r="C65" s="58">
        <v>6.97</v>
      </c>
      <c r="D65" s="59">
        <v>7.4</v>
      </c>
      <c r="E65" s="60">
        <v>16</v>
      </c>
      <c r="F65" s="61">
        <f>(C65*D65*E65/1000)</f>
        <v>0.82524800000000009</v>
      </c>
      <c r="G65" s="62"/>
      <c r="H65" s="63"/>
      <c r="I65" s="64">
        <f>(C65*D65*H65/1000)</f>
        <v>0</v>
      </c>
      <c r="J65" s="61"/>
      <c r="K65" s="63"/>
      <c r="L65" s="64">
        <f>(C65*D65*K65/1000)</f>
        <v>0</v>
      </c>
      <c r="M65" s="61"/>
      <c r="N65" s="63"/>
      <c r="O65" s="64">
        <f>(C65*D65*N65/1000)</f>
        <v>0</v>
      </c>
      <c r="P65" s="61"/>
      <c r="Q65" s="63"/>
      <c r="R65" s="64">
        <f>(C65*D65*Q65/1000)</f>
        <v>0</v>
      </c>
      <c r="S65" s="65">
        <f>+H65+K65+Q65</f>
        <v>0</v>
      </c>
      <c r="T65" s="64">
        <f>+I65+L65+R65</f>
        <v>0</v>
      </c>
      <c r="U65" s="42">
        <f>E65-S65</f>
        <v>16</v>
      </c>
      <c r="V65" s="64">
        <f>F65-T65</f>
        <v>0.82524800000000009</v>
      </c>
      <c r="W65" s="56"/>
      <c r="X65" s="29"/>
    </row>
    <row r="66" spans="1:24">
      <c r="A66" s="41"/>
      <c r="B66" s="41"/>
      <c r="C66" s="66"/>
      <c r="D66" s="67"/>
      <c r="E66" s="68">
        <f t="shared" ref="E66:F66" si="185">SUM(E65)</f>
        <v>16</v>
      </c>
      <c r="F66" s="67">
        <f t="shared" si="185"/>
        <v>0.82524800000000009</v>
      </c>
      <c r="G66" s="62"/>
      <c r="H66" s="68">
        <f t="shared" ref="H66:I66" si="186">SUM(H65)</f>
        <v>0</v>
      </c>
      <c r="I66" s="67">
        <f t="shared" si="186"/>
        <v>0</v>
      </c>
      <c r="J66" s="61"/>
      <c r="K66" s="68">
        <f t="shared" ref="K66:L66" si="187">SUM(K65)</f>
        <v>0</v>
      </c>
      <c r="L66" s="67">
        <f t="shared" si="187"/>
        <v>0</v>
      </c>
      <c r="M66" s="61"/>
      <c r="N66" s="68">
        <f t="shared" ref="N66:O66" si="188">SUM(N65)</f>
        <v>0</v>
      </c>
      <c r="O66" s="67">
        <f t="shared" si="188"/>
        <v>0</v>
      </c>
      <c r="P66" s="61"/>
      <c r="Q66" s="68">
        <f t="shared" ref="Q66:V66" si="189">SUM(Q65)</f>
        <v>0</v>
      </c>
      <c r="R66" s="67">
        <f t="shared" si="189"/>
        <v>0</v>
      </c>
      <c r="S66" s="68">
        <f t="shared" si="189"/>
        <v>0</v>
      </c>
      <c r="T66" s="67">
        <f t="shared" si="189"/>
        <v>0</v>
      </c>
      <c r="U66" s="68">
        <f t="shared" si="189"/>
        <v>16</v>
      </c>
      <c r="V66" s="67">
        <f t="shared" si="189"/>
        <v>0.82524800000000009</v>
      </c>
      <c r="W66" s="56"/>
      <c r="X66" s="29"/>
    </row>
    <row r="67" spans="1:24">
      <c r="A67" s="57" t="s">
        <v>14</v>
      </c>
      <c r="B67" s="57" t="s">
        <v>26</v>
      </c>
      <c r="C67" s="58">
        <v>8.3000000000000007</v>
      </c>
      <c r="D67" s="59">
        <v>7.5</v>
      </c>
      <c r="E67" s="60">
        <v>16</v>
      </c>
      <c r="F67" s="61">
        <f t="shared" ref="F67:F68" si="190">(C67*D67*E67/1000)</f>
        <v>0.99600000000000011</v>
      </c>
      <c r="G67" s="62"/>
      <c r="H67" s="63"/>
      <c r="I67" s="64">
        <f t="shared" ref="I67:I68" si="191">(C67*D67*H67/1000)</f>
        <v>0</v>
      </c>
      <c r="J67" s="61"/>
      <c r="K67" s="63"/>
      <c r="L67" s="64">
        <f t="shared" ref="L67:L68" si="192">(C67*D67*K67/1000)</f>
        <v>0</v>
      </c>
      <c r="M67" s="61"/>
      <c r="N67" s="63"/>
      <c r="O67" s="64">
        <f t="shared" ref="O67:O68" si="193">(C67*D67*N67/1000)</f>
        <v>0</v>
      </c>
      <c r="P67" s="61"/>
      <c r="Q67" s="63"/>
      <c r="R67" s="64">
        <f t="shared" ref="R67:R68" si="194">(C67*D67*Q67/1000)</f>
        <v>0</v>
      </c>
      <c r="S67" s="65">
        <f t="shared" ref="S67:S68" si="195">+H67+K67+Q67</f>
        <v>0</v>
      </c>
      <c r="T67" s="64">
        <f t="shared" ref="T67:T68" si="196">+I67+L67+R67</f>
        <v>0</v>
      </c>
      <c r="U67" s="42">
        <f t="shared" ref="U67:U68" si="197">E67-S67</f>
        <v>16</v>
      </c>
      <c r="V67" s="64">
        <f t="shared" ref="V67:V68" si="198">F67-T67</f>
        <v>0.99600000000000011</v>
      </c>
      <c r="W67" s="56"/>
      <c r="X67" s="29"/>
    </row>
    <row r="68" spans="1:24">
      <c r="A68" s="57" t="s">
        <v>14</v>
      </c>
      <c r="B68" s="57" t="s">
        <v>26</v>
      </c>
      <c r="C68" s="58">
        <v>8.3000000000000007</v>
      </c>
      <c r="D68" s="59">
        <v>12</v>
      </c>
      <c r="E68" s="60">
        <v>3</v>
      </c>
      <c r="F68" s="61">
        <f t="shared" si="190"/>
        <v>0.29880000000000001</v>
      </c>
      <c r="G68" s="62"/>
      <c r="H68" s="63"/>
      <c r="I68" s="64">
        <f t="shared" si="191"/>
        <v>0</v>
      </c>
      <c r="J68" s="61"/>
      <c r="K68" s="63"/>
      <c r="L68" s="64">
        <f t="shared" si="192"/>
        <v>0</v>
      </c>
      <c r="M68" s="61"/>
      <c r="N68" s="63"/>
      <c r="O68" s="64">
        <f t="shared" si="193"/>
        <v>0</v>
      </c>
      <c r="P68" s="61"/>
      <c r="Q68" s="63"/>
      <c r="R68" s="64">
        <f t="shared" si="194"/>
        <v>0</v>
      </c>
      <c r="S68" s="65">
        <f t="shared" si="195"/>
        <v>0</v>
      </c>
      <c r="T68" s="64">
        <f t="shared" si="196"/>
        <v>0</v>
      </c>
      <c r="U68" s="42">
        <f t="shared" si="197"/>
        <v>3</v>
      </c>
      <c r="V68" s="64">
        <f t="shared" si="198"/>
        <v>0.29880000000000001</v>
      </c>
      <c r="W68" s="56"/>
      <c r="X68" s="29"/>
    </row>
    <row r="69" spans="1:24">
      <c r="A69" s="41"/>
      <c r="B69" s="41"/>
      <c r="C69" s="66"/>
      <c r="D69" s="67"/>
      <c r="E69" s="68">
        <f t="shared" ref="E69:F69" si="199">SUM(E67:E68)</f>
        <v>19</v>
      </c>
      <c r="F69" s="67">
        <f t="shared" si="199"/>
        <v>1.2948000000000002</v>
      </c>
      <c r="G69" s="62"/>
      <c r="H69" s="68">
        <f t="shared" ref="H69:I69" si="200">SUM(H67:H68)</f>
        <v>0</v>
      </c>
      <c r="I69" s="67">
        <f t="shared" si="200"/>
        <v>0</v>
      </c>
      <c r="J69" s="61"/>
      <c r="K69" s="68">
        <f t="shared" ref="K69:L69" si="201">SUM(K67:K68)</f>
        <v>0</v>
      </c>
      <c r="L69" s="67">
        <f t="shared" si="201"/>
        <v>0</v>
      </c>
      <c r="M69" s="61"/>
      <c r="N69" s="68">
        <f t="shared" ref="N69:O69" si="202">SUM(N67:N68)</f>
        <v>0</v>
      </c>
      <c r="O69" s="67">
        <f t="shared" si="202"/>
        <v>0</v>
      </c>
      <c r="P69" s="61"/>
      <c r="Q69" s="68">
        <f t="shared" ref="Q69:V69" si="203">SUM(Q67:Q68)</f>
        <v>0</v>
      </c>
      <c r="R69" s="67">
        <f t="shared" si="203"/>
        <v>0</v>
      </c>
      <c r="S69" s="68">
        <f t="shared" si="203"/>
        <v>0</v>
      </c>
      <c r="T69" s="67">
        <f t="shared" si="203"/>
        <v>0</v>
      </c>
      <c r="U69" s="68">
        <f t="shared" si="203"/>
        <v>19</v>
      </c>
      <c r="V69" s="67">
        <f t="shared" si="203"/>
        <v>1.2948000000000002</v>
      </c>
      <c r="W69" s="56"/>
      <c r="X69" s="29"/>
    </row>
    <row r="81" spans="18:18">
      <c r="R8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1"/>
  <dimension ref="A1:X55"/>
  <sheetViews>
    <sheetView zoomScale="75" zoomScaleNormal="75" workbookViewId="0">
      <pane ySplit="5" topLeftCell="A6" activePane="bottomLeft" state="frozen"/>
      <selection pane="bottomLeft" activeCell="G24" sqref="G24:G2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222</v>
      </c>
      <c r="H1" s="144"/>
      <c r="I1" s="145" t="s">
        <v>185</v>
      </c>
      <c r="J1" s="144"/>
      <c r="K1" s="3"/>
      <c r="L1" s="4"/>
      <c r="M1" s="4"/>
      <c r="N1" s="3"/>
      <c r="O1" s="4"/>
      <c r="P1" s="146" t="str">
        <f>+F2</f>
        <v>LOI-428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218</v>
      </c>
      <c r="B2" s="8"/>
      <c r="C2" s="9"/>
      <c r="D2" s="9"/>
      <c r="E2" s="10"/>
      <c r="F2" s="146" t="s">
        <v>223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LOI-428  03.07.23</v>
      </c>
      <c r="V2" s="146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12</v>
      </c>
      <c r="E6" s="28">
        <v>5</v>
      </c>
      <c r="F6" s="16">
        <f>(C6*D6*E6/1000)</f>
        <v>0.55559999999999998</v>
      </c>
      <c r="G6" s="17" t="s">
        <v>88</v>
      </c>
      <c r="H6" s="18">
        <v>5</v>
      </c>
      <c r="I6" s="19">
        <f>(C6*D6*H6/1000)</f>
        <v>0.55559999999999998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5</v>
      </c>
      <c r="T6" s="19">
        <f>+I6+L6+R6</f>
        <v>0.55559999999999998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5</v>
      </c>
      <c r="F7" s="38">
        <f t="shared" si="0"/>
        <v>0.55559999999999998</v>
      </c>
      <c r="G7" s="17" t="s">
        <v>303</v>
      </c>
      <c r="H7" s="31">
        <f t="shared" ref="H7" si="1">SUM(H6)</f>
        <v>5</v>
      </c>
      <c r="I7" s="38">
        <f t="shared" ref="I7" si="2">SUM(I6)</f>
        <v>0.55559999999999998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5</v>
      </c>
      <c r="T7" s="38">
        <f t="shared" ref="T7" si="10">SUM(T6)</f>
        <v>0.55559999999999998</v>
      </c>
      <c r="U7" s="31">
        <f t="shared" ref="U7" si="11">SUM(U6)</f>
        <v>0</v>
      </c>
      <c r="V7" s="38">
        <f t="shared" ref="V7" si="12">SUM(V6)</f>
        <v>0</v>
      </c>
      <c r="X7" s="29"/>
    </row>
    <row r="8" spans="1:24">
      <c r="A8" s="26" t="s">
        <v>13</v>
      </c>
      <c r="B8" s="26" t="s">
        <v>46</v>
      </c>
      <c r="C8" s="30">
        <v>10.73</v>
      </c>
      <c r="D8" s="27">
        <v>12</v>
      </c>
      <c r="E8" s="28">
        <v>5</v>
      </c>
      <c r="F8" s="16">
        <f>(C8*D8*E8/1000)</f>
        <v>0.64379999999999993</v>
      </c>
      <c r="G8" s="17" t="s">
        <v>88</v>
      </c>
      <c r="H8" s="18">
        <v>5</v>
      </c>
      <c r="I8" s="19">
        <f>(C8*D8*H8/1000)</f>
        <v>0.64379999999999993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5</v>
      </c>
      <c r="T8" s="19">
        <f>+I8+L8+R8</f>
        <v>0.64379999999999993</v>
      </c>
      <c r="U8" s="21">
        <f>E8-S8</f>
        <v>0</v>
      </c>
      <c r="V8" s="19">
        <f>F8-T8</f>
        <v>0</v>
      </c>
      <c r="X8" s="29"/>
    </row>
    <row r="9" spans="1:24">
      <c r="A9" s="36"/>
      <c r="B9" s="36"/>
      <c r="C9" s="37"/>
      <c r="D9" s="38"/>
      <c r="E9" s="31">
        <f t="shared" ref="E9:F9" si="13">SUM(E8)</f>
        <v>5</v>
      </c>
      <c r="F9" s="38">
        <f t="shared" si="13"/>
        <v>0.64379999999999993</v>
      </c>
      <c r="G9" s="17" t="s">
        <v>304</v>
      </c>
      <c r="H9" s="31">
        <f t="shared" ref="H9" si="14">SUM(H8)</f>
        <v>5</v>
      </c>
      <c r="I9" s="38">
        <f t="shared" ref="I9" si="15">SUM(I8)</f>
        <v>0.64379999999999993</v>
      </c>
      <c r="J9" s="16"/>
      <c r="K9" s="31">
        <f t="shared" ref="K9" si="16">SUM(K8)</f>
        <v>0</v>
      </c>
      <c r="L9" s="38">
        <f t="shared" ref="L9" si="17">SUM(L8)</f>
        <v>0</v>
      </c>
      <c r="M9" s="16"/>
      <c r="N9" s="31">
        <f t="shared" ref="N9" si="18">SUM(N8)</f>
        <v>0</v>
      </c>
      <c r="O9" s="38">
        <f t="shared" ref="O9" si="19">SUM(O8)</f>
        <v>0</v>
      </c>
      <c r="P9" s="16"/>
      <c r="Q9" s="31">
        <f t="shared" ref="Q9" si="20">SUM(Q8)</f>
        <v>0</v>
      </c>
      <c r="R9" s="38">
        <f t="shared" ref="R9" si="21">SUM(R8)</f>
        <v>0</v>
      </c>
      <c r="S9" s="31">
        <f t="shared" ref="S9" si="22">SUM(S8)</f>
        <v>5</v>
      </c>
      <c r="T9" s="38">
        <f t="shared" ref="T9" si="23">SUM(T8)</f>
        <v>0.64379999999999993</v>
      </c>
      <c r="U9" s="31">
        <f t="shared" ref="U9" si="24">SUM(U8)</f>
        <v>0</v>
      </c>
      <c r="V9" s="38">
        <f t="shared" ref="V9" si="25">SUM(V8)</f>
        <v>0</v>
      </c>
      <c r="X9" s="29"/>
    </row>
    <row r="10" spans="1:24">
      <c r="A10" s="26" t="s">
        <v>13</v>
      </c>
      <c r="B10" s="26" t="s">
        <v>61</v>
      </c>
      <c r="C10" s="30">
        <v>12.18</v>
      </c>
      <c r="D10" s="27">
        <v>12</v>
      </c>
      <c r="E10" s="28">
        <v>5</v>
      </c>
      <c r="F10" s="16">
        <f>(C10*D10*E10/1000)</f>
        <v>0.73080000000000001</v>
      </c>
      <c r="G10" s="17" t="s">
        <v>88</v>
      </c>
      <c r="H10" s="18">
        <v>5</v>
      </c>
      <c r="I10" s="19">
        <f>(C10*D10*H10/1000)</f>
        <v>0.73080000000000001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</f>
        <v>5</v>
      </c>
      <c r="T10" s="19">
        <f>+I10+L10+R10</f>
        <v>0.73080000000000001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26">SUM(E10)</f>
        <v>5</v>
      </c>
      <c r="F11" s="38">
        <f t="shared" si="26"/>
        <v>0.73080000000000001</v>
      </c>
      <c r="G11" s="17" t="s">
        <v>304</v>
      </c>
      <c r="H11" s="31">
        <f t="shared" ref="H11" si="27">SUM(H10)</f>
        <v>5</v>
      </c>
      <c r="I11" s="38">
        <f t="shared" ref="I11" si="28">SUM(I10)</f>
        <v>0.73080000000000001</v>
      </c>
      <c r="J11" s="16"/>
      <c r="K11" s="31">
        <f t="shared" ref="K11" si="29">SUM(K10)</f>
        <v>0</v>
      </c>
      <c r="L11" s="38">
        <f t="shared" ref="L11" si="30">SUM(L10)</f>
        <v>0</v>
      </c>
      <c r="M11" s="16"/>
      <c r="N11" s="31">
        <f t="shared" ref="N11" si="31">SUM(N10)</f>
        <v>0</v>
      </c>
      <c r="O11" s="38">
        <f t="shared" ref="O11" si="32">SUM(O10)</f>
        <v>0</v>
      </c>
      <c r="P11" s="16"/>
      <c r="Q11" s="31">
        <f t="shared" ref="Q11" si="33">SUM(Q10)</f>
        <v>0</v>
      </c>
      <c r="R11" s="38">
        <f t="shared" ref="R11" si="34">SUM(R10)</f>
        <v>0</v>
      </c>
      <c r="S11" s="31">
        <f t="shared" ref="S11" si="35">SUM(S10)</f>
        <v>5</v>
      </c>
      <c r="T11" s="38">
        <f t="shared" ref="T11" si="36">SUM(T10)</f>
        <v>0.73080000000000001</v>
      </c>
      <c r="U11" s="31">
        <f t="shared" ref="U11" si="37">SUM(U10)</f>
        <v>0</v>
      </c>
      <c r="V11" s="38">
        <f t="shared" ref="V11" si="38">SUM(V10)</f>
        <v>0</v>
      </c>
      <c r="X11" s="29"/>
    </row>
    <row r="12" spans="1:24">
      <c r="A12" s="26" t="s">
        <v>13</v>
      </c>
      <c r="B12" s="26" t="s">
        <v>18</v>
      </c>
      <c r="C12" s="30">
        <v>16.579999999999998</v>
      </c>
      <c r="D12" s="27">
        <v>12</v>
      </c>
      <c r="E12" s="28">
        <v>5</v>
      </c>
      <c r="F12" s="16">
        <f>(C12*D12*E12/1000)</f>
        <v>0.99479999999999991</v>
      </c>
      <c r="G12" s="16" t="s">
        <v>89</v>
      </c>
      <c r="H12" s="18">
        <v>5</v>
      </c>
      <c r="I12" s="19">
        <f>(C12*D12*H12/1000)</f>
        <v>0.99479999999999991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</f>
        <v>5</v>
      </c>
      <c r="T12" s="19">
        <f>+I12+L12+R12</f>
        <v>0.99479999999999991</v>
      </c>
      <c r="U12" s="21">
        <f>E12-S12</f>
        <v>0</v>
      </c>
      <c r="V12" s="19">
        <f>F12-T12</f>
        <v>0</v>
      </c>
      <c r="X12" s="29"/>
    </row>
    <row r="13" spans="1:24">
      <c r="A13" s="36"/>
      <c r="B13" s="36"/>
      <c r="C13" s="37"/>
      <c r="D13" s="38"/>
      <c r="E13" s="31">
        <f t="shared" ref="E13:F13" si="39">SUM(E12)</f>
        <v>5</v>
      </c>
      <c r="F13" s="38">
        <f t="shared" si="39"/>
        <v>0.99479999999999991</v>
      </c>
      <c r="G13" s="16" t="s">
        <v>327</v>
      </c>
      <c r="H13" s="31">
        <f t="shared" ref="H13" si="40">SUM(H12)</f>
        <v>5</v>
      </c>
      <c r="I13" s="38">
        <f t="shared" ref="I13" si="41">SUM(I12)</f>
        <v>0.99479999999999991</v>
      </c>
      <c r="J13" s="16"/>
      <c r="K13" s="31">
        <f t="shared" ref="K13" si="42">SUM(K12)</f>
        <v>0</v>
      </c>
      <c r="L13" s="38">
        <f t="shared" ref="L13" si="43">SUM(L12)</f>
        <v>0</v>
      </c>
      <c r="M13" s="16"/>
      <c r="N13" s="31">
        <f t="shared" ref="N13" si="44">SUM(N12)</f>
        <v>0</v>
      </c>
      <c r="O13" s="38">
        <f t="shared" ref="O13" si="45">SUM(O12)</f>
        <v>0</v>
      </c>
      <c r="P13" s="16"/>
      <c r="Q13" s="31">
        <f t="shared" ref="Q13" si="46">SUM(Q12)</f>
        <v>0</v>
      </c>
      <c r="R13" s="38">
        <f t="shared" ref="R13" si="47">SUM(R12)</f>
        <v>0</v>
      </c>
      <c r="S13" s="31">
        <f t="shared" ref="S13" si="48">SUM(S12)</f>
        <v>5</v>
      </c>
      <c r="T13" s="38">
        <f t="shared" ref="T13" si="49">SUM(T12)</f>
        <v>0.99479999999999991</v>
      </c>
      <c r="U13" s="31">
        <f t="shared" ref="U13" si="50">SUM(U12)</f>
        <v>0</v>
      </c>
      <c r="V13" s="38">
        <f t="shared" ref="V13" si="51">SUM(V12)</f>
        <v>0</v>
      </c>
      <c r="X13" s="29"/>
    </row>
    <row r="14" spans="1:24">
      <c r="A14" s="26" t="s">
        <v>13</v>
      </c>
      <c r="B14" s="26" t="s">
        <v>31</v>
      </c>
      <c r="C14" s="30">
        <v>10.199999999999999</v>
      </c>
      <c r="D14" s="27">
        <v>12</v>
      </c>
      <c r="E14" s="28">
        <v>5</v>
      </c>
      <c r="F14" s="16">
        <f>(C14*D14*E14/1000)</f>
        <v>0.61199999999999999</v>
      </c>
      <c r="G14" s="16" t="s">
        <v>89</v>
      </c>
      <c r="H14" s="18">
        <v>5</v>
      </c>
      <c r="I14" s="19">
        <f>(C14*D14*H14/1000)</f>
        <v>0.61199999999999999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</f>
        <v>5</v>
      </c>
      <c r="T14" s="19">
        <f>+I14+L14+R14</f>
        <v>0.61199999999999999</v>
      </c>
      <c r="U14" s="21">
        <f>E14-S14</f>
        <v>0</v>
      </c>
      <c r="V14" s="19">
        <f>F14-T14</f>
        <v>0</v>
      </c>
      <c r="X14" s="29"/>
    </row>
    <row r="15" spans="1:24">
      <c r="A15" s="36"/>
      <c r="B15" s="36"/>
      <c r="C15" s="37"/>
      <c r="D15" s="38"/>
      <c r="E15" s="31">
        <f t="shared" ref="E15:F15" si="52">SUM(E14)</f>
        <v>5</v>
      </c>
      <c r="F15" s="38">
        <f t="shared" si="52"/>
        <v>0.61199999999999999</v>
      </c>
      <c r="G15" s="16" t="s">
        <v>327</v>
      </c>
      <c r="H15" s="31">
        <f t="shared" ref="H15" si="53">SUM(H14)</f>
        <v>5</v>
      </c>
      <c r="I15" s="38">
        <f t="shared" ref="I15" si="54">SUM(I14)</f>
        <v>0.61199999999999999</v>
      </c>
      <c r="J15" s="16"/>
      <c r="K15" s="31">
        <f t="shared" ref="K15" si="55">SUM(K14)</f>
        <v>0</v>
      </c>
      <c r="L15" s="38">
        <f t="shared" ref="L15" si="56">SUM(L14)</f>
        <v>0</v>
      </c>
      <c r="M15" s="16"/>
      <c r="N15" s="31">
        <f t="shared" ref="N15" si="57">SUM(N14)</f>
        <v>0</v>
      </c>
      <c r="O15" s="38">
        <f t="shared" ref="O15" si="58">SUM(O14)</f>
        <v>0</v>
      </c>
      <c r="P15" s="16"/>
      <c r="Q15" s="31">
        <f t="shared" ref="Q15" si="59">SUM(Q14)</f>
        <v>0</v>
      </c>
      <c r="R15" s="38">
        <f t="shared" ref="R15" si="60">SUM(R14)</f>
        <v>0</v>
      </c>
      <c r="S15" s="31">
        <f t="shared" ref="S15" si="61">SUM(S14)</f>
        <v>5</v>
      </c>
      <c r="T15" s="38">
        <f t="shared" ref="T15" si="62">SUM(T14)</f>
        <v>0.61199999999999999</v>
      </c>
      <c r="U15" s="31">
        <f t="shared" ref="U15" si="63">SUM(U14)</f>
        <v>0</v>
      </c>
      <c r="V15" s="38">
        <f t="shared" ref="V15" si="64">SUM(V14)</f>
        <v>0</v>
      </c>
      <c r="X15" s="29"/>
    </row>
    <row r="16" spans="1:24">
      <c r="A16" s="26" t="s">
        <v>13</v>
      </c>
      <c r="B16" s="26" t="s">
        <v>32</v>
      </c>
      <c r="C16" s="30">
        <v>11.8</v>
      </c>
      <c r="D16" s="27">
        <v>12</v>
      </c>
      <c r="E16" s="28">
        <v>5</v>
      </c>
      <c r="F16" s="16">
        <f>(C16*D16*E16/1000)</f>
        <v>0.70800000000000007</v>
      </c>
      <c r="G16" s="17" t="s">
        <v>325</v>
      </c>
      <c r="H16" s="18">
        <v>5</v>
      </c>
      <c r="I16" s="19">
        <f>(C16*D16*H16/1000)</f>
        <v>0.70800000000000007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</f>
        <v>5</v>
      </c>
      <c r="T16" s="19">
        <f>+I16+L16+R16</f>
        <v>0.70800000000000007</v>
      </c>
      <c r="U16" s="21">
        <f>E16-S16</f>
        <v>0</v>
      </c>
      <c r="V16" s="19">
        <f>F16-T16</f>
        <v>0</v>
      </c>
      <c r="X16" s="29"/>
    </row>
    <row r="17" spans="1:24">
      <c r="A17" s="36"/>
      <c r="B17" s="36"/>
      <c r="C17" s="37"/>
      <c r="D17" s="38"/>
      <c r="E17" s="31">
        <f t="shared" ref="E17:F17" si="65">SUM(E16)</f>
        <v>5</v>
      </c>
      <c r="F17" s="38">
        <f t="shared" si="65"/>
        <v>0.70800000000000007</v>
      </c>
      <c r="G17" s="17" t="s">
        <v>326</v>
      </c>
      <c r="H17" s="31">
        <f t="shared" ref="H17" si="66">SUM(H16)</f>
        <v>5</v>
      </c>
      <c r="I17" s="38">
        <f t="shared" ref="I17" si="67">SUM(I16)</f>
        <v>0.70800000000000007</v>
      </c>
      <c r="J17" s="16"/>
      <c r="K17" s="31">
        <f t="shared" ref="K17" si="68">SUM(K16)</f>
        <v>0</v>
      </c>
      <c r="L17" s="38">
        <f t="shared" ref="L17" si="69">SUM(L16)</f>
        <v>0</v>
      </c>
      <c r="M17" s="16"/>
      <c r="N17" s="31">
        <f t="shared" ref="N17" si="70">SUM(N16)</f>
        <v>0</v>
      </c>
      <c r="O17" s="38">
        <f t="shared" ref="O17" si="71">SUM(O16)</f>
        <v>0</v>
      </c>
      <c r="P17" s="16"/>
      <c r="Q17" s="31">
        <f t="shared" ref="Q17" si="72">SUM(Q16)</f>
        <v>0</v>
      </c>
      <c r="R17" s="38">
        <f t="shared" ref="R17" si="73">SUM(R16)</f>
        <v>0</v>
      </c>
      <c r="S17" s="31">
        <f t="shared" ref="S17" si="74">SUM(S16)</f>
        <v>5</v>
      </c>
      <c r="T17" s="38">
        <f t="shared" ref="T17" si="75">SUM(T16)</f>
        <v>0.70800000000000007</v>
      </c>
      <c r="U17" s="31">
        <f t="shared" ref="U17" si="76">SUM(U16)</f>
        <v>0</v>
      </c>
      <c r="V17" s="38">
        <f t="shared" ref="V17" si="77">SUM(V16)</f>
        <v>0</v>
      </c>
      <c r="X17" s="29"/>
    </row>
    <row r="18" spans="1:24">
      <c r="A18" s="26" t="s">
        <v>13</v>
      </c>
      <c r="B18" s="26" t="s">
        <v>25</v>
      </c>
      <c r="C18" s="30">
        <v>13.4</v>
      </c>
      <c r="D18" s="27">
        <v>12</v>
      </c>
      <c r="E18" s="28">
        <v>5</v>
      </c>
      <c r="F18" s="16">
        <f>(C18*D18*E18/1000)</f>
        <v>0.80400000000000005</v>
      </c>
      <c r="G18" s="17" t="s">
        <v>325</v>
      </c>
      <c r="H18" s="18">
        <v>5</v>
      </c>
      <c r="I18" s="19">
        <f>(C18*D18*H18/1000)</f>
        <v>0.80400000000000005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</f>
        <v>5</v>
      </c>
      <c r="T18" s="19">
        <f>+I18+L18+R18</f>
        <v>0.80400000000000005</v>
      </c>
      <c r="U18" s="21">
        <f>E18-S18</f>
        <v>0</v>
      </c>
      <c r="V18" s="19">
        <f>F18-T18</f>
        <v>0</v>
      </c>
      <c r="X18" s="29"/>
    </row>
    <row r="19" spans="1:24">
      <c r="A19" s="36"/>
      <c r="B19" s="36"/>
      <c r="C19" s="37"/>
      <c r="D19" s="38"/>
      <c r="E19" s="31">
        <f t="shared" ref="E19:F19" si="78">SUM(E18)</f>
        <v>5</v>
      </c>
      <c r="F19" s="38">
        <f t="shared" si="78"/>
        <v>0.80400000000000005</v>
      </c>
      <c r="G19" s="17" t="s">
        <v>326</v>
      </c>
      <c r="H19" s="31">
        <f t="shared" ref="H19" si="79">SUM(H18)</f>
        <v>5</v>
      </c>
      <c r="I19" s="38">
        <f t="shared" ref="I19" si="80">SUM(I18)</f>
        <v>0.80400000000000005</v>
      </c>
      <c r="J19" s="16"/>
      <c r="K19" s="31">
        <f t="shared" ref="K19" si="81">SUM(K18)</f>
        <v>0</v>
      </c>
      <c r="L19" s="38">
        <f t="shared" ref="L19" si="82">SUM(L18)</f>
        <v>0</v>
      </c>
      <c r="M19" s="16"/>
      <c r="N19" s="31">
        <f t="shared" ref="N19" si="83">SUM(N18)</f>
        <v>0</v>
      </c>
      <c r="O19" s="38">
        <f t="shared" ref="O19" si="84">SUM(O18)</f>
        <v>0</v>
      </c>
      <c r="P19" s="16"/>
      <c r="Q19" s="31">
        <f t="shared" ref="Q19" si="85">SUM(Q18)</f>
        <v>0</v>
      </c>
      <c r="R19" s="38">
        <f t="shared" ref="R19" si="86">SUM(R18)</f>
        <v>0</v>
      </c>
      <c r="S19" s="31">
        <f t="shared" ref="S19" si="87">SUM(S18)</f>
        <v>5</v>
      </c>
      <c r="T19" s="38">
        <f t="shared" ref="T19" si="88">SUM(T18)</f>
        <v>0.80400000000000005</v>
      </c>
      <c r="U19" s="31">
        <f t="shared" ref="U19" si="89">SUM(U18)</f>
        <v>0</v>
      </c>
      <c r="V19" s="38">
        <f t="shared" ref="V19" si="90">SUM(V18)</f>
        <v>0</v>
      </c>
      <c r="X19" s="29"/>
    </row>
    <row r="20" spans="1:24">
      <c r="A20" s="26" t="s">
        <v>14</v>
      </c>
      <c r="B20" s="26" t="s">
        <v>60</v>
      </c>
      <c r="C20" s="30">
        <v>15.04</v>
      </c>
      <c r="D20" s="27">
        <v>12</v>
      </c>
      <c r="E20" s="28">
        <v>5</v>
      </c>
      <c r="F20" s="16">
        <f>(C20*D20*E20/1000)</f>
        <v>0.90239999999999998</v>
      </c>
      <c r="G20" s="17" t="s">
        <v>88</v>
      </c>
      <c r="H20" s="18">
        <v>5</v>
      </c>
      <c r="I20" s="19">
        <f>(C20*D20*H20/1000)</f>
        <v>0.90239999999999998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</f>
        <v>5</v>
      </c>
      <c r="T20" s="19">
        <f>+I20+L20+R20</f>
        <v>0.90239999999999998</v>
      </c>
      <c r="U20" s="21">
        <f>E20-S20</f>
        <v>0</v>
      </c>
      <c r="V20" s="19">
        <f>F20-T20</f>
        <v>0</v>
      </c>
      <c r="X20" s="29"/>
    </row>
    <row r="21" spans="1:24">
      <c r="A21" s="36"/>
      <c r="B21" s="36"/>
      <c r="C21" s="37"/>
      <c r="D21" s="38"/>
      <c r="E21" s="31">
        <f t="shared" ref="E21:F21" si="91">SUM(E20)</f>
        <v>5</v>
      </c>
      <c r="F21" s="38">
        <f t="shared" si="91"/>
        <v>0.90239999999999998</v>
      </c>
      <c r="G21" s="17" t="s">
        <v>304</v>
      </c>
      <c r="H21" s="31">
        <f t="shared" ref="H21" si="92">SUM(H20)</f>
        <v>5</v>
      </c>
      <c r="I21" s="38">
        <f t="shared" ref="I21" si="93">SUM(I20)</f>
        <v>0.90239999999999998</v>
      </c>
      <c r="J21" s="16"/>
      <c r="K21" s="31">
        <f t="shared" ref="K21" si="94">SUM(K20)</f>
        <v>0</v>
      </c>
      <c r="L21" s="38">
        <f t="shared" ref="L21" si="95">SUM(L20)</f>
        <v>0</v>
      </c>
      <c r="M21" s="16"/>
      <c r="N21" s="31">
        <f t="shared" ref="N21" si="96">SUM(N20)</f>
        <v>0</v>
      </c>
      <c r="O21" s="38">
        <f t="shared" ref="O21" si="97">SUM(O20)</f>
        <v>0</v>
      </c>
      <c r="P21" s="16"/>
      <c r="Q21" s="31">
        <f t="shared" ref="Q21" si="98">SUM(Q20)</f>
        <v>0</v>
      </c>
      <c r="R21" s="38">
        <f t="shared" ref="R21" si="99">SUM(R20)</f>
        <v>0</v>
      </c>
      <c r="S21" s="31">
        <f t="shared" ref="S21" si="100">SUM(S20)</f>
        <v>5</v>
      </c>
      <c r="T21" s="38">
        <f t="shared" ref="T21" si="101">SUM(T20)</f>
        <v>0.90239999999999998</v>
      </c>
      <c r="U21" s="31">
        <f t="shared" ref="U21" si="102">SUM(U20)</f>
        <v>0</v>
      </c>
      <c r="V21" s="38">
        <f t="shared" ref="V21" si="103">SUM(V20)</f>
        <v>0</v>
      </c>
      <c r="X21" s="29"/>
    </row>
    <row r="22" spans="1:24">
      <c r="A22" s="26" t="s">
        <v>14</v>
      </c>
      <c r="B22" s="26" t="s">
        <v>45</v>
      </c>
      <c r="C22" s="30">
        <v>9.26</v>
      </c>
      <c r="D22" s="27">
        <v>12</v>
      </c>
      <c r="E22" s="28">
        <v>5</v>
      </c>
      <c r="F22" s="16">
        <f>(C22*D22*E22/1000)</f>
        <v>0.55559999999999998</v>
      </c>
      <c r="G22" s="17" t="s">
        <v>88</v>
      </c>
      <c r="H22" s="18">
        <v>5</v>
      </c>
      <c r="I22" s="19">
        <f>(C22*D22*H22/1000)</f>
        <v>0.55559999999999998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</f>
        <v>5</v>
      </c>
      <c r="T22" s="19">
        <f>+I22+L22+R22</f>
        <v>0.55559999999999998</v>
      </c>
      <c r="U22" s="21">
        <f>E22-S22</f>
        <v>0</v>
      </c>
      <c r="V22" s="19">
        <f>F22-T22</f>
        <v>0</v>
      </c>
      <c r="X22" s="29"/>
    </row>
    <row r="23" spans="1:24">
      <c r="A23" s="36"/>
      <c r="B23" s="36"/>
      <c r="C23" s="37"/>
      <c r="D23" s="38"/>
      <c r="E23" s="31">
        <f t="shared" ref="E23:F23" si="104">SUM(E22)</f>
        <v>5</v>
      </c>
      <c r="F23" s="38">
        <f t="shared" si="104"/>
        <v>0.55559999999999998</v>
      </c>
      <c r="G23" s="17" t="s">
        <v>304</v>
      </c>
      <c r="H23" s="31">
        <f t="shared" ref="H23" si="105">SUM(H22)</f>
        <v>5</v>
      </c>
      <c r="I23" s="38">
        <f t="shared" ref="I23" si="106">SUM(I22)</f>
        <v>0.55559999999999998</v>
      </c>
      <c r="J23" s="16"/>
      <c r="K23" s="31">
        <f t="shared" ref="K23" si="107">SUM(K22)</f>
        <v>0</v>
      </c>
      <c r="L23" s="38">
        <f t="shared" ref="L23" si="108">SUM(L22)</f>
        <v>0</v>
      </c>
      <c r="M23" s="16"/>
      <c r="N23" s="31">
        <f t="shared" ref="N23" si="109">SUM(N22)</f>
        <v>0</v>
      </c>
      <c r="O23" s="38">
        <f t="shared" ref="O23" si="110">SUM(O22)</f>
        <v>0</v>
      </c>
      <c r="P23" s="16"/>
      <c r="Q23" s="31">
        <f t="shared" ref="Q23" si="111">SUM(Q22)</f>
        <v>0</v>
      </c>
      <c r="R23" s="38">
        <f t="shared" ref="R23" si="112">SUM(R22)</f>
        <v>0</v>
      </c>
      <c r="S23" s="31">
        <f t="shared" ref="S23" si="113">SUM(S22)</f>
        <v>5</v>
      </c>
      <c r="T23" s="38">
        <f t="shared" ref="T23" si="114">SUM(T22)</f>
        <v>0.55559999999999998</v>
      </c>
      <c r="U23" s="31">
        <f t="shared" ref="U23" si="115">SUM(U22)</f>
        <v>0</v>
      </c>
      <c r="V23" s="38">
        <f t="shared" ref="V23" si="116">SUM(V22)</f>
        <v>0</v>
      </c>
      <c r="X23" s="29"/>
    </row>
    <row r="24" spans="1:24">
      <c r="A24" s="26" t="s">
        <v>14</v>
      </c>
      <c r="B24" s="26" t="s">
        <v>18</v>
      </c>
      <c r="C24" s="30">
        <v>16.579999999999998</v>
      </c>
      <c r="D24" s="27">
        <v>12</v>
      </c>
      <c r="E24" s="28">
        <v>5</v>
      </c>
      <c r="F24" s="16">
        <f>(C24*D24*E24/1000)</f>
        <v>0.99479999999999991</v>
      </c>
      <c r="G24" s="16" t="s">
        <v>89</v>
      </c>
      <c r="H24" s="18">
        <v>5</v>
      </c>
      <c r="I24" s="19">
        <f>(C24*D24*H24/1000)</f>
        <v>0.99479999999999991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</f>
        <v>5</v>
      </c>
      <c r="T24" s="19">
        <f>+I24+L24+R24</f>
        <v>0.99479999999999991</v>
      </c>
      <c r="U24" s="21">
        <f>E24-S24</f>
        <v>0</v>
      </c>
      <c r="V24" s="19">
        <f>F24-T24</f>
        <v>0</v>
      </c>
      <c r="X24" s="29"/>
    </row>
    <row r="25" spans="1:24">
      <c r="A25" s="36"/>
      <c r="B25" s="36"/>
      <c r="C25" s="37"/>
      <c r="D25" s="38"/>
      <c r="E25" s="31">
        <f t="shared" ref="E25:F25" si="117">SUM(E24)</f>
        <v>5</v>
      </c>
      <c r="F25" s="38">
        <f t="shared" si="117"/>
        <v>0.99479999999999991</v>
      </c>
      <c r="G25" s="16" t="s">
        <v>327</v>
      </c>
      <c r="H25" s="31">
        <f t="shared" ref="H25" si="118">SUM(H24)</f>
        <v>5</v>
      </c>
      <c r="I25" s="38">
        <f t="shared" ref="I25" si="119">SUM(I24)</f>
        <v>0.99479999999999991</v>
      </c>
      <c r="J25" s="16"/>
      <c r="K25" s="31">
        <f t="shared" ref="K25" si="120">SUM(K24)</f>
        <v>0</v>
      </c>
      <c r="L25" s="38">
        <f t="shared" ref="L25" si="121">SUM(L24)</f>
        <v>0</v>
      </c>
      <c r="M25" s="16"/>
      <c r="N25" s="31">
        <f t="shared" ref="N25" si="122">SUM(N24)</f>
        <v>0</v>
      </c>
      <c r="O25" s="38">
        <f t="shared" ref="O25" si="123">SUM(O24)</f>
        <v>0</v>
      </c>
      <c r="P25" s="16"/>
      <c r="Q25" s="31">
        <f t="shared" ref="Q25" si="124">SUM(Q24)</f>
        <v>0</v>
      </c>
      <c r="R25" s="38">
        <f t="shared" ref="R25" si="125">SUM(R24)</f>
        <v>0</v>
      </c>
      <c r="S25" s="31">
        <f t="shared" ref="S25" si="126">SUM(S24)</f>
        <v>5</v>
      </c>
      <c r="T25" s="38">
        <f t="shared" ref="T25" si="127">SUM(T24)</f>
        <v>0.99479999999999991</v>
      </c>
      <c r="U25" s="31">
        <f t="shared" ref="U25" si="128">SUM(U24)</f>
        <v>0</v>
      </c>
      <c r="V25" s="38">
        <f t="shared" ref="V25" si="129">SUM(V24)</f>
        <v>0</v>
      </c>
      <c r="X25" s="29"/>
    </row>
    <row r="26" spans="1:24">
      <c r="A26" s="26" t="s">
        <v>14</v>
      </c>
      <c r="B26" s="26" t="s">
        <v>31</v>
      </c>
      <c r="C26" s="30">
        <v>10.199999999999999</v>
      </c>
      <c r="D26" s="27">
        <v>12</v>
      </c>
      <c r="E26" s="28">
        <v>5</v>
      </c>
      <c r="F26" s="16">
        <f>(C26*D26*E26/1000)</f>
        <v>0.61199999999999999</v>
      </c>
      <c r="G26" s="17" t="s">
        <v>325</v>
      </c>
      <c r="H26" s="18">
        <v>5</v>
      </c>
      <c r="I26" s="19">
        <f>(C26*D26*H26/1000)</f>
        <v>0.61199999999999999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</f>
        <v>5</v>
      </c>
      <c r="T26" s="19">
        <f>+I26+L26+R26</f>
        <v>0.61199999999999999</v>
      </c>
      <c r="U26" s="21">
        <f>E26-S26</f>
        <v>0</v>
      </c>
      <c r="V26" s="19">
        <f>F26-T26</f>
        <v>0</v>
      </c>
      <c r="X26" s="29"/>
    </row>
    <row r="27" spans="1:24">
      <c r="A27" s="36"/>
      <c r="B27" s="36"/>
      <c r="C27" s="37"/>
      <c r="D27" s="38"/>
      <c r="E27" s="31">
        <f t="shared" ref="E27:F27" si="130">SUM(E26)</f>
        <v>5</v>
      </c>
      <c r="F27" s="38">
        <f t="shared" si="130"/>
        <v>0.61199999999999999</v>
      </c>
      <c r="G27" s="17" t="s">
        <v>326</v>
      </c>
      <c r="H27" s="31">
        <f t="shared" ref="H27" si="131">SUM(H26)</f>
        <v>5</v>
      </c>
      <c r="I27" s="38">
        <f t="shared" ref="I27" si="132">SUM(I26)</f>
        <v>0.61199999999999999</v>
      </c>
      <c r="J27" s="16"/>
      <c r="K27" s="31">
        <f t="shared" ref="K27" si="133">SUM(K26)</f>
        <v>0</v>
      </c>
      <c r="L27" s="38">
        <f t="shared" ref="L27" si="134">SUM(L26)</f>
        <v>0</v>
      </c>
      <c r="M27" s="16"/>
      <c r="N27" s="31">
        <f t="shared" ref="N27" si="135">SUM(N26)</f>
        <v>0</v>
      </c>
      <c r="O27" s="38">
        <f t="shared" ref="O27" si="136">SUM(O26)</f>
        <v>0</v>
      </c>
      <c r="P27" s="16"/>
      <c r="Q27" s="31">
        <f t="shared" ref="Q27" si="137">SUM(Q26)</f>
        <v>0</v>
      </c>
      <c r="R27" s="38">
        <f t="shared" ref="R27" si="138">SUM(R26)</f>
        <v>0</v>
      </c>
      <c r="S27" s="31">
        <f t="shared" ref="S27" si="139">SUM(S26)</f>
        <v>5</v>
      </c>
      <c r="T27" s="38">
        <f t="shared" ref="T27" si="140">SUM(T26)</f>
        <v>0.61199999999999999</v>
      </c>
      <c r="U27" s="31">
        <f t="shared" ref="U27" si="141">SUM(U26)</f>
        <v>0</v>
      </c>
      <c r="V27" s="38">
        <f t="shared" ref="V27" si="142">SUM(V26)</f>
        <v>0</v>
      </c>
      <c r="X27" s="29"/>
    </row>
    <row r="28" spans="1:24">
      <c r="A28" s="33"/>
      <c r="B28" s="33"/>
      <c r="C28" s="34"/>
      <c r="D28" s="34"/>
      <c r="E28" s="34">
        <f t="shared" ref="E28:F28" si="143">SUM(E27,E25,E23,E21,E19,E17,E15,E13,E11,E9,E7)</f>
        <v>55</v>
      </c>
      <c r="F28" s="35">
        <f t="shared" si="143"/>
        <v>8.1137999999999995</v>
      </c>
      <c r="G28" s="26"/>
      <c r="H28" s="34">
        <f t="shared" ref="H28" si="144">SUM(H27,H25,H23,H21,H19,H17,H15,H13,H11,H9,H7)</f>
        <v>55</v>
      </c>
      <c r="I28" s="35">
        <f t="shared" ref="I28" si="145">SUM(I27,I25,I23,I21,I19,I17,I15,I13,I11,I9,I7)</f>
        <v>8.1137999999999995</v>
      </c>
      <c r="J28" s="26"/>
      <c r="K28" s="34">
        <f t="shared" ref="K28" si="146">SUM(K27,K25,K23,K21,K19,K17,K15,K13,K11,K9,K7)</f>
        <v>0</v>
      </c>
      <c r="L28" s="35">
        <f t="shared" ref="L28" si="147">SUM(L27,L25,L23,L21,L19,L17,L15,L13,L11,L9,L7)</f>
        <v>0</v>
      </c>
      <c r="M28" s="26"/>
      <c r="N28" s="34">
        <f t="shared" ref="N28" si="148">SUM(N27,N25,N23,N21,N19,N17,N15,N13,N11,N9,N7)</f>
        <v>0</v>
      </c>
      <c r="O28" s="35">
        <f t="shared" ref="O28" si="149">SUM(O27,O25,O23,O21,O19,O17,O15,O13,O11,O9,O7)</f>
        <v>0</v>
      </c>
      <c r="P28" s="26"/>
      <c r="Q28" s="34">
        <f t="shared" ref="Q28" si="150">SUM(Q27,Q25,Q23,Q21,Q19,Q17,Q15,Q13,Q11,Q9,Q7)</f>
        <v>0</v>
      </c>
      <c r="R28" s="35">
        <f t="shared" ref="R28" si="151">SUM(R27,R25,R23,R21,R19,R17,R15,R13,R11,R9,R7)</f>
        <v>0</v>
      </c>
      <c r="S28" s="34">
        <f t="shared" ref="S28" si="152">SUM(S27,S25,S23,S21,S19,S17,S15,S13,S11,S9,S7)</f>
        <v>55</v>
      </c>
      <c r="T28" s="35">
        <f t="shared" ref="T28" si="153">SUM(T27,T25,T23,T21,T19,T17,T15,T13,T11,T9,T7)</f>
        <v>8.1137999999999995</v>
      </c>
      <c r="U28" s="34">
        <f t="shared" ref="U28" si="154">SUM(U27,U25,U23,U21,U19,U17,U15,U13,U11,U9,U7)</f>
        <v>0</v>
      </c>
      <c r="V28" s="35">
        <f t="shared" ref="V28" si="155">SUM(V27,V25,V23,V21,V19,V17,V15,V13,V11,V9,V7)</f>
        <v>0</v>
      </c>
    </row>
    <row r="33" spans="1:24">
      <c r="A33" s="57" t="s">
        <v>13</v>
      </c>
      <c r="B33" s="57" t="s">
        <v>36</v>
      </c>
      <c r="C33" s="58">
        <v>6.97</v>
      </c>
      <c r="D33" s="59">
        <v>12</v>
      </c>
      <c r="E33" s="60">
        <v>5</v>
      </c>
      <c r="F33" s="61">
        <f>(C33*D33*E33/1000)</f>
        <v>0.41820000000000002</v>
      </c>
      <c r="G33" s="62"/>
      <c r="H33" s="63"/>
      <c r="I33" s="64">
        <f>(C33*D33*H33/1000)</f>
        <v>0</v>
      </c>
      <c r="J33" s="61"/>
      <c r="K33" s="63"/>
      <c r="L33" s="64">
        <f>(C33*D33*K33/1000)</f>
        <v>0</v>
      </c>
      <c r="M33" s="61"/>
      <c r="N33" s="63"/>
      <c r="O33" s="64">
        <f>(C33*D33*N33/1000)</f>
        <v>0</v>
      </c>
      <c r="P33" s="61"/>
      <c r="Q33" s="63"/>
      <c r="R33" s="64">
        <f>(C33*D33*Q33/1000)</f>
        <v>0</v>
      </c>
      <c r="S33" s="65">
        <f>+H33+K33+Q33</f>
        <v>0</v>
      </c>
      <c r="T33" s="64">
        <f>+I33+L33+R33</f>
        <v>0</v>
      </c>
      <c r="U33" s="42">
        <f>E33-S33</f>
        <v>5</v>
      </c>
      <c r="V33" s="64">
        <f>F33-T33</f>
        <v>0.41820000000000002</v>
      </c>
      <c r="X33" s="29"/>
    </row>
    <row r="34" spans="1:24">
      <c r="A34" s="41"/>
      <c r="B34" s="41"/>
      <c r="C34" s="66"/>
      <c r="D34" s="67"/>
      <c r="E34" s="68">
        <f t="shared" ref="E34:F34" si="156">SUM(E33)</f>
        <v>5</v>
      </c>
      <c r="F34" s="67">
        <f t="shared" si="156"/>
        <v>0.41820000000000002</v>
      </c>
      <c r="G34" s="62"/>
      <c r="H34" s="68">
        <f t="shared" ref="H34" si="157">SUM(H33)</f>
        <v>0</v>
      </c>
      <c r="I34" s="67">
        <f t="shared" ref="I34" si="158">SUM(I33)</f>
        <v>0</v>
      </c>
      <c r="J34" s="61"/>
      <c r="K34" s="68">
        <f t="shared" ref="K34" si="159">SUM(K33)</f>
        <v>0</v>
      </c>
      <c r="L34" s="67">
        <f t="shared" ref="L34" si="160">SUM(L33)</f>
        <v>0</v>
      </c>
      <c r="M34" s="61"/>
      <c r="N34" s="68">
        <f t="shared" ref="N34" si="161">SUM(N33)</f>
        <v>0</v>
      </c>
      <c r="O34" s="67">
        <f t="shared" ref="O34" si="162">SUM(O33)</f>
        <v>0</v>
      </c>
      <c r="P34" s="61"/>
      <c r="Q34" s="68">
        <f t="shared" ref="Q34" si="163">SUM(Q33)</f>
        <v>0</v>
      </c>
      <c r="R34" s="67">
        <f t="shared" ref="R34" si="164">SUM(R33)</f>
        <v>0</v>
      </c>
      <c r="S34" s="68">
        <f t="shared" ref="S34" si="165">SUM(S33)</f>
        <v>0</v>
      </c>
      <c r="T34" s="67">
        <f t="shared" ref="T34" si="166">SUM(T33)</f>
        <v>0</v>
      </c>
      <c r="U34" s="68">
        <f t="shared" ref="U34" si="167">SUM(U33)</f>
        <v>5</v>
      </c>
      <c r="V34" s="67">
        <f t="shared" ref="V34" si="168">SUM(V33)</f>
        <v>0.41820000000000002</v>
      </c>
      <c r="X34" s="29"/>
    </row>
    <row r="35" spans="1:24">
      <c r="A35" s="57" t="s">
        <v>13</v>
      </c>
      <c r="B35" s="57" t="s">
        <v>26</v>
      </c>
      <c r="C35" s="58">
        <v>8.32</v>
      </c>
      <c r="D35" s="59">
        <v>12</v>
      </c>
      <c r="E35" s="60">
        <v>5</v>
      </c>
      <c r="F35" s="61">
        <f>(C35*D35*E35/1000)</f>
        <v>0.49920000000000003</v>
      </c>
      <c r="G35" s="62"/>
      <c r="H35" s="63"/>
      <c r="I35" s="64">
        <f>(C35*D35*H35/1000)</f>
        <v>0</v>
      </c>
      <c r="J35" s="61"/>
      <c r="K35" s="63"/>
      <c r="L35" s="64">
        <f>(C35*D35*K35/1000)</f>
        <v>0</v>
      </c>
      <c r="M35" s="61"/>
      <c r="N35" s="63"/>
      <c r="O35" s="64">
        <f>(C35*D35*N35/1000)</f>
        <v>0</v>
      </c>
      <c r="P35" s="61"/>
      <c r="Q35" s="63"/>
      <c r="R35" s="64">
        <f>(C35*D35*Q35/1000)</f>
        <v>0</v>
      </c>
      <c r="S35" s="65">
        <f>+H35+K35+Q35</f>
        <v>0</v>
      </c>
      <c r="T35" s="64">
        <f>+I35+L35+R35</f>
        <v>0</v>
      </c>
      <c r="U35" s="42">
        <f>E35-S35</f>
        <v>5</v>
      </c>
      <c r="V35" s="64">
        <f>F35-T35</f>
        <v>0.49920000000000003</v>
      </c>
      <c r="X35" s="29"/>
    </row>
    <row r="36" spans="1:24">
      <c r="A36" s="41"/>
      <c r="B36" s="41"/>
      <c r="C36" s="66"/>
      <c r="D36" s="67"/>
      <c r="E36" s="68">
        <f t="shared" ref="E36:F36" si="169">SUM(E35)</f>
        <v>5</v>
      </c>
      <c r="F36" s="67">
        <f t="shared" si="169"/>
        <v>0.49920000000000003</v>
      </c>
      <c r="G36" s="62"/>
      <c r="H36" s="68">
        <f t="shared" ref="H36" si="170">SUM(H35)</f>
        <v>0</v>
      </c>
      <c r="I36" s="67">
        <f t="shared" ref="I36" si="171">SUM(I35)</f>
        <v>0</v>
      </c>
      <c r="J36" s="61"/>
      <c r="K36" s="68">
        <f t="shared" ref="K36" si="172">SUM(K35)</f>
        <v>0</v>
      </c>
      <c r="L36" s="67">
        <f t="shared" ref="L36" si="173">SUM(L35)</f>
        <v>0</v>
      </c>
      <c r="M36" s="61"/>
      <c r="N36" s="68">
        <f t="shared" ref="N36" si="174">SUM(N35)</f>
        <v>0</v>
      </c>
      <c r="O36" s="67">
        <f t="shared" ref="O36" si="175">SUM(O35)</f>
        <v>0</v>
      </c>
      <c r="P36" s="61"/>
      <c r="Q36" s="68">
        <f t="shared" ref="Q36" si="176">SUM(Q35)</f>
        <v>0</v>
      </c>
      <c r="R36" s="67">
        <f t="shared" ref="R36" si="177">SUM(R35)</f>
        <v>0</v>
      </c>
      <c r="S36" s="68">
        <f t="shared" ref="S36" si="178">SUM(S35)</f>
        <v>0</v>
      </c>
      <c r="T36" s="67">
        <f t="shared" ref="T36" si="179">SUM(T35)</f>
        <v>0</v>
      </c>
      <c r="U36" s="68">
        <f t="shared" ref="U36" si="180">SUM(U35)</f>
        <v>5</v>
      </c>
      <c r="V36" s="67">
        <f t="shared" ref="V36" si="181">SUM(V35)</f>
        <v>0.49920000000000003</v>
      </c>
      <c r="X36" s="29"/>
    </row>
    <row r="37" spans="1:24">
      <c r="A37" s="57" t="s">
        <v>13</v>
      </c>
      <c r="B37" s="57" t="s">
        <v>37</v>
      </c>
      <c r="C37" s="58">
        <v>9.61</v>
      </c>
      <c r="D37" s="59">
        <v>12</v>
      </c>
      <c r="E37" s="60">
        <v>5</v>
      </c>
      <c r="F37" s="61">
        <f>(C37*D37*E37/1000)</f>
        <v>0.57659999999999989</v>
      </c>
      <c r="G37" s="62"/>
      <c r="H37" s="63"/>
      <c r="I37" s="64">
        <f>(C37*D37*H37/1000)</f>
        <v>0</v>
      </c>
      <c r="J37" s="61"/>
      <c r="K37" s="63"/>
      <c r="L37" s="64">
        <f>(C37*D37*K37/1000)</f>
        <v>0</v>
      </c>
      <c r="M37" s="61"/>
      <c r="N37" s="63"/>
      <c r="O37" s="64">
        <f>(C37*D37*N37/1000)</f>
        <v>0</v>
      </c>
      <c r="P37" s="61"/>
      <c r="Q37" s="63"/>
      <c r="R37" s="64">
        <f>(C37*D37*Q37/1000)</f>
        <v>0</v>
      </c>
      <c r="S37" s="65">
        <f>+H37+K37+Q37</f>
        <v>0</v>
      </c>
      <c r="T37" s="64">
        <f>+I37+L37+R37</f>
        <v>0</v>
      </c>
      <c r="U37" s="42">
        <f>E37-S37</f>
        <v>5</v>
      </c>
      <c r="V37" s="64">
        <f>F37-T37</f>
        <v>0.57659999999999989</v>
      </c>
      <c r="X37" s="29"/>
    </row>
    <row r="38" spans="1:24">
      <c r="A38" s="41"/>
      <c r="B38" s="41"/>
      <c r="C38" s="66"/>
      <c r="D38" s="67"/>
      <c r="E38" s="68">
        <f t="shared" ref="E38:F38" si="182">SUM(E37)</f>
        <v>5</v>
      </c>
      <c r="F38" s="67">
        <f t="shared" si="182"/>
        <v>0.57659999999999989</v>
      </c>
      <c r="G38" s="62"/>
      <c r="H38" s="68">
        <f t="shared" ref="H38" si="183">SUM(H37)</f>
        <v>0</v>
      </c>
      <c r="I38" s="67">
        <f t="shared" ref="I38" si="184">SUM(I37)</f>
        <v>0</v>
      </c>
      <c r="J38" s="61"/>
      <c r="K38" s="68">
        <f t="shared" ref="K38" si="185">SUM(K37)</f>
        <v>0</v>
      </c>
      <c r="L38" s="67">
        <f t="shared" ref="L38" si="186">SUM(L37)</f>
        <v>0</v>
      </c>
      <c r="M38" s="61"/>
      <c r="N38" s="68">
        <f t="shared" ref="N38" si="187">SUM(N37)</f>
        <v>0</v>
      </c>
      <c r="O38" s="67">
        <f t="shared" ref="O38" si="188">SUM(O37)</f>
        <v>0</v>
      </c>
      <c r="P38" s="61"/>
      <c r="Q38" s="68">
        <f t="shared" ref="Q38" si="189">SUM(Q37)</f>
        <v>0</v>
      </c>
      <c r="R38" s="67">
        <f t="shared" ref="R38" si="190">SUM(R37)</f>
        <v>0</v>
      </c>
      <c r="S38" s="68">
        <f t="shared" ref="S38" si="191">SUM(S37)</f>
        <v>0</v>
      </c>
      <c r="T38" s="67">
        <f t="shared" ref="T38" si="192">SUM(T37)</f>
        <v>0</v>
      </c>
      <c r="U38" s="68">
        <f t="shared" ref="U38" si="193">SUM(U37)</f>
        <v>5</v>
      </c>
      <c r="V38" s="67">
        <f t="shared" ref="V38" si="194">SUM(V37)</f>
        <v>0.57659999999999989</v>
      </c>
      <c r="X38" s="29"/>
    </row>
    <row r="39" spans="1:24">
      <c r="A39" s="57" t="s">
        <v>14</v>
      </c>
      <c r="B39" s="57" t="s">
        <v>36</v>
      </c>
      <c r="C39" s="58">
        <v>6.97</v>
      </c>
      <c r="D39" s="59">
        <v>12</v>
      </c>
      <c r="E39" s="60">
        <v>5</v>
      </c>
      <c r="F39" s="61">
        <f>(C39*D39*E39/1000)</f>
        <v>0.41820000000000002</v>
      </c>
      <c r="G39" s="62"/>
      <c r="H39" s="63"/>
      <c r="I39" s="64">
        <f>(C39*D39*H39/1000)</f>
        <v>0</v>
      </c>
      <c r="J39" s="61"/>
      <c r="K39" s="63"/>
      <c r="L39" s="64">
        <f>(C39*D39*K39/1000)</f>
        <v>0</v>
      </c>
      <c r="M39" s="61"/>
      <c r="N39" s="63"/>
      <c r="O39" s="64">
        <f>(C39*D39*N39/1000)</f>
        <v>0</v>
      </c>
      <c r="P39" s="61"/>
      <c r="Q39" s="63"/>
      <c r="R39" s="64">
        <f>(C39*D39*Q39/1000)</f>
        <v>0</v>
      </c>
      <c r="S39" s="65">
        <f>+H39+K39+Q39</f>
        <v>0</v>
      </c>
      <c r="T39" s="64">
        <f>+I39+L39+R39</f>
        <v>0</v>
      </c>
      <c r="U39" s="42">
        <f>E39-S39</f>
        <v>5</v>
      </c>
      <c r="V39" s="64">
        <f>F39-T39</f>
        <v>0.41820000000000002</v>
      </c>
      <c r="X39" s="29"/>
    </row>
    <row r="40" spans="1:24">
      <c r="A40" s="41"/>
      <c r="B40" s="41"/>
      <c r="C40" s="66"/>
      <c r="D40" s="67"/>
      <c r="E40" s="68">
        <f t="shared" ref="E40:F40" si="195">SUM(E39)</f>
        <v>5</v>
      </c>
      <c r="F40" s="67">
        <f t="shared" si="195"/>
        <v>0.41820000000000002</v>
      </c>
      <c r="G40" s="62"/>
      <c r="H40" s="68">
        <f t="shared" ref="H40" si="196">SUM(H39)</f>
        <v>0</v>
      </c>
      <c r="I40" s="67">
        <f t="shared" ref="I40" si="197">SUM(I39)</f>
        <v>0</v>
      </c>
      <c r="J40" s="61"/>
      <c r="K40" s="68">
        <f t="shared" ref="K40" si="198">SUM(K39)</f>
        <v>0</v>
      </c>
      <c r="L40" s="67">
        <f t="shared" ref="L40" si="199">SUM(L39)</f>
        <v>0</v>
      </c>
      <c r="M40" s="61"/>
      <c r="N40" s="68">
        <f t="shared" ref="N40" si="200">SUM(N39)</f>
        <v>0</v>
      </c>
      <c r="O40" s="67">
        <f t="shared" ref="O40" si="201">SUM(O39)</f>
        <v>0</v>
      </c>
      <c r="P40" s="61"/>
      <c r="Q40" s="68">
        <f t="shared" ref="Q40" si="202">SUM(Q39)</f>
        <v>0</v>
      </c>
      <c r="R40" s="67">
        <f t="shared" ref="R40" si="203">SUM(R39)</f>
        <v>0</v>
      </c>
      <c r="S40" s="68">
        <f t="shared" ref="S40" si="204">SUM(S39)</f>
        <v>0</v>
      </c>
      <c r="T40" s="67">
        <f t="shared" ref="T40" si="205">SUM(T39)</f>
        <v>0</v>
      </c>
      <c r="U40" s="68">
        <f t="shared" ref="U40" si="206">SUM(U39)</f>
        <v>5</v>
      </c>
      <c r="V40" s="67">
        <f t="shared" ref="V40" si="207">SUM(V39)</f>
        <v>0.41820000000000002</v>
      </c>
      <c r="X40" s="29"/>
    </row>
    <row r="41" spans="1:24">
      <c r="A41" s="57" t="s">
        <v>14</v>
      </c>
      <c r="B41" s="57" t="s">
        <v>26</v>
      </c>
      <c r="C41" s="58">
        <v>8.32</v>
      </c>
      <c r="D41" s="59">
        <v>12</v>
      </c>
      <c r="E41" s="60">
        <v>5</v>
      </c>
      <c r="F41" s="61">
        <f>(C41*D41*E41/1000)</f>
        <v>0.49920000000000003</v>
      </c>
      <c r="G41" s="62"/>
      <c r="H41" s="63"/>
      <c r="I41" s="64">
        <f>(C41*D41*H41/1000)</f>
        <v>0</v>
      </c>
      <c r="J41" s="61"/>
      <c r="K41" s="63"/>
      <c r="L41" s="64">
        <f>(C41*D41*K41/1000)</f>
        <v>0</v>
      </c>
      <c r="M41" s="61"/>
      <c r="N41" s="63"/>
      <c r="O41" s="64">
        <f>(C41*D41*N41/1000)</f>
        <v>0</v>
      </c>
      <c r="P41" s="61"/>
      <c r="Q41" s="63"/>
      <c r="R41" s="64">
        <f>(C41*D41*Q41/1000)</f>
        <v>0</v>
      </c>
      <c r="S41" s="65">
        <f>+H41+K41+Q41</f>
        <v>0</v>
      </c>
      <c r="T41" s="64">
        <f>+I41+L41+R41</f>
        <v>0</v>
      </c>
      <c r="U41" s="42">
        <f>E41-S41</f>
        <v>5</v>
      </c>
      <c r="V41" s="64">
        <f>F41-T41</f>
        <v>0.49920000000000003</v>
      </c>
      <c r="X41" s="29"/>
    </row>
    <row r="42" spans="1:24">
      <c r="A42" s="41"/>
      <c r="B42" s="41"/>
      <c r="C42" s="66"/>
      <c r="D42" s="67"/>
      <c r="E42" s="68">
        <f t="shared" ref="E42:F42" si="208">SUM(E41)</f>
        <v>5</v>
      </c>
      <c r="F42" s="67">
        <f t="shared" si="208"/>
        <v>0.49920000000000003</v>
      </c>
      <c r="G42" s="62"/>
      <c r="H42" s="68">
        <f t="shared" ref="H42" si="209">SUM(H41)</f>
        <v>0</v>
      </c>
      <c r="I42" s="67">
        <f t="shared" ref="I42" si="210">SUM(I41)</f>
        <v>0</v>
      </c>
      <c r="J42" s="61"/>
      <c r="K42" s="68">
        <f t="shared" ref="K42" si="211">SUM(K41)</f>
        <v>0</v>
      </c>
      <c r="L42" s="67">
        <f t="shared" ref="L42" si="212">SUM(L41)</f>
        <v>0</v>
      </c>
      <c r="M42" s="61"/>
      <c r="N42" s="68">
        <f t="shared" ref="N42" si="213">SUM(N41)</f>
        <v>0</v>
      </c>
      <c r="O42" s="67">
        <f t="shared" ref="O42" si="214">SUM(O41)</f>
        <v>0</v>
      </c>
      <c r="P42" s="61"/>
      <c r="Q42" s="68">
        <f t="shared" ref="Q42" si="215">SUM(Q41)</f>
        <v>0</v>
      </c>
      <c r="R42" s="67">
        <f t="shared" ref="R42" si="216">SUM(R41)</f>
        <v>0</v>
      </c>
      <c r="S42" s="68">
        <f t="shared" ref="S42" si="217">SUM(S41)</f>
        <v>0</v>
      </c>
      <c r="T42" s="67">
        <f t="shared" ref="T42" si="218">SUM(T41)</f>
        <v>0</v>
      </c>
      <c r="U42" s="68">
        <f t="shared" ref="U42" si="219">SUM(U41)</f>
        <v>5</v>
      </c>
      <c r="V42" s="67">
        <f t="shared" ref="V42" si="220">SUM(V41)</f>
        <v>0.49920000000000003</v>
      </c>
      <c r="X42" s="29"/>
    </row>
    <row r="43" spans="1:24">
      <c r="A43" s="57" t="s">
        <v>14</v>
      </c>
      <c r="B43" s="57" t="s">
        <v>37</v>
      </c>
      <c r="C43" s="58">
        <v>9.61</v>
      </c>
      <c r="D43" s="59">
        <v>12</v>
      </c>
      <c r="E43" s="60">
        <v>5</v>
      </c>
      <c r="F43" s="61">
        <f>(C43*D43*E43/1000)</f>
        <v>0.57659999999999989</v>
      </c>
      <c r="G43" s="62"/>
      <c r="H43" s="63"/>
      <c r="I43" s="64">
        <f>(C43*D43*H43/1000)</f>
        <v>0</v>
      </c>
      <c r="J43" s="61"/>
      <c r="K43" s="63"/>
      <c r="L43" s="64">
        <f>(C43*D43*K43/1000)</f>
        <v>0</v>
      </c>
      <c r="M43" s="61"/>
      <c r="N43" s="63"/>
      <c r="O43" s="64">
        <f>(C43*D43*N43/1000)</f>
        <v>0</v>
      </c>
      <c r="P43" s="61"/>
      <c r="Q43" s="63"/>
      <c r="R43" s="64">
        <f>(C43*D43*Q43/1000)</f>
        <v>0</v>
      </c>
      <c r="S43" s="65">
        <f>+H43+K43+Q43</f>
        <v>0</v>
      </c>
      <c r="T43" s="64">
        <f>+I43+L43+R43</f>
        <v>0</v>
      </c>
      <c r="U43" s="42">
        <f>E43-S43</f>
        <v>5</v>
      </c>
      <c r="V43" s="64">
        <f>F43-T43</f>
        <v>0.57659999999999989</v>
      </c>
      <c r="X43" s="29"/>
    </row>
    <row r="44" spans="1:24">
      <c r="A44" s="41"/>
      <c r="B44" s="41"/>
      <c r="C44" s="66"/>
      <c r="D44" s="67"/>
      <c r="E44" s="68">
        <f t="shared" ref="E44:F44" si="221">SUM(E43)</f>
        <v>5</v>
      </c>
      <c r="F44" s="67">
        <f t="shared" si="221"/>
        <v>0.57659999999999989</v>
      </c>
      <c r="G44" s="62"/>
      <c r="H44" s="68">
        <f t="shared" ref="H44" si="222">SUM(H43)</f>
        <v>0</v>
      </c>
      <c r="I44" s="67">
        <f t="shared" ref="I44" si="223">SUM(I43)</f>
        <v>0</v>
      </c>
      <c r="J44" s="61"/>
      <c r="K44" s="68">
        <f t="shared" ref="K44" si="224">SUM(K43)</f>
        <v>0</v>
      </c>
      <c r="L44" s="67">
        <f t="shared" ref="L44" si="225">SUM(L43)</f>
        <v>0</v>
      </c>
      <c r="M44" s="61"/>
      <c r="N44" s="68">
        <f t="shared" ref="N44" si="226">SUM(N43)</f>
        <v>0</v>
      </c>
      <c r="O44" s="67">
        <f t="shared" ref="O44" si="227">SUM(O43)</f>
        <v>0</v>
      </c>
      <c r="P44" s="61"/>
      <c r="Q44" s="68">
        <f t="shared" ref="Q44" si="228">SUM(Q43)</f>
        <v>0</v>
      </c>
      <c r="R44" s="67">
        <f t="shared" ref="R44" si="229">SUM(R43)</f>
        <v>0</v>
      </c>
      <c r="S44" s="68">
        <f t="shared" ref="S44" si="230">SUM(S43)</f>
        <v>0</v>
      </c>
      <c r="T44" s="67">
        <f t="shared" ref="T44" si="231">SUM(T43)</f>
        <v>0</v>
      </c>
      <c r="U44" s="68">
        <f t="shared" ref="U44" si="232">SUM(U43)</f>
        <v>5</v>
      </c>
      <c r="V44" s="67">
        <f t="shared" ref="V44" si="233">SUM(V43)</f>
        <v>0.57659999999999989</v>
      </c>
      <c r="X44" s="29"/>
    </row>
    <row r="55" spans="18:18">
      <c r="R55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2"/>
  <dimension ref="A1:X29"/>
  <sheetViews>
    <sheetView zoomScale="75" zoomScaleNormal="75" workbookViewId="0">
      <pane ySplit="5" topLeftCell="A6" activePane="bottomLeft" state="frozen"/>
      <selection activeCell="K31" sqref="K31"/>
      <selection pane="bottomLeft" activeCell="G12" sqref="G12:G1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221</v>
      </c>
      <c r="H1" s="144"/>
      <c r="I1" s="145" t="s">
        <v>185</v>
      </c>
      <c r="J1" s="144"/>
      <c r="K1" s="3"/>
      <c r="L1" s="4"/>
      <c r="M1" s="4"/>
      <c r="N1" s="3"/>
      <c r="O1" s="4"/>
      <c r="P1" s="146" t="str">
        <f>+F2</f>
        <v>LOI-429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220</v>
      </c>
      <c r="B2" s="8"/>
      <c r="C2" s="9"/>
      <c r="D2" s="9"/>
      <c r="E2" s="10"/>
      <c r="F2" s="146" t="s">
        <v>224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LOI-429  03.07.23</v>
      </c>
      <c r="V2" s="146"/>
    </row>
    <row r="3" spans="1:24">
      <c r="A3" s="12" t="s">
        <v>217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12</v>
      </c>
      <c r="E6" s="28">
        <v>16</v>
      </c>
      <c r="F6" s="16">
        <f>(C6*D6*E6/1000)</f>
        <v>1.7779200000000002</v>
      </c>
      <c r="G6" s="17" t="s">
        <v>88</v>
      </c>
      <c r="H6" s="18">
        <v>16</v>
      </c>
      <c r="I6" s="19">
        <f>(C6*D6*H6/1000)</f>
        <v>1.7779200000000002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16</v>
      </c>
      <c r="T6" s="19">
        <f>+I6+L6+R6</f>
        <v>1.7779200000000002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16</v>
      </c>
      <c r="F7" s="38">
        <f t="shared" si="0"/>
        <v>1.7779200000000002</v>
      </c>
      <c r="G7" s="17" t="s">
        <v>303</v>
      </c>
      <c r="H7" s="31">
        <f t="shared" ref="H7:I7" si="1">SUM(H6)</f>
        <v>16</v>
      </c>
      <c r="I7" s="38">
        <f t="shared" si="1"/>
        <v>1.7779200000000002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16</v>
      </c>
      <c r="T7" s="38">
        <f t="shared" si="4"/>
        <v>1.7779200000000002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13</v>
      </c>
      <c r="B8" s="26" t="s">
        <v>46</v>
      </c>
      <c r="C8" s="30">
        <v>10.73</v>
      </c>
      <c r="D8" s="27">
        <v>12</v>
      </c>
      <c r="E8" s="28">
        <v>6</v>
      </c>
      <c r="F8" s="16">
        <f>(C8*D8*E8/1000)</f>
        <v>0.77255999999999991</v>
      </c>
      <c r="G8" s="17" t="s">
        <v>88</v>
      </c>
      <c r="H8" s="18">
        <v>6</v>
      </c>
      <c r="I8" s="19">
        <f>(C8*D8*H8/1000)</f>
        <v>0.77255999999999991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6</v>
      </c>
      <c r="T8" s="19">
        <f>+I8+L8+R8</f>
        <v>0.77255999999999991</v>
      </c>
      <c r="U8" s="21">
        <f>E8-S8</f>
        <v>0</v>
      </c>
      <c r="V8" s="19">
        <f>F8-T8</f>
        <v>0</v>
      </c>
      <c r="X8" s="29"/>
    </row>
    <row r="9" spans="1:24">
      <c r="A9" s="36"/>
      <c r="B9" s="36"/>
      <c r="C9" s="37"/>
      <c r="D9" s="38"/>
      <c r="E9" s="31">
        <f t="shared" ref="E9:F9" si="5">SUM(E8)</f>
        <v>6</v>
      </c>
      <c r="F9" s="38">
        <f t="shared" si="5"/>
        <v>0.77255999999999991</v>
      </c>
      <c r="G9" s="17" t="s">
        <v>303</v>
      </c>
      <c r="H9" s="31">
        <f t="shared" ref="H9:I9" si="6">SUM(H8)</f>
        <v>6</v>
      </c>
      <c r="I9" s="38">
        <f t="shared" si="6"/>
        <v>0.77255999999999991</v>
      </c>
      <c r="J9" s="16"/>
      <c r="K9" s="31">
        <f t="shared" ref="K9:L9" si="7">SUM(K8)</f>
        <v>0</v>
      </c>
      <c r="L9" s="38">
        <f t="shared" si="7"/>
        <v>0</v>
      </c>
      <c r="M9" s="16"/>
      <c r="N9" s="31">
        <f t="shared" ref="N9:O9" si="8">SUM(N8)</f>
        <v>0</v>
      </c>
      <c r="O9" s="38">
        <f t="shared" si="8"/>
        <v>0</v>
      </c>
      <c r="P9" s="16"/>
      <c r="Q9" s="31">
        <f t="shared" ref="Q9:V9" si="9">SUM(Q8)</f>
        <v>0</v>
      </c>
      <c r="R9" s="38">
        <f t="shared" si="9"/>
        <v>0</v>
      </c>
      <c r="S9" s="31">
        <f t="shared" si="9"/>
        <v>6</v>
      </c>
      <c r="T9" s="38">
        <f t="shared" si="9"/>
        <v>0.77255999999999991</v>
      </c>
      <c r="U9" s="31">
        <f t="shared" si="9"/>
        <v>0</v>
      </c>
      <c r="V9" s="38">
        <f t="shared" si="9"/>
        <v>0</v>
      </c>
      <c r="X9" s="29"/>
    </row>
    <row r="10" spans="1:24">
      <c r="A10" s="26" t="s">
        <v>13</v>
      </c>
      <c r="B10" s="26" t="s">
        <v>31</v>
      </c>
      <c r="C10" s="30">
        <v>10.199999999999999</v>
      </c>
      <c r="D10" s="27">
        <v>12</v>
      </c>
      <c r="E10" s="28">
        <v>4</v>
      </c>
      <c r="F10" s="16">
        <f>(C10*D10*E10/1000)</f>
        <v>0.48959999999999998</v>
      </c>
      <c r="G10" s="16" t="s">
        <v>89</v>
      </c>
      <c r="H10" s="18">
        <v>4</v>
      </c>
      <c r="I10" s="19">
        <f>(C10*D10*H10/1000)</f>
        <v>0.48959999999999998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</f>
        <v>4</v>
      </c>
      <c r="T10" s="19">
        <f>+I10+L10+R10</f>
        <v>0.48959999999999998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10">SUM(E10)</f>
        <v>4</v>
      </c>
      <c r="F11" s="38">
        <f t="shared" si="10"/>
        <v>0.48959999999999998</v>
      </c>
      <c r="G11" s="16" t="s">
        <v>327</v>
      </c>
      <c r="H11" s="31">
        <f t="shared" ref="H11:I11" si="11">SUM(H10)</f>
        <v>4</v>
      </c>
      <c r="I11" s="38">
        <f t="shared" si="11"/>
        <v>0.48959999999999998</v>
      </c>
      <c r="J11" s="16"/>
      <c r="K11" s="31">
        <f t="shared" ref="K11:L11" si="12">SUM(K10)</f>
        <v>0</v>
      </c>
      <c r="L11" s="38">
        <f t="shared" si="12"/>
        <v>0</v>
      </c>
      <c r="M11" s="16"/>
      <c r="N11" s="31">
        <f t="shared" ref="N11:O11" si="13">SUM(N10)</f>
        <v>0</v>
      </c>
      <c r="O11" s="38">
        <f t="shared" si="13"/>
        <v>0</v>
      </c>
      <c r="P11" s="16"/>
      <c r="Q11" s="31">
        <f t="shared" ref="Q11:V11" si="14">SUM(Q10)</f>
        <v>0</v>
      </c>
      <c r="R11" s="38">
        <f t="shared" si="14"/>
        <v>0</v>
      </c>
      <c r="S11" s="31">
        <f t="shared" si="14"/>
        <v>4</v>
      </c>
      <c r="T11" s="38">
        <f t="shared" si="14"/>
        <v>0.48959999999999998</v>
      </c>
      <c r="U11" s="31">
        <f t="shared" si="14"/>
        <v>0</v>
      </c>
      <c r="V11" s="38">
        <f t="shared" si="14"/>
        <v>0</v>
      </c>
      <c r="X11" s="29"/>
    </row>
    <row r="12" spans="1:24">
      <c r="A12" s="26" t="s">
        <v>13</v>
      </c>
      <c r="B12" s="26" t="s">
        <v>25</v>
      </c>
      <c r="C12" s="30">
        <v>13.4</v>
      </c>
      <c r="D12" s="27">
        <v>12</v>
      </c>
      <c r="E12" s="28">
        <v>17</v>
      </c>
      <c r="F12" s="16">
        <f>(C12*D12*E12/1000)</f>
        <v>2.7336000000000005</v>
      </c>
      <c r="G12" s="16" t="s">
        <v>89</v>
      </c>
      <c r="H12" s="18">
        <v>17</v>
      </c>
      <c r="I12" s="19">
        <f>(C12*D12*H12/1000)</f>
        <v>2.7336000000000005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</f>
        <v>17</v>
      </c>
      <c r="T12" s="19">
        <f>+I12+L12+R12</f>
        <v>2.7336000000000005</v>
      </c>
      <c r="U12" s="21">
        <f>E12-S12</f>
        <v>0</v>
      </c>
      <c r="V12" s="19">
        <f>F12-T12</f>
        <v>0</v>
      </c>
      <c r="X12" s="29"/>
    </row>
    <row r="13" spans="1:24">
      <c r="A13" s="36"/>
      <c r="B13" s="36"/>
      <c r="C13" s="37"/>
      <c r="D13" s="38"/>
      <c r="E13" s="31">
        <f t="shared" ref="E13:F13" si="15">SUM(E12)</f>
        <v>17</v>
      </c>
      <c r="F13" s="38">
        <f t="shared" si="15"/>
        <v>2.7336000000000005</v>
      </c>
      <c r="G13" s="16" t="s">
        <v>327</v>
      </c>
      <c r="H13" s="31">
        <f t="shared" ref="H13:I13" si="16">SUM(H12)</f>
        <v>17</v>
      </c>
      <c r="I13" s="38">
        <f t="shared" si="16"/>
        <v>2.7336000000000005</v>
      </c>
      <c r="J13" s="16"/>
      <c r="K13" s="31">
        <f t="shared" ref="K13:L13" si="17">SUM(K12)</f>
        <v>0</v>
      </c>
      <c r="L13" s="38">
        <f t="shared" si="17"/>
        <v>0</v>
      </c>
      <c r="M13" s="16"/>
      <c r="N13" s="31">
        <f t="shared" ref="N13:O13" si="18">SUM(N12)</f>
        <v>0</v>
      </c>
      <c r="O13" s="38">
        <f t="shared" si="18"/>
        <v>0</v>
      </c>
      <c r="P13" s="16"/>
      <c r="Q13" s="31">
        <f t="shared" ref="Q13:V13" si="19">SUM(Q12)</f>
        <v>0</v>
      </c>
      <c r="R13" s="38">
        <f t="shared" si="19"/>
        <v>0</v>
      </c>
      <c r="S13" s="31">
        <f t="shared" si="19"/>
        <v>17</v>
      </c>
      <c r="T13" s="38">
        <f t="shared" si="19"/>
        <v>2.7336000000000005</v>
      </c>
      <c r="U13" s="31">
        <f t="shared" si="19"/>
        <v>0</v>
      </c>
      <c r="V13" s="38">
        <f t="shared" si="19"/>
        <v>0</v>
      </c>
      <c r="X13" s="29"/>
    </row>
    <row r="14" spans="1:24">
      <c r="A14" s="33"/>
      <c r="B14" s="33"/>
      <c r="C14" s="34"/>
      <c r="D14" s="34"/>
      <c r="E14" s="34">
        <f t="shared" ref="E14:F14" si="20">SUM(E13,E11,E9,E7)</f>
        <v>43</v>
      </c>
      <c r="F14" s="35">
        <f t="shared" si="20"/>
        <v>5.7736800000000006</v>
      </c>
      <c r="G14" s="26"/>
      <c r="H14" s="34">
        <f t="shared" ref="H14" si="21">SUM(H13,H11,H9,H7)</f>
        <v>43</v>
      </c>
      <c r="I14" s="35">
        <f t="shared" ref="I14" si="22">SUM(I13,I11,I9,I7)</f>
        <v>5.7736800000000006</v>
      </c>
      <c r="J14" s="26"/>
      <c r="K14" s="34">
        <f t="shared" ref="K14" si="23">SUM(K13,K11,K9,K7)</f>
        <v>0</v>
      </c>
      <c r="L14" s="35">
        <f t="shared" ref="L14" si="24">SUM(L13,L11,L9,L7)</f>
        <v>0</v>
      </c>
      <c r="M14" s="26"/>
      <c r="N14" s="34">
        <f t="shared" ref="N14" si="25">SUM(N13,N11,N9,N7)</f>
        <v>0</v>
      </c>
      <c r="O14" s="35">
        <f t="shared" ref="O14" si="26">SUM(O13,O11,O9,O7)</f>
        <v>0</v>
      </c>
      <c r="P14" s="26"/>
      <c r="Q14" s="34">
        <f t="shared" ref="Q14" si="27">SUM(Q13,Q11,Q9,Q7)</f>
        <v>0</v>
      </c>
      <c r="R14" s="35">
        <f t="shared" ref="R14" si="28">SUM(R13,R11,R9,R7)</f>
        <v>0</v>
      </c>
      <c r="S14" s="34">
        <f t="shared" ref="S14" si="29">SUM(S13,S11,S9,S7)</f>
        <v>43</v>
      </c>
      <c r="T14" s="35">
        <f t="shared" ref="T14" si="30">SUM(T13,T11,T9,T7)</f>
        <v>5.7736800000000006</v>
      </c>
      <c r="U14" s="34">
        <f t="shared" ref="U14" si="31">SUM(U13,U11,U9,U7)</f>
        <v>0</v>
      </c>
      <c r="V14" s="35">
        <f t="shared" ref="V14" si="32">SUM(V13,V11,V9,V7)</f>
        <v>0</v>
      </c>
    </row>
    <row r="29" spans="18:18">
      <c r="R29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3"/>
  <dimension ref="A1:X51"/>
  <sheetViews>
    <sheetView zoomScale="75" zoomScaleNormal="75" workbookViewId="0">
      <pane ySplit="5" topLeftCell="A12" activePane="bottomLeft" state="frozen"/>
      <selection activeCell="K31" sqref="K31"/>
      <selection pane="bottomLeft" activeCell="P21" sqref="P21:P22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259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LOI-430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261</v>
      </c>
      <c r="B2" s="8"/>
      <c r="C2" s="9"/>
      <c r="D2" s="9"/>
      <c r="E2" s="10"/>
      <c r="F2" s="146" t="s">
        <v>265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LOI-430  03.07.23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58</v>
      </c>
      <c r="C6" s="30">
        <v>7.34</v>
      </c>
      <c r="D6" s="27">
        <v>7.2</v>
      </c>
      <c r="E6" s="28">
        <v>296</v>
      </c>
      <c r="F6" s="16">
        <f t="shared" ref="F6:F19" si="0">(C6*D6*E6/1000)</f>
        <v>15.643008</v>
      </c>
      <c r="G6" s="17" t="s">
        <v>93</v>
      </c>
      <c r="H6" s="18">
        <f>22+241</f>
        <v>263</v>
      </c>
      <c r="I6" s="19">
        <f t="shared" ref="I6:I19" si="1">(C6*D6*H6/1000)</f>
        <v>13.899023999999999</v>
      </c>
      <c r="J6" s="16"/>
      <c r="K6" s="18"/>
      <c r="L6" s="19">
        <f t="shared" ref="L6:L19" si="2">(C6*D6*K6/1000)</f>
        <v>0</v>
      </c>
      <c r="M6" s="16"/>
      <c r="N6" s="18"/>
      <c r="O6" s="19">
        <f t="shared" ref="O6:O19" si="3">(C6*D6*N6/1000)</f>
        <v>0</v>
      </c>
      <c r="P6" s="16"/>
      <c r="Q6" s="18"/>
      <c r="R6" s="19">
        <f t="shared" ref="R6:R19" si="4">(C6*D6*Q6/1000)</f>
        <v>0</v>
      </c>
      <c r="S6" s="20">
        <f t="shared" ref="S6:T19" si="5">+H6+K6+Q6</f>
        <v>263</v>
      </c>
      <c r="T6" s="19">
        <f t="shared" si="5"/>
        <v>13.899023999999999</v>
      </c>
      <c r="U6" s="21">
        <f t="shared" ref="U6:V19" si="6">E6-S6</f>
        <v>33</v>
      </c>
      <c r="V6" s="19">
        <f t="shared" si="6"/>
        <v>1.7439840000000011</v>
      </c>
      <c r="X6" s="29"/>
    </row>
    <row r="7" spans="1:24">
      <c r="A7" s="26" t="s">
        <v>14</v>
      </c>
      <c r="B7" s="26" t="s">
        <v>58</v>
      </c>
      <c r="C7" s="30">
        <v>7.34</v>
      </c>
      <c r="D7" s="27">
        <v>12</v>
      </c>
      <c r="E7" s="28">
        <v>44</v>
      </c>
      <c r="F7" s="16">
        <f t="shared" si="0"/>
        <v>3.8755199999999999</v>
      </c>
      <c r="G7" s="17" t="s">
        <v>279</v>
      </c>
      <c r="H7" s="18">
        <v>7</v>
      </c>
      <c r="I7" s="19">
        <f t="shared" si="1"/>
        <v>0.61656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7</v>
      </c>
      <c r="T7" s="19">
        <f t="shared" si="5"/>
        <v>0.61656</v>
      </c>
      <c r="U7" s="21">
        <f t="shared" si="6"/>
        <v>37</v>
      </c>
      <c r="V7" s="19">
        <f t="shared" si="6"/>
        <v>3.2589600000000001</v>
      </c>
      <c r="X7" s="29"/>
    </row>
    <row r="8" spans="1:24">
      <c r="A8" s="26" t="s">
        <v>14</v>
      </c>
      <c r="B8" s="26" t="s">
        <v>58</v>
      </c>
      <c r="C8" s="30">
        <v>7.34</v>
      </c>
      <c r="D8" s="27">
        <v>6.25</v>
      </c>
      <c r="E8" s="28"/>
      <c r="F8" s="16">
        <f t="shared" ref="F8:F18" si="7">(C8*D8*E8/1000)</f>
        <v>0</v>
      </c>
      <c r="G8" s="17"/>
      <c r="H8" s="18">
        <v>1</v>
      </c>
      <c r="I8" s="19">
        <f t="shared" ref="I8:I18" si="8">(C8*D8*H8/1000)</f>
        <v>4.5874999999999999E-2</v>
      </c>
      <c r="J8" s="16"/>
      <c r="K8" s="18"/>
      <c r="L8" s="19">
        <f t="shared" ref="L8:L18" si="9">(C8*D8*K8/1000)</f>
        <v>0</v>
      </c>
      <c r="M8" s="16"/>
      <c r="N8" s="18"/>
      <c r="O8" s="19">
        <f t="shared" ref="O8:O18" si="10">(C8*D8*N8/1000)</f>
        <v>0</v>
      </c>
      <c r="P8" s="16"/>
      <c r="Q8" s="18"/>
      <c r="R8" s="19">
        <f t="shared" ref="R8:R18" si="11">(C8*D8*Q8/1000)</f>
        <v>0</v>
      </c>
      <c r="S8" s="20">
        <f t="shared" ref="S8:S18" si="12">+H8+K8+Q8</f>
        <v>1</v>
      </c>
      <c r="T8" s="19">
        <f t="shared" ref="T8:T18" si="13">+I8+L8+R8</f>
        <v>4.5874999999999999E-2</v>
      </c>
      <c r="U8" s="21">
        <f t="shared" ref="U8:U18" si="14">E8-S8</f>
        <v>-1</v>
      </c>
      <c r="V8" s="19">
        <f t="shared" ref="V8:V18" si="15">F8-T8</f>
        <v>-4.5874999999999999E-2</v>
      </c>
      <c r="X8" s="29"/>
    </row>
    <row r="9" spans="1:24">
      <c r="A9" s="26" t="s">
        <v>14</v>
      </c>
      <c r="B9" s="26" t="s">
        <v>58</v>
      </c>
      <c r="C9" s="30">
        <v>7.34</v>
      </c>
      <c r="D9" s="27">
        <v>6.5</v>
      </c>
      <c r="E9" s="28"/>
      <c r="F9" s="16">
        <f t="shared" si="7"/>
        <v>0</v>
      </c>
      <c r="G9" s="17"/>
      <c r="H9" s="18">
        <v>4</v>
      </c>
      <c r="I9" s="19">
        <f t="shared" si="8"/>
        <v>0.19084000000000001</v>
      </c>
      <c r="J9" s="16"/>
      <c r="K9" s="18"/>
      <c r="L9" s="19">
        <f t="shared" si="9"/>
        <v>0</v>
      </c>
      <c r="M9" s="16"/>
      <c r="N9" s="18"/>
      <c r="O9" s="19">
        <f t="shared" si="10"/>
        <v>0</v>
      </c>
      <c r="P9" s="16"/>
      <c r="Q9" s="18"/>
      <c r="R9" s="19">
        <f t="shared" si="11"/>
        <v>0</v>
      </c>
      <c r="S9" s="20">
        <f t="shared" si="12"/>
        <v>4</v>
      </c>
      <c r="T9" s="19">
        <f t="shared" si="13"/>
        <v>0.19084000000000001</v>
      </c>
      <c r="U9" s="21">
        <f t="shared" si="14"/>
        <v>-4</v>
      </c>
      <c r="V9" s="19">
        <f t="shared" si="15"/>
        <v>-0.19084000000000001</v>
      </c>
      <c r="X9" s="29"/>
    </row>
    <row r="10" spans="1:24">
      <c r="A10" s="26" t="s">
        <v>14</v>
      </c>
      <c r="B10" s="26" t="s">
        <v>58</v>
      </c>
      <c r="C10" s="30">
        <v>7.34</v>
      </c>
      <c r="D10" s="27">
        <v>6.8</v>
      </c>
      <c r="E10" s="28"/>
      <c r="F10" s="16">
        <f t="shared" si="7"/>
        <v>0</v>
      </c>
      <c r="G10" s="17"/>
      <c r="H10" s="18">
        <v>1</v>
      </c>
      <c r="I10" s="19">
        <f t="shared" si="8"/>
        <v>4.9911999999999998E-2</v>
      </c>
      <c r="J10" s="16"/>
      <c r="K10" s="18"/>
      <c r="L10" s="19">
        <f t="shared" si="9"/>
        <v>0</v>
      </c>
      <c r="M10" s="16"/>
      <c r="N10" s="18"/>
      <c r="O10" s="19">
        <f t="shared" si="10"/>
        <v>0</v>
      </c>
      <c r="P10" s="16"/>
      <c r="Q10" s="18"/>
      <c r="R10" s="19">
        <f t="shared" si="11"/>
        <v>0</v>
      </c>
      <c r="S10" s="20">
        <f t="shared" si="12"/>
        <v>1</v>
      </c>
      <c r="T10" s="19">
        <f t="shared" si="13"/>
        <v>4.9911999999999998E-2</v>
      </c>
      <c r="U10" s="21">
        <f t="shared" si="14"/>
        <v>-1</v>
      </c>
      <c r="V10" s="19">
        <f t="shared" si="15"/>
        <v>-4.9911999999999998E-2</v>
      </c>
      <c r="X10" s="29"/>
    </row>
    <row r="11" spans="1:24">
      <c r="A11" s="26" t="s">
        <v>14</v>
      </c>
      <c r="B11" s="26" t="s">
        <v>58</v>
      </c>
      <c r="C11" s="30">
        <v>7.34</v>
      </c>
      <c r="D11" s="27">
        <v>7</v>
      </c>
      <c r="E11" s="28"/>
      <c r="F11" s="16">
        <f t="shared" si="7"/>
        <v>0</v>
      </c>
      <c r="G11" s="17"/>
      <c r="H11" s="18">
        <v>3</v>
      </c>
      <c r="I11" s="19">
        <f t="shared" si="8"/>
        <v>0.15414</v>
      </c>
      <c r="J11" s="16"/>
      <c r="K11" s="18"/>
      <c r="L11" s="19">
        <f t="shared" si="9"/>
        <v>0</v>
      </c>
      <c r="M11" s="16"/>
      <c r="N11" s="18"/>
      <c r="O11" s="19">
        <f t="shared" si="10"/>
        <v>0</v>
      </c>
      <c r="P11" s="16"/>
      <c r="Q11" s="18"/>
      <c r="R11" s="19">
        <f t="shared" si="11"/>
        <v>0</v>
      </c>
      <c r="S11" s="20">
        <f t="shared" si="12"/>
        <v>3</v>
      </c>
      <c r="T11" s="19">
        <f t="shared" si="13"/>
        <v>0.15414</v>
      </c>
      <c r="U11" s="21">
        <f t="shared" si="14"/>
        <v>-3</v>
      </c>
      <c r="V11" s="19">
        <f t="shared" si="15"/>
        <v>-0.15414</v>
      </c>
      <c r="X11" s="29"/>
    </row>
    <row r="12" spans="1:24">
      <c r="A12" s="26" t="s">
        <v>14</v>
      </c>
      <c r="B12" s="26" t="s">
        <v>58</v>
      </c>
      <c r="C12" s="30">
        <v>7.34</v>
      </c>
      <c r="D12" s="27">
        <v>8.3000000000000007</v>
      </c>
      <c r="E12" s="28"/>
      <c r="F12" s="16">
        <f t="shared" si="7"/>
        <v>0</v>
      </c>
      <c r="G12" s="17"/>
      <c r="H12" s="18">
        <v>2</v>
      </c>
      <c r="I12" s="19">
        <f t="shared" si="8"/>
        <v>0.12184400000000001</v>
      </c>
      <c r="J12" s="16"/>
      <c r="K12" s="18"/>
      <c r="L12" s="19">
        <f t="shared" si="9"/>
        <v>0</v>
      </c>
      <c r="M12" s="16"/>
      <c r="N12" s="18"/>
      <c r="O12" s="19">
        <f t="shared" si="10"/>
        <v>0</v>
      </c>
      <c r="P12" s="16"/>
      <c r="Q12" s="18"/>
      <c r="R12" s="19">
        <f t="shared" si="11"/>
        <v>0</v>
      </c>
      <c r="S12" s="20">
        <f t="shared" si="12"/>
        <v>2</v>
      </c>
      <c r="T12" s="19">
        <f t="shared" si="13"/>
        <v>0.12184400000000001</v>
      </c>
      <c r="U12" s="21">
        <f t="shared" si="14"/>
        <v>-2</v>
      </c>
      <c r="V12" s="19">
        <f t="shared" si="15"/>
        <v>-0.12184400000000001</v>
      </c>
      <c r="X12" s="29"/>
    </row>
    <row r="13" spans="1:24">
      <c r="A13" s="26" t="s">
        <v>14</v>
      </c>
      <c r="B13" s="26" t="s">
        <v>58</v>
      </c>
      <c r="C13" s="30">
        <v>7.34</v>
      </c>
      <c r="D13" s="27">
        <v>8.5</v>
      </c>
      <c r="E13" s="28"/>
      <c r="F13" s="16">
        <f t="shared" si="7"/>
        <v>0</v>
      </c>
      <c r="G13" s="17"/>
      <c r="H13" s="18">
        <v>8</v>
      </c>
      <c r="I13" s="19">
        <f t="shared" si="8"/>
        <v>0.49912000000000001</v>
      </c>
      <c r="J13" s="16"/>
      <c r="K13" s="18"/>
      <c r="L13" s="19">
        <f t="shared" si="9"/>
        <v>0</v>
      </c>
      <c r="M13" s="16"/>
      <c r="N13" s="18"/>
      <c r="O13" s="19">
        <f t="shared" si="10"/>
        <v>0</v>
      </c>
      <c r="P13" s="16"/>
      <c r="Q13" s="18"/>
      <c r="R13" s="19">
        <f t="shared" si="11"/>
        <v>0</v>
      </c>
      <c r="S13" s="20">
        <f t="shared" si="12"/>
        <v>8</v>
      </c>
      <c r="T13" s="19">
        <f t="shared" si="13"/>
        <v>0.49912000000000001</v>
      </c>
      <c r="U13" s="21">
        <f t="shared" si="14"/>
        <v>-8</v>
      </c>
      <c r="V13" s="19">
        <f t="shared" si="15"/>
        <v>-0.49912000000000001</v>
      </c>
      <c r="X13" s="29"/>
    </row>
    <row r="14" spans="1:24">
      <c r="A14" s="26" t="s">
        <v>14</v>
      </c>
      <c r="B14" s="26" t="s">
        <v>58</v>
      </c>
      <c r="C14" s="30">
        <v>7.34</v>
      </c>
      <c r="D14" s="27">
        <v>9</v>
      </c>
      <c r="E14" s="28"/>
      <c r="F14" s="16">
        <f t="shared" si="7"/>
        <v>0</v>
      </c>
      <c r="G14" s="17"/>
      <c r="H14" s="18">
        <v>1</v>
      </c>
      <c r="I14" s="19">
        <f t="shared" si="8"/>
        <v>6.6060000000000008E-2</v>
      </c>
      <c r="J14" s="16"/>
      <c r="K14" s="18"/>
      <c r="L14" s="19">
        <f t="shared" si="9"/>
        <v>0</v>
      </c>
      <c r="M14" s="16"/>
      <c r="N14" s="18"/>
      <c r="O14" s="19">
        <f t="shared" si="10"/>
        <v>0</v>
      </c>
      <c r="P14" s="16"/>
      <c r="Q14" s="18"/>
      <c r="R14" s="19">
        <f t="shared" si="11"/>
        <v>0</v>
      </c>
      <c r="S14" s="20">
        <f t="shared" si="12"/>
        <v>1</v>
      </c>
      <c r="T14" s="19">
        <f t="shared" si="13"/>
        <v>6.6060000000000008E-2</v>
      </c>
      <c r="U14" s="21">
        <f t="shared" si="14"/>
        <v>-1</v>
      </c>
      <c r="V14" s="19">
        <f t="shared" si="15"/>
        <v>-6.6060000000000008E-2</v>
      </c>
      <c r="X14" s="29"/>
    </row>
    <row r="15" spans="1:24">
      <c r="A15" s="26" t="s">
        <v>14</v>
      </c>
      <c r="B15" s="26" t="s">
        <v>58</v>
      </c>
      <c r="C15" s="30">
        <v>7.34</v>
      </c>
      <c r="D15" s="27">
        <v>9.5</v>
      </c>
      <c r="E15" s="28"/>
      <c r="F15" s="16">
        <f t="shared" si="7"/>
        <v>0</v>
      </c>
      <c r="G15" s="17"/>
      <c r="H15" s="18">
        <v>1</v>
      </c>
      <c r="I15" s="19">
        <f t="shared" si="8"/>
        <v>6.973E-2</v>
      </c>
      <c r="J15" s="16"/>
      <c r="K15" s="18"/>
      <c r="L15" s="19">
        <f t="shared" si="9"/>
        <v>0</v>
      </c>
      <c r="M15" s="16"/>
      <c r="N15" s="18"/>
      <c r="O15" s="19">
        <f t="shared" si="10"/>
        <v>0</v>
      </c>
      <c r="P15" s="16"/>
      <c r="Q15" s="18"/>
      <c r="R15" s="19">
        <f t="shared" si="11"/>
        <v>0</v>
      </c>
      <c r="S15" s="20">
        <f t="shared" si="12"/>
        <v>1</v>
      </c>
      <c r="T15" s="19">
        <f t="shared" si="13"/>
        <v>6.973E-2</v>
      </c>
      <c r="U15" s="21">
        <f t="shared" si="14"/>
        <v>-1</v>
      </c>
      <c r="V15" s="19">
        <f t="shared" si="15"/>
        <v>-6.973E-2</v>
      </c>
      <c r="X15" s="29"/>
    </row>
    <row r="16" spans="1:24">
      <c r="A16" s="26" t="s">
        <v>14</v>
      </c>
      <c r="B16" s="26" t="s">
        <v>58</v>
      </c>
      <c r="C16" s="30">
        <v>7.34</v>
      </c>
      <c r="D16" s="27">
        <v>10</v>
      </c>
      <c r="E16" s="28"/>
      <c r="F16" s="16">
        <f t="shared" si="7"/>
        <v>0</v>
      </c>
      <c r="G16" s="17"/>
      <c r="H16" s="18">
        <v>1</v>
      </c>
      <c r="I16" s="19">
        <f t="shared" si="8"/>
        <v>7.3400000000000007E-2</v>
      </c>
      <c r="J16" s="16"/>
      <c r="K16" s="18"/>
      <c r="L16" s="19">
        <f t="shared" si="9"/>
        <v>0</v>
      </c>
      <c r="M16" s="16"/>
      <c r="N16" s="18"/>
      <c r="O16" s="19">
        <f t="shared" si="10"/>
        <v>0</v>
      </c>
      <c r="P16" s="16"/>
      <c r="Q16" s="18"/>
      <c r="R16" s="19">
        <f t="shared" si="11"/>
        <v>0</v>
      </c>
      <c r="S16" s="20">
        <f t="shared" si="12"/>
        <v>1</v>
      </c>
      <c r="T16" s="19">
        <f t="shared" si="13"/>
        <v>7.3400000000000007E-2</v>
      </c>
      <c r="U16" s="21">
        <f t="shared" si="14"/>
        <v>-1</v>
      </c>
      <c r="V16" s="19">
        <f t="shared" si="15"/>
        <v>-7.3400000000000007E-2</v>
      </c>
      <c r="X16" s="29"/>
    </row>
    <row r="17" spans="1:24">
      <c r="A17" s="26" t="s">
        <v>14</v>
      </c>
      <c r="B17" s="26" t="s">
        <v>58</v>
      </c>
      <c r="C17" s="30">
        <v>7.34</v>
      </c>
      <c r="D17" s="27">
        <v>10.5</v>
      </c>
      <c r="E17" s="28"/>
      <c r="F17" s="16">
        <f t="shared" si="7"/>
        <v>0</v>
      </c>
      <c r="G17" s="17"/>
      <c r="H17" s="18">
        <v>1</v>
      </c>
      <c r="I17" s="19">
        <f t="shared" si="8"/>
        <v>7.707E-2</v>
      </c>
      <c r="J17" s="16"/>
      <c r="K17" s="18"/>
      <c r="L17" s="19">
        <f t="shared" si="9"/>
        <v>0</v>
      </c>
      <c r="M17" s="16"/>
      <c r="N17" s="18"/>
      <c r="O17" s="19">
        <f t="shared" si="10"/>
        <v>0</v>
      </c>
      <c r="P17" s="16"/>
      <c r="Q17" s="18"/>
      <c r="R17" s="19">
        <f t="shared" si="11"/>
        <v>0</v>
      </c>
      <c r="S17" s="20">
        <f t="shared" si="12"/>
        <v>1</v>
      </c>
      <c r="T17" s="19">
        <f t="shared" si="13"/>
        <v>7.707E-2</v>
      </c>
      <c r="U17" s="21">
        <f t="shared" si="14"/>
        <v>-1</v>
      </c>
      <c r="V17" s="19">
        <f t="shared" si="15"/>
        <v>-7.707E-2</v>
      </c>
      <c r="X17" s="29"/>
    </row>
    <row r="18" spans="1:24">
      <c r="A18" s="26" t="s">
        <v>14</v>
      </c>
      <c r="B18" s="26" t="s">
        <v>58</v>
      </c>
      <c r="C18" s="30">
        <v>7.34</v>
      </c>
      <c r="D18" s="27">
        <v>11.5</v>
      </c>
      <c r="E18" s="28"/>
      <c r="F18" s="16">
        <f t="shared" si="7"/>
        <v>0</v>
      </c>
      <c r="G18" s="17"/>
      <c r="H18" s="18">
        <v>5</v>
      </c>
      <c r="I18" s="19">
        <f t="shared" si="8"/>
        <v>0.42204999999999998</v>
      </c>
      <c r="J18" s="16"/>
      <c r="K18" s="18"/>
      <c r="L18" s="19">
        <f t="shared" si="9"/>
        <v>0</v>
      </c>
      <c r="M18" s="16"/>
      <c r="N18" s="18"/>
      <c r="O18" s="19">
        <f t="shared" si="10"/>
        <v>0</v>
      </c>
      <c r="P18" s="16"/>
      <c r="Q18" s="18"/>
      <c r="R18" s="19">
        <f t="shared" si="11"/>
        <v>0</v>
      </c>
      <c r="S18" s="20">
        <f t="shared" si="12"/>
        <v>5</v>
      </c>
      <c r="T18" s="19">
        <f t="shared" si="13"/>
        <v>0.42204999999999998</v>
      </c>
      <c r="U18" s="21">
        <f t="shared" si="14"/>
        <v>-5</v>
      </c>
      <c r="V18" s="19">
        <f t="shared" si="15"/>
        <v>-0.42204999999999998</v>
      </c>
      <c r="X18" s="29"/>
    </row>
    <row r="19" spans="1:24">
      <c r="A19" s="26" t="s">
        <v>14</v>
      </c>
      <c r="B19" s="26" t="s">
        <v>58</v>
      </c>
      <c r="C19" s="30">
        <v>7.34</v>
      </c>
      <c r="D19" s="27">
        <v>11.75</v>
      </c>
      <c r="E19" s="28"/>
      <c r="F19" s="16">
        <f t="shared" si="0"/>
        <v>0</v>
      </c>
      <c r="G19" s="17"/>
      <c r="H19" s="18">
        <v>39</v>
      </c>
      <c r="I19" s="19">
        <f t="shared" si="1"/>
        <v>3.3635550000000003</v>
      </c>
      <c r="J19" s="16"/>
      <c r="K19" s="18"/>
      <c r="L19" s="19">
        <f t="shared" si="2"/>
        <v>0</v>
      </c>
      <c r="M19" s="16"/>
      <c r="N19" s="18"/>
      <c r="O19" s="19">
        <f t="shared" si="3"/>
        <v>0</v>
      </c>
      <c r="P19" s="16"/>
      <c r="Q19" s="18"/>
      <c r="R19" s="19">
        <f t="shared" si="4"/>
        <v>0</v>
      </c>
      <c r="S19" s="20">
        <f t="shared" si="5"/>
        <v>39</v>
      </c>
      <c r="T19" s="19">
        <f t="shared" si="5"/>
        <v>3.3635550000000003</v>
      </c>
      <c r="U19" s="21">
        <f t="shared" si="6"/>
        <v>-39</v>
      </c>
      <c r="V19" s="19">
        <f t="shared" si="6"/>
        <v>-3.3635550000000003</v>
      </c>
      <c r="X19" s="29"/>
    </row>
    <row r="20" spans="1:24">
      <c r="A20" s="36"/>
      <c r="B20" s="36"/>
      <c r="C20" s="31"/>
      <c r="D20" s="38"/>
      <c r="E20" s="31">
        <f>SUM(E6:E19)</f>
        <v>340</v>
      </c>
      <c r="F20" s="38">
        <f>SUM(F6:F19)</f>
        <v>19.518528</v>
      </c>
      <c r="G20" s="17"/>
      <c r="H20" s="31">
        <f>SUM(H6:H19)</f>
        <v>337</v>
      </c>
      <c r="I20" s="37">
        <f>SUM(I6:I19)</f>
        <v>19.649180000000001</v>
      </c>
      <c r="J20" s="16"/>
      <c r="K20" s="31">
        <f>SUM(K6:K19)</f>
        <v>0</v>
      </c>
      <c r="L20" s="37">
        <f>SUM(L6:L19)</f>
        <v>0</v>
      </c>
      <c r="M20" s="16"/>
      <c r="N20" s="31">
        <f>SUM(N6:N19)</f>
        <v>0</v>
      </c>
      <c r="O20" s="37">
        <f>SUM(O6:O19)</f>
        <v>0</v>
      </c>
      <c r="P20" s="16"/>
      <c r="Q20" s="31">
        <f t="shared" ref="Q20:V20" si="16">SUM(Q6:Q19)</f>
        <v>0</v>
      </c>
      <c r="R20" s="37">
        <f t="shared" si="16"/>
        <v>0</v>
      </c>
      <c r="S20" s="31">
        <f t="shared" si="16"/>
        <v>337</v>
      </c>
      <c r="T20" s="37">
        <f t="shared" si="16"/>
        <v>19.649180000000001</v>
      </c>
      <c r="U20" s="31">
        <f t="shared" si="16"/>
        <v>3</v>
      </c>
      <c r="V20" s="37">
        <f t="shared" si="16"/>
        <v>-0.13065199999999821</v>
      </c>
      <c r="X20" s="29"/>
    </row>
    <row r="21" spans="1:24">
      <c r="A21" s="26" t="s">
        <v>14</v>
      </c>
      <c r="B21" s="26" t="s">
        <v>26</v>
      </c>
      <c r="C21" s="30">
        <v>8.3000000000000007</v>
      </c>
      <c r="D21" s="27">
        <v>7.2</v>
      </c>
      <c r="E21" s="28">
        <v>293</v>
      </c>
      <c r="F21" s="16">
        <f t="shared" ref="F21:F30" si="17">(C21*D21*E21/1000)</f>
        <v>17.509679999999999</v>
      </c>
      <c r="G21" s="17" t="s">
        <v>88</v>
      </c>
      <c r="H21" s="18">
        <v>137</v>
      </c>
      <c r="I21" s="19">
        <f t="shared" ref="I21:I30" si="18">(C21*D21*H21/1000)</f>
        <v>8.1871200000000002</v>
      </c>
      <c r="J21" s="17" t="s">
        <v>93</v>
      </c>
      <c r="K21" s="18">
        <v>106</v>
      </c>
      <c r="L21" s="19">
        <f t="shared" ref="L21:L30" si="19">(C21*D21*K21/1000)</f>
        <v>6.3345600000000006</v>
      </c>
      <c r="M21" s="16" t="s">
        <v>93</v>
      </c>
      <c r="N21" s="18"/>
      <c r="O21" s="19">
        <f t="shared" ref="O21:O30" si="20">(C21*D21*N21/1000)</f>
        <v>0</v>
      </c>
      <c r="P21" s="16" t="s">
        <v>389</v>
      </c>
      <c r="Q21" s="18">
        <v>20</v>
      </c>
      <c r="R21" s="19">
        <f t="shared" ref="R21:R30" si="21">(C21*D21*Q21/1000)</f>
        <v>1.1952</v>
      </c>
      <c r="S21" s="20">
        <f t="shared" ref="S21:T30" si="22">+H21+K21+Q21</f>
        <v>263</v>
      </c>
      <c r="T21" s="19">
        <f t="shared" si="22"/>
        <v>15.71688</v>
      </c>
      <c r="U21" s="21">
        <f t="shared" ref="U21:V30" si="23">E21-S21</f>
        <v>30</v>
      </c>
      <c r="V21" s="19">
        <f t="shared" si="23"/>
        <v>1.7927999999999997</v>
      </c>
      <c r="X21" s="29"/>
    </row>
    <row r="22" spans="1:24">
      <c r="A22" s="26" t="s">
        <v>14</v>
      </c>
      <c r="B22" s="26" t="s">
        <v>26</v>
      </c>
      <c r="C22" s="30">
        <v>8.3000000000000007</v>
      </c>
      <c r="D22" s="27">
        <v>10</v>
      </c>
      <c r="E22" s="28">
        <v>41</v>
      </c>
      <c r="F22" s="16">
        <f t="shared" si="17"/>
        <v>3.403</v>
      </c>
      <c r="G22" s="17" t="s">
        <v>281</v>
      </c>
      <c r="H22" s="18"/>
      <c r="I22" s="19">
        <f t="shared" si="18"/>
        <v>0</v>
      </c>
      <c r="J22" s="17" t="s">
        <v>281</v>
      </c>
      <c r="K22" s="18">
        <v>19</v>
      </c>
      <c r="L22" s="19">
        <f t="shared" si="19"/>
        <v>1.577</v>
      </c>
      <c r="M22" s="16" t="s">
        <v>282</v>
      </c>
      <c r="N22" s="18">
        <v>4</v>
      </c>
      <c r="O22" s="19">
        <f t="shared" si="20"/>
        <v>0.33200000000000002</v>
      </c>
      <c r="P22" s="16" t="s">
        <v>390</v>
      </c>
      <c r="Q22" s="18"/>
      <c r="R22" s="19">
        <f t="shared" si="21"/>
        <v>0</v>
      </c>
      <c r="S22" s="20">
        <f t="shared" si="22"/>
        <v>19</v>
      </c>
      <c r="T22" s="19">
        <f t="shared" si="22"/>
        <v>1.577</v>
      </c>
      <c r="U22" s="21">
        <f t="shared" si="23"/>
        <v>22</v>
      </c>
      <c r="V22" s="19">
        <f t="shared" si="23"/>
        <v>1.8260000000000001</v>
      </c>
      <c r="X22" s="29"/>
    </row>
    <row r="23" spans="1:24">
      <c r="A23" s="26" t="s">
        <v>14</v>
      </c>
      <c r="B23" s="26" t="s">
        <v>26</v>
      </c>
      <c r="C23" s="30">
        <v>8.3000000000000007</v>
      </c>
      <c r="D23" s="27">
        <v>11.6</v>
      </c>
      <c r="E23" s="28">
        <v>330</v>
      </c>
      <c r="F23" s="16">
        <f t="shared" si="17"/>
        <v>31.772400000000001</v>
      </c>
      <c r="G23" s="17"/>
      <c r="H23" s="18">
        <f>83+75</f>
        <v>158</v>
      </c>
      <c r="I23" s="19">
        <f t="shared" si="18"/>
        <v>15.21224</v>
      </c>
      <c r="J23" s="16"/>
      <c r="K23" s="18">
        <v>44</v>
      </c>
      <c r="L23" s="19">
        <f t="shared" si="19"/>
        <v>4.2363200000000001</v>
      </c>
      <c r="M23" s="16"/>
      <c r="N23" s="18">
        <v>7</v>
      </c>
      <c r="O23" s="19">
        <f t="shared" si="20"/>
        <v>0.67396</v>
      </c>
      <c r="P23" s="16"/>
      <c r="Q23" s="18"/>
      <c r="R23" s="19">
        <f t="shared" si="21"/>
        <v>0</v>
      </c>
      <c r="S23" s="20">
        <f t="shared" si="22"/>
        <v>202</v>
      </c>
      <c r="T23" s="19">
        <f t="shared" si="22"/>
        <v>19.448560000000001</v>
      </c>
      <c r="U23" s="21">
        <f t="shared" si="23"/>
        <v>128</v>
      </c>
      <c r="V23" s="19">
        <f t="shared" si="23"/>
        <v>12.323840000000001</v>
      </c>
      <c r="X23" s="29"/>
    </row>
    <row r="24" spans="1:24">
      <c r="A24" s="26" t="s">
        <v>14</v>
      </c>
      <c r="B24" s="26" t="s">
        <v>26</v>
      </c>
      <c r="C24" s="30">
        <v>8.3000000000000007</v>
      </c>
      <c r="D24" s="27">
        <v>12</v>
      </c>
      <c r="E24" s="28">
        <v>52</v>
      </c>
      <c r="F24" s="16">
        <f t="shared" ref="F24:F29" si="24">(C24*D24*E24/1000)</f>
        <v>5.1792000000000007</v>
      </c>
      <c r="G24" s="17"/>
      <c r="H24" s="18">
        <v>2</v>
      </c>
      <c r="I24" s="19">
        <f t="shared" ref="I24:I29" si="25">(C24*D24*H24/1000)</f>
        <v>0.19920000000000002</v>
      </c>
      <c r="J24" s="16"/>
      <c r="K24" s="18">
        <v>2</v>
      </c>
      <c r="L24" s="19">
        <f t="shared" ref="L24:L29" si="26">(C24*D24*K24/1000)</f>
        <v>0.19920000000000002</v>
      </c>
      <c r="M24" s="16"/>
      <c r="N24" s="18">
        <v>4</v>
      </c>
      <c r="O24" s="19">
        <f t="shared" ref="O24:O29" si="27">(C24*D24*N24/1000)</f>
        <v>0.39840000000000003</v>
      </c>
      <c r="P24" s="16"/>
      <c r="Q24" s="18">
        <v>10</v>
      </c>
      <c r="R24" s="19">
        <f t="shared" ref="R24:R29" si="28">(C24*D24*Q24/1000)</f>
        <v>0.99600000000000011</v>
      </c>
      <c r="S24" s="20">
        <f t="shared" ref="S24:S29" si="29">+H24+K24+Q24</f>
        <v>14</v>
      </c>
      <c r="T24" s="19">
        <f t="shared" ref="T24:T29" si="30">+I24+L24+R24</f>
        <v>1.3944000000000001</v>
      </c>
      <c r="U24" s="21">
        <f t="shared" ref="U24:U29" si="31">E24-S24</f>
        <v>38</v>
      </c>
      <c r="V24" s="19">
        <f t="shared" ref="V24:V29" si="32">F24-T24</f>
        <v>3.7848000000000006</v>
      </c>
      <c r="X24" s="29"/>
    </row>
    <row r="25" spans="1:24">
      <c r="A25" s="26" t="s">
        <v>14</v>
      </c>
      <c r="B25" s="26" t="s">
        <v>26</v>
      </c>
      <c r="C25" s="30">
        <v>8.3000000000000007</v>
      </c>
      <c r="D25" s="27">
        <v>11.7</v>
      </c>
      <c r="E25" s="28"/>
      <c r="F25" s="16">
        <f t="shared" si="24"/>
        <v>0</v>
      </c>
      <c r="G25" s="17"/>
      <c r="H25" s="18">
        <v>48</v>
      </c>
      <c r="I25" s="19">
        <f t="shared" si="25"/>
        <v>4.6612799999999996</v>
      </c>
      <c r="J25" s="16"/>
      <c r="K25" s="18"/>
      <c r="L25" s="19">
        <f t="shared" si="26"/>
        <v>0</v>
      </c>
      <c r="M25" s="16"/>
      <c r="N25" s="18"/>
      <c r="O25" s="19">
        <f t="shared" si="27"/>
        <v>0</v>
      </c>
      <c r="P25" s="16"/>
      <c r="Q25" s="18"/>
      <c r="R25" s="19">
        <f t="shared" si="28"/>
        <v>0</v>
      </c>
      <c r="S25" s="20">
        <f t="shared" si="29"/>
        <v>48</v>
      </c>
      <c r="T25" s="19">
        <f t="shared" si="30"/>
        <v>4.6612799999999996</v>
      </c>
      <c r="U25" s="21">
        <f t="shared" si="31"/>
        <v>-48</v>
      </c>
      <c r="V25" s="19">
        <f t="shared" si="32"/>
        <v>-4.6612799999999996</v>
      </c>
      <c r="X25" s="29"/>
    </row>
    <row r="26" spans="1:24">
      <c r="A26" s="26" t="s">
        <v>14</v>
      </c>
      <c r="B26" s="26" t="s">
        <v>26</v>
      </c>
      <c r="C26" s="30">
        <v>8.3000000000000007</v>
      </c>
      <c r="D26" s="27">
        <v>11.2</v>
      </c>
      <c r="E26" s="28"/>
      <c r="F26" s="16">
        <f t="shared" si="24"/>
        <v>0</v>
      </c>
      <c r="G26" s="17"/>
      <c r="H26" s="18"/>
      <c r="I26" s="19">
        <f t="shared" si="25"/>
        <v>0</v>
      </c>
      <c r="J26" s="16"/>
      <c r="K26" s="18"/>
      <c r="L26" s="19">
        <f t="shared" si="26"/>
        <v>0</v>
      </c>
      <c r="M26" s="16"/>
      <c r="N26" s="18">
        <v>3</v>
      </c>
      <c r="O26" s="19">
        <f t="shared" si="27"/>
        <v>0.27888000000000002</v>
      </c>
      <c r="P26" s="16"/>
      <c r="Q26" s="18"/>
      <c r="R26" s="19">
        <f t="shared" si="28"/>
        <v>0</v>
      </c>
      <c r="S26" s="20">
        <f t="shared" si="29"/>
        <v>0</v>
      </c>
      <c r="T26" s="19">
        <f t="shared" si="30"/>
        <v>0</v>
      </c>
      <c r="U26" s="21">
        <f t="shared" si="31"/>
        <v>0</v>
      </c>
      <c r="V26" s="19">
        <f t="shared" si="32"/>
        <v>0</v>
      </c>
      <c r="X26" s="29"/>
    </row>
    <row r="27" spans="1:24">
      <c r="A27" s="26" t="s">
        <v>14</v>
      </c>
      <c r="B27" s="26" t="s">
        <v>26</v>
      </c>
      <c r="C27" s="30">
        <v>8.3000000000000007</v>
      </c>
      <c r="D27" s="27">
        <v>11.4</v>
      </c>
      <c r="E27" s="28"/>
      <c r="F27" s="16">
        <f t="shared" si="24"/>
        <v>0</v>
      </c>
      <c r="G27" s="17"/>
      <c r="H27" s="18"/>
      <c r="I27" s="19">
        <f t="shared" si="25"/>
        <v>0</v>
      </c>
      <c r="J27" s="16"/>
      <c r="K27" s="18"/>
      <c r="L27" s="19">
        <f t="shared" si="26"/>
        <v>0</v>
      </c>
      <c r="M27" s="16"/>
      <c r="N27" s="18">
        <v>1</v>
      </c>
      <c r="O27" s="19">
        <f t="shared" si="27"/>
        <v>9.462000000000001E-2</v>
      </c>
      <c r="P27" s="16"/>
      <c r="Q27" s="18"/>
      <c r="R27" s="19">
        <f t="shared" si="28"/>
        <v>0</v>
      </c>
      <c r="S27" s="20">
        <f t="shared" si="29"/>
        <v>0</v>
      </c>
      <c r="T27" s="19">
        <f t="shared" si="30"/>
        <v>0</v>
      </c>
      <c r="U27" s="21">
        <f t="shared" si="31"/>
        <v>0</v>
      </c>
      <c r="V27" s="19">
        <f t="shared" si="32"/>
        <v>0</v>
      </c>
      <c r="X27" s="29"/>
    </row>
    <row r="28" spans="1:24">
      <c r="A28" s="26" t="s">
        <v>14</v>
      </c>
      <c r="B28" s="26" t="s">
        <v>26</v>
      </c>
      <c r="C28" s="30">
        <v>8.3000000000000007</v>
      </c>
      <c r="D28" s="27"/>
      <c r="E28" s="28"/>
      <c r="F28" s="16">
        <f t="shared" si="24"/>
        <v>0</v>
      </c>
      <c r="G28" s="17"/>
      <c r="H28" s="18"/>
      <c r="I28" s="19">
        <f t="shared" si="25"/>
        <v>0</v>
      </c>
      <c r="J28" s="16"/>
      <c r="K28" s="18"/>
      <c r="L28" s="19">
        <f t="shared" si="26"/>
        <v>0</v>
      </c>
      <c r="M28" s="16"/>
      <c r="N28" s="18"/>
      <c r="O28" s="19">
        <f t="shared" si="27"/>
        <v>0</v>
      </c>
      <c r="P28" s="16"/>
      <c r="Q28" s="18"/>
      <c r="R28" s="19">
        <f t="shared" si="28"/>
        <v>0</v>
      </c>
      <c r="S28" s="20">
        <f t="shared" si="29"/>
        <v>0</v>
      </c>
      <c r="T28" s="19">
        <f t="shared" si="30"/>
        <v>0</v>
      </c>
      <c r="U28" s="21">
        <f t="shared" si="31"/>
        <v>0</v>
      </c>
      <c r="V28" s="19">
        <f t="shared" si="32"/>
        <v>0</v>
      </c>
      <c r="X28" s="29"/>
    </row>
    <row r="29" spans="1:24">
      <c r="A29" s="26" t="s">
        <v>14</v>
      </c>
      <c r="B29" s="26" t="s">
        <v>26</v>
      </c>
      <c r="C29" s="30">
        <v>8.3000000000000007</v>
      </c>
      <c r="D29" s="27"/>
      <c r="E29" s="28"/>
      <c r="F29" s="16">
        <f t="shared" si="24"/>
        <v>0</v>
      </c>
      <c r="G29" s="17"/>
      <c r="H29" s="18"/>
      <c r="I29" s="19">
        <f t="shared" si="25"/>
        <v>0</v>
      </c>
      <c r="J29" s="16"/>
      <c r="K29" s="18"/>
      <c r="L29" s="19">
        <f t="shared" si="26"/>
        <v>0</v>
      </c>
      <c r="M29" s="16"/>
      <c r="N29" s="18"/>
      <c r="O29" s="19">
        <f t="shared" si="27"/>
        <v>0</v>
      </c>
      <c r="P29" s="16"/>
      <c r="Q29" s="18"/>
      <c r="R29" s="19">
        <f t="shared" si="28"/>
        <v>0</v>
      </c>
      <c r="S29" s="20">
        <f t="shared" si="29"/>
        <v>0</v>
      </c>
      <c r="T29" s="19">
        <f t="shared" si="30"/>
        <v>0</v>
      </c>
      <c r="U29" s="21">
        <f t="shared" si="31"/>
        <v>0</v>
      </c>
      <c r="V29" s="19">
        <f t="shared" si="32"/>
        <v>0</v>
      </c>
      <c r="X29" s="29"/>
    </row>
    <row r="30" spans="1:24">
      <c r="A30" s="26" t="s">
        <v>14</v>
      </c>
      <c r="B30" s="26" t="s">
        <v>26</v>
      </c>
      <c r="C30" s="30">
        <v>8.3000000000000007</v>
      </c>
      <c r="D30" s="27"/>
      <c r="E30" s="28"/>
      <c r="F30" s="16">
        <f t="shared" si="17"/>
        <v>0</v>
      </c>
      <c r="G30" s="17"/>
      <c r="H30" s="18"/>
      <c r="I30" s="19">
        <f t="shared" si="18"/>
        <v>0</v>
      </c>
      <c r="J30" s="16"/>
      <c r="K30" s="18"/>
      <c r="L30" s="19">
        <f t="shared" si="19"/>
        <v>0</v>
      </c>
      <c r="M30" s="16"/>
      <c r="N30" s="18"/>
      <c r="O30" s="19">
        <f t="shared" si="20"/>
        <v>0</v>
      </c>
      <c r="P30" s="16"/>
      <c r="Q30" s="18"/>
      <c r="R30" s="19">
        <f t="shared" si="21"/>
        <v>0</v>
      </c>
      <c r="S30" s="20">
        <f t="shared" si="22"/>
        <v>0</v>
      </c>
      <c r="T30" s="19">
        <f t="shared" si="22"/>
        <v>0</v>
      </c>
      <c r="U30" s="21">
        <f t="shared" si="23"/>
        <v>0</v>
      </c>
      <c r="V30" s="19">
        <f t="shared" si="23"/>
        <v>0</v>
      </c>
      <c r="X30" s="29"/>
    </row>
    <row r="31" spans="1:24">
      <c r="A31" s="36"/>
      <c r="B31" s="36"/>
      <c r="C31" s="31"/>
      <c r="D31" s="38"/>
      <c r="E31" s="31">
        <f t="shared" ref="E31:F31" si="33">SUM(E21:E30)</f>
        <v>716</v>
      </c>
      <c r="F31" s="38">
        <f t="shared" si="33"/>
        <v>57.864280000000001</v>
      </c>
      <c r="G31" s="17"/>
      <c r="H31" s="31">
        <f t="shared" ref="H31:I31" si="34">SUM(H21:H30)</f>
        <v>345</v>
      </c>
      <c r="I31" s="37">
        <f t="shared" si="34"/>
        <v>28.259840000000004</v>
      </c>
      <c r="J31" s="16"/>
      <c r="K31" s="31">
        <f t="shared" ref="K31:L31" si="35">SUM(K21:K30)</f>
        <v>171</v>
      </c>
      <c r="L31" s="37">
        <f t="shared" si="35"/>
        <v>12.34708</v>
      </c>
      <c r="M31" s="16"/>
      <c r="N31" s="31">
        <f>SUM(N21:N30)</f>
        <v>19</v>
      </c>
      <c r="O31" s="37">
        <f>SUM(O21:O30)</f>
        <v>1.77786</v>
      </c>
      <c r="P31" s="16"/>
      <c r="Q31" s="31">
        <f t="shared" ref="Q31:V31" si="36">SUM(Q21:Q30)</f>
        <v>30</v>
      </c>
      <c r="R31" s="37">
        <f t="shared" si="36"/>
        <v>2.1912000000000003</v>
      </c>
      <c r="S31" s="31">
        <f t="shared" si="36"/>
        <v>546</v>
      </c>
      <c r="T31" s="37">
        <f t="shared" si="36"/>
        <v>42.798119999999997</v>
      </c>
      <c r="U31" s="31">
        <f t="shared" si="36"/>
        <v>170</v>
      </c>
      <c r="V31" s="37">
        <f t="shared" si="36"/>
        <v>15.066160000000002</v>
      </c>
      <c r="X31" s="29"/>
    </row>
    <row r="32" spans="1:24">
      <c r="A32" s="26" t="s">
        <v>14</v>
      </c>
      <c r="B32" s="26" t="s">
        <v>37</v>
      </c>
      <c r="C32" s="30">
        <v>9.61</v>
      </c>
      <c r="D32" s="27">
        <v>12</v>
      </c>
      <c r="E32" s="28">
        <v>7</v>
      </c>
      <c r="F32" s="16">
        <f t="shared" ref="F32:F34" si="37">(C32*D32*E32/1000)</f>
        <v>0.80723999999999996</v>
      </c>
      <c r="G32" s="16" t="s">
        <v>89</v>
      </c>
      <c r="H32" s="18">
        <v>7</v>
      </c>
      <c r="I32" s="19">
        <f t="shared" ref="I32:I34" si="38">(C32*D32*H32/1000)</f>
        <v>0.80723999999999996</v>
      </c>
      <c r="J32" s="16"/>
      <c r="K32" s="18"/>
      <c r="L32" s="19">
        <f t="shared" ref="L32:L34" si="39">(C32*D32*K32/1000)</f>
        <v>0</v>
      </c>
      <c r="M32" s="16"/>
      <c r="N32" s="18"/>
      <c r="O32" s="19">
        <f t="shared" ref="O32:O34" si="40">(C32*D32*N32/1000)</f>
        <v>0</v>
      </c>
      <c r="P32" s="16"/>
      <c r="Q32" s="18"/>
      <c r="R32" s="19">
        <f t="shared" ref="R32:R34" si="41">(C32*D32*Q32/1000)</f>
        <v>0</v>
      </c>
      <c r="S32" s="20">
        <f t="shared" ref="S32:T34" si="42">+H32+K32+Q32</f>
        <v>7</v>
      </c>
      <c r="T32" s="19">
        <f t="shared" si="42"/>
        <v>0.80723999999999996</v>
      </c>
      <c r="U32" s="21">
        <f t="shared" ref="U32:V34" si="43">E32-S32</f>
        <v>0</v>
      </c>
      <c r="V32" s="19">
        <f t="shared" si="43"/>
        <v>0</v>
      </c>
      <c r="X32" s="29"/>
    </row>
    <row r="33" spans="1:24">
      <c r="A33" s="26" t="s">
        <v>14</v>
      </c>
      <c r="B33" s="26" t="s">
        <v>37</v>
      </c>
      <c r="C33" s="30">
        <v>9.61</v>
      </c>
      <c r="D33" s="27"/>
      <c r="E33" s="28"/>
      <c r="F33" s="16">
        <f t="shared" si="37"/>
        <v>0</v>
      </c>
      <c r="G33" s="16" t="s">
        <v>287</v>
      </c>
      <c r="H33" s="18"/>
      <c r="I33" s="19">
        <f t="shared" si="38"/>
        <v>0</v>
      </c>
      <c r="J33" s="16"/>
      <c r="K33" s="18"/>
      <c r="L33" s="19">
        <f t="shared" si="39"/>
        <v>0</v>
      </c>
      <c r="M33" s="16"/>
      <c r="N33" s="18"/>
      <c r="O33" s="19">
        <f t="shared" si="40"/>
        <v>0</v>
      </c>
      <c r="P33" s="16"/>
      <c r="Q33" s="18"/>
      <c r="R33" s="19">
        <f t="shared" si="41"/>
        <v>0</v>
      </c>
      <c r="S33" s="20">
        <f t="shared" si="42"/>
        <v>0</v>
      </c>
      <c r="T33" s="19">
        <f t="shared" si="42"/>
        <v>0</v>
      </c>
      <c r="U33" s="21">
        <f t="shared" si="43"/>
        <v>0</v>
      </c>
      <c r="V33" s="19">
        <f t="shared" si="43"/>
        <v>0</v>
      </c>
      <c r="X33" s="29"/>
    </row>
    <row r="34" spans="1:24">
      <c r="A34" s="26" t="s">
        <v>14</v>
      </c>
      <c r="B34" s="26" t="s">
        <v>37</v>
      </c>
      <c r="C34" s="30">
        <v>9.61</v>
      </c>
      <c r="D34" s="27"/>
      <c r="E34" s="28"/>
      <c r="F34" s="16">
        <f t="shared" si="37"/>
        <v>0</v>
      </c>
      <c r="G34" s="17"/>
      <c r="H34" s="18"/>
      <c r="I34" s="19">
        <f t="shared" si="38"/>
        <v>0</v>
      </c>
      <c r="J34" s="16"/>
      <c r="K34" s="18"/>
      <c r="L34" s="19">
        <f t="shared" si="39"/>
        <v>0</v>
      </c>
      <c r="M34" s="16"/>
      <c r="N34" s="18"/>
      <c r="O34" s="19">
        <f t="shared" si="40"/>
        <v>0</v>
      </c>
      <c r="P34" s="16"/>
      <c r="Q34" s="18"/>
      <c r="R34" s="19">
        <f t="shared" si="41"/>
        <v>0</v>
      </c>
      <c r="S34" s="20">
        <f t="shared" si="42"/>
        <v>0</v>
      </c>
      <c r="T34" s="19">
        <f t="shared" si="42"/>
        <v>0</v>
      </c>
      <c r="U34" s="21">
        <f t="shared" si="43"/>
        <v>0</v>
      </c>
      <c r="V34" s="19">
        <f t="shared" si="43"/>
        <v>0</v>
      </c>
      <c r="X34" s="29"/>
    </row>
    <row r="35" spans="1:24">
      <c r="A35" s="36"/>
      <c r="B35" s="36"/>
      <c r="C35" s="31"/>
      <c r="D35" s="38"/>
      <c r="E35" s="31">
        <f t="shared" ref="E35:F35" si="44">SUM(E32:E34)</f>
        <v>7</v>
      </c>
      <c r="F35" s="38">
        <f t="shared" si="44"/>
        <v>0.80723999999999996</v>
      </c>
      <c r="G35" s="17"/>
      <c r="H35" s="31">
        <f t="shared" ref="H35:I35" si="45">SUM(H32:H34)</f>
        <v>7</v>
      </c>
      <c r="I35" s="37">
        <f t="shared" si="45"/>
        <v>0.80723999999999996</v>
      </c>
      <c r="J35" s="16"/>
      <c r="K35" s="31">
        <f t="shared" ref="K35:L35" si="46">SUM(K32:K34)</f>
        <v>0</v>
      </c>
      <c r="L35" s="37">
        <f t="shared" si="46"/>
        <v>0</v>
      </c>
      <c r="M35" s="16"/>
      <c r="N35" s="31">
        <f t="shared" ref="N35:O35" si="47">SUM(N32:N34)</f>
        <v>0</v>
      </c>
      <c r="O35" s="37">
        <f t="shared" si="47"/>
        <v>0</v>
      </c>
      <c r="P35" s="16"/>
      <c r="Q35" s="31">
        <f t="shared" ref="Q35:V35" si="48">SUM(Q32:Q34)</f>
        <v>0</v>
      </c>
      <c r="R35" s="37">
        <f t="shared" si="48"/>
        <v>0</v>
      </c>
      <c r="S35" s="31">
        <f t="shared" si="48"/>
        <v>7</v>
      </c>
      <c r="T35" s="37">
        <f t="shared" si="48"/>
        <v>0.80723999999999996</v>
      </c>
      <c r="U35" s="31">
        <f t="shared" si="48"/>
        <v>0</v>
      </c>
      <c r="V35" s="37">
        <f t="shared" si="48"/>
        <v>0</v>
      </c>
      <c r="X35" s="29"/>
    </row>
    <row r="36" spans="1:24">
      <c r="A36" s="33"/>
      <c r="B36" s="33"/>
      <c r="C36" s="34"/>
      <c r="D36" s="34"/>
      <c r="E36" s="34">
        <f t="shared" ref="E36:F36" si="49">SUM(E35,E31,E20)</f>
        <v>1063</v>
      </c>
      <c r="F36" s="35">
        <f t="shared" si="49"/>
        <v>78.190048000000004</v>
      </c>
      <c r="G36" s="26"/>
      <c r="H36" s="34">
        <f t="shared" ref="H36" si="50">SUM(H35,H31,H20)</f>
        <v>689</v>
      </c>
      <c r="I36" s="35">
        <f t="shared" ref="I36" si="51">SUM(I35,I31,I20)</f>
        <v>48.716260000000005</v>
      </c>
      <c r="J36" s="26"/>
      <c r="K36" s="34">
        <f t="shared" ref="K36" si="52">SUM(K35,K31,K20)</f>
        <v>171</v>
      </c>
      <c r="L36" s="35">
        <f t="shared" ref="L36" si="53">SUM(L35,L31,L20)</f>
        <v>12.34708</v>
      </c>
      <c r="M36" s="26"/>
      <c r="N36" s="34">
        <f t="shared" ref="N36" si="54">SUM(N35,N31,N20)</f>
        <v>19</v>
      </c>
      <c r="O36" s="35">
        <f t="shared" ref="O36" si="55">SUM(O35,O31,O20)</f>
        <v>1.77786</v>
      </c>
      <c r="P36" s="26"/>
      <c r="Q36" s="34">
        <f t="shared" ref="Q36" si="56">SUM(Q35,Q31,Q20)</f>
        <v>30</v>
      </c>
      <c r="R36" s="35">
        <f t="shared" ref="R36" si="57">SUM(R35,R31,R20)</f>
        <v>2.1912000000000003</v>
      </c>
      <c r="S36" s="34">
        <f t="shared" ref="S36" si="58">SUM(S35,S31,S20)</f>
        <v>890</v>
      </c>
      <c r="T36" s="35">
        <f t="shared" ref="T36" si="59">SUM(T35,T31,T20)</f>
        <v>63.254539999999999</v>
      </c>
      <c r="U36" s="34">
        <f t="shared" ref="U36" si="60">SUM(U35,U31,U20)</f>
        <v>173</v>
      </c>
      <c r="V36" s="35">
        <f t="shared" ref="V36" si="61">SUM(V35,V31,V20)</f>
        <v>14.935508000000004</v>
      </c>
    </row>
    <row r="51" spans="18:18">
      <c r="R5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4"/>
  <dimension ref="A1:X41"/>
  <sheetViews>
    <sheetView zoomScale="75" zoomScaleNormal="75" workbookViewId="0">
      <pane ySplit="5" topLeftCell="A6" activePane="bottomLeft" state="frozen"/>
      <selection pane="bottomLeft" activeCell="G15" sqref="G15:G16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226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LOI-431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228</v>
      </c>
      <c r="B2" s="8"/>
      <c r="C2" s="9"/>
      <c r="D2" s="9"/>
      <c r="E2" s="10"/>
      <c r="F2" s="146" t="s">
        <v>225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LOI-431  03.07.23</v>
      </c>
      <c r="V2" s="146"/>
    </row>
    <row r="3" spans="1:24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52</v>
      </c>
      <c r="C6" s="30">
        <v>21.7</v>
      </c>
      <c r="D6" s="27">
        <v>12</v>
      </c>
      <c r="E6" s="28">
        <v>4</v>
      </c>
      <c r="F6" s="16">
        <f>(C6*D6*E6/1000)</f>
        <v>1.0415999999999999</v>
      </c>
      <c r="G6" s="17" t="s">
        <v>111</v>
      </c>
      <c r="H6" s="18">
        <v>3</v>
      </c>
      <c r="I6" s="19">
        <f>(C6*D6*H6/1000)</f>
        <v>0.78119999999999989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3</v>
      </c>
      <c r="T6" s="19">
        <f>+I6+L6+R6</f>
        <v>0.78119999999999989</v>
      </c>
      <c r="U6" s="21">
        <f>E6-S6</f>
        <v>1</v>
      </c>
      <c r="V6" s="19">
        <f>F6-T6</f>
        <v>0.26039999999999996</v>
      </c>
      <c r="X6" s="29"/>
    </row>
    <row r="7" spans="1:24">
      <c r="A7" s="26" t="s">
        <v>13</v>
      </c>
      <c r="B7" s="26" t="s">
        <v>52</v>
      </c>
      <c r="C7" s="30">
        <v>21.7</v>
      </c>
      <c r="D7" s="27">
        <v>11.2</v>
      </c>
      <c r="E7" s="28"/>
      <c r="F7" s="16">
        <f t="shared" ref="F7:F11" si="0">(C7*D7*E7/1000)</f>
        <v>0</v>
      </c>
      <c r="G7" s="17" t="s">
        <v>291</v>
      </c>
      <c r="H7" s="18">
        <v>1</v>
      </c>
      <c r="I7" s="19">
        <f t="shared" ref="I7:I11" si="1">(C7*D7*H7/1000)</f>
        <v>0.24303999999999995</v>
      </c>
      <c r="J7" s="16"/>
      <c r="K7" s="18"/>
      <c r="L7" s="19">
        <f t="shared" ref="L7:L11" si="2">(C7*D7*K7/1000)</f>
        <v>0</v>
      </c>
      <c r="M7" s="16"/>
      <c r="N7" s="18"/>
      <c r="O7" s="19">
        <f t="shared" ref="O7:O11" si="3">(C7*D7*N7/1000)</f>
        <v>0</v>
      </c>
      <c r="P7" s="16"/>
      <c r="Q7" s="18"/>
      <c r="R7" s="19">
        <f t="shared" ref="R7:R11" si="4">(C7*D7*Q7/1000)</f>
        <v>0</v>
      </c>
      <c r="S7" s="20">
        <f t="shared" ref="S7:S11" si="5">+H7+K7+Q7</f>
        <v>1</v>
      </c>
      <c r="T7" s="19">
        <f t="shared" ref="T7:T11" si="6">+I7+L7+R7</f>
        <v>0.24303999999999995</v>
      </c>
      <c r="U7" s="21">
        <f t="shared" ref="U7:U11" si="7">E7-S7</f>
        <v>-1</v>
      </c>
      <c r="V7" s="19">
        <f t="shared" ref="V7:V11" si="8">F7-T7</f>
        <v>-0.24303999999999995</v>
      </c>
      <c r="X7" s="29"/>
    </row>
    <row r="8" spans="1:24">
      <c r="A8" s="26" t="s">
        <v>13</v>
      </c>
      <c r="B8" s="26" t="s">
        <v>52</v>
      </c>
      <c r="C8" s="30">
        <v>21.7</v>
      </c>
      <c r="D8" s="27">
        <v>11.5</v>
      </c>
      <c r="E8" s="28"/>
      <c r="F8" s="16">
        <f t="shared" si="0"/>
        <v>0</v>
      </c>
      <c r="G8" s="17"/>
      <c r="H8" s="18">
        <v>2</v>
      </c>
      <c r="I8" s="19">
        <f t="shared" si="1"/>
        <v>0.49909999999999999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</v>
      </c>
      <c r="T8" s="19">
        <f t="shared" si="6"/>
        <v>0.49909999999999999</v>
      </c>
      <c r="U8" s="21">
        <f t="shared" si="7"/>
        <v>-2</v>
      </c>
      <c r="V8" s="19">
        <f t="shared" si="8"/>
        <v>-0.49909999999999999</v>
      </c>
      <c r="X8" s="29"/>
    </row>
    <row r="9" spans="1:24">
      <c r="A9" s="26" t="s">
        <v>13</v>
      </c>
      <c r="B9" s="26" t="s">
        <v>52</v>
      </c>
      <c r="C9" s="30">
        <v>21.7</v>
      </c>
      <c r="D9" s="27"/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0</v>
      </c>
      <c r="V9" s="19">
        <f t="shared" si="8"/>
        <v>0</v>
      </c>
      <c r="X9" s="29"/>
    </row>
    <row r="10" spans="1:24">
      <c r="A10" s="26" t="s">
        <v>13</v>
      </c>
      <c r="B10" s="26" t="s">
        <v>52</v>
      </c>
      <c r="C10" s="30">
        <v>21.7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6"/>
        <v>0</v>
      </c>
      <c r="U10" s="21">
        <f t="shared" si="7"/>
        <v>0</v>
      </c>
      <c r="V10" s="19">
        <f t="shared" si="8"/>
        <v>0</v>
      </c>
      <c r="X10" s="29"/>
    </row>
    <row r="11" spans="1:24">
      <c r="A11" s="26" t="s">
        <v>13</v>
      </c>
      <c r="B11" s="26" t="s">
        <v>52</v>
      </c>
      <c r="C11" s="30">
        <v>21.7</v>
      </c>
      <c r="D11" s="27"/>
      <c r="E11" s="28"/>
      <c r="F11" s="16">
        <f t="shared" si="0"/>
        <v>0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0</v>
      </c>
      <c r="V11" s="19">
        <f t="shared" si="8"/>
        <v>0</v>
      </c>
      <c r="X11" s="29"/>
    </row>
    <row r="12" spans="1:24">
      <c r="A12" s="36"/>
      <c r="B12" s="36"/>
      <c r="C12" s="37"/>
      <c r="D12" s="38"/>
      <c r="E12" s="31">
        <f t="shared" ref="E12:F12" si="9">SUM(E6:E11)</f>
        <v>4</v>
      </c>
      <c r="F12" s="38">
        <f t="shared" si="9"/>
        <v>1.0415999999999999</v>
      </c>
      <c r="G12" s="17"/>
      <c r="H12" s="31">
        <f t="shared" ref="H12" si="10">SUM(H6:H11)</f>
        <v>6</v>
      </c>
      <c r="I12" s="38">
        <f t="shared" ref="I12" si="11">SUM(I6:I11)</f>
        <v>1.5233399999999997</v>
      </c>
      <c r="J12" s="16"/>
      <c r="K12" s="31">
        <f t="shared" ref="K12" si="12">SUM(K6:K11)</f>
        <v>0</v>
      </c>
      <c r="L12" s="38">
        <f t="shared" ref="L12" si="13">SUM(L6:L11)</f>
        <v>0</v>
      </c>
      <c r="M12" s="16"/>
      <c r="N12" s="31">
        <f t="shared" ref="N12" si="14">SUM(N6:N11)</f>
        <v>0</v>
      </c>
      <c r="O12" s="38">
        <f t="shared" ref="O12" si="15">SUM(O6:O11)</f>
        <v>0</v>
      </c>
      <c r="P12" s="16"/>
      <c r="Q12" s="31">
        <f t="shared" ref="Q12" si="16">SUM(Q6:Q11)</f>
        <v>0</v>
      </c>
      <c r="R12" s="38">
        <f t="shared" ref="R12" si="17">SUM(R6:R11)</f>
        <v>0</v>
      </c>
      <c r="S12" s="31">
        <f t="shared" ref="S12" si="18">SUM(S6:S11)</f>
        <v>6</v>
      </c>
      <c r="T12" s="38">
        <f t="shared" ref="T12" si="19">SUM(T6:T11)</f>
        <v>1.5233399999999997</v>
      </c>
      <c r="U12" s="31">
        <f t="shared" ref="U12" si="20">SUM(U6:U11)</f>
        <v>-2</v>
      </c>
      <c r="V12" s="38">
        <f t="shared" ref="V12" si="21">SUM(V6:V11)</f>
        <v>-0.48173999999999995</v>
      </c>
      <c r="X12" s="29"/>
    </row>
    <row r="13" spans="1:24">
      <c r="A13" s="26" t="s">
        <v>13</v>
      </c>
      <c r="B13" s="26" t="s">
        <v>58</v>
      </c>
      <c r="C13" s="30">
        <v>7.36</v>
      </c>
      <c r="D13" s="27">
        <v>12</v>
      </c>
      <c r="E13" s="28">
        <v>4</v>
      </c>
      <c r="F13" s="16">
        <f>(C13*D13*E13/1000)</f>
        <v>0.35328000000000004</v>
      </c>
      <c r="G13" s="17" t="s">
        <v>93</v>
      </c>
      <c r="H13" s="18">
        <v>4</v>
      </c>
      <c r="I13" s="19">
        <f>(C13*D13*H13/1000)</f>
        <v>0.35328000000000004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</f>
        <v>4</v>
      </c>
      <c r="T13" s="19">
        <f>+I13+L13+R13</f>
        <v>0.35328000000000004</v>
      </c>
      <c r="U13" s="21">
        <f>E13-S13</f>
        <v>0</v>
      </c>
      <c r="V13" s="19">
        <f>F13-T13</f>
        <v>0</v>
      </c>
      <c r="X13" s="29"/>
    </row>
    <row r="14" spans="1:24">
      <c r="A14" s="36"/>
      <c r="B14" s="36"/>
      <c r="C14" s="37"/>
      <c r="D14" s="38"/>
      <c r="E14" s="31">
        <f t="shared" ref="E14:F14" si="22">SUM(E13)</f>
        <v>4</v>
      </c>
      <c r="F14" s="38">
        <f t="shared" si="22"/>
        <v>0.35328000000000004</v>
      </c>
      <c r="G14" s="17" t="s">
        <v>290</v>
      </c>
      <c r="H14" s="31">
        <f t="shared" ref="H14:I14" si="23">SUM(H13)</f>
        <v>4</v>
      </c>
      <c r="I14" s="38">
        <f t="shared" si="23"/>
        <v>0.35328000000000004</v>
      </c>
      <c r="J14" s="16"/>
      <c r="K14" s="31">
        <f t="shared" ref="K14:L14" si="24">SUM(K13)</f>
        <v>0</v>
      </c>
      <c r="L14" s="38">
        <f t="shared" si="24"/>
        <v>0</v>
      </c>
      <c r="M14" s="16"/>
      <c r="N14" s="31">
        <f t="shared" ref="N14:O14" si="25">SUM(N13)</f>
        <v>0</v>
      </c>
      <c r="O14" s="38">
        <f t="shared" si="25"/>
        <v>0</v>
      </c>
      <c r="P14" s="16"/>
      <c r="Q14" s="31">
        <f t="shared" ref="Q14:V14" si="26">SUM(Q13)</f>
        <v>0</v>
      </c>
      <c r="R14" s="38">
        <f t="shared" si="26"/>
        <v>0</v>
      </c>
      <c r="S14" s="31">
        <f t="shared" si="26"/>
        <v>4</v>
      </c>
      <c r="T14" s="38">
        <f t="shared" si="26"/>
        <v>0.35328000000000004</v>
      </c>
      <c r="U14" s="31">
        <f t="shared" si="26"/>
        <v>0</v>
      </c>
      <c r="V14" s="38">
        <f t="shared" si="26"/>
        <v>0</v>
      </c>
      <c r="X14" s="29"/>
    </row>
    <row r="15" spans="1:24">
      <c r="A15" s="26" t="s">
        <v>24</v>
      </c>
      <c r="B15" s="26" t="s">
        <v>26</v>
      </c>
      <c r="C15" s="30">
        <v>8.32</v>
      </c>
      <c r="D15" s="27">
        <v>12</v>
      </c>
      <c r="E15" s="28">
        <v>8</v>
      </c>
      <c r="F15" s="16">
        <f>(C15*D15*E15/1000)</f>
        <v>0.79871999999999999</v>
      </c>
      <c r="G15" s="16" t="s">
        <v>293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</f>
        <v>0</v>
      </c>
      <c r="T15" s="19">
        <f>+I15+L15+R15</f>
        <v>0</v>
      </c>
      <c r="U15" s="21">
        <f>E15-S15</f>
        <v>8</v>
      </c>
      <c r="V15" s="19">
        <f>F15-T15</f>
        <v>0.79871999999999999</v>
      </c>
      <c r="X15" s="29"/>
    </row>
    <row r="16" spans="1:24">
      <c r="A16" s="26" t="s">
        <v>24</v>
      </c>
      <c r="B16" s="26" t="s">
        <v>26</v>
      </c>
      <c r="C16" s="30">
        <v>8.32</v>
      </c>
      <c r="D16" s="27">
        <v>6.3</v>
      </c>
      <c r="E16" s="28"/>
      <c r="F16" s="16">
        <f t="shared" ref="F16:F24" si="27">(C16*D16*E16/1000)</f>
        <v>0</v>
      </c>
      <c r="G16" s="16" t="s">
        <v>294</v>
      </c>
      <c r="H16" s="18">
        <v>1</v>
      </c>
      <c r="I16" s="19">
        <f t="shared" ref="I16:I24" si="28">(C16*D16*H16/1000)</f>
        <v>5.2415999999999997E-2</v>
      </c>
      <c r="J16" s="16"/>
      <c r="K16" s="18"/>
      <c r="L16" s="19">
        <f t="shared" ref="L16:L24" si="29">(C16*D16*K16/1000)</f>
        <v>0</v>
      </c>
      <c r="M16" s="16"/>
      <c r="N16" s="18"/>
      <c r="O16" s="19">
        <f t="shared" ref="O16:O24" si="30">(C16*D16*N16/1000)</f>
        <v>0</v>
      </c>
      <c r="P16" s="16"/>
      <c r="Q16" s="18"/>
      <c r="R16" s="19">
        <f t="shared" ref="R16:R24" si="31">(C16*D16*Q16/1000)</f>
        <v>0</v>
      </c>
      <c r="S16" s="20">
        <f t="shared" ref="S16:S24" si="32">+H16+K16+Q16</f>
        <v>1</v>
      </c>
      <c r="T16" s="19">
        <f t="shared" ref="T16:T24" si="33">+I16+L16+R16</f>
        <v>5.2415999999999997E-2</v>
      </c>
      <c r="U16" s="21">
        <f t="shared" ref="U16:U24" si="34">E16-S16</f>
        <v>-1</v>
      </c>
      <c r="V16" s="19">
        <f t="shared" ref="V16:V24" si="35">F16-T16</f>
        <v>-5.2415999999999997E-2</v>
      </c>
      <c r="X16" s="29"/>
    </row>
    <row r="17" spans="1:24">
      <c r="A17" s="26" t="s">
        <v>24</v>
      </c>
      <c r="B17" s="26" t="s">
        <v>26</v>
      </c>
      <c r="C17" s="30">
        <v>8.32</v>
      </c>
      <c r="D17" s="27">
        <v>6.5</v>
      </c>
      <c r="E17" s="28"/>
      <c r="F17" s="16">
        <f t="shared" si="27"/>
        <v>0</v>
      </c>
      <c r="G17" s="16"/>
      <c r="H17" s="18">
        <v>5</v>
      </c>
      <c r="I17" s="19">
        <f t="shared" si="28"/>
        <v>0.27039999999999997</v>
      </c>
      <c r="J17" s="16"/>
      <c r="K17" s="18"/>
      <c r="L17" s="19">
        <f t="shared" si="29"/>
        <v>0</v>
      </c>
      <c r="M17" s="16"/>
      <c r="N17" s="18"/>
      <c r="O17" s="19">
        <f t="shared" si="30"/>
        <v>0</v>
      </c>
      <c r="P17" s="16"/>
      <c r="Q17" s="18"/>
      <c r="R17" s="19">
        <f t="shared" si="31"/>
        <v>0</v>
      </c>
      <c r="S17" s="20">
        <f t="shared" si="32"/>
        <v>5</v>
      </c>
      <c r="T17" s="19">
        <f t="shared" si="33"/>
        <v>0.27039999999999997</v>
      </c>
      <c r="U17" s="21">
        <f t="shared" si="34"/>
        <v>-5</v>
      </c>
      <c r="V17" s="19">
        <f t="shared" si="35"/>
        <v>-0.27039999999999997</v>
      </c>
      <c r="X17" s="29"/>
    </row>
    <row r="18" spans="1:24">
      <c r="A18" s="26" t="s">
        <v>24</v>
      </c>
      <c r="B18" s="26" t="s">
        <v>26</v>
      </c>
      <c r="C18" s="30">
        <v>8.32</v>
      </c>
      <c r="D18" s="27">
        <v>6.7</v>
      </c>
      <c r="E18" s="28"/>
      <c r="F18" s="16">
        <f t="shared" si="27"/>
        <v>0</v>
      </c>
      <c r="G18" s="16"/>
      <c r="H18" s="18">
        <v>1</v>
      </c>
      <c r="I18" s="19">
        <f t="shared" si="28"/>
        <v>5.5744000000000009E-2</v>
      </c>
      <c r="J18" s="16"/>
      <c r="K18" s="18"/>
      <c r="L18" s="19">
        <f t="shared" si="29"/>
        <v>0</v>
      </c>
      <c r="M18" s="16"/>
      <c r="N18" s="18"/>
      <c r="O18" s="19">
        <f t="shared" si="30"/>
        <v>0</v>
      </c>
      <c r="P18" s="16"/>
      <c r="Q18" s="18"/>
      <c r="R18" s="19">
        <f t="shared" si="31"/>
        <v>0</v>
      </c>
      <c r="S18" s="20">
        <f t="shared" si="32"/>
        <v>1</v>
      </c>
      <c r="T18" s="19">
        <f t="shared" si="33"/>
        <v>5.5744000000000009E-2</v>
      </c>
      <c r="U18" s="21">
        <f t="shared" si="34"/>
        <v>-1</v>
      </c>
      <c r="V18" s="19">
        <f t="shared" si="35"/>
        <v>-5.5744000000000009E-2</v>
      </c>
      <c r="X18" s="29"/>
    </row>
    <row r="19" spans="1:24">
      <c r="A19" s="26" t="s">
        <v>24</v>
      </c>
      <c r="B19" s="26" t="s">
        <v>26</v>
      </c>
      <c r="C19" s="30">
        <v>8.32</v>
      </c>
      <c r="D19" s="27">
        <v>6.8</v>
      </c>
      <c r="E19" s="28"/>
      <c r="F19" s="16">
        <f t="shared" si="27"/>
        <v>0</v>
      </c>
      <c r="G19" s="16"/>
      <c r="H19" s="18">
        <v>2</v>
      </c>
      <c r="I19" s="19">
        <f t="shared" si="28"/>
        <v>0.113152</v>
      </c>
      <c r="J19" s="16"/>
      <c r="K19" s="18"/>
      <c r="L19" s="19">
        <f t="shared" si="29"/>
        <v>0</v>
      </c>
      <c r="M19" s="16"/>
      <c r="N19" s="18"/>
      <c r="O19" s="19">
        <f t="shared" si="30"/>
        <v>0</v>
      </c>
      <c r="P19" s="16"/>
      <c r="Q19" s="18"/>
      <c r="R19" s="19">
        <f t="shared" si="31"/>
        <v>0</v>
      </c>
      <c r="S19" s="20">
        <f t="shared" si="32"/>
        <v>2</v>
      </c>
      <c r="T19" s="19">
        <f t="shared" si="33"/>
        <v>0.113152</v>
      </c>
      <c r="U19" s="21">
        <f t="shared" si="34"/>
        <v>-2</v>
      </c>
      <c r="V19" s="19">
        <f t="shared" si="35"/>
        <v>-0.113152</v>
      </c>
      <c r="X19" s="29"/>
    </row>
    <row r="20" spans="1:24">
      <c r="A20" s="26" t="s">
        <v>24</v>
      </c>
      <c r="B20" s="26" t="s">
        <v>26</v>
      </c>
      <c r="C20" s="30">
        <v>8.32</v>
      </c>
      <c r="D20" s="27">
        <v>6.9</v>
      </c>
      <c r="E20" s="28"/>
      <c r="F20" s="16">
        <f t="shared" si="27"/>
        <v>0</v>
      </c>
      <c r="G20" s="16"/>
      <c r="H20" s="18">
        <v>5</v>
      </c>
      <c r="I20" s="19">
        <f t="shared" si="28"/>
        <v>0.28704000000000002</v>
      </c>
      <c r="J20" s="16"/>
      <c r="K20" s="18"/>
      <c r="L20" s="19">
        <f t="shared" si="29"/>
        <v>0</v>
      </c>
      <c r="M20" s="16"/>
      <c r="N20" s="18"/>
      <c r="O20" s="19">
        <f t="shared" si="30"/>
        <v>0</v>
      </c>
      <c r="P20" s="16"/>
      <c r="Q20" s="18"/>
      <c r="R20" s="19">
        <f t="shared" si="31"/>
        <v>0</v>
      </c>
      <c r="S20" s="20">
        <f t="shared" si="32"/>
        <v>5</v>
      </c>
      <c r="T20" s="19">
        <f t="shared" si="33"/>
        <v>0.28704000000000002</v>
      </c>
      <c r="U20" s="21">
        <f t="shared" si="34"/>
        <v>-5</v>
      </c>
      <c r="V20" s="19">
        <f t="shared" si="35"/>
        <v>-0.28704000000000002</v>
      </c>
      <c r="X20" s="29"/>
    </row>
    <row r="21" spans="1:24">
      <c r="A21" s="26" t="s">
        <v>24</v>
      </c>
      <c r="B21" s="26" t="s">
        <v>26</v>
      </c>
      <c r="C21" s="30">
        <v>8.32</v>
      </c>
      <c r="D21" s="27">
        <v>6</v>
      </c>
      <c r="E21" s="28"/>
      <c r="F21" s="16">
        <f t="shared" si="27"/>
        <v>0</v>
      </c>
      <c r="G21" s="16"/>
      <c r="H21" s="18">
        <v>3</v>
      </c>
      <c r="I21" s="19">
        <f t="shared" si="28"/>
        <v>0.14976</v>
      </c>
      <c r="J21" s="16"/>
      <c r="K21" s="18"/>
      <c r="L21" s="19">
        <f t="shared" si="29"/>
        <v>0</v>
      </c>
      <c r="M21" s="16"/>
      <c r="N21" s="18"/>
      <c r="O21" s="19">
        <f t="shared" si="30"/>
        <v>0</v>
      </c>
      <c r="P21" s="16"/>
      <c r="Q21" s="18"/>
      <c r="R21" s="19">
        <f t="shared" si="31"/>
        <v>0</v>
      </c>
      <c r="S21" s="20">
        <f t="shared" si="32"/>
        <v>3</v>
      </c>
      <c r="T21" s="19">
        <f t="shared" si="33"/>
        <v>0.14976</v>
      </c>
      <c r="U21" s="21">
        <f t="shared" si="34"/>
        <v>-3</v>
      </c>
      <c r="V21" s="19">
        <f t="shared" si="35"/>
        <v>-0.14976</v>
      </c>
      <c r="X21" s="29"/>
    </row>
    <row r="22" spans="1:24">
      <c r="A22" s="26" t="s">
        <v>24</v>
      </c>
      <c r="B22" s="26" t="s">
        <v>26</v>
      </c>
      <c r="C22" s="30">
        <v>8.32</v>
      </c>
      <c r="D22" s="27"/>
      <c r="E22" s="28"/>
      <c r="F22" s="16">
        <f t="shared" si="27"/>
        <v>0</v>
      </c>
      <c r="G22" s="16"/>
      <c r="H22" s="18"/>
      <c r="I22" s="19">
        <f t="shared" si="28"/>
        <v>0</v>
      </c>
      <c r="J22" s="16"/>
      <c r="K22" s="18"/>
      <c r="L22" s="19">
        <f t="shared" si="29"/>
        <v>0</v>
      </c>
      <c r="M22" s="16"/>
      <c r="N22" s="18"/>
      <c r="O22" s="19">
        <f t="shared" si="30"/>
        <v>0</v>
      </c>
      <c r="P22" s="16"/>
      <c r="Q22" s="18"/>
      <c r="R22" s="19">
        <f t="shared" si="31"/>
        <v>0</v>
      </c>
      <c r="S22" s="20">
        <f t="shared" si="32"/>
        <v>0</v>
      </c>
      <c r="T22" s="19">
        <f t="shared" si="33"/>
        <v>0</v>
      </c>
      <c r="U22" s="21">
        <f t="shared" si="34"/>
        <v>0</v>
      </c>
      <c r="V22" s="19">
        <f t="shared" si="35"/>
        <v>0</v>
      </c>
      <c r="X22" s="29"/>
    </row>
    <row r="23" spans="1:24">
      <c r="A23" s="26" t="s">
        <v>24</v>
      </c>
      <c r="B23" s="26" t="s">
        <v>26</v>
      </c>
      <c r="C23" s="30">
        <v>8.32</v>
      </c>
      <c r="D23" s="27"/>
      <c r="E23" s="28"/>
      <c r="F23" s="16">
        <f t="shared" si="27"/>
        <v>0</v>
      </c>
      <c r="G23" s="16"/>
      <c r="H23" s="18"/>
      <c r="I23" s="19">
        <f t="shared" si="28"/>
        <v>0</v>
      </c>
      <c r="J23" s="16"/>
      <c r="K23" s="18"/>
      <c r="L23" s="19">
        <f t="shared" si="29"/>
        <v>0</v>
      </c>
      <c r="M23" s="16"/>
      <c r="N23" s="18"/>
      <c r="O23" s="19">
        <f t="shared" si="30"/>
        <v>0</v>
      </c>
      <c r="P23" s="16"/>
      <c r="Q23" s="18"/>
      <c r="R23" s="19">
        <f t="shared" si="31"/>
        <v>0</v>
      </c>
      <c r="S23" s="20">
        <f t="shared" si="32"/>
        <v>0</v>
      </c>
      <c r="T23" s="19">
        <f t="shared" si="33"/>
        <v>0</v>
      </c>
      <c r="U23" s="21">
        <f t="shared" si="34"/>
        <v>0</v>
      </c>
      <c r="V23" s="19">
        <f t="shared" si="35"/>
        <v>0</v>
      </c>
      <c r="X23" s="29"/>
    </row>
    <row r="24" spans="1:24">
      <c r="A24" s="26" t="s">
        <v>24</v>
      </c>
      <c r="B24" s="26" t="s">
        <v>26</v>
      </c>
      <c r="C24" s="30">
        <v>8.32</v>
      </c>
      <c r="D24" s="27"/>
      <c r="E24" s="28"/>
      <c r="F24" s="16">
        <f t="shared" si="27"/>
        <v>0</v>
      </c>
      <c r="G24" s="16"/>
      <c r="H24" s="18"/>
      <c r="I24" s="19">
        <f t="shared" si="28"/>
        <v>0</v>
      </c>
      <c r="J24" s="16"/>
      <c r="K24" s="18"/>
      <c r="L24" s="19">
        <f t="shared" si="29"/>
        <v>0</v>
      </c>
      <c r="M24" s="16"/>
      <c r="N24" s="18"/>
      <c r="O24" s="19">
        <f t="shared" si="30"/>
        <v>0</v>
      </c>
      <c r="P24" s="16"/>
      <c r="Q24" s="18"/>
      <c r="R24" s="19">
        <f t="shared" si="31"/>
        <v>0</v>
      </c>
      <c r="S24" s="20">
        <f t="shared" si="32"/>
        <v>0</v>
      </c>
      <c r="T24" s="19">
        <f t="shared" si="33"/>
        <v>0</v>
      </c>
      <c r="U24" s="21">
        <f t="shared" si="34"/>
        <v>0</v>
      </c>
      <c r="V24" s="19">
        <f t="shared" si="35"/>
        <v>0</v>
      </c>
      <c r="X24" s="29"/>
    </row>
    <row r="25" spans="1:24">
      <c r="A25" s="36"/>
      <c r="B25" s="36"/>
      <c r="C25" s="37"/>
      <c r="D25" s="38"/>
      <c r="E25" s="31">
        <f t="shared" ref="E25:F25" si="36">SUM(E15:E24)</f>
        <v>8</v>
      </c>
      <c r="F25" s="38">
        <f t="shared" si="36"/>
        <v>0.79871999999999999</v>
      </c>
      <c r="G25" s="16"/>
      <c r="H25" s="31">
        <f t="shared" ref="H25" si="37">SUM(H15:H24)</f>
        <v>17</v>
      </c>
      <c r="I25" s="38">
        <f t="shared" ref="I25" si="38">SUM(I15:I24)</f>
        <v>0.92851200000000012</v>
      </c>
      <c r="J25" s="16"/>
      <c r="K25" s="31">
        <f t="shared" ref="K25" si="39">SUM(K15:K24)</f>
        <v>0</v>
      </c>
      <c r="L25" s="38">
        <f t="shared" ref="L25" si="40">SUM(L15:L24)</f>
        <v>0</v>
      </c>
      <c r="M25" s="16"/>
      <c r="N25" s="31">
        <f t="shared" ref="N25" si="41">SUM(N15:N24)</f>
        <v>0</v>
      </c>
      <c r="O25" s="38">
        <f t="shared" ref="O25" si="42">SUM(O15:O24)</f>
        <v>0</v>
      </c>
      <c r="P25" s="16"/>
      <c r="Q25" s="31">
        <f t="shared" ref="Q25" si="43">SUM(Q15:Q24)</f>
        <v>0</v>
      </c>
      <c r="R25" s="38">
        <f t="shared" ref="R25" si="44">SUM(R15:R24)</f>
        <v>0</v>
      </c>
      <c r="S25" s="31">
        <f t="shared" ref="S25" si="45">SUM(S15:S24)</f>
        <v>17</v>
      </c>
      <c r="T25" s="38">
        <f t="shared" ref="T25" si="46">SUM(T15:T24)</f>
        <v>0.92851200000000012</v>
      </c>
      <c r="U25" s="31">
        <f t="shared" ref="U25" si="47">SUM(U15:U24)</f>
        <v>-9</v>
      </c>
      <c r="V25" s="38">
        <f t="shared" ref="V25" si="48">SUM(V15:V24)</f>
        <v>-0.12979200000000007</v>
      </c>
      <c r="X25" s="29"/>
    </row>
    <row r="26" spans="1:24">
      <c r="A26" s="33"/>
      <c r="B26" s="33"/>
      <c r="C26" s="34"/>
      <c r="D26" s="34"/>
      <c r="E26" s="34">
        <f t="shared" ref="E26:F26" si="49">SUM(E25,E14,E12)</f>
        <v>16</v>
      </c>
      <c r="F26" s="35">
        <f t="shared" si="49"/>
        <v>2.1936</v>
      </c>
      <c r="G26" s="26"/>
      <c r="H26" s="34">
        <f t="shared" ref="H26" si="50">SUM(H25,H14,H12)</f>
        <v>27</v>
      </c>
      <c r="I26" s="35">
        <f t="shared" ref="I26" si="51">SUM(I25,I14,I12)</f>
        <v>2.805132</v>
      </c>
      <c r="J26" s="26"/>
      <c r="K26" s="34">
        <f t="shared" ref="K26" si="52">SUM(K25,K14,K12)</f>
        <v>0</v>
      </c>
      <c r="L26" s="35">
        <f t="shared" ref="L26" si="53">SUM(L25,L14,L12)</f>
        <v>0</v>
      </c>
      <c r="M26" s="26"/>
      <c r="N26" s="34">
        <f t="shared" ref="N26" si="54">SUM(N25,N14,N12)</f>
        <v>0</v>
      </c>
      <c r="O26" s="35">
        <f t="shared" ref="O26" si="55">SUM(O25,O14,O12)</f>
        <v>0</v>
      </c>
      <c r="P26" s="26"/>
      <c r="Q26" s="34">
        <f t="shared" ref="Q26" si="56">SUM(Q25,Q14,Q12)</f>
        <v>0</v>
      </c>
      <c r="R26" s="35">
        <f t="shared" ref="R26" si="57">SUM(R25,R14,R12)</f>
        <v>0</v>
      </c>
      <c r="S26" s="34">
        <f t="shared" ref="S26" si="58">SUM(S25,S14,S12)</f>
        <v>27</v>
      </c>
      <c r="T26" s="35">
        <f t="shared" ref="T26" si="59">SUM(T25,T14,T12)</f>
        <v>2.805132</v>
      </c>
      <c r="U26" s="34">
        <f t="shared" ref="U26" si="60">SUM(U25,U14,U12)</f>
        <v>-11</v>
      </c>
      <c r="V26" s="35">
        <f t="shared" ref="V26" si="61">SUM(V25,V14,V12)</f>
        <v>-0.61153199999999996</v>
      </c>
    </row>
    <row r="41" spans="18:18">
      <c r="R4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5"/>
  <dimension ref="A1:X33"/>
  <sheetViews>
    <sheetView zoomScale="75" zoomScaleNormal="75" workbookViewId="0">
      <pane ySplit="5" topLeftCell="A6" activePane="bottomLeft" state="frozen"/>
      <selection activeCell="A4" sqref="A4"/>
      <selection pane="bottomLeft" activeCell="G6" sqref="G6:G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230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LOI-432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232</v>
      </c>
      <c r="B2" s="8"/>
      <c r="C2" s="9"/>
      <c r="D2" s="9"/>
      <c r="E2" s="10"/>
      <c r="F2" s="146" t="s">
        <v>231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LOI-432  03.07.23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234</v>
      </c>
      <c r="C6" s="30">
        <v>7.91</v>
      </c>
      <c r="D6" s="27">
        <v>10</v>
      </c>
      <c r="E6" s="28">
        <v>1</v>
      </c>
      <c r="F6" s="16">
        <f>(C6*D6*E6/1000)</f>
        <v>7.909999999999999E-2</v>
      </c>
      <c r="G6" s="17" t="s">
        <v>93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0</v>
      </c>
      <c r="T6" s="19">
        <f>+I6+L6+R6</f>
        <v>0</v>
      </c>
      <c r="U6" s="21">
        <f>E6-S6</f>
        <v>1</v>
      </c>
      <c r="V6" s="19">
        <f>F6-T6</f>
        <v>7.909999999999999E-2</v>
      </c>
      <c r="X6" s="29"/>
    </row>
    <row r="7" spans="1:24">
      <c r="A7" s="26" t="s">
        <v>13</v>
      </c>
      <c r="B7" s="26" t="s">
        <v>234</v>
      </c>
      <c r="C7" s="30">
        <v>7.91</v>
      </c>
      <c r="D7" s="27">
        <v>12</v>
      </c>
      <c r="E7" s="28"/>
      <c r="F7" s="16">
        <f>(C7*D7*E7/1000)</f>
        <v>0</v>
      </c>
      <c r="G7" s="17" t="s">
        <v>290</v>
      </c>
      <c r="H7" s="18">
        <v>1</v>
      </c>
      <c r="I7" s="19">
        <f>(C7*D7*H7/1000)</f>
        <v>9.4920000000000004E-2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</f>
        <v>1</v>
      </c>
      <c r="T7" s="19">
        <f>+I7+L7+R7</f>
        <v>9.4920000000000004E-2</v>
      </c>
      <c r="U7" s="21">
        <f>E7-S7</f>
        <v>-1</v>
      </c>
      <c r="V7" s="19">
        <f>F7-T7</f>
        <v>-9.4920000000000004E-2</v>
      </c>
      <c r="X7" s="29"/>
    </row>
    <row r="8" spans="1:24">
      <c r="A8" s="36"/>
      <c r="B8" s="36"/>
      <c r="C8" s="37"/>
      <c r="D8" s="38"/>
      <c r="E8" s="31">
        <f t="shared" ref="E8:F8" si="0">SUM(E6:E7)</f>
        <v>1</v>
      </c>
      <c r="F8" s="38">
        <f t="shared" si="0"/>
        <v>7.909999999999999E-2</v>
      </c>
      <c r="G8" s="17"/>
      <c r="H8" s="31">
        <f t="shared" ref="H8" si="1">SUM(H6:H7)</f>
        <v>1</v>
      </c>
      <c r="I8" s="38">
        <f t="shared" ref="I8" si="2">SUM(I6:I7)</f>
        <v>9.4920000000000004E-2</v>
      </c>
      <c r="J8" s="16"/>
      <c r="K8" s="31">
        <f t="shared" ref="K8" si="3">SUM(K6:K7)</f>
        <v>0</v>
      </c>
      <c r="L8" s="38">
        <f t="shared" ref="L8" si="4">SUM(L6:L7)</f>
        <v>0</v>
      </c>
      <c r="M8" s="16"/>
      <c r="N8" s="31">
        <f t="shared" ref="N8" si="5">SUM(N6:N7)</f>
        <v>0</v>
      </c>
      <c r="O8" s="38">
        <f t="shared" ref="O8" si="6">SUM(O6:O7)</f>
        <v>0</v>
      </c>
      <c r="P8" s="16"/>
      <c r="Q8" s="31">
        <f t="shared" ref="Q8" si="7">SUM(Q6:Q7)</f>
        <v>0</v>
      </c>
      <c r="R8" s="38">
        <f t="shared" ref="R8" si="8">SUM(R6:R7)</f>
        <v>0</v>
      </c>
      <c r="S8" s="31">
        <f t="shared" ref="S8" si="9">SUM(S6:S7)</f>
        <v>1</v>
      </c>
      <c r="T8" s="38">
        <f t="shared" ref="T8" si="10">SUM(T6:T7)</f>
        <v>9.4920000000000004E-2</v>
      </c>
      <c r="U8" s="31">
        <f t="shared" ref="U8" si="11">SUM(U6:U7)</f>
        <v>0</v>
      </c>
      <c r="V8" s="38">
        <f t="shared" ref="V8" si="12">SUM(V6:V7)</f>
        <v>-1.5820000000000015E-2</v>
      </c>
      <c r="X8" s="29"/>
    </row>
    <row r="9" spans="1:24">
      <c r="A9" s="26" t="s">
        <v>13</v>
      </c>
      <c r="B9" s="26" t="s">
        <v>37</v>
      </c>
      <c r="C9" s="30">
        <v>9.61</v>
      </c>
      <c r="D9" s="27">
        <v>11</v>
      </c>
      <c r="E9" s="28">
        <v>17</v>
      </c>
      <c r="F9" s="16">
        <f>(C9*D9*E9/1000)</f>
        <v>1.7970699999999999</v>
      </c>
      <c r="G9" s="16" t="s">
        <v>89</v>
      </c>
      <c r="H9" s="18">
        <v>10</v>
      </c>
      <c r="I9" s="19">
        <f>(C9*D9*H9/1000)</f>
        <v>1.0570999999999999</v>
      </c>
      <c r="J9" s="16" t="s">
        <v>111</v>
      </c>
      <c r="K9" s="18">
        <v>6</v>
      </c>
      <c r="L9" s="19">
        <f>(C9*D9*K9/1000)</f>
        <v>0.63426000000000005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 t="shared" ref="S9:T11" si="13">+H9+K9+Q9</f>
        <v>16</v>
      </c>
      <c r="T9" s="19">
        <f t="shared" si="13"/>
        <v>1.69136</v>
      </c>
      <c r="U9" s="21">
        <f t="shared" ref="U9:V11" si="14">E9-S9</f>
        <v>1</v>
      </c>
      <c r="V9" s="19">
        <f t="shared" si="14"/>
        <v>0.10570999999999997</v>
      </c>
      <c r="X9" s="29"/>
    </row>
    <row r="10" spans="1:24">
      <c r="A10" s="26" t="s">
        <v>13</v>
      </c>
      <c r="B10" s="26" t="s">
        <v>37</v>
      </c>
      <c r="C10" s="30">
        <v>9.61</v>
      </c>
      <c r="D10" s="27">
        <v>12</v>
      </c>
      <c r="E10" s="28">
        <v>36</v>
      </c>
      <c r="F10" s="16">
        <f>(C10*D10*E10/1000)</f>
        <v>4.1515199999999997</v>
      </c>
      <c r="G10" s="16" t="s">
        <v>287</v>
      </c>
      <c r="H10" s="18">
        <v>15</v>
      </c>
      <c r="I10" s="19">
        <f>(C10*D10*H10/1000)</f>
        <v>1.7298</v>
      </c>
      <c r="J10" s="16" t="s">
        <v>289</v>
      </c>
      <c r="K10" s="18">
        <v>3</v>
      </c>
      <c r="L10" s="19">
        <f>(C10*D10*K10/1000)</f>
        <v>0.34595999999999999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si="13"/>
        <v>18</v>
      </c>
      <c r="T10" s="19">
        <f t="shared" si="13"/>
        <v>2.0757599999999998</v>
      </c>
      <c r="U10" s="21">
        <f t="shared" si="14"/>
        <v>18</v>
      </c>
      <c r="V10" s="19">
        <f t="shared" si="14"/>
        <v>2.0757599999999998</v>
      </c>
      <c r="X10" s="29"/>
    </row>
    <row r="11" spans="1:24">
      <c r="A11" s="26" t="s">
        <v>13</v>
      </c>
      <c r="B11" s="26" t="s">
        <v>37</v>
      </c>
      <c r="C11" s="30">
        <v>9.61</v>
      </c>
      <c r="D11" s="27">
        <v>11.5</v>
      </c>
      <c r="E11" s="28"/>
      <c r="F11" s="16">
        <f>(C11*D11*E11/1000)</f>
        <v>0</v>
      </c>
      <c r="G11" s="16"/>
      <c r="H11" s="18">
        <v>18</v>
      </c>
      <c r="I11" s="19">
        <f>(C11*D11*H11/1000)</f>
        <v>1.9892699999999996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 t="shared" si="13"/>
        <v>18</v>
      </c>
      <c r="T11" s="19">
        <f t="shared" si="13"/>
        <v>1.9892699999999996</v>
      </c>
      <c r="U11" s="21">
        <f t="shared" si="14"/>
        <v>-18</v>
      </c>
      <c r="V11" s="19">
        <f t="shared" si="14"/>
        <v>-1.9892699999999996</v>
      </c>
      <c r="X11" s="29"/>
    </row>
    <row r="12" spans="1:24">
      <c r="A12" s="36"/>
      <c r="B12" s="36"/>
      <c r="C12" s="37"/>
      <c r="D12" s="38"/>
      <c r="E12" s="31">
        <f t="shared" ref="E12:F12" si="15">SUM(E9:E11)</f>
        <v>53</v>
      </c>
      <c r="F12" s="38">
        <f t="shared" si="15"/>
        <v>5.9485899999999994</v>
      </c>
      <c r="G12" s="17"/>
      <c r="H12" s="31">
        <f t="shared" ref="H12:I12" si="16">SUM(H9:H11)</f>
        <v>43</v>
      </c>
      <c r="I12" s="38">
        <f t="shared" si="16"/>
        <v>4.7761699999999996</v>
      </c>
      <c r="J12" s="16"/>
      <c r="K12" s="31">
        <f t="shared" ref="K12:L12" si="17">SUM(K9:K11)</f>
        <v>9</v>
      </c>
      <c r="L12" s="38">
        <f t="shared" si="17"/>
        <v>0.98022000000000009</v>
      </c>
      <c r="M12" s="16"/>
      <c r="N12" s="31">
        <f t="shared" ref="N12:O12" si="18">SUM(N9:N11)</f>
        <v>0</v>
      </c>
      <c r="O12" s="38">
        <f t="shared" si="18"/>
        <v>0</v>
      </c>
      <c r="P12" s="16"/>
      <c r="Q12" s="31">
        <f t="shared" ref="Q12:V12" si="19">SUM(Q9:Q11)</f>
        <v>0</v>
      </c>
      <c r="R12" s="38">
        <f t="shared" si="19"/>
        <v>0</v>
      </c>
      <c r="S12" s="31">
        <f t="shared" si="19"/>
        <v>52</v>
      </c>
      <c r="T12" s="38">
        <f t="shared" si="19"/>
        <v>5.7563899999999997</v>
      </c>
      <c r="U12" s="31">
        <f t="shared" si="19"/>
        <v>1</v>
      </c>
      <c r="V12" s="38">
        <f t="shared" si="19"/>
        <v>0.19220000000000037</v>
      </c>
      <c r="X12" s="29"/>
    </row>
    <row r="13" spans="1:24">
      <c r="A13" s="26" t="s">
        <v>24</v>
      </c>
      <c r="B13" s="26" t="s">
        <v>234</v>
      </c>
      <c r="C13" s="30">
        <v>7.91</v>
      </c>
      <c r="D13" s="27">
        <v>10</v>
      </c>
      <c r="E13" s="28">
        <v>47</v>
      </c>
      <c r="F13" s="16">
        <f>(C13*D13*E13/1000)</f>
        <v>3.7176999999999998</v>
      </c>
      <c r="G13" s="17" t="s">
        <v>88</v>
      </c>
      <c r="H13" s="18">
        <v>22</v>
      </c>
      <c r="I13" s="19">
        <f>(C13*D13*H13/1000)</f>
        <v>1.7401999999999997</v>
      </c>
      <c r="J13" s="17" t="s">
        <v>89</v>
      </c>
      <c r="K13" s="18">
        <v>27</v>
      </c>
      <c r="L13" s="19">
        <f>(C13*D13*K13/1000)</f>
        <v>2.1356999999999999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</f>
        <v>49</v>
      </c>
      <c r="T13" s="19">
        <f>+I13+L13+R13</f>
        <v>3.8758999999999997</v>
      </c>
      <c r="U13" s="21">
        <f>E13-S13</f>
        <v>-2</v>
      </c>
      <c r="V13" s="19">
        <f>F13-T13</f>
        <v>-0.1581999999999999</v>
      </c>
      <c r="X13" s="29"/>
    </row>
    <row r="14" spans="1:24">
      <c r="A14" s="26" t="s">
        <v>24</v>
      </c>
      <c r="B14" s="26" t="s">
        <v>234</v>
      </c>
      <c r="C14" s="30">
        <v>7.91</v>
      </c>
      <c r="D14" s="27">
        <v>12</v>
      </c>
      <c r="E14" s="28">
        <v>34</v>
      </c>
      <c r="F14" s="16">
        <f t="shared" ref="F14:F16" si="20">(C14*D14*E14/1000)</f>
        <v>3.2272800000000004</v>
      </c>
      <c r="G14" s="17" t="s">
        <v>286</v>
      </c>
      <c r="H14" s="18">
        <v>5</v>
      </c>
      <c r="I14" s="19">
        <f t="shared" ref="I14:I16" si="21">(C14*D14*H14/1000)</f>
        <v>0.47460000000000002</v>
      </c>
      <c r="J14" s="17" t="s">
        <v>286</v>
      </c>
      <c r="K14" s="18"/>
      <c r="L14" s="19">
        <f t="shared" ref="L14:L16" si="22">(C14*D14*K14/1000)</f>
        <v>0</v>
      </c>
      <c r="M14" s="16"/>
      <c r="N14" s="18"/>
      <c r="O14" s="19">
        <f t="shared" ref="O14:O16" si="23">(C14*D14*N14/1000)</f>
        <v>0</v>
      </c>
      <c r="P14" s="16"/>
      <c r="Q14" s="18"/>
      <c r="R14" s="19">
        <f t="shared" ref="R14:R16" si="24">(C14*D14*Q14/1000)</f>
        <v>0</v>
      </c>
      <c r="S14" s="20">
        <f t="shared" ref="S14:S16" si="25">+H14+K14+Q14</f>
        <v>5</v>
      </c>
      <c r="T14" s="19">
        <f t="shared" ref="T14:T16" si="26">+I14+L14+R14</f>
        <v>0.47460000000000002</v>
      </c>
      <c r="U14" s="21">
        <f t="shared" ref="U14:U16" si="27">E14-S14</f>
        <v>29</v>
      </c>
      <c r="V14" s="19">
        <f t="shared" ref="V14:V16" si="28">F14-T14</f>
        <v>2.7526800000000002</v>
      </c>
      <c r="X14" s="29"/>
    </row>
    <row r="15" spans="1:24">
      <c r="A15" s="26" t="s">
        <v>24</v>
      </c>
      <c r="B15" s="26" t="s">
        <v>234</v>
      </c>
      <c r="C15" s="30">
        <v>7.91</v>
      </c>
      <c r="D15" s="27">
        <v>10.5</v>
      </c>
      <c r="E15" s="28"/>
      <c r="F15" s="16">
        <f t="shared" si="20"/>
        <v>0</v>
      </c>
      <c r="G15" s="17"/>
      <c r="H15" s="18">
        <v>9</v>
      </c>
      <c r="I15" s="19">
        <f t="shared" si="21"/>
        <v>0.74749500000000013</v>
      </c>
      <c r="J15" s="16"/>
      <c r="K15" s="18"/>
      <c r="L15" s="19">
        <f t="shared" si="22"/>
        <v>0</v>
      </c>
      <c r="M15" s="16"/>
      <c r="N15" s="18"/>
      <c r="O15" s="19">
        <f t="shared" si="23"/>
        <v>0</v>
      </c>
      <c r="P15" s="16"/>
      <c r="Q15" s="18"/>
      <c r="R15" s="19">
        <f t="shared" si="24"/>
        <v>0</v>
      </c>
      <c r="S15" s="20">
        <f t="shared" si="25"/>
        <v>9</v>
      </c>
      <c r="T15" s="19">
        <f t="shared" si="26"/>
        <v>0.74749500000000013</v>
      </c>
      <c r="U15" s="21">
        <f t="shared" si="27"/>
        <v>-9</v>
      </c>
      <c r="V15" s="19">
        <f t="shared" si="28"/>
        <v>-0.74749500000000013</v>
      </c>
      <c r="X15" s="29"/>
    </row>
    <row r="16" spans="1:24">
      <c r="A16" s="26" t="s">
        <v>24</v>
      </c>
      <c r="B16" s="26" t="s">
        <v>234</v>
      </c>
      <c r="C16" s="30">
        <v>7.91</v>
      </c>
      <c r="D16" s="27">
        <v>11</v>
      </c>
      <c r="E16" s="28"/>
      <c r="F16" s="16">
        <f t="shared" si="20"/>
        <v>0</v>
      </c>
      <c r="G16" s="17"/>
      <c r="H16" s="18">
        <v>20</v>
      </c>
      <c r="I16" s="19">
        <f t="shared" si="21"/>
        <v>1.7402</v>
      </c>
      <c r="J16" s="16"/>
      <c r="K16" s="18"/>
      <c r="L16" s="19">
        <f t="shared" si="22"/>
        <v>0</v>
      </c>
      <c r="M16" s="16"/>
      <c r="N16" s="18"/>
      <c r="O16" s="19">
        <f t="shared" si="23"/>
        <v>0</v>
      </c>
      <c r="P16" s="16"/>
      <c r="Q16" s="18"/>
      <c r="R16" s="19">
        <f t="shared" si="24"/>
        <v>0</v>
      </c>
      <c r="S16" s="20">
        <f t="shared" si="25"/>
        <v>20</v>
      </c>
      <c r="T16" s="19">
        <f t="shared" si="26"/>
        <v>1.7402</v>
      </c>
      <c r="U16" s="21">
        <f t="shared" si="27"/>
        <v>-20</v>
      </c>
      <c r="V16" s="19">
        <f t="shared" si="28"/>
        <v>-1.7402</v>
      </c>
      <c r="X16" s="29"/>
    </row>
    <row r="17" spans="1:24">
      <c r="A17" s="36"/>
      <c r="B17" s="36"/>
      <c r="C17" s="37"/>
      <c r="D17" s="38"/>
      <c r="E17" s="31">
        <f>SUM(E13:E16)</f>
        <v>81</v>
      </c>
      <c r="F17" s="38">
        <f>SUM(F13:F16)</f>
        <v>6.9449800000000002</v>
      </c>
      <c r="G17" s="17"/>
      <c r="H17" s="31">
        <f>SUM(H13:H16)</f>
        <v>56</v>
      </c>
      <c r="I17" s="38">
        <f>SUM(I13:I16)</f>
        <v>4.7024949999999999</v>
      </c>
      <c r="J17" s="16"/>
      <c r="K17" s="31">
        <f>SUM(K13:K16)</f>
        <v>27</v>
      </c>
      <c r="L17" s="38">
        <f>SUM(L13:L16)</f>
        <v>2.1356999999999999</v>
      </c>
      <c r="M17" s="16"/>
      <c r="N17" s="31">
        <f>SUM(N13:N16)</f>
        <v>0</v>
      </c>
      <c r="O17" s="38">
        <f>SUM(O13:O16)</f>
        <v>0</v>
      </c>
      <c r="P17" s="16"/>
      <c r="Q17" s="31">
        <f t="shared" ref="Q17:V17" si="29">SUM(Q13:Q16)</f>
        <v>0</v>
      </c>
      <c r="R17" s="38">
        <f t="shared" si="29"/>
        <v>0</v>
      </c>
      <c r="S17" s="31">
        <f t="shared" si="29"/>
        <v>83</v>
      </c>
      <c r="T17" s="38">
        <f t="shared" si="29"/>
        <v>6.8381949999999989</v>
      </c>
      <c r="U17" s="31">
        <f t="shared" si="29"/>
        <v>-2</v>
      </c>
      <c r="V17" s="38">
        <f t="shared" si="29"/>
        <v>0.10678500000000013</v>
      </c>
      <c r="X17" s="29"/>
    </row>
    <row r="18" spans="1:24">
      <c r="A18" s="33"/>
      <c r="B18" s="33"/>
      <c r="C18" s="34"/>
      <c r="D18" s="34"/>
      <c r="E18" s="34">
        <f>SUM(E17,E12,E8)</f>
        <v>135</v>
      </c>
      <c r="F18" s="35">
        <f>SUM(F17,F12,F8)</f>
        <v>12.972670000000001</v>
      </c>
      <c r="G18" s="26"/>
      <c r="H18" s="34">
        <f>SUM(H17,H12,H8)</f>
        <v>100</v>
      </c>
      <c r="I18" s="35">
        <f>SUM(I17,I12,I8)</f>
        <v>9.5735849999999996</v>
      </c>
      <c r="J18" s="26"/>
      <c r="K18" s="34">
        <f>SUM(K17,K12,K8)</f>
        <v>36</v>
      </c>
      <c r="L18" s="35">
        <f>SUM(L17,L12,L8)</f>
        <v>3.11592</v>
      </c>
      <c r="M18" s="26"/>
      <c r="N18" s="34">
        <f>SUM(N17,N12,N8)</f>
        <v>0</v>
      </c>
      <c r="O18" s="35">
        <f>SUM(O17,O12,O8)</f>
        <v>0</v>
      </c>
      <c r="P18" s="26"/>
      <c r="Q18" s="34">
        <f t="shared" ref="Q18:V18" si="30">SUM(Q17,Q12,Q8)</f>
        <v>0</v>
      </c>
      <c r="R18" s="35">
        <f t="shared" si="30"/>
        <v>0</v>
      </c>
      <c r="S18" s="34">
        <f t="shared" si="30"/>
        <v>136</v>
      </c>
      <c r="T18" s="35">
        <f t="shared" si="30"/>
        <v>12.689504999999999</v>
      </c>
      <c r="U18" s="34">
        <f t="shared" si="30"/>
        <v>-1</v>
      </c>
      <c r="V18" s="35">
        <f t="shared" si="30"/>
        <v>0.2831650000000005</v>
      </c>
    </row>
    <row r="33" spans="18:18">
      <c r="R3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6"/>
  <dimension ref="A1:X97"/>
  <sheetViews>
    <sheetView zoomScale="75" zoomScaleNormal="75" workbookViewId="0">
      <pane ySplit="5" topLeftCell="A30" activePane="bottomLeft" state="frozen"/>
      <selection activeCell="A4" sqref="A4"/>
      <selection pane="bottomLeft" activeCell="G41" sqref="G41:G42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153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LOI-433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263</v>
      </c>
      <c r="B2" s="8"/>
      <c r="C2" s="9"/>
      <c r="D2" s="9"/>
      <c r="E2" s="10"/>
      <c r="F2" s="146" t="s">
        <v>266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LOI-433  03.07.23</v>
      </c>
      <c r="V2" s="146"/>
    </row>
    <row r="3" spans="1:24">
      <c r="A3" s="12" t="s">
        <v>264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51</v>
      </c>
      <c r="C6" s="30">
        <v>19.8</v>
      </c>
      <c r="D6" s="27">
        <v>9</v>
      </c>
      <c r="E6" s="28">
        <v>29</v>
      </c>
      <c r="F6" s="16">
        <f t="shared" ref="F6:F22" si="0">(C6*D6*E6/1000)</f>
        <v>5.1678000000000006</v>
      </c>
      <c r="G6" s="17" t="s">
        <v>88</v>
      </c>
      <c r="H6" s="18">
        <v>20</v>
      </c>
      <c r="I6" s="19">
        <f t="shared" ref="I6:I22" si="1">(C6*D6*H6/1000)</f>
        <v>3.5640000000000005</v>
      </c>
      <c r="J6" s="17" t="s">
        <v>88</v>
      </c>
      <c r="K6" s="18">
        <v>1</v>
      </c>
      <c r="L6" s="19">
        <f t="shared" ref="L6:L22" si="2">(C6*D6*K6/1000)</f>
        <v>0.17820000000000003</v>
      </c>
      <c r="M6" s="16" t="s">
        <v>288</v>
      </c>
      <c r="N6" s="18"/>
      <c r="O6" s="19">
        <f t="shared" ref="O6:O22" si="3">(C6*D6*N6/1000)</f>
        <v>0</v>
      </c>
      <c r="P6" s="16"/>
      <c r="Q6" s="18"/>
      <c r="R6" s="19">
        <f t="shared" ref="R6:R22" si="4">(C6*D6*Q6/1000)</f>
        <v>0</v>
      </c>
      <c r="S6" s="20">
        <f t="shared" ref="S6:S22" si="5">+H6+K6+Q6</f>
        <v>21</v>
      </c>
      <c r="T6" s="19">
        <f t="shared" ref="T6:T22" si="6">+I6+L6+R6</f>
        <v>3.7422000000000004</v>
      </c>
      <c r="U6" s="21">
        <f t="shared" ref="U6:U22" si="7">E6-S6</f>
        <v>8</v>
      </c>
      <c r="V6" s="19">
        <f t="shared" ref="V6:V22" si="8">F6-T6</f>
        <v>1.4256000000000002</v>
      </c>
      <c r="X6" s="29"/>
    </row>
    <row r="7" spans="1:24">
      <c r="A7" s="26" t="s">
        <v>13</v>
      </c>
      <c r="B7" s="26" t="s">
        <v>51</v>
      </c>
      <c r="C7" s="30">
        <v>19.8</v>
      </c>
      <c r="D7" s="27">
        <v>9.6999999999999993</v>
      </c>
      <c r="E7" s="28">
        <v>12</v>
      </c>
      <c r="F7" s="16">
        <f t="shared" si="0"/>
        <v>2.3047200000000001</v>
      </c>
      <c r="G7" s="17" t="s">
        <v>280</v>
      </c>
      <c r="H7" s="18">
        <v>5</v>
      </c>
      <c r="I7" s="19">
        <f t="shared" si="1"/>
        <v>0.96029999999999993</v>
      </c>
      <c r="J7" s="17" t="s">
        <v>286</v>
      </c>
      <c r="K7" s="18"/>
      <c r="L7" s="19">
        <f t="shared" si="2"/>
        <v>0</v>
      </c>
      <c r="M7" s="16" t="s">
        <v>289</v>
      </c>
      <c r="N7" s="18">
        <v>5</v>
      </c>
      <c r="O7" s="19">
        <f t="shared" si="3"/>
        <v>0.96029999999999993</v>
      </c>
      <c r="P7" s="16"/>
      <c r="Q7" s="18"/>
      <c r="R7" s="19">
        <f t="shared" si="4"/>
        <v>0</v>
      </c>
      <c r="S7" s="20">
        <f t="shared" si="5"/>
        <v>5</v>
      </c>
      <c r="T7" s="19">
        <f t="shared" si="6"/>
        <v>0.96029999999999993</v>
      </c>
      <c r="U7" s="21">
        <f t="shared" si="7"/>
        <v>7</v>
      </c>
      <c r="V7" s="19">
        <f t="shared" si="8"/>
        <v>1.3444200000000002</v>
      </c>
      <c r="X7" s="29"/>
    </row>
    <row r="8" spans="1:24">
      <c r="A8" s="26" t="s">
        <v>13</v>
      </c>
      <c r="B8" s="26" t="s">
        <v>51</v>
      </c>
      <c r="C8" s="30">
        <v>19.8</v>
      </c>
      <c r="D8" s="27">
        <v>10</v>
      </c>
      <c r="E8" s="28">
        <v>38</v>
      </c>
      <c r="F8" s="16">
        <f t="shared" si="0"/>
        <v>7.524</v>
      </c>
      <c r="G8" s="17"/>
      <c r="H8" s="18">
        <v>34</v>
      </c>
      <c r="I8" s="19">
        <f t="shared" si="1"/>
        <v>6.7320000000000002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34</v>
      </c>
      <c r="T8" s="19">
        <f t="shared" si="6"/>
        <v>6.7320000000000002</v>
      </c>
      <c r="U8" s="21">
        <f t="shared" si="7"/>
        <v>4</v>
      </c>
      <c r="V8" s="19">
        <f t="shared" si="8"/>
        <v>0.79199999999999982</v>
      </c>
      <c r="X8" s="29"/>
    </row>
    <row r="9" spans="1:24">
      <c r="A9" s="26" t="s">
        <v>13</v>
      </c>
      <c r="B9" s="26" t="s">
        <v>51</v>
      </c>
      <c r="C9" s="30">
        <v>19.8</v>
      </c>
      <c r="D9" s="27">
        <v>11</v>
      </c>
      <c r="E9" s="28">
        <v>50</v>
      </c>
      <c r="F9" s="16">
        <f t="shared" si="0"/>
        <v>10.89</v>
      </c>
      <c r="G9" s="17"/>
      <c r="H9" s="18">
        <f>18+30</f>
        <v>48</v>
      </c>
      <c r="I9" s="19">
        <f t="shared" si="1"/>
        <v>10.454400000000001</v>
      </c>
      <c r="J9" s="16"/>
      <c r="K9" s="18">
        <v>2</v>
      </c>
      <c r="L9" s="19">
        <f t="shared" si="2"/>
        <v>0.43560000000000004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50</v>
      </c>
      <c r="T9" s="19">
        <f t="shared" si="6"/>
        <v>10.890000000000002</v>
      </c>
      <c r="U9" s="21">
        <f t="shared" si="7"/>
        <v>0</v>
      </c>
      <c r="V9" s="19">
        <f t="shared" si="8"/>
        <v>0</v>
      </c>
      <c r="X9" s="29"/>
    </row>
    <row r="10" spans="1:24">
      <c r="A10" s="26" t="s">
        <v>13</v>
      </c>
      <c r="B10" s="26" t="s">
        <v>51</v>
      </c>
      <c r="C10" s="30">
        <v>19.8</v>
      </c>
      <c r="D10" s="27">
        <v>11.8</v>
      </c>
      <c r="E10" s="28">
        <v>15</v>
      </c>
      <c r="F10" s="16">
        <f t="shared" si="0"/>
        <v>3.5046000000000004</v>
      </c>
      <c r="G10" s="17"/>
      <c r="H10" s="18">
        <v>14</v>
      </c>
      <c r="I10" s="19">
        <f t="shared" si="1"/>
        <v>3.2709600000000001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14</v>
      </c>
      <c r="T10" s="19">
        <f t="shared" si="6"/>
        <v>3.2709600000000001</v>
      </c>
      <c r="U10" s="21">
        <f t="shared" si="7"/>
        <v>1</v>
      </c>
      <c r="V10" s="19">
        <f t="shared" si="8"/>
        <v>0.23364000000000029</v>
      </c>
      <c r="X10" s="29"/>
    </row>
    <row r="11" spans="1:24">
      <c r="A11" s="26" t="s">
        <v>13</v>
      </c>
      <c r="B11" s="26" t="s">
        <v>51</v>
      </c>
      <c r="C11" s="30">
        <v>19.8</v>
      </c>
      <c r="D11" s="27">
        <v>12</v>
      </c>
      <c r="E11" s="28">
        <v>34</v>
      </c>
      <c r="F11" s="16">
        <f t="shared" ref="F11:F21" si="9">(C11*D11*E11/1000)</f>
        <v>8.0784000000000002</v>
      </c>
      <c r="G11" s="17"/>
      <c r="H11" s="18">
        <v>33</v>
      </c>
      <c r="I11" s="19">
        <f t="shared" ref="I11:I21" si="10">(C11*D11*H11/1000)</f>
        <v>7.8408000000000007</v>
      </c>
      <c r="J11" s="16"/>
      <c r="K11" s="18">
        <v>1</v>
      </c>
      <c r="L11" s="19">
        <f t="shared" ref="L11:L21" si="11">(C11*D11*K11/1000)</f>
        <v>0.23760000000000003</v>
      </c>
      <c r="M11" s="16"/>
      <c r="N11" s="18"/>
      <c r="O11" s="19">
        <f t="shared" ref="O11:O21" si="12">(C11*D11*N11/1000)</f>
        <v>0</v>
      </c>
      <c r="P11" s="16"/>
      <c r="Q11" s="18"/>
      <c r="R11" s="19">
        <f t="shared" ref="R11:R21" si="13">(C11*D11*Q11/1000)</f>
        <v>0</v>
      </c>
      <c r="S11" s="20">
        <f t="shared" ref="S11:S21" si="14">+H11+K11+Q11</f>
        <v>34</v>
      </c>
      <c r="T11" s="19">
        <f t="shared" ref="T11:T21" si="15">+I11+L11+R11</f>
        <v>8.0784000000000002</v>
      </c>
      <c r="U11" s="21">
        <f t="shared" ref="U11:U21" si="16">E11-S11</f>
        <v>0</v>
      </c>
      <c r="V11" s="19">
        <f t="shared" ref="V11:V21" si="17">F11-T11</f>
        <v>0</v>
      </c>
      <c r="X11" s="29"/>
    </row>
    <row r="12" spans="1:24">
      <c r="A12" s="26" t="s">
        <v>13</v>
      </c>
      <c r="B12" s="26" t="s">
        <v>51</v>
      </c>
      <c r="C12" s="30">
        <v>19.8</v>
      </c>
      <c r="D12" s="27">
        <v>7.5</v>
      </c>
      <c r="E12" s="28"/>
      <c r="F12" s="16">
        <f t="shared" si="9"/>
        <v>0</v>
      </c>
      <c r="G12" s="17"/>
      <c r="H12" s="18"/>
      <c r="I12" s="19">
        <f t="shared" si="10"/>
        <v>0</v>
      </c>
      <c r="J12" s="16"/>
      <c r="K12" s="18">
        <v>1</v>
      </c>
      <c r="L12" s="19">
        <f t="shared" si="11"/>
        <v>0.14849999999999999</v>
      </c>
      <c r="M12" s="16"/>
      <c r="N12" s="18"/>
      <c r="O12" s="19">
        <f t="shared" si="12"/>
        <v>0</v>
      </c>
      <c r="P12" s="16"/>
      <c r="Q12" s="18"/>
      <c r="R12" s="19">
        <f t="shared" si="13"/>
        <v>0</v>
      </c>
      <c r="S12" s="20">
        <f t="shared" si="14"/>
        <v>1</v>
      </c>
      <c r="T12" s="19">
        <f t="shared" si="15"/>
        <v>0.14849999999999999</v>
      </c>
      <c r="U12" s="21">
        <f t="shared" si="16"/>
        <v>-1</v>
      </c>
      <c r="V12" s="19">
        <f t="shared" si="17"/>
        <v>-0.14849999999999999</v>
      </c>
      <c r="X12" s="29"/>
    </row>
    <row r="13" spans="1:24">
      <c r="A13" s="26" t="s">
        <v>13</v>
      </c>
      <c r="B13" s="26" t="s">
        <v>51</v>
      </c>
      <c r="C13" s="30">
        <v>19.8</v>
      </c>
      <c r="D13" s="27">
        <v>8</v>
      </c>
      <c r="E13" s="28"/>
      <c r="F13" s="16">
        <f t="shared" si="9"/>
        <v>0</v>
      </c>
      <c r="G13" s="17"/>
      <c r="H13" s="18"/>
      <c r="I13" s="19">
        <f t="shared" si="10"/>
        <v>0</v>
      </c>
      <c r="J13" s="16"/>
      <c r="K13" s="18">
        <v>5</v>
      </c>
      <c r="L13" s="19">
        <f t="shared" si="11"/>
        <v>0.79200000000000004</v>
      </c>
      <c r="M13" s="16"/>
      <c r="N13" s="18"/>
      <c r="O13" s="19">
        <f t="shared" si="12"/>
        <v>0</v>
      </c>
      <c r="P13" s="16"/>
      <c r="Q13" s="18"/>
      <c r="R13" s="19">
        <f t="shared" si="13"/>
        <v>0</v>
      </c>
      <c r="S13" s="20">
        <f t="shared" si="14"/>
        <v>5</v>
      </c>
      <c r="T13" s="19">
        <f t="shared" si="15"/>
        <v>0.79200000000000004</v>
      </c>
      <c r="U13" s="21">
        <f t="shared" si="16"/>
        <v>-5</v>
      </c>
      <c r="V13" s="19">
        <f t="shared" si="17"/>
        <v>-0.79200000000000004</v>
      </c>
      <c r="X13" s="29"/>
    </row>
    <row r="14" spans="1:24">
      <c r="A14" s="26" t="s">
        <v>13</v>
      </c>
      <c r="B14" s="26" t="s">
        <v>51</v>
      </c>
      <c r="C14" s="30">
        <v>19.8</v>
      </c>
      <c r="D14" s="27">
        <v>8.15</v>
      </c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>
        <v>1</v>
      </c>
      <c r="L14" s="19">
        <f t="shared" si="11"/>
        <v>0.16137000000000001</v>
      </c>
      <c r="M14" s="16"/>
      <c r="N14" s="18"/>
      <c r="O14" s="19">
        <f t="shared" si="12"/>
        <v>0</v>
      </c>
      <c r="P14" s="16"/>
      <c r="Q14" s="18"/>
      <c r="R14" s="19">
        <f t="shared" si="13"/>
        <v>0</v>
      </c>
      <c r="S14" s="20">
        <f t="shared" si="14"/>
        <v>1</v>
      </c>
      <c r="T14" s="19">
        <f t="shared" si="15"/>
        <v>0.16137000000000001</v>
      </c>
      <c r="U14" s="21">
        <f t="shared" si="16"/>
        <v>-1</v>
      </c>
      <c r="V14" s="19">
        <f t="shared" si="17"/>
        <v>-0.16137000000000001</v>
      </c>
      <c r="X14" s="29"/>
    </row>
    <row r="15" spans="1:24">
      <c r="A15" s="26" t="s">
        <v>13</v>
      </c>
      <c r="B15" s="26" t="s">
        <v>51</v>
      </c>
      <c r="C15" s="30">
        <v>19.8</v>
      </c>
      <c r="D15" s="27">
        <v>9.5</v>
      </c>
      <c r="E15" s="28"/>
      <c r="F15" s="16">
        <f t="shared" si="9"/>
        <v>0</v>
      </c>
      <c r="G15" s="17"/>
      <c r="H15" s="18"/>
      <c r="I15" s="19">
        <f t="shared" si="10"/>
        <v>0</v>
      </c>
      <c r="J15" s="16"/>
      <c r="K15" s="18"/>
      <c r="L15" s="19">
        <f t="shared" si="11"/>
        <v>0</v>
      </c>
      <c r="M15" s="16"/>
      <c r="N15" s="18">
        <v>1</v>
      </c>
      <c r="O15" s="19">
        <f t="shared" si="12"/>
        <v>0.18809999999999999</v>
      </c>
      <c r="P15" s="16"/>
      <c r="Q15" s="18"/>
      <c r="R15" s="19">
        <f t="shared" si="13"/>
        <v>0</v>
      </c>
      <c r="S15" s="20">
        <f t="shared" si="14"/>
        <v>0</v>
      </c>
      <c r="T15" s="19">
        <f t="shared" si="15"/>
        <v>0</v>
      </c>
      <c r="U15" s="21">
        <f t="shared" si="16"/>
        <v>0</v>
      </c>
      <c r="V15" s="19">
        <f t="shared" si="17"/>
        <v>0</v>
      </c>
      <c r="X15" s="29"/>
    </row>
    <row r="16" spans="1:24">
      <c r="A16" s="26" t="s">
        <v>13</v>
      </c>
      <c r="B16" s="26" t="s">
        <v>51</v>
      </c>
      <c r="C16" s="30">
        <v>19.8</v>
      </c>
      <c r="D16" s="27">
        <v>9.8000000000000007</v>
      </c>
      <c r="E16" s="28"/>
      <c r="F16" s="16">
        <f t="shared" si="9"/>
        <v>0</v>
      </c>
      <c r="G16" s="17"/>
      <c r="H16" s="18"/>
      <c r="I16" s="19">
        <f t="shared" si="10"/>
        <v>0</v>
      </c>
      <c r="J16" s="16"/>
      <c r="K16" s="18"/>
      <c r="L16" s="19">
        <f t="shared" si="11"/>
        <v>0</v>
      </c>
      <c r="M16" s="16"/>
      <c r="N16" s="18">
        <v>2</v>
      </c>
      <c r="O16" s="19">
        <f t="shared" si="12"/>
        <v>0.38808000000000004</v>
      </c>
      <c r="P16" s="16"/>
      <c r="Q16" s="18"/>
      <c r="R16" s="19">
        <f t="shared" si="13"/>
        <v>0</v>
      </c>
      <c r="S16" s="20">
        <f t="shared" si="14"/>
        <v>0</v>
      </c>
      <c r="T16" s="19">
        <f t="shared" si="15"/>
        <v>0</v>
      </c>
      <c r="U16" s="21">
        <f t="shared" si="16"/>
        <v>0</v>
      </c>
      <c r="V16" s="19">
        <f t="shared" si="17"/>
        <v>0</v>
      </c>
      <c r="X16" s="29"/>
    </row>
    <row r="17" spans="1:24">
      <c r="A17" s="26" t="s">
        <v>13</v>
      </c>
      <c r="B17" s="26" t="s">
        <v>51</v>
      </c>
      <c r="C17" s="30">
        <v>19.8</v>
      </c>
      <c r="D17" s="27">
        <v>8.5</v>
      </c>
      <c r="E17" s="28"/>
      <c r="F17" s="16">
        <f t="shared" si="9"/>
        <v>0</v>
      </c>
      <c r="G17" s="17"/>
      <c r="H17" s="18"/>
      <c r="I17" s="19">
        <f t="shared" si="10"/>
        <v>0</v>
      </c>
      <c r="J17" s="16"/>
      <c r="K17" s="18"/>
      <c r="L17" s="19">
        <f t="shared" si="11"/>
        <v>0</v>
      </c>
      <c r="M17" s="16"/>
      <c r="N17" s="18">
        <v>1</v>
      </c>
      <c r="O17" s="19">
        <f t="shared" si="12"/>
        <v>0.16830000000000001</v>
      </c>
      <c r="P17" s="16"/>
      <c r="Q17" s="18"/>
      <c r="R17" s="19">
        <f t="shared" si="13"/>
        <v>0</v>
      </c>
      <c r="S17" s="20">
        <f t="shared" si="14"/>
        <v>0</v>
      </c>
      <c r="T17" s="19">
        <f t="shared" si="15"/>
        <v>0</v>
      </c>
      <c r="U17" s="21">
        <f t="shared" si="16"/>
        <v>0</v>
      </c>
      <c r="V17" s="19">
        <f t="shared" si="17"/>
        <v>0</v>
      </c>
      <c r="X17" s="29"/>
    </row>
    <row r="18" spans="1:24">
      <c r="A18" s="26" t="s">
        <v>13</v>
      </c>
      <c r="B18" s="26" t="s">
        <v>51</v>
      </c>
      <c r="C18" s="30">
        <v>19.8</v>
      </c>
      <c r="D18" s="27">
        <v>9.9</v>
      </c>
      <c r="E18" s="28"/>
      <c r="F18" s="16">
        <f t="shared" si="9"/>
        <v>0</v>
      </c>
      <c r="G18" s="17"/>
      <c r="H18" s="18"/>
      <c r="I18" s="19">
        <f t="shared" si="10"/>
        <v>0</v>
      </c>
      <c r="J18" s="16"/>
      <c r="K18" s="18"/>
      <c r="L18" s="19">
        <f t="shared" si="11"/>
        <v>0</v>
      </c>
      <c r="M18" s="16"/>
      <c r="N18" s="18">
        <v>1</v>
      </c>
      <c r="O18" s="19">
        <f t="shared" si="12"/>
        <v>0.19602</v>
      </c>
      <c r="P18" s="16"/>
      <c r="Q18" s="18"/>
      <c r="R18" s="19">
        <f t="shared" si="13"/>
        <v>0</v>
      </c>
      <c r="S18" s="20">
        <f t="shared" si="14"/>
        <v>0</v>
      </c>
      <c r="T18" s="19">
        <f t="shared" si="15"/>
        <v>0</v>
      </c>
      <c r="U18" s="21">
        <f t="shared" si="16"/>
        <v>0</v>
      </c>
      <c r="V18" s="19">
        <f t="shared" si="17"/>
        <v>0</v>
      </c>
      <c r="X18" s="29"/>
    </row>
    <row r="19" spans="1:24">
      <c r="A19" s="26" t="s">
        <v>13</v>
      </c>
      <c r="B19" s="26" t="s">
        <v>51</v>
      </c>
      <c r="C19" s="30">
        <v>19.8</v>
      </c>
      <c r="D19" s="27">
        <v>10.6</v>
      </c>
      <c r="E19" s="28"/>
      <c r="F19" s="16">
        <f t="shared" si="9"/>
        <v>0</v>
      </c>
      <c r="G19" s="17"/>
      <c r="H19" s="18"/>
      <c r="I19" s="19">
        <f t="shared" si="10"/>
        <v>0</v>
      </c>
      <c r="J19" s="16"/>
      <c r="K19" s="18"/>
      <c r="L19" s="19">
        <f t="shared" si="11"/>
        <v>0</v>
      </c>
      <c r="M19" s="16"/>
      <c r="N19" s="18">
        <v>2</v>
      </c>
      <c r="O19" s="19">
        <f t="shared" si="12"/>
        <v>0.41975999999999997</v>
      </c>
      <c r="P19" s="16"/>
      <c r="Q19" s="18"/>
      <c r="R19" s="19">
        <f t="shared" si="13"/>
        <v>0</v>
      </c>
      <c r="S19" s="20">
        <f t="shared" si="14"/>
        <v>0</v>
      </c>
      <c r="T19" s="19">
        <f t="shared" si="15"/>
        <v>0</v>
      </c>
      <c r="U19" s="21">
        <f t="shared" si="16"/>
        <v>0</v>
      </c>
      <c r="V19" s="19">
        <f t="shared" si="17"/>
        <v>0</v>
      </c>
      <c r="X19" s="29"/>
    </row>
    <row r="20" spans="1:24">
      <c r="A20" s="26" t="s">
        <v>13</v>
      </c>
      <c r="B20" s="26" t="s">
        <v>51</v>
      </c>
      <c r="C20" s="30">
        <v>19.8</v>
      </c>
      <c r="D20" s="27"/>
      <c r="E20" s="28"/>
      <c r="F20" s="16">
        <f t="shared" si="9"/>
        <v>0</v>
      </c>
      <c r="G20" s="17"/>
      <c r="H20" s="18"/>
      <c r="I20" s="19">
        <f t="shared" si="10"/>
        <v>0</v>
      </c>
      <c r="J20" s="16"/>
      <c r="K20" s="18"/>
      <c r="L20" s="19">
        <f t="shared" si="11"/>
        <v>0</v>
      </c>
      <c r="M20" s="16"/>
      <c r="N20" s="18"/>
      <c r="O20" s="19">
        <f t="shared" si="12"/>
        <v>0</v>
      </c>
      <c r="P20" s="16"/>
      <c r="Q20" s="18"/>
      <c r="R20" s="19">
        <f t="shared" si="13"/>
        <v>0</v>
      </c>
      <c r="S20" s="20">
        <f t="shared" si="14"/>
        <v>0</v>
      </c>
      <c r="T20" s="19">
        <f t="shared" si="15"/>
        <v>0</v>
      </c>
      <c r="U20" s="21">
        <f t="shared" si="16"/>
        <v>0</v>
      </c>
      <c r="V20" s="19">
        <f t="shared" si="17"/>
        <v>0</v>
      </c>
      <c r="X20" s="29"/>
    </row>
    <row r="21" spans="1:24">
      <c r="A21" s="26" t="s">
        <v>13</v>
      </c>
      <c r="B21" s="26" t="s">
        <v>51</v>
      </c>
      <c r="C21" s="30">
        <v>19.8</v>
      </c>
      <c r="D21" s="27"/>
      <c r="E21" s="28"/>
      <c r="F21" s="16">
        <f t="shared" si="9"/>
        <v>0</v>
      </c>
      <c r="G21" s="17"/>
      <c r="H21" s="18"/>
      <c r="I21" s="19">
        <f t="shared" si="10"/>
        <v>0</v>
      </c>
      <c r="J21" s="16"/>
      <c r="K21" s="18"/>
      <c r="L21" s="19">
        <f t="shared" si="11"/>
        <v>0</v>
      </c>
      <c r="M21" s="16"/>
      <c r="N21" s="18"/>
      <c r="O21" s="19">
        <f t="shared" si="12"/>
        <v>0</v>
      </c>
      <c r="P21" s="16"/>
      <c r="Q21" s="18"/>
      <c r="R21" s="19">
        <f t="shared" si="13"/>
        <v>0</v>
      </c>
      <c r="S21" s="20">
        <f t="shared" si="14"/>
        <v>0</v>
      </c>
      <c r="T21" s="19">
        <f t="shared" si="15"/>
        <v>0</v>
      </c>
      <c r="U21" s="21">
        <f t="shared" si="16"/>
        <v>0</v>
      </c>
      <c r="V21" s="19">
        <f t="shared" si="17"/>
        <v>0</v>
      </c>
      <c r="X21" s="29"/>
    </row>
    <row r="22" spans="1:24">
      <c r="A22" s="26" t="s">
        <v>13</v>
      </c>
      <c r="B22" s="26" t="s">
        <v>51</v>
      </c>
      <c r="C22" s="30">
        <v>19.8</v>
      </c>
      <c r="D22" s="27"/>
      <c r="E22" s="28"/>
      <c r="F22" s="16">
        <f t="shared" si="0"/>
        <v>0</v>
      </c>
      <c r="G22" s="17"/>
      <c r="H22" s="18"/>
      <c r="I22" s="19">
        <f t="shared" si="1"/>
        <v>0</v>
      </c>
      <c r="J22" s="16"/>
      <c r="K22" s="18"/>
      <c r="L22" s="19">
        <f t="shared" si="2"/>
        <v>0</v>
      </c>
      <c r="M22" s="16"/>
      <c r="N22" s="18"/>
      <c r="O22" s="19">
        <f t="shared" si="3"/>
        <v>0</v>
      </c>
      <c r="P22" s="16"/>
      <c r="Q22" s="18"/>
      <c r="R22" s="19">
        <f t="shared" si="4"/>
        <v>0</v>
      </c>
      <c r="S22" s="20">
        <f t="shared" si="5"/>
        <v>0</v>
      </c>
      <c r="T22" s="19">
        <f t="shared" si="6"/>
        <v>0</v>
      </c>
      <c r="U22" s="21">
        <f t="shared" si="7"/>
        <v>0</v>
      </c>
      <c r="V22" s="19">
        <f t="shared" si="8"/>
        <v>0</v>
      </c>
      <c r="X22" s="29"/>
    </row>
    <row r="23" spans="1:24">
      <c r="A23" s="36"/>
      <c r="B23" s="36"/>
      <c r="C23" s="37"/>
      <c r="D23" s="38"/>
      <c r="E23" s="31">
        <f t="shared" ref="E23:F23" si="18">SUM(E6:E22)</f>
        <v>178</v>
      </c>
      <c r="F23" s="38">
        <f t="shared" si="18"/>
        <v>37.469520000000003</v>
      </c>
      <c r="G23" s="17"/>
      <c r="H23" s="31">
        <f t="shared" ref="H23" si="19">SUM(H6:H22)</f>
        <v>154</v>
      </c>
      <c r="I23" s="38">
        <f t="shared" ref="I23" si="20">SUM(I6:I22)</f>
        <v>32.82246</v>
      </c>
      <c r="J23" s="16"/>
      <c r="K23" s="31">
        <f t="shared" ref="K23" si="21">SUM(K6:K22)</f>
        <v>11</v>
      </c>
      <c r="L23" s="38">
        <f t="shared" ref="L23" si="22">SUM(L6:L22)</f>
        <v>1.9532700000000001</v>
      </c>
      <c r="M23" s="16"/>
      <c r="N23" s="31">
        <f t="shared" ref="N23" si="23">SUM(N6:N22)</f>
        <v>12</v>
      </c>
      <c r="O23" s="38">
        <f t="shared" ref="O23" si="24">SUM(O6:O22)</f>
        <v>2.32056</v>
      </c>
      <c r="P23" s="16"/>
      <c r="Q23" s="31">
        <f t="shared" ref="Q23" si="25">SUM(Q6:Q22)</f>
        <v>0</v>
      </c>
      <c r="R23" s="38">
        <f t="shared" ref="R23" si="26">SUM(R6:R22)</f>
        <v>0</v>
      </c>
      <c r="S23" s="31">
        <f t="shared" ref="S23" si="27">SUM(S6:S22)</f>
        <v>165</v>
      </c>
      <c r="T23" s="38">
        <f t="shared" ref="T23" si="28">SUM(T6:T22)</f>
        <v>34.775729999999996</v>
      </c>
      <c r="U23" s="31">
        <f t="shared" ref="U23" si="29">SUM(U6:U22)</f>
        <v>13</v>
      </c>
      <c r="V23" s="38">
        <f t="shared" ref="V23" si="30">SUM(V6:V22)</f>
        <v>2.6937900000000008</v>
      </c>
      <c r="X23" s="29"/>
    </row>
    <row r="24" spans="1:24">
      <c r="A24" s="26" t="s">
        <v>13</v>
      </c>
      <c r="B24" s="26" t="s">
        <v>52</v>
      </c>
      <c r="C24" s="30">
        <v>21.7</v>
      </c>
      <c r="D24" s="27">
        <v>8.5</v>
      </c>
      <c r="E24" s="28">
        <v>22</v>
      </c>
      <c r="F24" s="16">
        <f t="shared" ref="F24:F26" si="31">(C24*D24*E24/1000)</f>
        <v>4.0579000000000001</v>
      </c>
      <c r="G24" s="17" t="s">
        <v>93</v>
      </c>
      <c r="H24" s="18">
        <v>22</v>
      </c>
      <c r="I24" s="19">
        <f t="shared" ref="I24:I26" si="32">(C24*D24*H24/1000)</f>
        <v>4.0579000000000001</v>
      </c>
      <c r="J24" s="16"/>
      <c r="K24" s="18"/>
      <c r="L24" s="19">
        <f t="shared" ref="L24:L26" si="33">(C24*D24*K24/1000)</f>
        <v>0</v>
      </c>
      <c r="M24" s="16"/>
      <c r="N24" s="18"/>
      <c r="O24" s="19">
        <f t="shared" ref="O24:O26" si="34">(C24*D24*N24/1000)</f>
        <v>0</v>
      </c>
      <c r="P24" s="16"/>
      <c r="Q24" s="18"/>
      <c r="R24" s="19">
        <f t="shared" ref="R24:R26" si="35">(C24*D24*Q24/1000)</f>
        <v>0</v>
      </c>
      <c r="S24" s="20">
        <f t="shared" ref="S24:S26" si="36">+H24+K24+Q24</f>
        <v>22</v>
      </c>
      <c r="T24" s="19">
        <f t="shared" ref="T24:T26" si="37">+I24+L24+R24</f>
        <v>4.0579000000000001</v>
      </c>
      <c r="U24" s="21">
        <f t="shared" ref="U24:U26" si="38">E24-S24</f>
        <v>0</v>
      </c>
      <c r="V24" s="19">
        <f t="shared" ref="V24:V26" si="39">F24-T24</f>
        <v>0</v>
      </c>
      <c r="X24" s="29"/>
    </row>
    <row r="25" spans="1:24">
      <c r="A25" s="26" t="s">
        <v>13</v>
      </c>
      <c r="B25" s="26" t="s">
        <v>52</v>
      </c>
      <c r="C25" s="30">
        <v>21.7</v>
      </c>
      <c r="D25" s="27">
        <v>11.5</v>
      </c>
      <c r="E25" s="28">
        <v>12</v>
      </c>
      <c r="F25" s="16">
        <f t="shared" ref="F25" si="40">(C25*D25*E25/1000)</f>
        <v>2.9945999999999997</v>
      </c>
      <c r="G25" s="17" t="s">
        <v>280</v>
      </c>
      <c r="H25" s="18">
        <v>4</v>
      </c>
      <c r="I25" s="19">
        <f t="shared" ref="I25" si="41">(C25*D25*H25/1000)</f>
        <v>0.99819999999999998</v>
      </c>
      <c r="J25" s="16"/>
      <c r="K25" s="18"/>
      <c r="L25" s="19">
        <f t="shared" ref="L25" si="42">(C25*D25*K25/1000)</f>
        <v>0</v>
      </c>
      <c r="M25" s="16"/>
      <c r="N25" s="18"/>
      <c r="O25" s="19">
        <f t="shared" ref="O25" si="43">(C25*D25*N25/1000)</f>
        <v>0</v>
      </c>
      <c r="P25" s="16"/>
      <c r="Q25" s="18"/>
      <c r="R25" s="19">
        <f t="shared" ref="R25" si="44">(C25*D25*Q25/1000)</f>
        <v>0</v>
      </c>
      <c r="S25" s="20">
        <f t="shared" ref="S25" si="45">+H25+K25+Q25</f>
        <v>4</v>
      </c>
      <c r="T25" s="19">
        <f t="shared" ref="T25" si="46">+I25+L25+R25</f>
        <v>0.99819999999999998</v>
      </c>
      <c r="U25" s="21">
        <f t="shared" ref="U25" si="47">E25-S25</f>
        <v>8</v>
      </c>
      <c r="V25" s="19">
        <f t="shared" ref="V25" si="48">F25-T25</f>
        <v>1.9963999999999997</v>
      </c>
      <c r="X25" s="29"/>
    </row>
    <row r="26" spans="1:24">
      <c r="A26" s="26" t="s">
        <v>13</v>
      </c>
      <c r="B26" s="26" t="s">
        <v>52</v>
      </c>
      <c r="C26" s="30">
        <v>21.7</v>
      </c>
      <c r="D26" s="27">
        <v>9.3000000000000007</v>
      </c>
      <c r="E26" s="28"/>
      <c r="F26" s="16">
        <f t="shared" si="31"/>
        <v>0</v>
      </c>
      <c r="G26" s="17"/>
      <c r="H26" s="18">
        <v>8</v>
      </c>
      <c r="I26" s="19">
        <f t="shared" si="32"/>
        <v>1.6144799999999999</v>
      </c>
      <c r="J26" s="16"/>
      <c r="K26" s="18"/>
      <c r="L26" s="19">
        <f t="shared" si="33"/>
        <v>0</v>
      </c>
      <c r="M26" s="16"/>
      <c r="N26" s="18"/>
      <c r="O26" s="19">
        <f t="shared" si="34"/>
        <v>0</v>
      </c>
      <c r="P26" s="16"/>
      <c r="Q26" s="18"/>
      <c r="R26" s="19">
        <f t="shared" si="35"/>
        <v>0</v>
      </c>
      <c r="S26" s="20">
        <f t="shared" si="36"/>
        <v>8</v>
      </c>
      <c r="T26" s="19">
        <f t="shared" si="37"/>
        <v>1.6144799999999999</v>
      </c>
      <c r="U26" s="21">
        <f t="shared" si="38"/>
        <v>-8</v>
      </c>
      <c r="V26" s="19">
        <f t="shared" si="39"/>
        <v>-1.6144799999999999</v>
      </c>
      <c r="X26" s="29"/>
    </row>
    <row r="27" spans="1:24">
      <c r="A27" s="36"/>
      <c r="B27" s="36"/>
      <c r="C27" s="37"/>
      <c r="D27" s="38"/>
      <c r="E27" s="31">
        <f t="shared" ref="E27:F27" si="49">SUM(E24:E26)</f>
        <v>34</v>
      </c>
      <c r="F27" s="38">
        <f t="shared" si="49"/>
        <v>7.0525000000000002</v>
      </c>
      <c r="G27" s="17"/>
      <c r="H27" s="31">
        <f t="shared" ref="H27" si="50">SUM(H24:H26)</f>
        <v>34</v>
      </c>
      <c r="I27" s="38">
        <f t="shared" ref="I27" si="51">SUM(I24:I26)</f>
        <v>6.6705799999999993</v>
      </c>
      <c r="J27" s="16"/>
      <c r="K27" s="31">
        <f t="shared" ref="K27" si="52">SUM(K24:K26)</f>
        <v>0</v>
      </c>
      <c r="L27" s="38">
        <f t="shared" ref="L27" si="53">SUM(L24:L26)</f>
        <v>0</v>
      </c>
      <c r="M27" s="16"/>
      <c r="N27" s="31">
        <f t="shared" ref="N27" si="54">SUM(N24:N26)</f>
        <v>0</v>
      </c>
      <c r="O27" s="38">
        <f t="shared" ref="O27" si="55">SUM(O24:O26)</f>
        <v>0</v>
      </c>
      <c r="P27" s="16"/>
      <c r="Q27" s="31">
        <f t="shared" ref="Q27" si="56">SUM(Q24:Q26)</f>
        <v>0</v>
      </c>
      <c r="R27" s="38">
        <f t="shared" ref="R27" si="57">SUM(R24:R26)</f>
        <v>0</v>
      </c>
      <c r="S27" s="31">
        <f t="shared" ref="S27" si="58">SUM(S24:S26)</f>
        <v>34</v>
      </c>
      <c r="T27" s="38">
        <f t="shared" ref="T27" si="59">SUM(T24:T26)</f>
        <v>6.6705799999999993</v>
      </c>
      <c r="U27" s="31">
        <f t="shared" ref="U27" si="60">SUM(U24:U26)</f>
        <v>0</v>
      </c>
      <c r="V27" s="38">
        <f t="shared" ref="V27" si="61">SUM(V24:V26)</f>
        <v>0.38191999999999982</v>
      </c>
      <c r="X27" s="29"/>
    </row>
    <row r="28" spans="1:24">
      <c r="A28" s="26" t="s">
        <v>13</v>
      </c>
      <c r="B28" s="26" t="s">
        <v>53</v>
      </c>
      <c r="C28" s="30">
        <v>23.6</v>
      </c>
      <c r="D28" s="27">
        <v>8.1</v>
      </c>
      <c r="E28" s="28">
        <v>9</v>
      </c>
      <c r="F28" s="16">
        <f t="shared" ref="F28:F39" si="62">(C28*D28*E28/1000)</f>
        <v>1.72044</v>
      </c>
      <c r="G28" s="17" t="s">
        <v>93</v>
      </c>
      <c r="H28" s="18">
        <v>13</v>
      </c>
      <c r="I28" s="19">
        <f t="shared" ref="I28:I39" si="63">(C28*D28*H28/1000)</f>
        <v>2.48508</v>
      </c>
      <c r="J28" s="16"/>
      <c r="K28" s="18"/>
      <c r="L28" s="19">
        <f t="shared" ref="L28:L39" si="64">(C28*D28*K28/1000)</f>
        <v>0</v>
      </c>
      <c r="M28" s="16"/>
      <c r="N28" s="18"/>
      <c r="O28" s="19">
        <f t="shared" ref="O28:O39" si="65">(C28*D28*N28/1000)</f>
        <v>0</v>
      </c>
      <c r="P28" s="16"/>
      <c r="Q28" s="18"/>
      <c r="R28" s="19">
        <f t="shared" ref="R28:R39" si="66">(C28*D28*Q28/1000)</f>
        <v>0</v>
      </c>
      <c r="S28" s="20">
        <f t="shared" ref="S28:S39" si="67">+H28+K28+Q28</f>
        <v>13</v>
      </c>
      <c r="T28" s="19">
        <f t="shared" ref="T28:T39" si="68">+I28+L28+R28</f>
        <v>2.48508</v>
      </c>
      <c r="U28" s="21">
        <f t="shared" ref="U28:U39" si="69">E28-S28</f>
        <v>-4</v>
      </c>
      <c r="V28" s="19">
        <f t="shared" ref="V28:V39" si="70">F28-T28</f>
        <v>-0.76463999999999999</v>
      </c>
      <c r="X28" s="29"/>
    </row>
    <row r="29" spans="1:24">
      <c r="A29" s="26" t="s">
        <v>13</v>
      </c>
      <c r="B29" s="26" t="s">
        <v>53</v>
      </c>
      <c r="C29" s="30">
        <v>23.6</v>
      </c>
      <c r="D29" s="27">
        <v>9.1</v>
      </c>
      <c r="E29" s="28">
        <v>14</v>
      </c>
      <c r="F29" s="16">
        <f t="shared" si="62"/>
        <v>3.00664</v>
      </c>
      <c r="G29" s="17" t="s">
        <v>280</v>
      </c>
      <c r="H29" s="18">
        <v>14</v>
      </c>
      <c r="I29" s="19">
        <f t="shared" si="63"/>
        <v>3.00664</v>
      </c>
      <c r="J29" s="16"/>
      <c r="K29" s="18"/>
      <c r="L29" s="19">
        <f t="shared" si="64"/>
        <v>0</v>
      </c>
      <c r="M29" s="16"/>
      <c r="N29" s="18"/>
      <c r="O29" s="19">
        <f t="shared" si="65"/>
        <v>0</v>
      </c>
      <c r="P29" s="16"/>
      <c r="Q29" s="18"/>
      <c r="R29" s="19">
        <f t="shared" si="66"/>
        <v>0</v>
      </c>
      <c r="S29" s="20">
        <f t="shared" si="67"/>
        <v>14</v>
      </c>
      <c r="T29" s="19">
        <f t="shared" si="68"/>
        <v>3.00664</v>
      </c>
      <c r="U29" s="21">
        <f t="shared" si="69"/>
        <v>0</v>
      </c>
      <c r="V29" s="19">
        <f t="shared" si="70"/>
        <v>0</v>
      </c>
      <c r="X29" s="29"/>
    </row>
    <row r="30" spans="1:24">
      <c r="A30" s="26" t="s">
        <v>13</v>
      </c>
      <c r="B30" s="26" t="s">
        <v>53</v>
      </c>
      <c r="C30" s="30">
        <v>23.6</v>
      </c>
      <c r="D30" s="27">
        <v>9.9</v>
      </c>
      <c r="E30" s="28">
        <v>18</v>
      </c>
      <c r="F30" s="16">
        <f t="shared" si="62"/>
        <v>4.2055200000000008</v>
      </c>
      <c r="G30" s="17"/>
      <c r="H30" s="18">
        <v>7</v>
      </c>
      <c r="I30" s="19">
        <f t="shared" si="63"/>
        <v>1.63548</v>
      </c>
      <c r="J30" s="16"/>
      <c r="K30" s="18"/>
      <c r="L30" s="19">
        <f t="shared" si="64"/>
        <v>0</v>
      </c>
      <c r="M30" s="16"/>
      <c r="N30" s="18"/>
      <c r="O30" s="19">
        <f t="shared" si="65"/>
        <v>0</v>
      </c>
      <c r="P30" s="16"/>
      <c r="Q30" s="18"/>
      <c r="R30" s="19">
        <f t="shared" si="66"/>
        <v>0</v>
      </c>
      <c r="S30" s="20">
        <f t="shared" si="67"/>
        <v>7</v>
      </c>
      <c r="T30" s="19">
        <f t="shared" si="68"/>
        <v>1.63548</v>
      </c>
      <c r="U30" s="21">
        <f t="shared" si="69"/>
        <v>11</v>
      </c>
      <c r="V30" s="19">
        <f t="shared" si="70"/>
        <v>2.5700400000000005</v>
      </c>
      <c r="X30" s="29"/>
    </row>
    <row r="31" spans="1:24">
      <c r="A31" s="26" t="s">
        <v>13</v>
      </c>
      <c r="B31" s="26" t="s">
        <v>53</v>
      </c>
      <c r="C31" s="30">
        <v>23.6</v>
      </c>
      <c r="D31" s="27">
        <v>10.199999999999999</v>
      </c>
      <c r="E31" s="28">
        <v>12</v>
      </c>
      <c r="F31" s="16">
        <f t="shared" si="62"/>
        <v>2.8886399999999997</v>
      </c>
      <c r="G31" s="17"/>
      <c r="H31" s="18">
        <v>13</v>
      </c>
      <c r="I31" s="19">
        <f t="shared" si="63"/>
        <v>3.1293600000000001</v>
      </c>
      <c r="J31" s="16"/>
      <c r="K31" s="18"/>
      <c r="L31" s="19">
        <f t="shared" si="64"/>
        <v>0</v>
      </c>
      <c r="M31" s="16"/>
      <c r="N31" s="18"/>
      <c r="O31" s="19">
        <f t="shared" si="65"/>
        <v>0</v>
      </c>
      <c r="P31" s="16"/>
      <c r="Q31" s="18"/>
      <c r="R31" s="19">
        <f t="shared" si="66"/>
        <v>0</v>
      </c>
      <c r="S31" s="20">
        <f t="shared" si="67"/>
        <v>13</v>
      </c>
      <c r="T31" s="19">
        <f t="shared" si="68"/>
        <v>3.1293600000000001</v>
      </c>
      <c r="U31" s="21">
        <f t="shared" si="69"/>
        <v>-1</v>
      </c>
      <c r="V31" s="19">
        <f t="shared" si="70"/>
        <v>-0.24072000000000049</v>
      </c>
      <c r="X31" s="29"/>
    </row>
    <row r="32" spans="1:24">
      <c r="A32" s="26" t="s">
        <v>13</v>
      </c>
      <c r="B32" s="26" t="s">
        <v>53</v>
      </c>
      <c r="C32" s="30">
        <v>23.6</v>
      </c>
      <c r="D32" s="27">
        <v>10.6</v>
      </c>
      <c r="E32" s="28">
        <v>8</v>
      </c>
      <c r="F32" s="16">
        <f t="shared" si="62"/>
        <v>2.0012799999999999</v>
      </c>
      <c r="G32" s="17"/>
      <c r="H32" s="18">
        <v>8</v>
      </c>
      <c r="I32" s="19">
        <f t="shared" si="63"/>
        <v>2.0012799999999999</v>
      </c>
      <c r="J32" s="16"/>
      <c r="K32" s="18"/>
      <c r="L32" s="19">
        <f t="shared" si="64"/>
        <v>0</v>
      </c>
      <c r="M32" s="16"/>
      <c r="N32" s="18"/>
      <c r="O32" s="19">
        <f t="shared" si="65"/>
        <v>0</v>
      </c>
      <c r="P32" s="16"/>
      <c r="Q32" s="18"/>
      <c r="R32" s="19">
        <f t="shared" si="66"/>
        <v>0</v>
      </c>
      <c r="S32" s="20">
        <f t="shared" si="67"/>
        <v>8</v>
      </c>
      <c r="T32" s="19">
        <f t="shared" si="68"/>
        <v>2.0012799999999999</v>
      </c>
      <c r="U32" s="21">
        <f t="shared" si="69"/>
        <v>0</v>
      </c>
      <c r="V32" s="19">
        <f t="shared" si="70"/>
        <v>0</v>
      </c>
      <c r="X32" s="29"/>
    </row>
    <row r="33" spans="1:24">
      <c r="A33" s="26" t="s">
        <v>13</v>
      </c>
      <c r="B33" s="26" t="s">
        <v>53</v>
      </c>
      <c r="C33" s="30">
        <v>23.6</v>
      </c>
      <c r="D33" s="27">
        <v>11.3</v>
      </c>
      <c r="E33" s="28">
        <v>8</v>
      </c>
      <c r="F33" s="16">
        <f t="shared" si="62"/>
        <v>2.1334400000000002</v>
      </c>
      <c r="G33" s="17"/>
      <c r="H33" s="18">
        <v>5</v>
      </c>
      <c r="I33" s="19">
        <f t="shared" si="63"/>
        <v>1.3334000000000001</v>
      </c>
      <c r="J33" s="16"/>
      <c r="K33" s="18"/>
      <c r="L33" s="19">
        <f t="shared" si="64"/>
        <v>0</v>
      </c>
      <c r="M33" s="16"/>
      <c r="N33" s="18"/>
      <c r="O33" s="19">
        <f t="shared" si="65"/>
        <v>0</v>
      </c>
      <c r="P33" s="16"/>
      <c r="Q33" s="18"/>
      <c r="R33" s="19">
        <f t="shared" si="66"/>
        <v>0</v>
      </c>
      <c r="S33" s="20">
        <f t="shared" si="67"/>
        <v>5</v>
      </c>
      <c r="T33" s="19">
        <f t="shared" si="68"/>
        <v>1.3334000000000001</v>
      </c>
      <c r="U33" s="21">
        <f t="shared" si="69"/>
        <v>3</v>
      </c>
      <c r="V33" s="19">
        <f t="shared" si="70"/>
        <v>0.80004000000000008</v>
      </c>
      <c r="X33" s="29"/>
    </row>
    <row r="34" spans="1:24">
      <c r="A34" s="26" t="s">
        <v>13</v>
      </c>
      <c r="B34" s="26" t="s">
        <v>53</v>
      </c>
      <c r="C34" s="30">
        <v>23.6</v>
      </c>
      <c r="D34" s="27">
        <v>11.9</v>
      </c>
      <c r="E34" s="28">
        <v>11</v>
      </c>
      <c r="F34" s="16">
        <f t="shared" ref="F34:F38" si="71">(C34*D34*E34/1000)</f>
        <v>3.0892400000000002</v>
      </c>
      <c r="G34" s="17"/>
      <c r="H34" s="18">
        <v>13</v>
      </c>
      <c r="I34" s="19">
        <f t="shared" ref="I34:I38" si="72">(C34*D34*H34/1000)</f>
        <v>3.6509200000000006</v>
      </c>
      <c r="J34" s="16"/>
      <c r="K34" s="18"/>
      <c r="L34" s="19">
        <f t="shared" ref="L34:L38" si="73">(C34*D34*K34/1000)</f>
        <v>0</v>
      </c>
      <c r="M34" s="16"/>
      <c r="N34" s="18"/>
      <c r="O34" s="19">
        <f t="shared" ref="O34:O38" si="74">(C34*D34*N34/1000)</f>
        <v>0</v>
      </c>
      <c r="P34" s="16"/>
      <c r="Q34" s="18"/>
      <c r="R34" s="19">
        <f t="shared" ref="R34:R38" si="75">(C34*D34*Q34/1000)</f>
        <v>0</v>
      </c>
      <c r="S34" s="20">
        <f t="shared" ref="S34:S38" si="76">+H34+K34+Q34</f>
        <v>13</v>
      </c>
      <c r="T34" s="19">
        <f t="shared" ref="T34:T38" si="77">+I34+L34+R34</f>
        <v>3.6509200000000006</v>
      </c>
      <c r="U34" s="21">
        <f t="shared" ref="U34:U38" si="78">E34-S34</f>
        <v>-2</v>
      </c>
      <c r="V34" s="19">
        <f t="shared" ref="V34:V38" si="79">F34-T34</f>
        <v>-0.5616800000000004</v>
      </c>
      <c r="X34" s="29"/>
    </row>
    <row r="35" spans="1:24">
      <c r="A35" s="26" t="s">
        <v>13</v>
      </c>
      <c r="B35" s="26" t="s">
        <v>53</v>
      </c>
      <c r="C35" s="30">
        <v>23.6</v>
      </c>
      <c r="D35" s="27">
        <v>9.6999999999999993</v>
      </c>
      <c r="E35" s="28"/>
      <c r="F35" s="16">
        <f t="shared" si="71"/>
        <v>0</v>
      </c>
      <c r="G35" s="17"/>
      <c r="H35" s="18">
        <v>7</v>
      </c>
      <c r="I35" s="19">
        <f t="shared" si="72"/>
        <v>1.6024399999999999</v>
      </c>
      <c r="J35" s="16"/>
      <c r="K35" s="18"/>
      <c r="L35" s="19">
        <f t="shared" si="73"/>
        <v>0</v>
      </c>
      <c r="M35" s="16"/>
      <c r="N35" s="18"/>
      <c r="O35" s="19">
        <f t="shared" si="74"/>
        <v>0</v>
      </c>
      <c r="P35" s="16"/>
      <c r="Q35" s="18"/>
      <c r="R35" s="19">
        <f t="shared" si="75"/>
        <v>0</v>
      </c>
      <c r="S35" s="20">
        <f t="shared" si="76"/>
        <v>7</v>
      </c>
      <c r="T35" s="19">
        <f t="shared" si="77"/>
        <v>1.6024399999999999</v>
      </c>
      <c r="U35" s="21">
        <f t="shared" si="78"/>
        <v>-7</v>
      </c>
      <c r="V35" s="19">
        <f t="shared" si="79"/>
        <v>-1.6024399999999999</v>
      </c>
      <c r="X35" s="29"/>
    </row>
    <row r="36" spans="1:24">
      <c r="A36" s="26" t="s">
        <v>13</v>
      </c>
      <c r="B36" s="26" t="s">
        <v>53</v>
      </c>
      <c r="C36" s="30">
        <v>23.6</v>
      </c>
      <c r="D36" s="27">
        <v>8.5</v>
      </c>
      <c r="E36" s="28"/>
      <c r="F36" s="16">
        <f t="shared" si="71"/>
        <v>0</v>
      </c>
      <c r="G36" s="17"/>
      <c r="H36" s="18">
        <v>1</v>
      </c>
      <c r="I36" s="19">
        <f t="shared" si="72"/>
        <v>0.20060000000000003</v>
      </c>
      <c r="J36" s="16"/>
      <c r="K36" s="18"/>
      <c r="L36" s="19">
        <f t="shared" si="73"/>
        <v>0</v>
      </c>
      <c r="M36" s="16"/>
      <c r="N36" s="18"/>
      <c r="O36" s="19">
        <f t="shared" si="74"/>
        <v>0</v>
      </c>
      <c r="P36" s="16"/>
      <c r="Q36" s="18"/>
      <c r="R36" s="19">
        <f t="shared" si="75"/>
        <v>0</v>
      </c>
      <c r="S36" s="20">
        <f t="shared" si="76"/>
        <v>1</v>
      </c>
      <c r="T36" s="19">
        <f t="shared" si="77"/>
        <v>0.20060000000000003</v>
      </c>
      <c r="U36" s="21">
        <f t="shared" si="78"/>
        <v>-1</v>
      </c>
      <c r="V36" s="19">
        <f t="shared" si="79"/>
        <v>-0.20060000000000003</v>
      </c>
      <c r="X36" s="29"/>
    </row>
    <row r="37" spans="1:24">
      <c r="A37" s="26" t="s">
        <v>13</v>
      </c>
      <c r="B37" s="26" t="s">
        <v>53</v>
      </c>
      <c r="C37" s="30">
        <v>23.6</v>
      </c>
      <c r="D37" s="27"/>
      <c r="E37" s="28"/>
      <c r="F37" s="16">
        <f t="shared" si="71"/>
        <v>0</v>
      </c>
      <c r="G37" s="17"/>
      <c r="H37" s="18"/>
      <c r="I37" s="19">
        <f t="shared" si="72"/>
        <v>0</v>
      </c>
      <c r="J37" s="16"/>
      <c r="K37" s="18"/>
      <c r="L37" s="19">
        <f t="shared" si="73"/>
        <v>0</v>
      </c>
      <c r="M37" s="16"/>
      <c r="N37" s="18"/>
      <c r="O37" s="19">
        <f t="shared" si="74"/>
        <v>0</v>
      </c>
      <c r="P37" s="16"/>
      <c r="Q37" s="18"/>
      <c r="R37" s="19">
        <f t="shared" si="75"/>
        <v>0</v>
      </c>
      <c r="S37" s="20">
        <f t="shared" si="76"/>
        <v>0</v>
      </c>
      <c r="T37" s="19">
        <f t="shared" si="77"/>
        <v>0</v>
      </c>
      <c r="U37" s="21">
        <f t="shared" si="78"/>
        <v>0</v>
      </c>
      <c r="V37" s="19">
        <f t="shared" si="79"/>
        <v>0</v>
      </c>
      <c r="X37" s="29"/>
    </row>
    <row r="38" spans="1:24">
      <c r="A38" s="26" t="s">
        <v>13</v>
      </c>
      <c r="B38" s="26" t="s">
        <v>53</v>
      </c>
      <c r="C38" s="30">
        <v>23.6</v>
      </c>
      <c r="D38" s="27"/>
      <c r="E38" s="28"/>
      <c r="F38" s="16">
        <f t="shared" si="71"/>
        <v>0</v>
      </c>
      <c r="G38" s="17"/>
      <c r="H38" s="18"/>
      <c r="I38" s="19">
        <f t="shared" si="72"/>
        <v>0</v>
      </c>
      <c r="J38" s="16"/>
      <c r="K38" s="18"/>
      <c r="L38" s="19">
        <f t="shared" si="73"/>
        <v>0</v>
      </c>
      <c r="M38" s="16"/>
      <c r="N38" s="18"/>
      <c r="O38" s="19">
        <f t="shared" si="74"/>
        <v>0</v>
      </c>
      <c r="P38" s="16"/>
      <c r="Q38" s="18"/>
      <c r="R38" s="19">
        <f t="shared" si="75"/>
        <v>0</v>
      </c>
      <c r="S38" s="20">
        <f t="shared" si="76"/>
        <v>0</v>
      </c>
      <c r="T38" s="19">
        <f t="shared" si="77"/>
        <v>0</v>
      </c>
      <c r="U38" s="21">
        <f t="shared" si="78"/>
        <v>0</v>
      </c>
      <c r="V38" s="19">
        <f t="shared" si="79"/>
        <v>0</v>
      </c>
      <c r="X38" s="29"/>
    </row>
    <row r="39" spans="1:24">
      <c r="A39" s="26" t="s">
        <v>13</v>
      </c>
      <c r="B39" s="26" t="s">
        <v>53</v>
      </c>
      <c r="C39" s="30">
        <v>23.6</v>
      </c>
      <c r="D39" s="27"/>
      <c r="E39" s="28"/>
      <c r="F39" s="16">
        <f t="shared" si="62"/>
        <v>0</v>
      </c>
      <c r="G39" s="17"/>
      <c r="H39" s="18"/>
      <c r="I39" s="19">
        <f t="shared" si="63"/>
        <v>0</v>
      </c>
      <c r="J39" s="16"/>
      <c r="K39" s="18"/>
      <c r="L39" s="19">
        <f t="shared" si="64"/>
        <v>0</v>
      </c>
      <c r="M39" s="16"/>
      <c r="N39" s="18"/>
      <c r="O39" s="19">
        <f t="shared" si="65"/>
        <v>0</v>
      </c>
      <c r="P39" s="16"/>
      <c r="Q39" s="18"/>
      <c r="R39" s="19">
        <f t="shared" si="66"/>
        <v>0</v>
      </c>
      <c r="S39" s="20">
        <f t="shared" si="67"/>
        <v>0</v>
      </c>
      <c r="T39" s="19">
        <f t="shared" si="68"/>
        <v>0</v>
      </c>
      <c r="U39" s="21">
        <f t="shared" si="69"/>
        <v>0</v>
      </c>
      <c r="V39" s="19">
        <f t="shared" si="70"/>
        <v>0</v>
      </c>
      <c r="X39" s="29"/>
    </row>
    <row r="40" spans="1:24">
      <c r="A40" s="36"/>
      <c r="B40" s="36"/>
      <c r="C40" s="37"/>
      <c r="D40" s="38"/>
      <c r="E40" s="31">
        <f t="shared" ref="E40:F40" si="80">SUM(E28:E39)</f>
        <v>80</v>
      </c>
      <c r="F40" s="38">
        <f t="shared" si="80"/>
        <v>19.045200000000001</v>
      </c>
      <c r="G40" s="17"/>
      <c r="H40" s="31">
        <f t="shared" ref="H40" si="81">SUM(H28:H39)</f>
        <v>81</v>
      </c>
      <c r="I40" s="38">
        <f t="shared" ref="I40" si="82">SUM(I28:I39)</f>
        <v>19.045200000000001</v>
      </c>
      <c r="J40" s="16"/>
      <c r="K40" s="31">
        <f t="shared" ref="K40" si="83">SUM(K28:K39)</f>
        <v>0</v>
      </c>
      <c r="L40" s="38">
        <f t="shared" ref="L40" si="84">SUM(L28:L39)</f>
        <v>0</v>
      </c>
      <c r="M40" s="16"/>
      <c r="N40" s="31">
        <f t="shared" ref="N40" si="85">SUM(N28:N39)</f>
        <v>0</v>
      </c>
      <c r="O40" s="38">
        <f t="shared" ref="O40" si="86">SUM(O28:O39)</f>
        <v>0</v>
      </c>
      <c r="P40" s="16"/>
      <c r="Q40" s="31">
        <f t="shared" ref="Q40" si="87">SUM(Q28:Q39)</f>
        <v>0</v>
      </c>
      <c r="R40" s="38">
        <f t="shared" ref="R40" si="88">SUM(R28:R39)</f>
        <v>0</v>
      </c>
      <c r="S40" s="31">
        <f t="shared" ref="S40" si="89">SUM(S28:S39)</f>
        <v>81</v>
      </c>
      <c r="T40" s="38">
        <f t="shared" ref="T40" si="90">SUM(T28:T39)</f>
        <v>19.045200000000001</v>
      </c>
      <c r="U40" s="31">
        <f t="shared" ref="U40" si="91">SUM(U28:U39)</f>
        <v>-1</v>
      </c>
      <c r="V40" s="38">
        <f t="shared" ref="V40" si="92">SUM(V28:V39)</f>
        <v>-1.3877787807814457E-16</v>
      </c>
      <c r="X40" s="29"/>
    </row>
    <row r="41" spans="1:24">
      <c r="A41" s="26" t="s">
        <v>13</v>
      </c>
      <c r="B41" s="26" t="s">
        <v>55</v>
      </c>
      <c r="C41" s="30">
        <v>16</v>
      </c>
      <c r="D41" s="27">
        <v>6</v>
      </c>
      <c r="E41" s="28">
        <v>2</v>
      </c>
      <c r="F41" s="16">
        <f>(C41*D41*E41/1000)</f>
        <v>0.192</v>
      </c>
      <c r="G41" s="17" t="s">
        <v>295</v>
      </c>
      <c r="H41" s="18"/>
      <c r="I41" s="19">
        <f>(C41*D41*H41/1000)</f>
        <v>0</v>
      </c>
      <c r="J41" s="16"/>
      <c r="K41" s="18"/>
      <c r="L41" s="19">
        <f>(C41*D41*K41/1000)</f>
        <v>0</v>
      </c>
      <c r="M41" s="16"/>
      <c r="N41" s="18"/>
      <c r="O41" s="19">
        <f>(C41*D41*N41/1000)</f>
        <v>0</v>
      </c>
      <c r="P41" s="16"/>
      <c r="Q41" s="18"/>
      <c r="R41" s="19">
        <f>(C41*D41*Q41/1000)</f>
        <v>0</v>
      </c>
      <c r="S41" s="20">
        <f>+H41+K41+Q41</f>
        <v>0</v>
      </c>
      <c r="T41" s="19">
        <f>+I41+L41+R41</f>
        <v>0</v>
      </c>
      <c r="U41" s="21">
        <f>E41-S41</f>
        <v>2</v>
      </c>
      <c r="V41" s="19">
        <f>F41-T41</f>
        <v>0.192</v>
      </c>
      <c r="X41" s="29"/>
    </row>
    <row r="42" spans="1:24">
      <c r="A42" s="26" t="s">
        <v>13</v>
      </c>
      <c r="B42" s="26" t="s">
        <v>55</v>
      </c>
      <c r="C42" s="30">
        <v>16</v>
      </c>
      <c r="D42" s="27">
        <v>6.3</v>
      </c>
      <c r="E42" s="28"/>
      <c r="F42" s="16">
        <f>(C42*D42*E42/1000)</f>
        <v>0</v>
      </c>
      <c r="G42" s="17" t="s">
        <v>324</v>
      </c>
      <c r="H42" s="18">
        <v>2</v>
      </c>
      <c r="I42" s="19">
        <f>(C42*D42*H42/1000)</f>
        <v>0.2016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>+H42+K42+Q42</f>
        <v>2</v>
      </c>
      <c r="T42" s="19">
        <f>+I42+L42+R42</f>
        <v>0.2016</v>
      </c>
      <c r="U42" s="21">
        <f>E42-S42</f>
        <v>-2</v>
      </c>
      <c r="V42" s="19">
        <f>F42-T42</f>
        <v>-0.2016</v>
      </c>
      <c r="X42" s="29"/>
    </row>
    <row r="43" spans="1:24">
      <c r="A43" s="36"/>
      <c r="B43" s="36"/>
      <c r="C43" s="37"/>
      <c r="D43" s="38"/>
      <c r="E43" s="31">
        <f t="shared" ref="E43:F43" si="93">SUM(E41:E42)</f>
        <v>2</v>
      </c>
      <c r="F43" s="38">
        <f t="shared" si="93"/>
        <v>0.192</v>
      </c>
      <c r="G43" s="17"/>
      <c r="H43" s="31">
        <f t="shared" ref="H43" si="94">SUM(H41:H42)</f>
        <v>2</v>
      </c>
      <c r="I43" s="38">
        <f t="shared" ref="I43" si="95">SUM(I41:I42)</f>
        <v>0.2016</v>
      </c>
      <c r="J43" s="16"/>
      <c r="K43" s="31">
        <f t="shared" ref="K43" si="96">SUM(K41:K42)</f>
        <v>0</v>
      </c>
      <c r="L43" s="38">
        <f t="shared" ref="L43" si="97">SUM(L41:L42)</f>
        <v>0</v>
      </c>
      <c r="M43" s="16"/>
      <c r="N43" s="31">
        <f t="shared" ref="N43" si="98">SUM(N41:N42)</f>
        <v>0</v>
      </c>
      <c r="O43" s="38">
        <f t="shared" ref="O43" si="99">SUM(O41:O42)</f>
        <v>0</v>
      </c>
      <c r="P43" s="16"/>
      <c r="Q43" s="31">
        <f t="shared" ref="Q43" si="100">SUM(Q41:Q42)</f>
        <v>0</v>
      </c>
      <c r="R43" s="38">
        <f t="shared" ref="R43" si="101">SUM(R41:R42)</f>
        <v>0</v>
      </c>
      <c r="S43" s="31">
        <f t="shared" ref="S43" si="102">SUM(S41:S42)</f>
        <v>2</v>
      </c>
      <c r="T43" s="38">
        <f t="shared" ref="T43" si="103">SUM(T41:T42)</f>
        <v>0.2016</v>
      </c>
      <c r="U43" s="31">
        <f t="shared" ref="U43" si="104">SUM(U41:U42)</f>
        <v>0</v>
      </c>
      <c r="V43" s="38">
        <f t="shared" ref="V43" si="105">SUM(V41:V42)</f>
        <v>-9.5999999999999974E-3</v>
      </c>
      <c r="X43" s="29"/>
    </row>
    <row r="44" spans="1:24">
      <c r="A44" s="26" t="s">
        <v>13</v>
      </c>
      <c r="B44" s="26" t="s">
        <v>58</v>
      </c>
      <c r="C44" s="30">
        <v>7.34</v>
      </c>
      <c r="D44" s="27">
        <v>10.5</v>
      </c>
      <c r="E44" s="28">
        <v>28</v>
      </c>
      <c r="F44" s="16">
        <f t="shared" ref="F44:F51" si="106">(C44*D44*E44/1000)</f>
        <v>2.1579600000000001</v>
      </c>
      <c r="G44" s="17" t="s">
        <v>93</v>
      </c>
      <c r="H44" s="18">
        <v>13</v>
      </c>
      <c r="I44" s="19">
        <f t="shared" ref="I44:I51" si="107">(C44*D44*H44/1000)</f>
        <v>1.0019099999999999</v>
      </c>
      <c r="J44" s="16"/>
      <c r="K44" s="18"/>
      <c r="L44" s="19">
        <f t="shared" ref="L44:L51" si="108">(C44*D44*K44/1000)</f>
        <v>0</v>
      </c>
      <c r="M44" s="16"/>
      <c r="N44" s="18"/>
      <c r="O44" s="19">
        <f t="shared" ref="O44:O51" si="109">(C44*D44*N44/1000)</f>
        <v>0</v>
      </c>
      <c r="P44" s="16"/>
      <c r="Q44" s="18"/>
      <c r="R44" s="19">
        <f t="shared" ref="R44:R51" si="110">(C44*D44*Q44/1000)</f>
        <v>0</v>
      </c>
      <c r="S44" s="20">
        <f t="shared" ref="S44:S51" si="111">+H44+K44+Q44</f>
        <v>13</v>
      </c>
      <c r="T44" s="19">
        <f t="shared" ref="T44:T51" si="112">+I44+L44+R44</f>
        <v>1.0019099999999999</v>
      </c>
      <c r="U44" s="21">
        <f t="shared" ref="U44:U51" si="113">E44-S44</f>
        <v>15</v>
      </c>
      <c r="V44" s="19">
        <f t="shared" ref="V44:V51" si="114">F44-T44</f>
        <v>1.1560500000000002</v>
      </c>
      <c r="X44" s="29"/>
    </row>
    <row r="45" spans="1:24">
      <c r="A45" s="26" t="s">
        <v>13</v>
      </c>
      <c r="B45" s="26" t="s">
        <v>58</v>
      </c>
      <c r="C45" s="30">
        <v>7.34</v>
      </c>
      <c r="D45" s="27">
        <v>11.3</v>
      </c>
      <c r="E45" s="28">
        <v>30</v>
      </c>
      <c r="F45" s="16">
        <f t="shared" si="106"/>
        <v>2.4882600000000004</v>
      </c>
      <c r="G45" s="17" t="s">
        <v>279</v>
      </c>
      <c r="H45" s="18">
        <v>9</v>
      </c>
      <c r="I45" s="19">
        <f t="shared" si="107"/>
        <v>0.74647800000000009</v>
      </c>
      <c r="J45" s="16"/>
      <c r="K45" s="18"/>
      <c r="L45" s="19">
        <f t="shared" si="108"/>
        <v>0</v>
      </c>
      <c r="M45" s="16"/>
      <c r="N45" s="18"/>
      <c r="O45" s="19">
        <f t="shared" si="109"/>
        <v>0</v>
      </c>
      <c r="P45" s="16"/>
      <c r="Q45" s="18"/>
      <c r="R45" s="19">
        <f t="shared" si="110"/>
        <v>0</v>
      </c>
      <c r="S45" s="20">
        <f t="shared" si="111"/>
        <v>9</v>
      </c>
      <c r="T45" s="19">
        <f t="shared" si="112"/>
        <v>0.74647800000000009</v>
      </c>
      <c r="U45" s="21">
        <f t="shared" si="113"/>
        <v>21</v>
      </c>
      <c r="V45" s="19">
        <f t="shared" si="114"/>
        <v>1.7417820000000002</v>
      </c>
      <c r="X45" s="29"/>
    </row>
    <row r="46" spans="1:24">
      <c r="A46" s="26" t="s">
        <v>13</v>
      </c>
      <c r="B46" s="26" t="s">
        <v>58</v>
      </c>
      <c r="C46" s="30">
        <v>7.34</v>
      </c>
      <c r="D46" s="27">
        <v>11.5</v>
      </c>
      <c r="E46" s="28">
        <v>45</v>
      </c>
      <c r="F46" s="16">
        <f t="shared" si="106"/>
        <v>3.7984499999999999</v>
      </c>
      <c r="G46" s="17"/>
      <c r="H46" s="18">
        <v>54</v>
      </c>
      <c r="I46" s="19">
        <f t="shared" si="107"/>
        <v>4.5581399999999999</v>
      </c>
      <c r="J46" s="16"/>
      <c r="K46" s="18"/>
      <c r="L46" s="19">
        <f t="shared" si="108"/>
        <v>0</v>
      </c>
      <c r="M46" s="16"/>
      <c r="N46" s="18"/>
      <c r="O46" s="19">
        <f t="shared" si="109"/>
        <v>0</v>
      </c>
      <c r="P46" s="16"/>
      <c r="Q46" s="18"/>
      <c r="R46" s="19">
        <f t="shared" si="110"/>
        <v>0</v>
      </c>
      <c r="S46" s="20">
        <f t="shared" si="111"/>
        <v>54</v>
      </c>
      <c r="T46" s="19">
        <f t="shared" si="112"/>
        <v>4.5581399999999999</v>
      </c>
      <c r="U46" s="21">
        <f t="shared" si="113"/>
        <v>-9</v>
      </c>
      <c r="V46" s="19">
        <f t="shared" si="114"/>
        <v>-0.75968999999999998</v>
      </c>
      <c r="X46" s="29"/>
    </row>
    <row r="47" spans="1:24">
      <c r="A47" s="26" t="s">
        <v>13</v>
      </c>
      <c r="B47" s="26" t="s">
        <v>58</v>
      </c>
      <c r="C47" s="30">
        <v>7.34</v>
      </c>
      <c r="D47" s="27">
        <v>12</v>
      </c>
      <c r="E47" s="28">
        <v>7</v>
      </c>
      <c r="F47" s="16">
        <f t="shared" ref="F47:F50" si="115">(C47*D47*E47/1000)</f>
        <v>0.61656</v>
      </c>
      <c r="G47" s="17"/>
      <c r="H47" s="18">
        <v>8</v>
      </c>
      <c r="I47" s="19">
        <f t="shared" ref="I47:I50" si="116">(C47*D47*H47/1000)</f>
        <v>0.70463999999999993</v>
      </c>
      <c r="J47" s="16"/>
      <c r="K47" s="18"/>
      <c r="L47" s="19">
        <f t="shared" ref="L47:L50" si="117">(C47*D47*K47/1000)</f>
        <v>0</v>
      </c>
      <c r="M47" s="16"/>
      <c r="N47" s="18"/>
      <c r="O47" s="19">
        <f t="shared" ref="O47:O50" si="118">(C47*D47*N47/1000)</f>
        <v>0</v>
      </c>
      <c r="P47" s="16"/>
      <c r="Q47" s="18"/>
      <c r="R47" s="19">
        <f t="shared" ref="R47:R50" si="119">(C47*D47*Q47/1000)</f>
        <v>0</v>
      </c>
      <c r="S47" s="20">
        <f t="shared" ref="S47:S50" si="120">+H47+K47+Q47</f>
        <v>8</v>
      </c>
      <c r="T47" s="19">
        <f t="shared" ref="T47:T50" si="121">+I47+L47+R47</f>
        <v>0.70463999999999993</v>
      </c>
      <c r="U47" s="21">
        <f t="shared" ref="U47:U50" si="122">E47-S47</f>
        <v>-1</v>
      </c>
      <c r="V47" s="19">
        <f t="shared" ref="V47:V50" si="123">F47-T47</f>
        <v>-8.8079999999999936E-2</v>
      </c>
      <c r="X47" s="29"/>
    </row>
    <row r="48" spans="1:24">
      <c r="A48" s="26" t="s">
        <v>13</v>
      </c>
      <c r="B48" s="26" t="s">
        <v>58</v>
      </c>
      <c r="C48" s="30">
        <v>7.34</v>
      </c>
      <c r="D48" s="27">
        <v>10</v>
      </c>
      <c r="E48" s="28"/>
      <c r="F48" s="16">
        <f t="shared" si="115"/>
        <v>0</v>
      </c>
      <c r="G48" s="17"/>
      <c r="H48" s="18">
        <v>17</v>
      </c>
      <c r="I48" s="19">
        <f t="shared" si="116"/>
        <v>1.2478000000000002</v>
      </c>
      <c r="J48" s="16"/>
      <c r="K48" s="18"/>
      <c r="L48" s="19">
        <f t="shared" si="117"/>
        <v>0</v>
      </c>
      <c r="M48" s="16"/>
      <c r="N48" s="18"/>
      <c r="O48" s="19">
        <f t="shared" si="118"/>
        <v>0</v>
      </c>
      <c r="P48" s="16"/>
      <c r="Q48" s="18"/>
      <c r="R48" s="19">
        <f t="shared" si="119"/>
        <v>0</v>
      </c>
      <c r="S48" s="20">
        <f t="shared" si="120"/>
        <v>17</v>
      </c>
      <c r="T48" s="19">
        <f t="shared" si="121"/>
        <v>1.2478000000000002</v>
      </c>
      <c r="U48" s="21">
        <f t="shared" si="122"/>
        <v>-17</v>
      </c>
      <c r="V48" s="19">
        <f t="shared" si="123"/>
        <v>-1.2478000000000002</v>
      </c>
      <c r="X48" s="29"/>
    </row>
    <row r="49" spans="1:24">
      <c r="A49" s="26" t="s">
        <v>13</v>
      </c>
      <c r="B49" s="26" t="s">
        <v>58</v>
      </c>
      <c r="C49" s="30">
        <v>7.34</v>
      </c>
      <c r="D49" s="27">
        <v>11</v>
      </c>
      <c r="E49" s="28"/>
      <c r="F49" s="16">
        <f t="shared" si="115"/>
        <v>0</v>
      </c>
      <c r="G49" s="17"/>
      <c r="H49" s="18">
        <v>9</v>
      </c>
      <c r="I49" s="19">
        <f t="shared" si="116"/>
        <v>0.72665999999999997</v>
      </c>
      <c r="J49" s="16"/>
      <c r="K49" s="18"/>
      <c r="L49" s="19">
        <f t="shared" si="117"/>
        <v>0</v>
      </c>
      <c r="M49" s="16"/>
      <c r="N49" s="18"/>
      <c r="O49" s="19">
        <f t="shared" si="118"/>
        <v>0</v>
      </c>
      <c r="P49" s="16"/>
      <c r="Q49" s="18"/>
      <c r="R49" s="19">
        <f t="shared" si="119"/>
        <v>0</v>
      </c>
      <c r="S49" s="20">
        <f t="shared" si="120"/>
        <v>9</v>
      </c>
      <c r="T49" s="19">
        <f t="shared" si="121"/>
        <v>0.72665999999999997</v>
      </c>
      <c r="U49" s="21">
        <f t="shared" si="122"/>
        <v>-9</v>
      </c>
      <c r="V49" s="19">
        <f t="shared" si="123"/>
        <v>-0.72665999999999997</v>
      </c>
      <c r="X49" s="29"/>
    </row>
    <row r="50" spans="1:24">
      <c r="A50" s="26" t="s">
        <v>13</v>
      </c>
      <c r="B50" s="26" t="s">
        <v>58</v>
      </c>
      <c r="C50" s="30">
        <v>7.34</v>
      </c>
      <c r="D50" s="27"/>
      <c r="E50" s="28"/>
      <c r="F50" s="16">
        <f t="shared" si="115"/>
        <v>0</v>
      </c>
      <c r="G50" s="17"/>
      <c r="H50" s="18"/>
      <c r="I50" s="19">
        <f t="shared" si="116"/>
        <v>0</v>
      </c>
      <c r="J50" s="16"/>
      <c r="K50" s="18"/>
      <c r="L50" s="19">
        <f t="shared" si="117"/>
        <v>0</v>
      </c>
      <c r="M50" s="16"/>
      <c r="N50" s="18"/>
      <c r="O50" s="19">
        <f t="shared" si="118"/>
        <v>0</v>
      </c>
      <c r="P50" s="16"/>
      <c r="Q50" s="18"/>
      <c r="R50" s="19">
        <f t="shared" si="119"/>
        <v>0</v>
      </c>
      <c r="S50" s="20">
        <f t="shared" si="120"/>
        <v>0</v>
      </c>
      <c r="T50" s="19">
        <f t="shared" si="121"/>
        <v>0</v>
      </c>
      <c r="U50" s="21">
        <f t="shared" si="122"/>
        <v>0</v>
      </c>
      <c r="V50" s="19">
        <f t="shared" si="123"/>
        <v>0</v>
      </c>
      <c r="X50" s="29"/>
    </row>
    <row r="51" spans="1:24">
      <c r="A51" s="26" t="s">
        <v>13</v>
      </c>
      <c r="B51" s="26" t="s">
        <v>58</v>
      </c>
      <c r="C51" s="30">
        <v>7.34</v>
      </c>
      <c r="D51" s="27"/>
      <c r="E51" s="28"/>
      <c r="F51" s="16">
        <f t="shared" si="106"/>
        <v>0</v>
      </c>
      <c r="G51" s="17"/>
      <c r="H51" s="18"/>
      <c r="I51" s="19">
        <f t="shared" si="107"/>
        <v>0</v>
      </c>
      <c r="J51" s="16"/>
      <c r="K51" s="18"/>
      <c r="L51" s="19">
        <f t="shared" si="108"/>
        <v>0</v>
      </c>
      <c r="M51" s="16"/>
      <c r="N51" s="18"/>
      <c r="O51" s="19">
        <f t="shared" si="109"/>
        <v>0</v>
      </c>
      <c r="P51" s="16"/>
      <c r="Q51" s="18"/>
      <c r="R51" s="19">
        <f t="shared" si="110"/>
        <v>0</v>
      </c>
      <c r="S51" s="20">
        <f t="shared" si="111"/>
        <v>0</v>
      </c>
      <c r="T51" s="19">
        <f t="shared" si="112"/>
        <v>0</v>
      </c>
      <c r="U51" s="21">
        <f t="shared" si="113"/>
        <v>0</v>
      </c>
      <c r="V51" s="19">
        <f t="shared" si="114"/>
        <v>0</v>
      </c>
      <c r="X51" s="29"/>
    </row>
    <row r="52" spans="1:24">
      <c r="A52" s="36"/>
      <c r="B52" s="36"/>
      <c r="C52" s="37"/>
      <c r="D52" s="38"/>
      <c r="E52" s="31">
        <f t="shared" ref="E52:F52" si="124">SUM(E44:E51)</f>
        <v>110</v>
      </c>
      <c r="F52" s="38">
        <f t="shared" si="124"/>
        <v>9.0612300000000001</v>
      </c>
      <c r="G52" s="17"/>
      <c r="H52" s="31">
        <f t="shared" ref="H52" si="125">SUM(H44:H51)</f>
        <v>110</v>
      </c>
      <c r="I52" s="38">
        <f t="shared" ref="I52" si="126">SUM(I44:I51)</f>
        <v>8.9856280000000002</v>
      </c>
      <c r="J52" s="16"/>
      <c r="K52" s="31">
        <f t="shared" ref="K52" si="127">SUM(K44:K51)</f>
        <v>0</v>
      </c>
      <c r="L52" s="38">
        <f t="shared" ref="L52" si="128">SUM(L44:L51)</f>
        <v>0</v>
      </c>
      <c r="M52" s="16"/>
      <c r="N52" s="31">
        <f t="shared" ref="N52" si="129">SUM(N44:N51)</f>
        <v>0</v>
      </c>
      <c r="O52" s="38">
        <f t="shared" ref="O52" si="130">SUM(O44:O51)</f>
        <v>0</v>
      </c>
      <c r="P52" s="16"/>
      <c r="Q52" s="31">
        <f t="shared" ref="Q52" si="131">SUM(Q44:Q51)</f>
        <v>0</v>
      </c>
      <c r="R52" s="38">
        <f t="shared" ref="R52" si="132">SUM(R44:R51)</f>
        <v>0</v>
      </c>
      <c r="S52" s="31">
        <f t="shared" ref="S52" si="133">SUM(S44:S51)</f>
        <v>110</v>
      </c>
      <c r="T52" s="38">
        <f t="shared" ref="T52" si="134">SUM(T44:T51)</f>
        <v>8.9856280000000002</v>
      </c>
      <c r="U52" s="31">
        <f t="shared" ref="U52" si="135">SUM(U44:U51)</f>
        <v>0</v>
      </c>
      <c r="V52" s="38">
        <f t="shared" ref="V52" si="136">SUM(V44:V51)</f>
        <v>7.560200000000028E-2</v>
      </c>
      <c r="X52" s="29"/>
    </row>
    <row r="53" spans="1:24">
      <c r="A53" s="26" t="s">
        <v>13</v>
      </c>
      <c r="B53" s="26" t="s">
        <v>26</v>
      </c>
      <c r="C53" s="30">
        <v>8.3000000000000007</v>
      </c>
      <c r="D53" s="27">
        <v>9.5</v>
      </c>
      <c r="E53" s="28">
        <v>56</v>
      </c>
      <c r="F53" s="16">
        <f t="shared" ref="F53:F65" si="137">(C53*D53*E53/1000)</f>
        <v>4.4156000000000004</v>
      </c>
      <c r="G53" s="17" t="s">
        <v>93</v>
      </c>
      <c r="H53" s="18">
        <v>22</v>
      </c>
      <c r="I53" s="19">
        <f t="shared" ref="I53:I65" si="138">(C53*D53*H53/1000)</f>
        <v>1.7347000000000004</v>
      </c>
      <c r="J53" s="17" t="s">
        <v>111</v>
      </c>
      <c r="K53" s="18">
        <v>22</v>
      </c>
      <c r="L53" s="19">
        <f t="shared" ref="L53:L65" si="139">(C53*D53*K53/1000)</f>
        <v>1.7347000000000004</v>
      </c>
      <c r="M53" s="16"/>
      <c r="N53" s="18"/>
      <c r="O53" s="19">
        <f t="shared" ref="O53:O65" si="140">(C53*D53*N53/1000)</f>
        <v>0</v>
      </c>
      <c r="P53" s="16"/>
      <c r="Q53" s="18"/>
      <c r="R53" s="19">
        <f t="shared" ref="R53:R65" si="141">(C53*D53*Q53/1000)</f>
        <v>0</v>
      </c>
      <c r="S53" s="20">
        <f t="shared" ref="S53:S65" si="142">+H53+K53+Q53</f>
        <v>44</v>
      </c>
      <c r="T53" s="19">
        <f t="shared" ref="T53:T65" si="143">+I53+L53+R53</f>
        <v>3.4694000000000007</v>
      </c>
      <c r="U53" s="21">
        <f t="shared" ref="U53:U65" si="144">E53-S53</f>
        <v>12</v>
      </c>
      <c r="V53" s="19">
        <f t="shared" ref="V53:V65" si="145">F53-T53</f>
        <v>0.94619999999999971</v>
      </c>
      <c r="X53" s="29"/>
    </row>
    <row r="54" spans="1:24">
      <c r="A54" s="26" t="s">
        <v>13</v>
      </c>
      <c r="B54" s="26" t="s">
        <v>26</v>
      </c>
      <c r="C54" s="30">
        <v>8.3000000000000007</v>
      </c>
      <c r="D54" s="27">
        <v>10.5</v>
      </c>
      <c r="E54" s="28">
        <v>38</v>
      </c>
      <c r="F54" s="16">
        <f t="shared" si="137"/>
        <v>3.3117000000000001</v>
      </c>
      <c r="G54" s="17" t="s">
        <v>282</v>
      </c>
      <c r="H54" s="18">
        <v>7</v>
      </c>
      <c r="I54" s="19">
        <f t="shared" si="138"/>
        <v>0.61005000000000009</v>
      </c>
      <c r="J54" s="17" t="s">
        <v>282</v>
      </c>
      <c r="K54" s="18">
        <v>12</v>
      </c>
      <c r="L54" s="19">
        <f t="shared" si="139"/>
        <v>1.0458000000000003</v>
      </c>
      <c r="M54" s="16"/>
      <c r="N54" s="18"/>
      <c r="O54" s="19">
        <f t="shared" si="140"/>
        <v>0</v>
      </c>
      <c r="P54" s="16"/>
      <c r="Q54" s="18"/>
      <c r="R54" s="19">
        <f t="shared" si="141"/>
        <v>0</v>
      </c>
      <c r="S54" s="20">
        <f t="shared" si="142"/>
        <v>19</v>
      </c>
      <c r="T54" s="19">
        <f t="shared" si="143"/>
        <v>1.6558500000000005</v>
      </c>
      <c r="U54" s="21">
        <f t="shared" si="144"/>
        <v>19</v>
      </c>
      <c r="V54" s="19">
        <f t="shared" si="145"/>
        <v>1.6558499999999996</v>
      </c>
      <c r="X54" s="29"/>
    </row>
    <row r="55" spans="1:24">
      <c r="A55" s="26" t="s">
        <v>13</v>
      </c>
      <c r="B55" s="26" t="s">
        <v>26</v>
      </c>
      <c r="C55" s="30">
        <v>8.3000000000000007</v>
      </c>
      <c r="D55" s="27">
        <v>11</v>
      </c>
      <c r="E55" s="28">
        <v>33</v>
      </c>
      <c r="F55" s="16">
        <f t="shared" si="137"/>
        <v>3.0129000000000006</v>
      </c>
      <c r="G55" s="17"/>
      <c r="H55" s="18">
        <v>9</v>
      </c>
      <c r="I55" s="19">
        <f t="shared" si="138"/>
        <v>0.8217000000000001</v>
      </c>
      <c r="J55" s="16"/>
      <c r="K55" s="18">
        <v>24</v>
      </c>
      <c r="L55" s="19">
        <f t="shared" si="139"/>
        <v>2.1912000000000003</v>
      </c>
      <c r="M55" s="16"/>
      <c r="N55" s="18"/>
      <c r="O55" s="19">
        <f t="shared" si="140"/>
        <v>0</v>
      </c>
      <c r="P55" s="16"/>
      <c r="Q55" s="18"/>
      <c r="R55" s="19">
        <f t="shared" si="141"/>
        <v>0</v>
      </c>
      <c r="S55" s="20">
        <f t="shared" si="142"/>
        <v>33</v>
      </c>
      <c r="T55" s="19">
        <f t="shared" si="143"/>
        <v>3.0129000000000001</v>
      </c>
      <c r="U55" s="21">
        <f t="shared" si="144"/>
        <v>0</v>
      </c>
      <c r="V55" s="19">
        <f t="shared" si="145"/>
        <v>0</v>
      </c>
      <c r="X55" s="29"/>
    </row>
    <row r="56" spans="1:24">
      <c r="A56" s="26" t="s">
        <v>13</v>
      </c>
      <c r="B56" s="26" t="s">
        <v>26</v>
      </c>
      <c r="C56" s="30">
        <v>8.3000000000000007</v>
      </c>
      <c r="D56" s="27">
        <v>12</v>
      </c>
      <c r="E56" s="28">
        <v>61</v>
      </c>
      <c r="F56" s="16">
        <f t="shared" ref="F56:F64" si="146">(C56*D56*E56/1000)</f>
        <v>6.0756000000000006</v>
      </c>
      <c r="G56" s="17"/>
      <c r="H56" s="18">
        <v>18</v>
      </c>
      <c r="I56" s="19">
        <f t="shared" ref="I56:I64" si="147">(C56*D56*H56/1000)</f>
        <v>1.7928000000000002</v>
      </c>
      <c r="J56" s="16"/>
      <c r="K56" s="18">
        <v>30</v>
      </c>
      <c r="L56" s="19">
        <f t="shared" ref="L56:L64" si="148">(C56*D56*K56/1000)</f>
        <v>2.9880000000000004</v>
      </c>
      <c r="M56" s="16"/>
      <c r="N56" s="18"/>
      <c r="O56" s="19">
        <f t="shared" ref="O56:O64" si="149">(C56*D56*N56/1000)</f>
        <v>0</v>
      </c>
      <c r="P56" s="16"/>
      <c r="Q56" s="18"/>
      <c r="R56" s="19">
        <f t="shared" ref="R56:R64" si="150">(C56*D56*Q56/1000)</f>
        <v>0</v>
      </c>
      <c r="S56" s="20">
        <f t="shared" ref="S56:S64" si="151">+H56+K56+Q56</f>
        <v>48</v>
      </c>
      <c r="T56" s="19">
        <f t="shared" ref="T56:T64" si="152">+I56+L56+R56</f>
        <v>4.780800000000001</v>
      </c>
      <c r="U56" s="21">
        <f t="shared" ref="U56:U64" si="153">E56-S56</f>
        <v>13</v>
      </c>
      <c r="V56" s="19">
        <f t="shared" ref="V56:V64" si="154">F56-T56</f>
        <v>1.2947999999999995</v>
      </c>
      <c r="X56" s="29"/>
    </row>
    <row r="57" spans="1:24">
      <c r="A57" s="26" t="s">
        <v>13</v>
      </c>
      <c r="B57" s="26" t="s">
        <v>26</v>
      </c>
      <c r="C57" s="30">
        <v>8.3000000000000007</v>
      </c>
      <c r="D57" s="27">
        <v>10</v>
      </c>
      <c r="E57" s="28"/>
      <c r="F57" s="16">
        <f t="shared" si="146"/>
        <v>0</v>
      </c>
      <c r="G57" s="17"/>
      <c r="H57" s="18">
        <v>12</v>
      </c>
      <c r="I57" s="19">
        <f t="shared" si="147"/>
        <v>0.996</v>
      </c>
      <c r="J57" s="16"/>
      <c r="K57" s="18">
        <v>14</v>
      </c>
      <c r="L57" s="19">
        <f t="shared" si="148"/>
        <v>1.1619999999999999</v>
      </c>
      <c r="M57" s="16"/>
      <c r="N57" s="18"/>
      <c r="O57" s="19">
        <f t="shared" si="149"/>
        <v>0</v>
      </c>
      <c r="P57" s="16"/>
      <c r="Q57" s="18"/>
      <c r="R57" s="19">
        <f t="shared" si="150"/>
        <v>0</v>
      </c>
      <c r="S57" s="20">
        <f t="shared" si="151"/>
        <v>26</v>
      </c>
      <c r="T57" s="19">
        <f t="shared" si="152"/>
        <v>2.1579999999999999</v>
      </c>
      <c r="U57" s="21">
        <f t="shared" si="153"/>
        <v>-26</v>
      </c>
      <c r="V57" s="19">
        <f t="shared" si="154"/>
        <v>-2.1579999999999999</v>
      </c>
      <c r="X57" s="29"/>
    </row>
    <row r="58" spans="1:24">
      <c r="A58" s="26" t="s">
        <v>13</v>
      </c>
      <c r="B58" s="26" t="s">
        <v>26</v>
      </c>
      <c r="C58" s="30">
        <v>8.3000000000000007</v>
      </c>
      <c r="D58" s="27">
        <v>11.3</v>
      </c>
      <c r="E58" s="28"/>
      <c r="F58" s="16">
        <f t="shared" si="146"/>
        <v>0</v>
      </c>
      <c r="G58" s="17"/>
      <c r="H58" s="18">
        <v>12</v>
      </c>
      <c r="I58" s="19">
        <f t="shared" si="147"/>
        <v>1.1254800000000003</v>
      </c>
      <c r="J58" s="16"/>
      <c r="K58" s="18">
        <v>5</v>
      </c>
      <c r="L58" s="19">
        <f t="shared" si="148"/>
        <v>0.46895000000000009</v>
      </c>
      <c r="M58" s="16"/>
      <c r="N58" s="18"/>
      <c r="O58" s="19">
        <f t="shared" si="149"/>
        <v>0</v>
      </c>
      <c r="P58" s="16"/>
      <c r="Q58" s="18"/>
      <c r="R58" s="19">
        <f t="shared" si="150"/>
        <v>0</v>
      </c>
      <c r="S58" s="20">
        <f t="shared" si="151"/>
        <v>17</v>
      </c>
      <c r="T58" s="19">
        <f t="shared" si="152"/>
        <v>1.5944300000000005</v>
      </c>
      <c r="U58" s="21">
        <f t="shared" si="153"/>
        <v>-17</v>
      </c>
      <c r="V58" s="19">
        <f t="shared" si="154"/>
        <v>-1.5944300000000005</v>
      </c>
      <c r="X58" s="29"/>
    </row>
    <row r="59" spans="1:24">
      <c r="A59" s="26" t="s">
        <v>13</v>
      </c>
      <c r="B59" s="26" t="s">
        <v>26</v>
      </c>
      <c r="C59" s="30">
        <v>8.3000000000000007</v>
      </c>
      <c r="D59" s="27">
        <v>8.1</v>
      </c>
      <c r="E59" s="28"/>
      <c r="F59" s="16">
        <f t="shared" si="146"/>
        <v>0</v>
      </c>
      <c r="G59" s="17"/>
      <c r="H59" s="18">
        <v>1</v>
      </c>
      <c r="I59" s="19">
        <f t="shared" si="147"/>
        <v>6.7229999999999998E-2</v>
      </c>
      <c r="J59" s="16"/>
      <c r="K59" s="18"/>
      <c r="L59" s="19">
        <f t="shared" si="148"/>
        <v>0</v>
      </c>
      <c r="M59" s="16"/>
      <c r="N59" s="18"/>
      <c r="O59" s="19">
        <f t="shared" si="149"/>
        <v>0</v>
      </c>
      <c r="P59" s="16"/>
      <c r="Q59" s="18"/>
      <c r="R59" s="19">
        <f t="shared" si="150"/>
        <v>0</v>
      </c>
      <c r="S59" s="20">
        <f t="shared" si="151"/>
        <v>1</v>
      </c>
      <c r="T59" s="19">
        <f t="shared" si="152"/>
        <v>6.7229999999999998E-2</v>
      </c>
      <c r="U59" s="21">
        <f t="shared" si="153"/>
        <v>-1</v>
      </c>
      <c r="V59" s="19">
        <f t="shared" si="154"/>
        <v>-6.7229999999999998E-2</v>
      </c>
      <c r="X59" s="29"/>
    </row>
    <row r="60" spans="1:24">
      <c r="A60" s="26" t="s">
        <v>13</v>
      </c>
      <c r="B60" s="26" t="s">
        <v>26</v>
      </c>
      <c r="C60" s="30">
        <v>8.3000000000000007</v>
      </c>
      <c r="D60" s="27">
        <v>11.5</v>
      </c>
      <c r="E60" s="28"/>
      <c r="F60" s="16">
        <f t="shared" si="146"/>
        <v>0</v>
      </c>
      <c r="G60" s="17"/>
      <c r="H60" s="18"/>
      <c r="I60" s="19">
        <f t="shared" si="147"/>
        <v>0</v>
      </c>
      <c r="J60" s="16"/>
      <c r="K60" s="18"/>
      <c r="L60" s="19">
        <f t="shared" si="148"/>
        <v>0</v>
      </c>
      <c r="M60" s="16"/>
      <c r="N60" s="18"/>
      <c r="O60" s="19">
        <f t="shared" si="149"/>
        <v>0</v>
      </c>
      <c r="P60" s="16"/>
      <c r="Q60" s="18"/>
      <c r="R60" s="19">
        <f t="shared" si="150"/>
        <v>0</v>
      </c>
      <c r="S60" s="20">
        <f t="shared" si="151"/>
        <v>0</v>
      </c>
      <c r="T60" s="19">
        <f t="shared" si="152"/>
        <v>0</v>
      </c>
      <c r="U60" s="21">
        <f t="shared" si="153"/>
        <v>0</v>
      </c>
      <c r="V60" s="19">
        <f t="shared" si="154"/>
        <v>0</v>
      </c>
      <c r="X60" s="29"/>
    </row>
    <row r="61" spans="1:24">
      <c r="A61" s="26" t="s">
        <v>13</v>
      </c>
      <c r="B61" s="26" t="s">
        <v>26</v>
      </c>
      <c r="C61" s="30">
        <v>8.3000000000000007</v>
      </c>
      <c r="D61" s="27">
        <v>8.5</v>
      </c>
      <c r="E61" s="28"/>
      <c r="F61" s="16">
        <f t="shared" si="146"/>
        <v>0</v>
      </c>
      <c r="G61" s="17"/>
      <c r="H61" s="18"/>
      <c r="I61" s="19">
        <f t="shared" si="147"/>
        <v>0</v>
      </c>
      <c r="J61" s="16"/>
      <c r="K61" s="18">
        <v>1</v>
      </c>
      <c r="L61" s="19">
        <f t="shared" si="148"/>
        <v>7.0550000000000015E-2</v>
      </c>
      <c r="M61" s="16"/>
      <c r="N61" s="18"/>
      <c r="O61" s="19">
        <f t="shared" si="149"/>
        <v>0</v>
      </c>
      <c r="P61" s="16"/>
      <c r="Q61" s="18"/>
      <c r="R61" s="19">
        <f t="shared" si="150"/>
        <v>0</v>
      </c>
      <c r="S61" s="20">
        <f t="shared" si="151"/>
        <v>1</v>
      </c>
      <c r="T61" s="19">
        <f t="shared" si="152"/>
        <v>7.0550000000000015E-2</v>
      </c>
      <c r="U61" s="21">
        <f t="shared" si="153"/>
        <v>-1</v>
      </c>
      <c r="V61" s="19">
        <f t="shared" si="154"/>
        <v>-7.0550000000000015E-2</v>
      </c>
      <c r="X61" s="29"/>
    </row>
    <row r="62" spans="1:24">
      <c r="A62" s="26" t="s">
        <v>13</v>
      </c>
      <c r="B62" s="26" t="s">
        <v>26</v>
      </c>
      <c r="C62" s="30">
        <v>8.3000000000000007</v>
      </c>
      <c r="D62" s="27"/>
      <c r="E62" s="28"/>
      <c r="F62" s="16">
        <f t="shared" si="146"/>
        <v>0</v>
      </c>
      <c r="G62" s="17"/>
      <c r="H62" s="18"/>
      <c r="I62" s="19">
        <f t="shared" si="147"/>
        <v>0</v>
      </c>
      <c r="J62" s="16"/>
      <c r="K62" s="18"/>
      <c r="L62" s="19">
        <f t="shared" si="148"/>
        <v>0</v>
      </c>
      <c r="M62" s="16"/>
      <c r="N62" s="18"/>
      <c r="O62" s="19">
        <f t="shared" si="149"/>
        <v>0</v>
      </c>
      <c r="P62" s="16"/>
      <c r="Q62" s="18"/>
      <c r="R62" s="19">
        <f t="shared" si="150"/>
        <v>0</v>
      </c>
      <c r="S62" s="20">
        <f t="shared" si="151"/>
        <v>0</v>
      </c>
      <c r="T62" s="19">
        <f t="shared" si="152"/>
        <v>0</v>
      </c>
      <c r="U62" s="21">
        <f t="shared" si="153"/>
        <v>0</v>
      </c>
      <c r="V62" s="19">
        <f t="shared" si="154"/>
        <v>0</v>
      </c>
      <c r="X62" s="29"/>
    </row>
    <row r="63" spans="1:24">
      <c r="A63" s="26" t="s">
        <v>13</v>
      </c>
      <c r="B63" s="26" t="s">
        <v>26</v>
      </c>
      <c r="C63" s="30">
        <v>8.3000000000000007</v>
      </c>
      <c r="D63" s="27"/>
      <c r="E63" s="28"/>
      <c r="F63" s="16">
        <f t="shared" si="146"/>
        <v>0</v>
      </c>
      <c r="G63" s="17"/>
      <c r="H63" s="18"/>
      <c r="I63" s="19">
        <f t="shared" si="147"/>
        <v>0</v>
      </c>
      <c r="J63" s="16"/>
      <c r="K63" s="18"/>
      <c r="L63" s="19">
        <f t="shared" si="148"/>
        <v>0</v>
      </c>
      <c r="M63" s="16"/>
      <c r="N63" s="18"/>
      <c r="O63" s="19">
        <f t="shared" si="149"/>
        <v>0</v>
      </c>
      <c r="P63" s="16"/>
      <c r="Q63" s="18"/>
      <c r="R63" s="19">
        <f t="shared" si="150"/>
        <v>0</v>
      </c>
      <c r="S63" s="20">
        <f t="shared" si="151"/>
        <v>0</v>
      </c>
      <c r="T63" s="19">
        <f t="shared" si="152"/>
        <v>0</v>
      </c>
      <c r="U63" s="21">
        <f t="shared" si="153"/>
        <v>0</v>
      </c>
      <c r="V63" s="19">
        <f t="shared" si="154"/>
        <v>0</v>
      </c>
      <c r="X63" s="29"/>
    </row>
    <row r="64" spans="1:24">
      <c r="A64" s="26" t="s">
        <v>13</v>
      </c>
      <c r="B64" s="26" t="s">
        <v>26</v>
      </c>
      <c r="C64" s="30">
        <v>8.3000000000000007</v>
      </c>
      <c r="D64" s="27"/>
      <c r="E64" s="28"/>
      <c r="F64" s="16">
        <f t="shared" si="146"/>
        <v>0</v>
      </c>
      <c r="G64" s="17"/>
      <c r="H64" s="18"/>
      <c r="I64" s="19">
        <f t="shared" si="147"/>
        <v>0</v>
      </c>
      <c r="J64" s="16"/>
      <c r="K64" s="18"/>
      <c r="L64" s="19">
        <f t="shared" si="148"/>
        <v>0</v>
      </c>
      <c r="M64" s="16"/>
      <c r="N64" s="18"/>
      <c r="O64" s="19">
        <f t="shared" si="149"/>
        <v>0</v>
      </c>
      <c r="P64" s="16"/>
      <c r="Q64" s="18"/>
      <c r="R64" s="19">
        <f t="shared" si="150"/>
        <v>0</v>
      </c>
      <c r="S64" s="20">
        <f t="shared" si="151"/>
        <v>0</v>
      </c>
      <c r="T64" s="19">
        <f t="shared" si="152"/>
        <v>0</v>
      </c>
      <c r="U64" s="21">
        <f t="shared" si="153"/>
        <v>0</v>
      </c>
      <c r="V64" s="19">
        <f t="shared" si="154"/>
        <v>0</v>
      </c>
      <c r="X64" s="29"/>
    </row>
    <row r="65" spans="1:24">
      <c r="A65" s="26" t="s">
        <v>13</v>
      </c>
      <c r="B65" s="26" t="s">
        <v>26</v>
      </c>
      <c r="C65" s="30">
        <v>8.3000000000000007</v>
      </c>
      <c r="D65" s="27"/>
      <c r="E65" s="28"/>
      <c r="F65" s="16">
        <f t="shared" si="137"/>
        <v>0</v>
      </c>
      <c r="G65" s="17"/>
      <c r="H65" s="18"/>
      <c r="I65" s="19">
        <f t="shared" si="138"/>
        <v>0</v>
      </c>
      <c r="J65" s="16"/>
      <c r="K65" s="18"/>
      <c r="L65" s="19">
        <f t="shared" si="139"/>
        <v>0</v>
      </c>
      <c r="M65" s="16"/>
      <c r="N65" s="18"/>
      <c r="O65" s="19">
        <f t="shared" si="140"/>
        <v>0</v>
      </c>
      <c r="P65" s="16"/>
      <c r="Q65" s="18"/>
      <c r="R65" s="19">
        <f t="shared" si="141"/>
        <v>0</v>
      </c>
      <c r="S65" s="20">
        <f t="shared" si="142"/>
        <v>0</v>
      </c>
      <c r="T65" s="19">
        <f t="shared" si="143"/>
        <v>0</v>
      </c>
      <c r="U65" s="21">
        <f t="shared" si="144"/>
        <v>0</v>
      </c>
      <c r="V65" s="19">
        <f t="shared" si="145"/>
        <v>0</v>
      </c>
      <c r="X65" s="29"/>
    </row>
    <row r="66" spans="1:24">
      <c r="A66" s="36"/>
      <c r="B66" s="36"/>
      <c r="C66" s="37"/>
      <c r="D66" s="38"/>
      <c r="E66" s="31">
        <f t="shared" ref="E66:F66" si="155">SUM(E53:E65)</f>
        <v>188</v>
      </c>
      <c r="F66" s="38">
        <f t="shared" si="155"/>
        <v>16.815800000000003</v>
      </c>
      <c r="G66" s="17"/>
      <c r="H66" s="31">
        <f t="shared" ref="H66" si="156">SUM(H53:H65)</f>
        <v>81</v>
      </c>
      <c r="I66" s="38">
        <f t="shared" ref="I66" si="157">SUM(I53:I65)</f>
        <v>7.1479600000000021</v>
      </c>
      <c r="J66" s="16"/>
      <c r="K66" s="31">
        <f t="shared" ref="K66" si="158">SUM(K53:K65)</f>
        <v>108</v>
      </c>
      <c r="L66" s="38">
        <f t="shared" ref="L66" si="159">SUM(L53:L65)</f>
        <v>9.6612000000000009</v>
      </c>
      <c r="M66" s="16"/>
      <c r="N66" s="31">
        <f t="shared" ref="N66" si="160">SUM(N53:N65)</f>
        <v>0</v>
      </c>
      <c r="O66" s="38">
        <f t="shared" ref="O66" si="161">SUM(O53:O65)</f>
        <v>0</v>
      </c>
      <c r="P66" s="16"/>
      <c r="Q66" s="31">
        <f t="shared" ref="Q66" si="162">SUM(Q53:Q65)</f>
        <v>0</v>
      </c>
      <c r="R66" s="38">
        <f t="shared" ref="R66" si="163">SUM(R53:R65)</f>
        <v>0</v>
      </c>
      <c r="S66" s="31">
        <f t="shared" ref="S66" si="164">SUM(S53:S65)</f>
        <v>189</v>
      </c>
      <c r="T66" s="38">
        <f t="shared" ref="T66" si="165">SUM(T53:T65)</f>
        <v>16.809160000000002</v>
      </c>
      <c r="U66" s="31">
        <f t="shared" ref="U66" si="166">SUM(U53:U65)</f>
        <v>-1</v>
      </c>
      <c r="V66" s="38">
        <f t="shared" ref="V66" si="167">SUM(V53:V65)</f>
        <v>6.6399999999984249E-3</v>
      </c>
      <c r="X66" s="29"/>
    </row>
    <row r="67" spans="1:24">
      <c r="A67" s="26" t="s">
        <v>13</v>
      </c>
      <c r="B67" s="26" t="s">
        <v>37</v>
      </c>
      <c r="C67" s="30">
        <v>9.61</v>
      </c>
      <c r="D67" s="27">
        <v>8.5</v>
      </c>
      <c r="E67" s="28">
        <v>23</v>
      </c>
      <c r="F67" s="16">
        <f t="shared" ref="F67:F76" si="168">(C67*D67*E67/1000)</f>
        <v>1.8787550000000002</v>
      </c>
      <c r="G67" s="17" t="s">
        <v>111</v>
      </c>
      <c r="H67" s="18">
        <v>23</v>
      </c>
      <c r="I67" s="19">
        <f t="shared" ref="I67:I76" si="169">(C67*D67*H67/1000)</f>
        <v>1.8787550000000002</v>
      </c>
      <c r="J67" s="17" t="s">
        <v>111</v>
      </c>
      <c r="K67" s="18"/>
      <c r="L67" s="19">
        <f t="shared" ref="L67:L76" si="170">(C67*D67*K67/1000)</f>
        <v>0</v>
      </c>
      <c r="M67" s="16"/>
      <c r="N67" s="18"/>
      <c r="O67" s="19">
        <f t="shared" ref="O67:O76" si="171">(C67*D67*N67/1000)</f>
        <v>0</v>
      </c>
      <c r="P67" s="16"/>
      <c r="Q67" s="18"/>
      <c r="R67" s="19">
        <f t="shared" ref="R67:R76" si="172">(C67*D67*Q67/1000)</f>
        <v>0</v>
      </c>
      <c r="S67" s="20">
        <f t="shared" ref="S67:S76" si="173">+H67+K67+Q67</f>
        <v>23</v>
      </c>
      <c r="T67" s="19">
        <f t="shared" ref="T67:T76" si="174">+I67+L67+R67</f>
        <v>1.8787550000000002</v>
      </c>
      <c r="U67" s="21">
        <f t="shared" ref="U67:U76" si="175">E67-S67</f>
        <v>0</v>
      </c>
      <c r="V67" s="19">
        <f t="shared" ref="V67:V76" si="176">F67-T67</f>
        <v>0</v>
      </c>
      <c r="X67" s="29"/>
    </row>
    <row r="68" spans="1:24">
      <c r="A68" s="26" t="s">
        <v>13</v>
      </c>
      <c r="B68" s="26" t="s">
        <v>37</v>
      </c>
      <c r="C68" s="30">
        <v>9.61</v>
      </c>
      <c r="D68" s="27">
        <v>10.5</v>
      </c>
      <c r="E68" s="28">
        <v>25</v>
      </c>
      <c r="F68" s="16">
        <f t="shared" si="168"/>
        <v>2.5226250000000001</v>
      </c>
      <c r="G68" s="17" t="s">
        <v>282</v>
      </c>
      <c r="H68" s="18">
        <v>12</v>
      </c>
      <c r="I68" s="19">
        <f t="shared" si="169"/>
        <v>1.21086</v>
      </c>
      <c r="J68" s="17" t="s">
        <v>282</v>
      </c>
      <c r="K68" s="18">
        <v>12</v>
      </c>
      <c r="L68" s="19">
        <f t="shared" si="170"/>
        <v>1.21086</v>
      </c>
      <c r="M68" s="16"/>
      <c r="N68" s="18"/>
      <c r="O68" s="19">
        <f t="shared" si="171"/>
        <v>0</v>
      </c>
      <c r="P68" s="16"/>
      <c r="Q68" s="18"/>
      <c r="R68" s="19">
        <f t="shared" si="172"/>
        <v>0</v>
      </c>
      <c r="S68" s="20">
        <f t="shared" si="173"/>
        <v>24</v>
      </c>
      <c r="T68" s="19">
        <f t="shared" si="174"/>
        <v>2.4217200000000001</v>
      </c>
      <c r="U68" s="21">
        <f t="shared" si="175"/>
        <v>1</v>
      </c>
      <c r="V68" s="19">
        <f t="shared" si="176"/>
        <v>0.10090500000000002</v>
      </c>
      <c r="X68" s="29"/>
    </row>
    <row r="69" spans="1:24">
      <c r="A69" s="26" t="s">
        <v>13</v>
      </c>
      <c r="B69" s="26" t="s">
        <v>37</v>
      </c>
      <c r="C69" s="30">
        <v>9.61</v>
      </c>
      <c r="D69" s="27">
        <v>12</v>
      </c>
      <c r="E69" s="28">
        <v>17</v>
      </c>
      <c r="F69" s="16">
        <f t="shared" ref="F69:F75" si="177">(C69*D69*E69/1000)</f>
        <v>1.9604399999999997</v>
      </c>
      <c r="G69" s="17"/>
      <c r="H69" s="18">
        <v>3</v>
      </c>
      <c r="I69" s="19">
        <f t="shared" ref="I69:I75" si="178">(C69*D69*H69/1000)</f>
        <v>0.34595999999999999</v>
      </c>
      <c r="J69" s="16"/>
      <c r="K69" s="18">
        <v>3</v>
      </c>
      <c r="L69" s="19">
        <f t="shared" ref="L69:L75" si="179">(C69*D69*K69/1000)</f>
        <v>0.34595999999999999</v>
      </c>
      <c r="M69" s="16"/>
      <c r="N69" s="18"/>
      <c r="O69" s="19">
        <f t="shared" ref="O69:O75" si="180">(C69*D69*N69/1000)</f>
        <v>0</v>
      </c>
      <c r="P69" s="16"/>
      <c r="Q69" s="18"/>
      <c r="R69" s="19">
        <f t="shared" ref="R69:R75" si="181">(C69*D69*Q69/1000)</f>
        <v>0</v>
      </c>
      <c r="S69" s="20">
        <f t="shared" ref="S69:S75" si="182">+H69+K69+Q69</f>
        <v>6</v>
      </c>
      <c r="T69" s="19">
        <f t="shared" ref="T69:T75" si="183">+I69+L69+R69</f>
        <v>0.69191999999999998</v>
      </c>
      <c r="U69" s="21">
        <f t="shared" ref="U69:U75" si="184">E69-S69</f>
        <v>11</v>
      </c>
      <c r="V69" s="19">
        <f t="shared" ref="V69:V75" si="185">F69-T69</f>
        <v>1.2685199999999996</v>
      </c>
      <c r="X69" s="29"/>
    </row>
    <row r="70" spans="1:24">
      <c r="A70" s="26" t="s">
        <v>13</v>
      </c>
      <c r="B70" s="26" t="s">
        <v>37</v>
      </c>
      <c r="C70" s="30">
        <v>9.61</v>
      </c>
      <c r="D70" s="27">
        <v>10</v>
      </c>
      <c r="E70" s="28"/>
      <c r="F70" s="16">
        <f t="shared" si="177"/>
        <v>0</v>
      </c>
      <c r="G70" s="17"/>
      <c r="H70" s="18">
        <v>13</v>
      </c>
      <c r="I70" s="19">
        <f t="shared" si="178"/>
        <v>1.2492999999999999</v>
      </c>
      <c r="J70" s="16"/>
      <c r="K70" s="18">
        <v>13</v>
      </c>
      <c r="L70" s="19">
        <f t="shared" si="179"/>
        <v>1.2492999999999999</v>
      </c>
      <c r="M70" s="16"/>
      <c r="N70" s="18"/>
      <c r="O70" s="19">
        <f t="shared" si="180"/>
        <v>0</v>
      </c>
      <c r="P70" s="16"/>
      <c r="Q70" s="18"/>
      <c r="R70" s="19">
        <f t="shared" si="181"/>
        <v>0</v>
      </c>
      <c r="S70" s="20">
        <f t="shared" si="182"/>
        <v>26</v>
      </c>
      <c r="T70" s="19">
        <f t="shared" si="183"/>
        <v>2.4985999999999997</v>
      </c>
      <c r="U70" s="21">
        <f t="shared" si="184"/>
        <v>-26</v>
      </c>
      <c r="V70" s="19">
        <f t="shared" si="185"/>
        <v>-2.4985999999999997</v>
      </c>
      <c r="X70" s="29"/>
    </row>
    <row r="71" spans="1:24">
      <c r="A71" s="26" t="s">
        <v>13</v>
      </c>
      <c r="B71" s="26" t="s">
        <v>37</v>
      </c>
      <c r="C71" s="30">
        <v>9.61</v>
      </c>
      <c r="D71" s="27">
        <v>11.5</v>
      </c>
      <c r="E71" s="28"/>
      <c r="F71" s="16">
        <f t="shared" si="177"/>
        <v>0</v>
      </c>
      <c r="G71" s="17"/>
      <c r="H71" s="18">
        <v>14</v>
      </c>
      <c r="I71" s="19">
        <f t="shared" si="178"/>
        <v>1.5472099999999998</v>
      </c>
      <c r="J71" s="16"/>
      <c r="K71" s="18">
        <v>14</v>
      </c>
      <c r="L71" s="19">
        <f t="shared" si="179"/>
        <v>1.5472099999999998</v>
      </c>
      <c r="M71" s="16"/>
      <c r="N71" s="18"/>
      <c r="O71" s="19">
        <f t="shared" si="180"/>
        <v>0</v>
      </c>
      <c r="P71" s="16"/>
      <c r="Q71" s="18"/>
      <c r="R71" s="19">
        <f t="shared" si="181"/>
        <v>0</v>
      </c>
      <c r="S71" s="20">
        <f t="shared" si="182"/>
        <v>28</v>
      </c>
      <c r="T71" s="19">
        <f t="shared" si="183"/>
        <v>3.0944199999999995</v>
      </c>
      <c r="U71" s="21">
        <f t="shared" si="184"/>
        <v>-28</v>
      </c>
      <c r="V71" s="19">
        <f t="shared" si="185"/>
        <v>-3.0944199999999995</v>
      </c>
      <c r="X71" s="29"/>
    </row>
    <row r="72" spans="1:24">
      <c r="A72" s="26" t="s">
        <v>13</v>
      </c>
      <c r="B72" s="26" t="s">
        <v>37</v>
      </c>
      <c r="C72" s="30">
        <v>9.61</v>
      </c>
      <c r="D72" s="27">
        <v>9.5</v>
      </c>
      <c r="E72" s="28"/>
      <c r="F72" s="16">
        <f t="shared" si="177"/>
        <v>0</v>
      </c>
      <c r="G72" s="17"/>
      <c r="H72" s="18"/>
      <c r="I72" s="19">
        <f t="shared" si="178"/>
        <v>0</v>
      </c>
      <c r="J72" s="16"/>
      <c r="K72" s="18">
        <v>23</v>
      </c>
      <c r="L72" s="19">
        <f t="shared" si="179"/>
        <v>2.0997849999999998</v>
      </c>
      <c r="M72" s="16"/>
      <c r="N72" s="18"/>
      <c r="O72" s="19">
        <f t="shared" si="180"/>
        <v>0</v>
      </c>
      <c r="P72" s="16"/>
      <c r="Q72" s="18"/>
      <c r="R72" s="19">
        <f t="shared" si="181"/>
        <v>0</v>
      </c>
      <c r="S72" s="20">
        <f t="shared" si="182"/>
        <v>23</v>
      </c>
      <c r="T72" s="19">
        <f t="shared" si="183"/>
        <v>2.0997849999999998</v>
      </c>
      <c r="U72" s="21">
        <f t="shared" si="184"/>
        <v>-23</v>
      </c>
      <c r="V72" s="19">
        <f t="shared" si="185"/>
        <v>-2.0997849999999998</v>
      </c>
      <c r="X72" s="29"/>
    </row>
    <row r="73" spans="1:24">
      <c r="A73" s="26" t="s">
        <v>13</v>
      </c>
      <c r="B73" s="26" t="s">
        <v>37</v>
      </c>
      <c r="C73" s="30">
        <v>9.61</v>
      </c>
      <c r="D73" s="27"/>
      <c r="E73" s="28"/>
      <c r="F73" s="16">
        <f t="shared" si="177"/>
        <v>0</v>
      </c>
      <c r="G73" s="17"/>
      <c r="H73" s="18"/>
      <c r="I73" s="19">
        <f t="shared" si="178"/>
        <v>0</v>
      </c>
      <c r="J73" s="16"/>
      <c r="K73" s="18"/>
      <c r="L73" s="19">
        <f t="shared" si="179"/>
        <v>0</v>
      </c>
      <c r="M73" s="16"/>
      <c r="N73" s="18"/>
      <c r="O73" s="19">
        <f t="shared" si="180"/>
        <v>0</v>
      </c>
      <c r="P73" s="16"/>
      <c r="Q73" s="18"/>
      <c r="R73" s="19">
        <f t="shared" si="181"/>
        <v>0</v>
      </c>
      <c r="S73" s="20">
        <f t="shared" si="182"/>
        <v>0</v>
      </c>
      <c r="T73" s="19">
        <f t="shared" si="183"/>
        <v>0</v>
      </c>
      <c r="U73" s="21">
        <f t="shared" si="184"/>
        <v>0</v>
      </c>
      <c r="V73" s="19">
        <f t="shared" si="185"/>
        <v>0</v>
      </c>
      <c r="X73" s="29"/>
    </row>
    <row r="74" spans="1:24">
      <c r="A74" s="26" t="s">
        <v>13</v>
      </c>
      <c r="B74" s="26" t="s">
        <v>37</v>
      </c>
      <c r="C74" s="30">
        <v>9.61</v>
      </c>
      <c r="D74" s="27"/>
      <c r="E74" s="28"/>
      <c r="F74" s="16">
        <f t="shared" si="177"/>
        <v>0</v>
      </c>
      <c r="G74" s="17"/>
      <c r="H74" s="18"/>
      <c r="I74" s="19">
        <f t="shared" si="178"/>
        <v>0</v>
      </c>
      <c r="J74" s="16"/>
      <c r="K74" s="18"/>
      <c r="L74" s="19">
        <f t="shared" si="179"/>
        <v>0</v>
      </c>
      <c r="M74" s="16"/>
      <c r="N74" s="18"/>
      <c r="O74" s="19">
        <f t="shared" si="180"/>
        <v>0</v>
      </c>
      <c r="P74" s="16"/>
      <c r="Q74" s="18"/>
      <c r="R74" s="19">
        <f t="shared" si="181"/>
        <v>0</v>
      </c>
      <c r="S74" s="20">
        <f t="shared" si="182"/>
        <v>0</v>
      </c>
      <c r="T74" s="19">
        <f t="shared" si="183"/>
        <v>0</v>
      </c>
      <c r="U74" s="21">
        <f t="shared" si="184"/>
        <v>0</v>
      </c>
      <c r="V74" s="19">
        <f t="shared" si="185"/>
        <v>0</v>
      </c>
      <c r="X74" s="29"/>
    </row>
    <row r="75" spans="1:24">
      <c r="A75" s="26" t="s">
        <v>13</v>
      </c>
      <c r="B75" s="26" t="s">
        <v>37</v>
      </c>
      <c r="C75" s="30">
        <v>9.61</v>
      </c>
      <c r="D75" s="27"/>
      <c r="E75" s="28"/>
      <c r="F75" s="16">
        <f t="shared" si="177"/>
        <v>0</v>
      </c>
      <c r="G75" s="17"/>
      <c r="H75" s="18"/>
      <c r="I75" s="19">
        <f t="shared" si="178"/>
        <v>0</v>
      </c>
      <c r="J75" s="16"/>
      <c r="K75" s="18"/>
      <c r="L75" s="19">
        <f t="shared" si="179"/>
        <v>0</v>
      </c>
      <c r="M75" s="16"/>
      <c r="N75" s="18"/>
      <c r="O75" s="19">
        <f t="shared" si="180"/>
        <v>0</v>
      </c>
      <c r="P75" s="16"/>
      <c r="Q75" s="18"/>
      <c r="R75" s="19">
        <f t="shared" si="181"/>
        <v>0</v>
      </c>
      <c r="S75" s="20">
        <f t="shared" si="182"/>
        <v>0</v>
      </c>
      <c r="T75" s="19">
        <f t="shared" si="183"/>
        <v>0</v>
      </c>
      <c r="U75" s="21">
        <f t="shared" si="184"/>
        <v>0</v>
      </c>
      <c r="V75" s="19">
        <f t="shared" si="185"/>
        <v>0</v>
      </c>
      <c r="X75" s="29"/>
    </row>
    <row r="76" spans="1:24">
      <c r="A76" s="26" t="s">
        <v>13</v>
      </c>
      <c r="B76" s="26" t="s">
        <v>37</v>
      </c>
      <c r="C76" s="30">
        <v>9.61</v>
      </c>
      <c r="D76" s="27"/>
      <c r="E76" s="28"/>
      <c r="F76" s="16">
        <f t="shared" si="168"/>
        <v>0</v>
      </c>
      <c r="G76" s="17"/>
      <c r="H76" s="18"/>
      <c r="I76" s="19">
        <f t="shared" si="169"/>
        <v>0</v>
      </c>
      <c r="J76" s="16"/>
      <c r="K76" s="18"/>
      <c r="L76" s="19">
        <f t="shared" si="170"/>
        <v>0</v>
      </c>
      <c r="M76" s="16"/>
      <c r="N76" s="18"/>
      <c r="O76" s="19">
        <f t="shared" si="171"/>
        <v>0</v>
      </c>
      <c r="P76" s="16"/>
      <c r="Q76" s="18"/>
      <c r="R76" s="19">
        <f t="shared" si="172"/>
        <v>0</v>
      </c>
      <c r="S76" s="20">
        <f t="shared" si="173"/>
        <v>0</v>
      </c>
      <c r="T76" s="19">
        <f t="shared" si="174"/>
        <v>0</v>
      </c>
      <c r="U76" s="21">
        <f t="shared" si="175"/>
        <v>0</v>
      </c>
      <c r="V76" s="19">
        <f t="shared" si="176"/>
        <v>0</v>
      </c>
      <c r="X76" s="29"/>
    </row>
    <row r="77" spans="1:24">
      <c r="A77" s="36"/>
      <c r="B77" s="36"/>
      <c r="C77" s="37"/>
      <c r="D77" s="38"/>
      <c r="E77" s="31">
        <f t="shared" ref="E77:F77" si="186">SUM(E67:E76)</f>
        <v>65</v>
      </c>
      <c r="F77" s="38">
        <f t="shared" si="186"/>
        <v>6.3618199999999998</v>
      </c>
      <c r="G77" s="17"/>
      <c r="H77" s="31">
        <f t="shared" ref="H77" si="187">SUM(H67:H76)</f>
        <v>65</v>
      </c>
      <c r="I77" s="38">
        <f t="shared" ref="I77" si="188">SUM(I67:I76)</f>
        <v>6.2320849999999997</v>
      </c>
      <c r="J77" s="16"/>
      <c r="K77" s="31">
        <f t="shared" ref="K77" si="189">SUM(K67:K76)</f>
        <v>65</v>
      </c>
      <c r="L77" s="38">
        <f t="shared" ref="L77" si="190">SUM(L67:L76)</f>
        <v>6.4531149999999995</v>
      </c>
      <c r="M77" s="16"/>
      <c r="N77" s="31">
        <f t="shared" ref="N77" si="191">SUM(N67:N76)</f>
        <v>0</v>
      </c>
      <c r="O77" s="38">
        <f t="shared" ref="O77" si="192">SUM(O67:O76)</f>
        <v>0</v>
      </c>
      <c r="P77" s="16"/>
      <c r="Q77" s="31">
        <f t="shared" ref="Q77" si="193">SUM(Q67:Q76)</f>
        <v>0</v>
      </c>
      <c r="R77" s="38">
        <f t="shared" ref="R77" si="194">SUM(R67:R76)</f>
        <v>0</v>
      </c>
      <c r="S77" s="31">
        <f t="shared" ref="S77" si="195">SUM(S67:S76)</f>
        <v>130</v>
      </c>
      <c r="T77" s="38">
        <f t="shared" ref="T77" si="196">SUM(T67:T76)</f>
        <v>12.685199999999998</v>
      </c>
      <c r="U77" s="31">
        <f t="shared" ref="U77" si="197">SUM(U67:U76)</f>
        <v>-65</v>
      </c>
      <c r="V77" s="38">
        <f t="shared" ref="V77" si="198">SUM(V67:V76)</f>
        <v>-6.3233799999999993</v>
      </c>
      <c r="X77" s="29"/>
    </row>
    <row r="78" spans="1:24">
      <c r="A78" s="26" t="s">
        <v>14</v>
      </c>
      <c r="B78" s="26" t="s">
        <v>51</v>
      </c>
      <c r="C78" s="30">
        <v>19.8</v>
      </c>
      <c r="D78" s="27">
        <v>6.4</v>
      </c>
      <c r="E78" s="28">
        <v>25</v>
      </c>
      <c r="F78" s="16">
        <f>(C78*D78*E78/1000)</f>
        <v>3.1680000000000006</v>
      </c>
      <c r="G78" s="17" t="s">
        <v>88</v>
      </c>
      <c r="H78" s="18">
        <v>25</v>
      </c>
      <c r="I78" s="19">
        <f>(C78*D78*H78/1000)</f>
        <v>3.1680000000000006</v>
      </c>
      <c r="J78" s="16"/>
      <c r="K78" s="18"/>
      <c r="L78" s="19">
        <f>(C78*D78*K78/1000)</f>
        <v>0</v>
      </c>
      <c r="M78" s="16"/>
      <c r="N78" s="18"/>
      <c r="O78" s="19">
        <f>(C78*D78*N78/1000)</f>
        <v>0</v>
      </c>
      <c r="P78" s="16"/>
      <c r="Q78" s="18"/>
      <c r="R78" s="19">
        <f>(C78*D78*Q78/1000)</f>
        <v>0</v>
      </c>
      <c r="S78" s="20">
        <f>+H78+K78+Q78</f>
        <v>25</v>
      </c>
      <c r="T78" s="19">
        <f>+I78+L78+R78</f>
        <v>3.1680000000000006</v>
      </c>
      <c r="U78" s="21">
        <f>E78-S78</f>
        <v>0</v>
      </c>
      <c r="V78" s="19">
        <f>F78-T78</f>
        <v>0</v>
      </c>
      <c r="X78" s="29"/>
    </row>
    <row r="79" spans="1:24">
      <c r="A79" s="36"/>
      <c r="B79" s="36"/>
      <c r="C79" s="37"/>
      <c r="D79" s="38"/>
      <c r="E79" s="31">
        <f t="shared" ref="E79:F79" si="199">SUM(E78)</f>
        <v>25</v>
      </c>
      <c r="F79" s="38">
        <f t="shared" si="199"/>
        <v>3.1680000000000006</v>
      </c>
      <c r="G79" s="17" t="s">
        <v>281</v>
      </c>
      <c r="H79" s="31">
        <f t="shared" ref="H79" si="200">SUM(H78)</f>
        <v>25</v>
      </c>
      <c r="I79" s="38">
        <f t="shared" ref="I79" si="201">SUM(I78)</f>
        <v>3.1680000000000006</v>
      </c>
      <c r="J79" s="16"/>
      <c r="K79" s="31">
        <f t="shared" ref="K79" si="202">SUM(K78)</f>
        <v>0</v>
      </c>
      <c r="L79" s="38">
        <f t="shared" ref="L79" si="203">SUM(L78)</f>
        <v>0</v>
      </c>
      <c r="M79" s="16"/>
      <c r="N79" s="31">
        <f t="shared" ref="N79" si="204">SUM(N78)</f>
        <v>0</v>
      </c>
      <c r="O79" s="38">
        <f t="shared" ref="O79" si="205">SUM(O78)</f>
        <v>0</v>
      </c>
      <c r="P79" s="16"/>
      <c r="Q79" s="31">
        <f t="shared" ref="Q79" si="206">SUM(Q78)</f>
        <v>0</v>
      </c>
      <c r="R79" s="38">
        <f t="shared" ref="R79" si="207">SUM(R78)</f>
        <v>0</v>
      </c>
      <c r="S79" s="31">
        <f t="shared" ref="S79" si="208">SUM(S78)</f>
        <v>25</v>
      </c>
      <c r="T79" s="38">
        <f t="shared" ref="T79" si="209">SUM(T78)</f>
        <v>3.1680000000000006</v>
      </c>
      <c r="U79" s="31">
        <f t="shared" ref="U79" si="210">SUM(U78)</f>
        <v>0</v>
      </c>
      <c r="V79" s="38">
        <f t="shared" ref="V79" si="211">SUM(V78)</f>
        <v>0</v>
      </c>
      <c r="X79" s="29"/>
    </row>
    <row r="80" spans="1:24">
      <c r="A80" s="26" t="s">
        <v>14</v>
      </c>
      <c r="B80" s="26" t="s">
        <v>26</v>
      </c>
      <c r="C80" s="30">
        <v>8.3000000000000007</v>
      </c>
      <c r="D80" s="27">
        <v>12</v>
      </c>
      <c r="E80" s="28">
        <v>4</v>
      </c>
      <c r="F80" s="16">
        <f>(C80*D80*E80/1000)</f>
        <v>0.39840000000000003</v>
      </c>
      <c r="G80" s="17"/>
      <c r="H80" s="18"/>
      <c r="I80" s="19">
        <f>(C80*D80*H80/1000)</f>
        <v>0</v>
      </c>
      <c r="J80" s="16"/>
      <c r="K80" s="18"/>
      <c r="L80" s="19">
        <f>(C80*D80*K80/1000)</f>
        <v>0</v>
      </c>
      <c r="M80" s="16"/>
      <c r="N80" s="18"/>
      <c r="O80" s="19">
        <f>(C80*D80*N80/1000)</f>
        <v>0</v>
      </c>
      <c r="P80" s="16"/>
      <c r="Q80" s="18"/>
      <c r="R80" s="19">
        <f>(C80*D80*Q80/1000)</f>
        <v>0</v>
      </c>
      <c r="S80" s="20">
        <f>+H80+K80+Q80</f>
        <v>0</v>
      </c>
      <c r="T80" s="19">
        <f>+I80+L80+R80</f>
        <v>0</v>
      </c>
      <c r="U80" s="21">
        <f>E80-S80</f>
        <v>4</v>
      </c>
      <c r="V80" s="19">
        <f>F80-T80</f>
        <v>0.39840000000000003</v>
      </c>
      <c r="X80" s="29"/>
    </row>
    <row r="81" spans="1:24">
      <c r="A81" s="36"/>
      <c r="B81" s="36"/>
      <c r="C81" s="37"/>
      <c r="D81" s="38"/>
      <c r="E81" s="31">
        <f t="shared" ref="E81:F81" si="212">SUM(E80)</f>
        <v>4</v>
      </c>
      <c r="F81" s="38">
        <f t="shared" si="212"/>
        <v>0.39840000000000003</v>
      </c>
      <c r="G81" s="17"/>
      <c r="H81" s="31">
        <f t="shared" ref="H81" si="213">SUM(H80)</f>
        <v>0</v>
      </c>
      <c r="I81" s="38">
        <f t="shared" ref="I81" si="214">SUM(I80)</f>
        <v>0</v>
      </c>
      <c r="J81" s="16"/>
      <c r="K81" s="31">
        <f t="shared" ref="K81" si="215">SUM(K80)</f>
        <v>0</v>
      </c>
      <c r="L81" s="38">
        <f t="shared" ref="L81" si="216">SUM(L80)</f>
        <v>0</v>
      </c>
      <c r="M81" s="16"/>
      <c r="N81" s="31">
        <f t="shared" ref="N81" si="217">SUM(N80)</f>
        <v>0</v>
      </c>
      <c r="O81" s="38">
        <f t="shared" ref="O81" si="218">SUM(O80)</f>
        <v>0</v>
      </c>
      <c r="P81" s="16"/>
      <c r="Q81" s="31">
        <f t="shared" ref="Q81" si="219">SUM(Q80)</f>
        <v>0</v>
      </c>
      <c r="R81" s="38">
        <f t="shared" ref="R81" si="220">SUM(R80)</f>
        <v>0</v>
      </c>
      <c r="S81" s="31">
        <f t="shared" ref="S81" si="221">SUM(S80)</f>
        <v>0</v>
      </c>
      <c r="T81" s="38">
        <f t="shared" ref="T81" si="222">SUM(T80)</f>
        <v>0</v>
      </c>
      <c r="U81" s="31">
        <f t="shared" ref="U81" si="223">SUM(U80)</f>
        <v>4</v>
      </c>
      <c r="V81" s="38">
        <f t="shared" ref="V81" si="224">SUM(V80)</f>
        <v>0.39840000000000003</v>
      </c>
      <c r="X81" s="29"/>
    </row>
    <row r="82" spans="1:24">
      <c r="A82" s="33"/>
      <c r="B82" s="33"/>
      <c r="C82" s="34"/>
      <c r="D82" s="34"/>
      <c r="E82" s="34">
        <f t="shared" ref="E82:F82" si="225">SUM(E81,E79,E77,E66,E52,E43,E40,E27,E23)</f>
        <v>686</v>
      </c>
      <c r="F82" s="35">
        <f t="shared" si="225"/>
        <v>99.56447</v>
      </c>
      <c r="G82" s="26"/>
      <c r="H82" s="34">
        <f t="shared" ref="H82" si="226">SUM(H81,H79,H77,H66,H52,H43,H40,H27,H23)</f>
        <v>552</v>
      </c>
      <c r="I82" s="35">
        <f t="shared" ref="I82" si="227">SUM(I81,I79,I77,I66,I52,I43,I40,I27,I23)</f>
        <v>84.273513000000008</v>
      </c>
      <c r="J82" s="26"/>
      <c r="K82" s="34">
        <f t="shared" ref="K82" si="228">SUM(K81,K79,K77,K66,K52,K43,K40,K27,K23)</f>
        <v>184</v>
      </c>
      <c r="L82" s="35">
        <f t="shared" ref="L82" si="229">SUM(L81,L79,L77,L66,L52,L43,L40,L27,L23)</f>
        <v>18.067585000000001</v>
      </c>
      <c r="M82" s="26"/>
      <c r="N82" s="34">
        <f t="shared" ref="N82" si="230">SUM(N81,N79,N77,N66,N52,N43,N40,N27,N23)</f>
        <v>12</v>
      </c>
      <c r="O82" s="35">
        <f t="shared" ref="O82" si="231">SUM(O81,O79,O77,O66,O52,O43,O40,O27,O23)</f>
        <v>2.32056</v>
      </c>
      <c r="P82" s="26"/>
      <c r="Q82" s="34">
        <f t="shared" ref="Q82" si="232">SUM(Q81,Q79,Q77,Q66,Q52,Q43,Q40,Q27,Q23)</f>
        <v>0</v>
      </c>
      <c r="R82" s="35">
        <f t="shared" ref="R82" si="233">SUM(R81,R79,R77,R66,R52,R43,R40,R27,R23)</f>
        <v>0</v>
      </c>
      <c r="S82" s="34">
        <f t="shared" ref="S82" si="234">SUM(S81,S79,S77,S66,S52,S43,S40,S27,S23)</f>
        <v>736</v>
      </c>
      <c r="T82" s="35">
        <f t="shared" ref="T82" si="235">SUM(T81,T79,T77,T66,T52,T43,T40,T27,T23)</f>
        <v>102.34109799999999</v>
      </c>
      <c r="U82" s="34">
        <f t="shared" ref="U82" si="236">SUM(U81,U79,U77,U66,U52,U43,U40,U27,U23)</f>
        <v>-50</v>
      </c>
      <c r="V82" s="35">
        <f t="shared" ref="V82" si="237">SUM(V81,V79,V77,V66,V52,V43,V40,V27,V23)</f>
        <v>-2.7766280000000005</v>
      </c>
    </row>
    <row r="97" spans="18:18">
      <c r="R97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7"/>
  <dimension ref="A1:X52"/>
  <sheetViews>
    <sheetView zoomScale="75" zoomScaleNormal="75" workbookViewId="0">
      <pane ySplit="5" topLeftCell="A9" activePane="bottomLeft" state="frozen"/>
      <selection activeCell="K31" sqref="K31"/>
      <selection pane="bottomLeft" activeCell="P20" sqref="P20:P2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259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LOI-436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261</v>
      </c>
      <c r="B2" s="8"/>
      <c r="C2" s="9"/>
      <c r="D2" s="9"/>
      <c r="E2" s="10"/>
      <c r="F2" s="146" t="s">
        <v>258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LOI-436  03.07.23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34</v>
      </c>
      <c r="C6" s="30">
        <v>5.76</v>
      </c>
      <c r="D6" s="27">
        <v>7.2</v>
      </c>
      <c r="E6" s="28">
        <v>52</v>
      </c>
      <c r="F6" s="16">
        <f t="shared" ref="F6:F18" si="0">(C6*D6*E6/1000)</f>
        <v>2.1565439999999998</v>
      </c>
      <c r="G6" s="17" t="s">
        <v>93</v>
      </c>
      <c r="H6" s="18">
        <v>24</v>
      </c>
      <c r="I6" s="19">
        <f t="shared" ref="I6:I18" si="1">(C6*D6*H6/1000)</f>
        <v>0.99532799999999999</v>
      </c>
      <c r="J6" s="17" t="s">
        <v>93</v>
      </c>
      <c r="K6" s="18">
        <v>22</v>
      </c>
      <c r="L6" s="19">
        <f t="shared" ref="L6:L18" si="2">(C6*D6*K6/1000)</f>
        <v>0.91238399999999997</v>
      </c>
      <c r="M6" s="16" t="s">
        <v>93</v>
      </c>
      <c r="N6" s="18"/>
      <c r="O6" s="19">
        <f t="shared" ref="O6:O18" si="3">(C6*D6*N6/1000)</f>
        <v>0</v>
      </c>
      <c r="P6" s="16" t="s">
        <v>89</v>
      </c>
      <c r="Q6" s="18"/>
      <c r="R6" s="19">
        <f>(C6*D6*Q6/1000)</f>
        <v>0</v>
      </c>
      <c r="S6" s="20">
        <f>+H6+K6+Q6+N6</f>
        <v>46</v>
      </c>
      <c r="T6" s="19">
        <f>+I6+L6+R6+O6</f>
        <v>1.9077120000000001</v>
      </c>
      <c r="U6" s="21">
        <f t="shared" ref="U6:U18" si="4">E6-S6</f>
        <v>6</v>
      </c>
      <c r="V6" s="19">
        <f t="shared" ref="V6:V18" si="5">F6-T6</f>
        <v>0.24883199999999972</v>
      </c>
      <c r="X6" s="29"/>
    </row>
    <row r="7" spans="1:24">
      <c r="A7" s="26" t="s">
        <v>13</v>
      </c>
      <c r="B7" s="26" t="s">
        <v>34</v>
      </c>
      <c r="C7" s="30">
        <v>5.76</v>
      </c>
      <c r="D7" s="27">
        <v>9.5</v>
      </c>
      <c r="E7" s="28">
        <v>80</v>
      </c>
      <c r="F7" s="16">
        <f t="shared" si="0"/>
        <v>4.3776000000000002</v>
      </c>
      <c r="G7" s="17" t="s">
        <v>257</v>
      </c>
      <c r="H7" s="18">
        <v>45</v>
      </c>
      <c r="I7" s="19">
        <f t="shared" si="1"/>
        <v>2.4624000000000001</v>
      </c>
      <c r="J7" s="17" t="s">
        <v>278</v>
      </c>
      <c r="K7" s="18">
        <v>28</v>
      </c>
      <c r="L7" s="19">
        <f t="shared" si="2"/>
        <v>1.5321599999999997</v>
      </c>
      <c r="M7" s="16" t="s">
        <v>281</v>
      </c>
      <c r="N7" s="18"/>
      <c r="O7" s="19">
        <f t="shared" si="3"/>
        <v>0</v>
      </c>
      <c r="P7" s="16" t="s">
        <v>287</v>
      </c>
      <c r="Q7" s="18">
        <v>6</v>
      </c>
      <c r="R7" s="19">
        <f t="shared" ref="R7:R18" si="6">(C7*D7*Q7/1000)</f>
        <v>0.32832</v>
      </c>
      <c r="S7" s="20">
        <f t="shared" ref="S7:S18" si="7">+H7+K7+Q7+N7</f>
        <v>79</v>
      </c>
      <c r="T7" s="19">
        <f t="shared" ref="T7:T18" si="8">+I7+L7+R7+O7</f>
        <v>4.3228799999999996</v>
      </c>
      <c r="U7" s="21">
        <f t="shared" si="4"/>
        <v>1</v>
      </c>
      <c r="V7" s="19">
        <f t="shared" si="5"/>
        <v>5.4720000000000546E-2</v>
      </c>
      <c r="X7" s="29"/>
    </row>
    <row r="8" spans="1:24">
      <c r="A8" s="26" t="s">
        <v>13</v>
      </c>
      <c r="B8" s="26" t="s">
        <v>34</v>
      </c>
      <c r="C8" s="30">
        <v>5.76</v>
      </c>
      <c r="D8" s="27">
        <v>10</v>
      </c>
      <c r="E8" s="28">
        <v>145</v>
      </c>
      <c r="F8" s="16">
        <f t="shared" si="0"/>
        <v>8.3520000000000003</v>
      </c>
      <c r="G8" s="17"/>
      <c r="H8" s="18"/>
      <c r="I8" s="19">
        <f t="shared" si="1"/>
        <v>0</v>
      </c>
      <c r="J8" s="16"/>
      <c r="K8" s="18">
        <v>88</v>
      </c>
      <c r="L8" s="19">
        <f t="shared" si="2"/>
        <v>5.0687999999999995</v>
      </c>
      <c r="M8" s="16"/>
      <c r="N8" s="18">
        <v>59</v>
      </c>
      <c r="O8" s="19">
        <f t="shared" si="3"/>
        <v>3.3983999999999996</v>
      </c>
      <c r="P8" s="16"/>
      <c r="Q8" s="18">
        <v>15</v>
      </c>
      <c r="R8" s="19">
        <f t="shared" si="6"/>
        <v>0.86399999999999988</v>
      </c>
      <c r="S8" s="20">
        <f t="shared" si="7"/>
        <v>162</v>
      </c>
      <c r="T8" s="19">
        <f t="shared" si="8"/>
        <v>9.3311999999999991</v>
      </c>
      <c r="U8" s="21">
        <f t="shared" si="4"/>
        <v>-17</v>
      </c>
      <c r="V8" s="19">
        <f t="shared" si="5"/>
        <v>-0.97919999999999874</v>
      </c>
      <c r="X8" s="29"/>
    </row>
    <row r="9" spans="1:24">
      <c r="A9" s="26" t="s">
        <v>13</v>
      </c>
      <c r="B9" s="26" t="s">
        <v>34</v>
      </c>
      <c r="C9" s="30">
        <v>5.76</v>
      </c>
      <c r="D9" s="27">
        <v>10.5</v>
      </c>
      <c r="E9" s="28">
        <v>124</v>
      </c>
      <c r="F9" s="16">
        <f t="shared" si="0"/>
        <v>7.4995199999999995</v>
      </c>
      <c r="G9" s="17"/>
      <c r="H9" s="18"/>
      <c r="I9" s="19">
        <f t="shared" si="1"/>
        <v>0</v>
      </c>
      <c r="J9" s="16"/>
      <c r="K9" s="18">
        <v>62</v>
      </c>
      <c r="L9" s="19">
        <f t="shared" si="2"/>
        <v>3.7497599999999998</v>
      </c>
      <c r="M9" s="16"/>
      <c r="N9" s="18">
        <v>62</v>
      </c>
      <c r="O9" s="19">
        <f t="shared" si="3"/>
        <v>3.7497599999999998</v>
      </c>
      <c r="P9" s="16"/>
      <c r="Q9" s="18">
        <v>6</v>
      </c>
      <c r="R9" s="19">
        <f t="shared" si="6"/>
        <v>0.36287999999999998</v>
      </c>
      <c r="S9" s="20">
        <f t="shared" si="7"/>
        <v>130</v>
      </c>
      <c r="T9" s="19">
        <f t="shared" si="8"/>
        <v>7.8623999999999992</v>
      </c>
      <c r="U9" s="21">
        <f t="shared" si="4"/>
        <v>-6</v>
      </c>
      <c r="V9" s="19">
        <f t="shared" si="5"/>
        <v>-0.36287999999999965</v>
      </c>
      <c r="X9" s="29"/>
    </row>
    <row r="10" spans="1:24">
      <c r="A10" s="26" t="s">
        <v>13</v>
      </c>
      <c r="B10" s="26" t="s">
        <v>34</v>
      </c>
      <c r="C10" s="30">
        <v>5.76</v>
      </c>
      <c r="D10" s="27">
        <v>11.2</v>
      </c>
      <c r="E10" s="28">
        <v>74</v>
      </c>
      <c r="F10" s="16">
        <f t="shared" si="0"/>
        <v>4.7738880000000004</v>
      </c>
      <c r="G10" s="17"/>
      <c r="H10" s="18"/>
      <c r="I10" s="19">
        <f t="shared" si="1"/>
        <v>0</v>
      </c>
      <c r="J10" s="16"/>
      <c r="K10" s="18">
        <v>28</v>
      </c>
      <c r="L10" s="19">
        <f t="shared" si="2"/>
        <v>1.8063359999999999</v>
      </c>
      <c r="M10" s="16"/>
      <c r="N10" s="18">
        <v>6</v>
      </c>
      <c r="O10" s="19">
        <f t="shared" si="3"/>
        <v>0.38707200000000003</v>
      </c>
      <c r="P10" s="16"/>
      <c r="Q10" s="18"/>
      <c r="R10" s="19">
        <f t="shared" si="6"/>
        <v>0</v>
      </c>
      <c r="S10" s="20">
        <f t="shared" si="7"/>
        <v>34</v>
      </c>
      <c r="T10" s="19">
        <f t="shared" si="8"/>
        <v>2.1934079999999998</v>
      </c>
      <c r="U10" s="21">
        <f t="shared" si="4"/>
        <v>40</v>
      </c>
      <c r="V10" s="19">
        <f t="shared" si="5"/>
        <v>2.5804800000000006</v>
      </c>
      <c r="X10" s="29"/>
    </row>
    <row r="11" spans="1:24">
      <c r="A11" s="26" t="s">
        <v>13</v>
      </c>
      <c r="B11" s="26" t="s">
        <v>34</v>
      </c>
      <c r="C11" s="30">
        <v>5.76</v>
      </c>
      <c r="D11" s="27">
        <v>11.5</v>
      </c>
      <c r="E11" s="28">
        <v>107</v>
      </c>
      <c r="F11" s="16">
        <f t="shared" si="0"/>
        <v>7.0876799999999998</v>
      </c>
      <c r="G11" s="17"/>
      <c r="H11" s="18"/>
      <c r="I11" s="19">
        <f t="shared" si="1"/>
        <v>0</v>
      </c>
      <c r="J11" s="16"/>
      <c r="K11" s="18">
        <v>57</v>
      </c>
      <c r="L11" s="19">
        <f t="shared" si="2"/>
        <v>3.7756799999999999</v>
      </c>
      <c r="M11" s="16"/>
      <c r="N11" s="18">
        <v>44</v>
      </c>
      <c r="O11" s="19">
        <f t="shared" si="3"/>
        <v>2.9145599999999998</v>
      </c>
      <c r="P11" s="16"/>
      <c r="Q11" s="18">
        <v>1</v>
      </c>
      <c r="R11" s="19">
        <f t="shared" si="6"/>
        <v>6.6239999999999993E-2</v>
      </c>
      <c r="S11" s="20">
        <f t="shared" si="7"/>
        <v>102</v>
      </c>
      <c r="T11" s="19">
        <f t="shared" si="8"/>
        <v>6.7564799999999998</v>
      </c>
      <c r="U11" s="21">
        <f t="shared" si="4"/>
        <v>5</v>
      </c>
      <c r="V11" s="19">
        <f t="shared" si="5"/>
        <v>0.33119999999999994</v>
      </c>
      <c r="X11" s="29"/>
    </row>
    <row r="12" spans="1:24">
      <c r="A12" s="26" t="s">
        <v>13</v>
      </c>
      <c r="B12" s="26" t="s">
        <v>34</v>
      </c>
      <c r="C12" s="30">
        <v>5.76</v>
      </c>
      <c r="D12" s="27">
        <v>11.7</v>
      </c>
      <c r="E12" s="28">
        <v>45</v>
      </c>
      <c r="F12" s="16">
        <f t="shared" si="0"/>
        <v>3.0326399999999998</v>
      </c>
      <c r="G12" s="17"/>
      <c r="H12" s="18"/>
      <c r="I12" s="19">
        <f t="shared" si="1"/>
        <v>0</v>
      </c>
      <c r="J12" s="16"/>
      <c r="K12" s="18">
        <v>20</v>
      </c>
      <c r="L12" s="19">
        <f t="shared" si="2"/>
        <v>1.3478399999999999</v>
      </c>
      <c r="M12" s="16"/>
      <c r="N12" s="18">
        <v>19</v>
      </c>
      <c r="O12" s="19">
        <f t="shared" si="3"/>
        <v>1.2804479999999998</v>
      </c>
      <c r="P12" s="16"/>
      <c r="Q12" s="18"/>
      <c r="R12" s="19">
        <f t="shared" si="6"/>
        <v>0</v>
      </c>
      <c r="S12" s="20">
        <f t="shared" si="7"/>
        <v>39</v>
      </c>
      <c r="T12" s="19">
        <f t="shared" si="8"/>
        <v>2.6282879999999995</v>
      </c>
      <c r="U12" s="21">
        <f t="shared" si="4"/>
        <v>6</v>
      </c>
      <c r="V12" s="19">
        <f t="shared" si="5"/>
        <v>0.40435200000000027</v>
      </c>
      <c r="X12" s="29"/>
    </row>
    <row r="13" spans="1:24">
      <c r="A13" s="26" t="s">
        <v>13</v>
      </c>
      <c r="B13" s="26" t="s">
        <v>34</v>
      </c>
      <c r="C13" s="30">
        <v>5.76</v>
      </c>
      <c r="D13" s="27">
        <v>12</v>
      </c>
      <c r="E13" s="28">
        <v>47</v>
      </c>
      <c r="F13" s="16">
        <f t="shared" ref="F13:F17" si="9">(C13*D13*E13/1000)</f>
        <v>3.2486400000000004</v>
      </c>
      <c r="G13" s="17"/>
      <c r="H13" s="18"/>
      <c r="I13" s="19">
        <f t="shared" ref="I13:I17" si="10">(C13*D13*H13/1000)</f>
        <v>0</v>
      </c>
      <c r="J13" s="16"/>
      <c r="K13" s="18">
        <v>23</v>
      </c>
      <c r="L13" s="19">
        <f t="shared" ref="L13:L17" si="11">(C13*D13*K13/1000)</f>
        <v>1.5897600000000003</v>
      </c>
      <c r="M13" s="16"/>
      <c r="N13" s="18">
        <f>11+33</f>
        <v>44</v>
      </c>
      <c r="O13" s="19">
        <f t="shared" ref="O13:O17" si="12">(C13*D13*N13/1000)</f>
        <v>3.04128</v>
      </c>
      <c r="P13" s="16"/>
      <c r="Q13" s="18"/>
      <c r="R13" s="19">
        <f t="shared" ref="R13:R17" si="13">(C13*D13*Q13/1000)</f>
        <v>0</v>
      </c>
      <c r="S13" s="20">
        <f t="shared" si="7"/>
        <v>67</v>
      </c>
      <c r="T13" s="19">
        <f t="shared" si="8"/>
        <v>4.6310400000000005</v>
      </c>
      <c r="U13" s="21">
        <f t="shared" ref="U13:U17" si="14">E13-S13</f>
        <v>-20</v>
      </c>
      <c r="V13" s="19">
        <f t="shared" ref="V13:V17" si="15">F13-T13</f>
        <v>-1.3824000000000001</v>
      </c>
      <c r="X13" s="29"/>
    </row>
    <row r="14" spans="1:24">
      <c r="A14" s="26" t="s">
        <v>13</v>
      </c>
      <c r="B14" s="26" t="s">
        <v>34</v>
      </c>
      <c r="C14" s="30">
        <v>5.76</v>
      </c>
      <c r="D14" s="27">
        <v>10.6</v>
      </c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>
        <v>12</v>
      </c>
      <c r="L14" s="19">
        <f t="shared" si="11"/>
        <v>0.73267199999999999</v>
      </c>
      <c r="M14" s="16"/>
      <c r="N14" s="18">
        <v>14</v>
      </c>
      <c r="O14" s="19">
        <f t="shared" si="12"/>
        <v>0.85478399999999999</v>
      </c>
      <c r="P14" s="16"/>
      <c r="Q14" s="18"/>
      <c r="R14" s="19">
        <f t="shared" si="13"/>
        <v>0</v>
      </c>
      <c r="S14" s="20">
        <f t="shared" si="7"/>
        <v>26</v>
      </c>
      <c r="T14" s="19">
        <f t="shared" si="8"/>
        <v>1.587456</v>
      </c>
      <c r="U14" s="21">
        <f t="shared" si="14"/>
        <v>-26</v>
      </c>
      <c r="V14" s="19">
        <f t="shared" si="15"/>
        <v>-1.587456</v>
      </c>
      <c r="X14" s="29"/>
    </row>
    <row r="15" spans="1:24">
      <c r="A15" s="26" t="s">
        <v>13</v>
      </c>
      <c r="B15" s="26" t="s">
        <v>34</v>
      </c>
      <c r="C15" s="30">
        <v>5.76</v>
      </c>
      <c r="D15" s="27">
        <v>11</v>
      </c>
      <c r="E15" s="28"/>
      <c r="F15" s="16">
        <f t="shared" si="9"/>
        <v>0</v>
      </c>
      <c r="G15" s="17"/>
      <c r="H15" s="18"/>
      <c r="I15" s="19">
        <f t="shared" si="10"/>
        <v>0</v>
      </c>
      <c r="J15" s="16"/>
      <c r="K15" s="18"/>
      <c r="L15" s="19">
        <f t="shared" si="11"/>
        <v>0</v>
      </c>
      <c r="M15" s="16"/>
      <c r="N15" s="18">
        <v>9</v>
      </c>
      <c r="O15" s="19">
        <f t="shared" si="12"/>
        <v>0.57023999999999997</v>
      </c>
      <c r="P15" s="16"/>
      <c r="Q15" s="18"/>
      <c r="R15" s="19">
        <f t="shared" si="13"/>
        <v>0</v>
      </c>
      <c r="S15" s="20">
        <f t="shared" si="7"/>
        <v>9</v>
      </c>
      <c r="T15" s="19">
        <f t="shared" si="8"/>
        <v>0.57023999999999997</v>
      </c>
      <c r="U15" s="21">
        <f t="shared" si="14"/>
        <v>-9</v>
      </c>
      <c r="V15" s="19">
        <f t="shared" si="15"/>
        <v>-0.57023999999999997</v>
      </c>
      <c r="X15" s="29"/>
    </row>
    <row r="16" spans="1:24">
      <c r="A16" s="26" t="s">
        <v>13</v>
      </c>
      <c r="B16" s="26" t="s">
        <v>34</v>
      </c>
      <c r="C16" s="30">
        <v>5.76</v>
      </c>
      <c r="D16" s="27">
        <v>8.3000000000000007</v>
      </c>
      <c r="E16" s="28"/>
      <c r="F16" s="16">
        <f t="shared" si="9"/>
        <v>0</v>
      </c>
      <c r="G16" s="17"/>
      <c r="H16" s="18"/>
      <c r="I16" s="19">
        <f t="shared" si="10"/>
        <v>0</v>
      </c>
      <c r="J16" s="16"/>
      <c r="K16" s="18"/>
      <c r="L16" s="19">
        <f t="shared" si="11"/>
        <v>0</v>
      </c>
      <c r="M16" s="16"/>
      <c r="N16" s="18">
        <v>2</v>
      </c>
      <c r="O16" s="19">
        <f t="shared" si="12"/>
        <v>9.5616000000000007E-2</v>
      </c>
      <c r="P16" s="16"/>
      <c r="Q16" s="18"/>
      <c r="R16" s="19">
        <f t="shared" si="13"/>
        <v>0</v>
      </c>
      <c r="S16" s="20">
        <f t="shared" si="7"/>
        <v>2</v>
      </c>
      <c r="T16" s="19">
        <f t="shared" si="8"/>
        <v>9.5616000000000007E-2</v>
      </c>
      <c r="U16" s="21">
        <f t="shared" si="14"/>
        <v>-2</v>
      </c>
      <c r="V16" s="19">
        <f t="shared" si="15"/>
        <v>-9.5616000000000007E-2</v>
      </c>
      <c r="X16" s="29"/>
    </row>
    <row r="17" spans="1:24">
      <c r="A17" s="26" t="s">
        <v>13</v>
      </c>
      <c r="B17" s="26" t="s">
        <v>34</v>
      </c>
      <c r="C17" s="30">
        <v>5.76</v>
      </c>
      <c r="D17" s="27">
        <v>8.6</v>
      </c>
      <c r="E17" s="28"/>
      <c r="F17" s="16">
        <f t="shared" si="9"/>
        <v>0</v>
      </c>
      <c r="G17" s="17"/>
      <c r="H17" s="18"/>
      <c r="I17" s="19">
        <f t="shared" si="10"/>
        <v>0</v>
      </c>
      <c r="J17" s="16"/>
      <c r="K17" s="18"/>
      <c r="L17" s="19">
        <f t="shared" si="11"/>
        <v>0</v>
      </c>
      <c r="M17" s="16"/>
      <c r="N17" s="18">
        <v>3</v>
      </c>
      <c r="O17" s="19">
        <f t="shared" si="12"/>
        <v>0.14860799999999996</v>
      </c>
      <c r="P17" s="16"/>
      <c r="Q17" s="18"/>
      <c r="R17" s="19">
        <f t="shared" si="13"/>
        <v>0</v>
      </c>
      <c r="S17" s="20">
        <f t="shared" si="7"/>
        <v>3</v>
      </c>
      <c r="T17" s="19">
        <f t="shared" si="8"/>
        <v>0.14860799999999996</v>
      </c>
      <c r="U17" s="21">
        <f t="shared" si="14"/>
        <v>-3</v>
      </c>
      <c r="V17" s="19">
        <f t="shared" si="15"/>
        <v>-0.14860799999999996</v>
      </c>
      <c r="X17" s="29"/>
    </row>
    <row r="18" spans="1:24">
      <c r="A18" s="26" t="s">
        <v>13</v>
      </c>
      <c r="B18" s="26" t="s">
        <v>34</v>
      </c>
      <c r="C18" s="30">
        <v>5.76</v>
      </c>
      <c r="D18" s="27"/>
      <c r="E18" s="28"/>
      <c r="F18" s="16">
        <f t="shared" si="0"/>
        <v>0</v>
      </c>
      <c r="G18" s="17"/>
      <c r="H18" s="18"/>
      <c r="I18" s="19">
        <f t="shared" si="1"/>
        <v>0</v>
      </c>
      <c r="J18" s="16"/>
      <c r="K18" s="18"/>
      <c r="L18" s="19">
        <f t="shared" si="2"/>
        <v>0</v>
      </c>
      <c r="M18" s="16"/>
      <c r="N18" s="18"/>
      <c r="O18" s="19">
        <f t="shared" si="3"/>
        <v>0</v>
      </c>
      <c r="P18" s="16"/>
      <c r="Q18" s="18"/>
      <c r="R18" s="19">
        <f t="shared" si="6"/>
        <v>0</v>
      </c>
      <c r="S18" s="20">
        <f t="shared" si="7"/>
        <v>0</v>
      </c>
      <c r="T18" s="19">
        <f t="shared" si="8"/>
        <v>0</v>
      </c>
      <c r="U18" s="21">
        <f t="shared" si="4"/>
        <v>0</v>
      </c>
      <c r="V18" s="19">
        <f t="shared" si="5"/>
        <v>0</v>
      </c>
      <c r="X18" s="29"/>
    </row>
    <row r="19" spans="1:24">
      <c r="A19" s="36"/>
      <c r="B19" s="36"/>
      <c r="C19" s="31"/>
      <c r="D19" s="38"/>
      <c r="E19" s="31">
        <f t="shared" ref="E19:F19" si="16">SUM(E6:E18)</f>
        <v>674</v>
      </c>
      <c r="F19" s="37">
        <f t="shared" si="16"/>
        <v>40.528511999999999</v>
      </c>
      <c r="G19" s="17"/>
      <c r="H19" s="31">
        <f t="shared" ref="H19" si="17">SUM(H6:H18)</f>
        <v>69</v>
      </c>
      <c r="I19" s="37">
        <f t="shared" ref="I19" si="18">SUM(I6:I18)</f>
        <v>3.4577280000000004</v>
      </c>
      <c r="J19" s="16"/>
      <c r="K19" s="31">
        <f t="shared" ref="K19" si="19">SUM(K6:K18)</f>
        <v>340</v>
      </c>
      <c r="L19" s="37">
        <f t="shared" ref="L19" si="20">SUM(L6:L18)</f>
        <v>20.515392000000002</v>
      </c>
      <c r="M19" s="16"/>
      <c r="N19" s="31">
        <f t="shared" ref="N19" si="21">SUM(N6:N18)</f>
        <v>262</v>
      </c>
      <c r="O19" s="37">
        <f t="shared" ref="O19" si="22">SUM(O6:O18)</f>
        <v>16.440767999999998</v>
      </c>
      <c r="P19" s="16"/>
      <c r="Q19" s="31">
        <f t="shared" ref="Q19" si="23">SUM(Q6:Q18)</f>
        <v>28</v>
      </c>
      <c r="R19" s="37">
        <f t="shared" ref="R19" si="24">SUM(R6:R18)</f>
        <v>1.6214399999999998</v>
      </c>
      <c r="S19" s="31">
        <f t="shared" ref="S19" si="25">SUM(S6:S18)</f>
        <v>699</v>
      </c>
      <c r="T19" s="37">
        <f t="shared" ref="T19" si="26">SUM(T6:T18)</f>
        <v>42.035327999999993</v>
      </c>
      <c r="U19" s="31">
        <f t="shared" ref="U19" si="27">SUM(U6:U18)</f>
        <v>-25</v>
      </c>
      <c r="V19" s="37">
        <f t="shared" ref="V19" si="28">SUM(V6:V18)</f>
        <v>-1.5068159999999975</v>
      </c>
      <c r="X19" s="29"/>
    </row>
    <row r="20" spans="1:24">
      <c r="A20" s="26" t="s">
        <v>13</v>
      </c>
      <c r="B20" s="26" t="s">
        <v>35</v>
      </c>
      <c r="C20" s="30">
        <v>6.85</v>
      </c>
      <c r="D20" s="27">
        <v>9.6999999999999993</v>
      </c>
      <c r="E20" s="28">
        <v>152</v>
      </c>
      <c r="F20" s="16">
        <f t="shared" ref="F20:F23" si="29">(C20*D20*E20/1000)</f>
        <v>10.099639999999999</v>
      </c>
      <c r="G20" s="17" t="s">
        <v>107</v>
      </c>
      <c r="H20" s="18">
        <v>63</v>
      </c>
      <c r="I20" s="19">
        <f t="shared" ref="I20:I23" si="30">(C20*D20*H20/1000)</f>
        <v>4.1860349999999995</v>
      </c>
      <c r="J20" s="16" t="s">
        <v>295</v>
      </c>
      <c r="K20" s="18">
        <f>34+7</f>
        <v>41</v>
      </c>
      <c r="L20" s="19">
        <f t="shared" ref="L20:L23" si="31">(C20*D20*K20/1000)</f>
        <v>2.7242449999999998</v>
      </c>
      <c r="M20" s="16" t="s">
        <v>93</v>
      </c>
      <c r="N20" s="18">
        <v>20</v>
      </c>
      <c r="O20" s="19">
        <f t="shared" ref="O20:O23" si="32">(C20*D20*N20/1000)</f>
        <v>1.3289</v>
      </c>
      <c r="P20" s="16" t="s">
        <v>111</v>
      </c>
      <c r="Q20" s="18">
        <v>14</v>
      </c>
      <c r="R20" s="19">
        <f t="shared" ref="R20:R23" si="33">(C20*D20*Q20/1000)</f>
        <v>0.93022999999999989</v>
      </c>
      <c r="S20" s="20">
        <f t="shared" ref="S20:S23" si="34">+H20+K20+Q20+N20</f>
        <v>138</v>
      </c>
      <c r="T20" s="19">
        <f t="shared" ref="T20:T23" si="35">+I20+L20+R20+O20</f>
        <v>9.1694099999999992</v>
      </c>
      <c r="U20" s="21">
        <f t="shared" ref="U20:U23" si="36">E20-S20</f>
        <v>14</v>
      </c>
      <c r="V20" s="19">
        <f t="shared" ref="V20:V23" si="37">F20-T20</f>
        <v>0.93022999999999989</v>
      </c>
      <c r="X20" s="29"/>
    </row>
    <row r="21" spans="1:24">
      <c r="A21" s="26" t="s">
        <v>13</v>
      </c>
      <c r="B21" s="26" t="s">
        <v>35</v>
      </c>
      <c r="C21" s="30">
        <v>6.85</v>
      </c>
      <c r="D21" s="27">
        <v>10.5</v>
      </c>
      <c r="E21" s="28">
        <v>49</v>
      </c>
      <c r="F21" s="16">
        <f t="shared" si="29"/>
        <v>3.5243249999999997</v>
      </c>
      <c r="G21" s="17" t="s">
        <v>348</v>
      </c>
      <c r="H21" s="18">
        <v>20</v>
      </c>
      <c r="I21" s="19">
        <f t="shared" si="30"/>
        <v>1.4384999999999999</v>
      </c>
      <c r="J21" s="16" t="s">
        <v>352</v>
      </c>
      <c r="K21" s="18">
        <v>29</v>
      </c>
      <c r="L21" s="19">
        <f t="shared" si="31"/>
        <v>2.0858249999999998</v>
      </c>
      <c r="M21" s="16" t="s">
        <v>352</v>
      </c>
      <c r="N21" s="18"/>
      <c r="O21" s="19">
        <f t="shared" si="32"/>
        <v>0</v>
      </c>
      <c r="P21" s="16" t="s">
        <v>391</v>
      </c>
      <c r="Q21" s="18"/>
      <c r="R21" s="19">
        <f t="shared" si="33"/>
        <v>0</v>
      </c>
      <c r="S21" s="20">
        <f t="shared" si="34"/>
        <v>49</v>
      </c>
      <c r="T21" s="19">
        <f t="shared" si="35"/>
        <v>3.5243249999999997</v>
      </c>
      <c r="U21" s="21">
        <f t="shared" si="36"/>
        <v>0</v>
      </c>
      <c r="V21" s="19">
        <f t="shared" si="37"/>
        <v>0</v>
      </c>
      <c r="X21" s="29"/>
    </row>
    <row r="22" spans="1:24">
      <c r="A22" s="26" t="s">
        <v>13</v>
      </c>
      <c r="B22" s="26" t="s">
        <v>35</v>
      </c>
      <c r="C22" s="30">
        <v>6.85</v>
      </c>
      <c r="D22" s="27">
        <v>11.3</v>
      </c>
      <c r="E22" s="28">
        <v>51</v>
      </c>
      <c r="F22" s="16">
        <f t="shared" si="29"/>
        <v>3.9476550000000001</v>
      </c>
      <c r="G22" s="17"/>
      <c r="H22" s="18">
        <v>40</v>
      </c>
      <c r="I22" s="19">
        <f t="shared" si="30"/>
        <v>3.0961999999999996</v>
      </c>
      <c r="J22" s="16"/>
      <c r="K22" s="18">
        <v>11</v>
      </c>
      <c r="L22" s="19">
        <f t="shared" si="31"/>
        <v>0.85145500000000007</v>
      </c>
      <c r="M22" s="16"/>
      <c r="N22" s="18"/>
      <c r="O22" s="19">
        <f t="shared" si="32"/>
        <v>0</v>
      </c>
      <c r="P22" s="16"/>
      <c r="Q22" s="18"/>
      <c r="R22" s="19">
        <f t="shared" si="33"/>
        <v>0</v>
      </c>
      <c r="S22" s="20">
        <f t="shared" si="34"/>
        <v>51</v>
      </c>
      <c r="T22" s="19">
        <f t="shared" si="35"/>
        <v>3.9476549999999997</v>
      </c>
      <c r="U22" s="21">
        <f t="shared" si="36"/>
        <v>0</v>
      </c>
      <c r="V22" s="19">
        <f t="shared" si="37"/>
        <v>0</v>
      </c>
      <c r="X22" s="29"/>
    </row>
    <row r="23" spans="1:24">
      <c r="A23" s="26" t="s">
        <v>13</v>
      </c>
      <c r="B23" s="26" t="s">
        <v>35</v>
      </c>
      <c r="C23" s="30">
        <v>6.85</v>
      </c>
      <c r="D23" s="27">
        <v>12</v>
      </c>
      <c r="E23" s="28">
        <v>35</v>
      </c>
      <c r="F23" s="16">
        <f t="shared" si="29"/>
        <v>2.8769999999999993</v>
      </c>
      <c r="G23" s="17"/>
      <c r="H23" s="18">
        <v>18</v>
      </c>
      <c r="I23" s="19">
        <f t="shared" si="30"/>
        <v>1.4795999999999998</v>
      </c>
      <c r="J23" s="16"/>
      <c r="K23" s="18">
        <v>17</v>
      </c>
      <c r="L23" s="19">
        <f t="shared" si="31"/>
        <v>1.3973999999999998</v>
      </c>
      <c r="M23" s="16"/>
      <c r="N23" s="18"/>
      <c r="O23" s="19">
        <f t="shared" si="32"/>
        <v>0</v>
      </c>
      <c r="P23" s="16"/>
      <c r="Q23" s="18">
        <v>10</v>
      </c>
      <c r="R23" s="19">
        <f t="shared" si="33"/>
        <v>0.82199999999999984</v>
      </c>
      <c r="S23" s="20">
        <f t="shared" si="34"/>
        <v>45</v>
      </c>
      <c r="T23" s="19">
        <f t="shared" si="35"/>
        <v>3.6989999999999998</v>
      </c>
      <c r="U23" s="21">
        <f t="shared" si="36"/>
        <v>-10</v>
      </c>
      <c r="V23" s="19">
        <f t="shared" si="37"/>
        <v>-0.82200000000000051</v>
      </c>
      <c r="X23" s="29"/>
    </row>
    <row r="24" spans="1:24">
      <c r="A24" s="36"/>
      <c r="B24" s="36"/>
      <c r="C24" s="31"/>
      <c r="D24" s="38"/>
      <c r="E24" s="31">
        <f t="shared" ref="E24:F24" si="38">SUM(E20:E23)</f>
        <v>287</v>
      </c>
      <c r="F24" s="37">
        <f t="shared" si="38"/>
        <v>20.448619999999998</v>
      </c>
      <c r="G24" s="17"/>
      <c r="H24" s="31">
        <f t="shared" ref="H24" si="39">SUM(H20:H23)</f>
        <v>141</v>
      </c>
      <c r="I24" s="37">
        <f t="shared" ref="I24" si="40">SUM(I20:I23)</f>
        <v>10.200334999999999</v>
      </c>
      <c r="J24" s="16"/>
      <c r="K24" s="31">
        <f t="shared" ref="K24" si="41">SUM(K20:K23)</f>
        <v>98</v>
      </c>
      <c r="L24" s="37">
        <f t="shared" ref="L24" si="42">SUM(L20:L23)</f>
        <v>7.0589249999999986</v>
      </c>
      <c r="M24" s="16"/>
      <c r="N24" s="31">
        <f t="shared" ref="N24" si="43">SUM(N20:N23)</f>
        <v>20</v>
      </c>
      <c r="O24" s="37">
        <f t="shared" ref="O24" si="44">SUM(O20:O23)</f>
        <v>1.3289</v>
      </c>
      <c r="P24" s="16"/>
      <c r="Q24" s="31">
        <f t="shared" ref="Q24" si="45">SUM(Q20:Q23)</f>
        <v>24</v>
      </c>
      <c r="R24" s="37">
        <f t="shared" ref="R24" si="46">SUM(R20:R23)</f>
        <v>1.7522299999999997</v>
      </c>
      <c r="S24" s="31">
        <f t="shared" ref="S24" si="47">SUM(S20:S23)</f>
        <v>283</v>
      </c>
      <c r="T24" s="37">
        <f t="shared" ref="T24" si="48">SUM(T20:T23)</f>
        <v>20.340389999999999</v>
      </c>
      <c r="U24" s="31">
        <f t="shared" ref="U24" si="49">SUM(U20:U23)</f>
        <v>4</v>
      </c>
      <c r="V24" s="37">
        <f t="shared" ref="V24" si="50">SUM(V20:V23)</f>
        <v>0.10822999999999938</v>
      </c>
      <c r="X24" s="29"/>
    </row>
    <row r="25" spans="1:24">
      <c r="A25" s="26" t="s">
        <v>14</v>
      </c>
      <c r="B25" s="26" t="s">
        <v>34</v>
      </c>
      <c r="C25" s="30">
        <v>5.76</v>
      </c>
      <c r="D25" s="27">
        <v>9</v>
      </c>
      <c r="E25" s="28">
        <v>20</v>
      </c>
      <c r="F25" s="16">
        <f t="shared" ref="F25:F31" si="51">(C25*D25*E25/1000)</f>
        <v>1.0367999999999999</v>
      </c>
      <c r="G25" s="17" t="s">
        <v>93</v>
      </c>
      <c r="H25" s="18"/>
      <c r="I25" s="19">
        <f t="shared" ref="I25:I31" si="52">(C25*D25*H25/1000)</f>
        <v>0</v>
      </c>
      <c r="J25" s="16" t="s">
        <v>93</v>
      </c>
      <c r="K25" s="18"/>
      <c r="L25" s="19">
        <f t="shared" ref="L25:L31" si="53">(C25*D25*K25/1000)</f>
        <v>0</v>
      </c>
      <c r="M25" s="16" t="s">
        <v>93</v>
      </c>
      <c r="N25" s="18">
        <v>6</v>
      </c>
      <c r="O25" s="19">
        <f t="shared" ref="O25:O31" si="54">(C25*D25*N25/1000)</f>
        <v>0.31103999999999998</v>
      </c>
      <c r="P25" s="16" t="s">
        <v>111</v>
      </c>
      <c r="Q25" s="18"/>
      <c r="R25" s="19">
        <f t="shared" ref="R25:R31" si="55">(C25*D25*Q25/1000)</f>
        <v>0</v>
      </c>
      <c r="S25" s="20">
        <f>+H25+K25+Q25+N25</f>
        <v>6</v>
      </c>
      <c r="T25" s="19">
        <f t="shared" ref="T25:T31" si="56">+I25+L25+R25+O25</f>
        <v>0.31103999999999998</v>
      </c>
      <c r="U25" s="21">
        <f t="shared" ref="U25:U31" si="57">E25-S25</f>
        <v>14</v>
      </c>
      <c r="V25" s="19">
        <f t="shared" ref="V25:V31" si="58">F25-T25</f>
        <v>0.72575999999999996</v>
      </c>
      <c r="X25" s="29"/>
    </row>
    <row r="26" spans="1:24">
      <c r="A26" s="26" t="s">
        <v>14</v>
      </c>
      <c r="B26" s="26" t="s">
        <v>34</v>
      </c>
      <c r="C26" s="30">
        <v>5.76</v>
      </c>
      <c r="D26" s="27">
        <v>11.5</v>
      </c>
      <c r="E26" s="28">
        <v>60</v>
      </c>
      <c r="F26" s="16">
        <f t="shared" si="51"/>
        <v>3.9743999999999997</v>
      </c>
      <c r="G26" s="17" t="s">
        <v>281</v>
      </c>
      <c r="H26" s="18"/>
      <c r="I26" s="19">
        <f t="shared" si="52"/>
        <v>0</v>
      </c>
      <c r="J26" s="16" t="s">
        <v>353</v>
      </c>
      <c r="K26" s="18">
        <v>43</v>
      </c>
      <c r="L26" s="19">
        <f t="shared" si="53"/>
        <v>2.8483199999999997</v>
      </c>
      <c r="M26" s="16" t="s">
        <v>342</v>
      </c>
      <c r="N26" s="18">
        <v>10</v>
      </c>
      <c r="O26" s="19">
        <f t="shared" si="54"/>
        <v>0.66239999999999999</v>
      </c>
      <c r="P26" s="16" t="s">
        <v>391</v>
      </c>
      <c r="Q26" s="18"/>
      <c r="R26" s="19">
        <f t="shared" si="55"/>
        <v>0</v>
      </c>
      <c r="S26" s="20">
        <f t="shared" ref="S26:S31" si="59">+H26+K26+Q26+N26</f>
        <v>53</v>
      </c>
      <c r="T26" s="19">
        <f t="shared" si="56"/>
        <v>3.5107199999999996</v>
      </c>
      <c r="U26" s="21">
        <f t="shared" si="57"/>
        <v>7</v>
      </c>
      <c r="V26" s="19">
        <f t="shared" si="58"/>
        <v>0.46368000000000009</v>
      </c>
      <c r="X26" s="29"/>
    </row>
    <row r="27" spans="1:24">
      <c r="A27" s="26" t="s">
        <v>14</v>
      </c>
      <c r="B27" s="26" t="s">
        <v>34</v>
      </c>
      <c r="C27" s="30">
        <v>5.76</v>
      </c>
      <c r="D27" s="27">
        <v>12</v>
      </c>
      <c r="E27" s="28">
        <v>20</v>
      </c>
      <c r="F27" s="16">
        <f t="shared" ref="F27" si="60">(C27*D27*E27/1000)</f>
        <v>1.3824000000000001</v>
      </c>
      <c r="G27" s="17"/>
      <c r="H27" s="18">
        <v>7</v>
      </c>
      <c r="I27" s="19">
        <f t="shared" ref="I27" si="61">(C27*D27*H27/1000)</f>
        <v>0.48384000000000005</v>
      </c>
      <c r="J27" s="16"/>
      <c r="K27" s="18"/>
      <c r="L27" s="19">
        <f t="shared" ref="L27" si="62">(C27*D27*K27/1000)</f>
        <v>0</v>
      </c>
      <c r="M27" s="16"/>
      <c r="N27" s="18">
        <v>12</v>
      </c>
      <c r="O27" s="19">
        <f t="shared" ref="O27" si="63">(C27*D27*N27/1000)</f>
        <v>0.82944000000000007</v>
      </c>
      <c r="P27" s="16"/>
      <c r="Q27" s="18"/>
      <c r="R27" s="19">
        <f t="shared" ref="R27" si="64">(C27*D27*Q27/1000)</f>
        <v>0</v>
      </c>
      <c r="S27" s="20">
        <f t="shared" ref="S27" si="65">+H27+K27+Q27+N27</f>
        <v>19</v>
      </c>
      <c r="T27" s="19">
        <f t="shared" ref="T27" si="66">+I27+L27+R27+O27</f>
        <v>1.3132800000000002</v>
      </c>
      <c r="U27" s="21">
        <f t="shared" ref="U27" si="67">E27-S27</f>
        <v>1</v>
      </c>
      <c r="V27" s="19">
        <f t="shared" ref="V27" si="68">F27-T27</f>
        <v>6.9119999999999848E-2</v>
      </c>
      <c r="X27" s="29"/>
    </row>
    <row r="28" spans="1:24">
      <c r="A28" s="26" t="s">
        <v>14</v>
      </c>
      <c r="B28" s="26" t="s">
        <v>34</v>
      </c>
      <c r="C28" s="30">
        <v>5.76</v>
      </c>
      <c r="D28" s="27">
        <v>8.8000000000000007</v>
      </c>
      <c r="E28" s="28"/>
      <c r="F28" s="16">
        <f t="shared" ref="F28:F30" si="69">(C28*D28*E28/1000)</f>
        <v>0</v>
      </c>
      <c r="G28" s="17"/>
      <c r="H28" s="18">
        <v>9</v>
      </c>
      <c r="I28" s="19">
        <f t="shared" ref="I28:I30" si="70">(C28*D28*H28/1000)</f>
        <v>0.45619199999999999</v>
      </c>
      <c r="J28" s="16"/>
      <c r="K28" s="18"/>
      <c r="L28" s="19">
        <f t="shared" ref="L28:L30" si="71">(C28*D28*K28/1000)</f>
        <v>0</v>
      </c>
      <c r="M28" s="16"/>
      <c r="N28" s="18"/>
      <c r="O28" s="19">
        <f t="shared" ref="O28:O30" si="72">(C28*D28*N28/1000)</f>
        <v>0</v>
      </c>
      <c r="P28" s="16"/>
      <c r="Q28" s="18"/>
      <c r="R28" s="19">
        <f t="shared" ref="R28:R30" si="73">(C28*D28*Q28/1000)</f>
        <v>0</v>
      </c>
      <c r="S28" s="20">
        <f t="shared" si="59"/>
        <v>9</v>
      </c>
      <c r="T28" s="19">
        <f t="shared" si="56"/>
        <v>0.45619199999999999</v>
      </c>
      <c r="U28" s="21">
        <f t="shared" ref="U28:U30" si="74">E28-S28</f>
        <v>-9</v>
      </c>
      <c r="V28" s="19">
        <f t="shared" ref="V28:V30" si="75">F28-T28</f>
        <v>-0.45619199999999999</v>
      </c>
      <c r="X28" s="29"/>
    </row>
    <row r="29" spans="1:24">
      <c r="A29" s="26" t="s">
        <v>14</v>
      </c>
      <c r="B29" s="26" t="s">
        <v>34</v>
      </c>
      <c r="C29" s="30">
        <v>5.76</v>
      </c>
      <c r="D29" s="27">
        <v>9</v>
      </c>
      <c r="E29" s="28"/>
      <c r="F29" s="16">
        <f t="shared" si="69"/>
        <v>0</v>
      </c>
      <c r="G29" s="17"/>
      <c r="H29" s="18">
        <v>1</v>
      </c>
      <c r="I29" s="19">
        <f t="shared" si="70"/>
        <v>5.1839999999999997E-2</v>
      </c>
      <c r="J29" s="16"/>
      <c r="K29" s="18"/>
      <c r="L29" s="19">
        <f t="shared" si="71"/>
        <v>0</v>
      </c>
      <c r="M29" s="16"/>
      <c r="N29" s="18"/>
      <c r="O29" s="19">
        <f t="shared" si="72"/>
        <v>0</v>
      </c>
      <c r="P29" s="16"/>
      <c r="Q29" s="18"/>
      <c r="R29" s="19">
        <f t="shared" si="73"/>
        <v>0</v>
      </c>
      <c r="S29" s="20">
        <f t="shared" si="59"/>
        <v>1</v>
      </c>
      <c r="T29" s="19">
        <f t="shared" si="56"/>
        <v>5.1839999999999997E-2</v>
      </c>
      <c r="U29" s="21">
        <f t="shared" si="74"/>
        <v>-1</v>
      </c>
      <c r="V29" s="19">
        <f t="shared" si="75"/>
        <v>-5.1839999999999997E-2</v>
      </c>
      <c r="X29" s="29"/>
    </row>
    <row r="30" spans="1:24">
      <c r="A30" s="26" t="s">
        <v>14</v>
      </c>
      <c r="B30" s="26" t="s">
        <v>34</v>
      </c>
      <c r="C30" s="30">
        <v>5.76</v>
      </c>
      <c r="D30" s="27">
        <v>11.7</v>
      </c>
      <c r="E30" s="28"/>
      <c r="F30" s="16">
        <f t="shared" si="69"/>
        <v>0</v>
      </c>
      <c r="G30" s="17"/>
      <c r="H30" s="18">
        <v>7</v>
      </c>
      <c r="I30" s="19">
        <f t="shared" si="70"/>
        <v>0.471744</v>
      </c>
      <c r="J30" s="16"/>
      <c r="K30" s="18"/>
      <c r="L30" s="19">
        <f t="shared" si="71"/>
        <v>0</v>
      </c>
      <c r="M30" s="16"/>
      <c r="N30" s="18"/>
      <c r="O30" s="19">
        <f t="shared" si="72"/>
        <v>0</v>
      </c>
      <c r="P30" s="16"/>
      <c r="Q30" s="18"/>
      <c r="R30" s="19">
        <f t="shared" si="73"/>
        <v>0</v>
      </c>
      <c r="S30" s="20">
        <f t="shared" si="59"/>
        <v>7</v>
      </c>
      <c r="T30" s="19">
        <f t="shared" si="56"/>
        <v>0.471744</v>
      </c>
      <c r="U30" s="21">
        <f t="shared" si="74"/>
        <v>-7</v>
      </c>
      <c r="V30" s="19">
        <f t="shared" si="75"/>
        <v>-0.471744</v>
      </c>
      <c r="X30" s="29"/>
    </row>
    <row r="31" spans="1:24">
      <c r="A31" s="26" t="s">
        <v>14</v>
      </c>
      <c r="B31" s="26" t="s">
        <v>34</v>
      </c>
      <c r="C31" s="30">
        <v>5.76</v>
      </c>
      <c r="D31" s="27">
        <v>11.3</v>
      </c>
      <c r="E31" s="28"/>
      <c r="F31" s="16">
        <f t="shared" si="51"/>
        <v>0</v>
      </c>
      <c r="G31" s="17"/>
      <c r="H31" s="18"/>
      <c r="I31" s="19">
        <f t="shared" si="52"/>
        <v>0</v>
      </c>
      <c r="J31" s="16"/>
      <c r="K31" s="18"/>
      <c r="L31" s="19">
        <f t="shared" si="53"/>
        <v>0</v>
      </c>
      <c r="M31" s="16"/>
      <c r="N31" s="18"/>
      <c r="O31" s="19">
        <f t="shared" si="54"/>
        <v>0</v>
      </c>
      <c r="P31" s="16"/>
      <c r="Q31" s="18">
        <v>3</v>
      </c>
      <c r="R31" s="19">
        <f t="shared" si="55"/>
        <v>0.19526400000000002</v>
      </c>
      <c r="S31" s="20">
        <f t="shared" si="59"/>
        <v>3</v>
      </c>
      <c r="T31" s="19">
        <f t="shared" si="56"/>
        <v>0.19526400000000002</v>
      </c>
      <c r="U31" s="21">
        <f t="shared" si="57"/>
        <v>-3</v>
      </c>
      <c r="V31" s="19">
        <f t="shared" si="58"/>
        <v>-0.19526400000000002</v>
      </c>
      <c r="X31" s="29"/>
    </row>
    <row r="32" spans="1:24">
      <c r="A32" s="36"/>
      <c r="B32" s="36"/>
      <c r="C32" s="31"/>
      <c r="D32" s="38"/>
      <c r="E32" s="31">
        <f>SUM(E25:E31)</f>
        <v>100</v>
      </c>
      <c r="F32" s="37">
        <f>SUM(F25:F31)</f>
        <v>6.3935999999999993</v>
      </c>
      <c r="G32" s="17"/>
      <c r="H32" s="31">
        <f>SUM(H25:H31)</f>
        <v>24</v>
      </c>
      <c r="I32" s="37">
        <f>SUM(I25:I31)</f>
        <v>1.463616</v>
      </c>
      <c r="J32" s="16"/>
      <c r="K32" s="31">
        <f t="shared" ref="K32" si="76">SUM(K25:K31)</f>
        <v>43</v>
      </c>
      <c r="L32" s="37">
        <f t="shared" ref="L32" si="77">SUM(L25:L31)</f>
        <v>2.8483199999999997</v>
      </c>
      <c r="M32" s="16"/>
      <c r="N32" s="31">
        <f t="shared" ref="N32" si="78">SUM(N25:N31)</f>
        <v>28</v>
      </c>
      <c r="O32" s="37">
        <f t="shared" ref="O32" si="79">SUM(O25:O31)</f>
        <v>1.80288</v>
      </c>
      <c r="P32" s="16"/>
      <c r="Q32" s="31">
        <f t="shared" ref="Q32" si="80">SUM(Q25:Q31)</f>
        <v>3</v>
      </c>
      <c r="R32" s="37">
        <f t="shared" ref="R32" si="81">SUM(R25:R31)</f>
        <v>0.19526400000000002</v>
      </c>
      <c r="S32" s="31">
        <f t="shared" ref="S32" si="82">SUM(S25:S31)</f>
        <v>98</v>
      </c>
      <c r="T32" s="37">
        <f t="shared" ref="T32" si="83">SUM(T25:T31)</f>
        <v>6.3100800000000001</v>
      </c>
      <c r="U32" s="31">
        <f t="shared" ref="U32" si="84">SUM(U25:U31)</f>
        <v>2</v>
      </c>
      <c r="V32" s="37">
        <f t="shared" ref="V32" si="85">SUM(V25:V31)</f>
        <v>8.3519999999999955E-2</v>
      </c>
      <c r="X32" s="29"/>
    </row>
    <row r="33" spans="1:24">
      <c r="A33" s="26" t="s">
        <v>14</v>
      </c>
      <c r="B33" s="26" t="s">
        <v>35</v>
      </c>
      <c r="C33" s="30">
        <v>6.85</v>
      </c>
      <c r="D33" s="27">
        <v>9.1</v>
      </c>
      <c r="E33" s="28">
        <v>25</v>
      </c>
      <c r="F33" s="16">
        <f t="shared" ref="F33:F35" si="86">(C33*D33*E33/1000)</f>
        <v>1.5583749999999998</v>
      </c>
      <c r="G33" s="17" t="s">
        <v>93</v>
      </c>
      <c r="H33" s="18">
        <v>13</v>
      </c>
      <c r="I33" s="19">
        <f t="shared" ref="I33:I35" si="87">(C33*D33*H33/1000)</f>
        <v>0.81035499999999994</v>
      </c>
      <c r="J33" s="16"/>
      <c r="K33" s="18"/>
      <c r="L33" s="19">
        <f t="shared" ref="L33:L35" si="88">(C33*D33*K33/1000)</f>
        <v>0</v>
      </c>
      <c r="M33" s="16"/>
      <c r="N33" s="18"/>
      <c r="O33" s="19">
        <f t="shared" ref="O33:O35" si="89">(C33*D33*N33/1000)</f>
        <v>0</v>
      </c>
      <c r="P33" s="16"/>
      <c r="Q33" s="18"/>
      <c r="R33" s="19">
        <f t="shared" ref="R33:R35" si="90">(C33*D33*Q33/1000)</f>
        <v>0</v>
      </c>
      <c r="S33" s="20">
        <f t="shared" ref="S33:S35" si="91">+H33+K33+Q33+N33</f>
        <v>13</v>
      </c>
      <c r="T33" s="19">
        <f t="shared" ref="T33:T35" si="92">+I33+L33+R33+O33</f>
        <v>0.81035499999999994</v>
      </c>
      <c r="U33" s="21">
        <f t="shared" ref="U33:U35" si="93">E33-S33</f>
        <v>12</v>
      </c>
      <c r="V33" s="19">
        <f t="shared" ref="V33:V35" si="94">F33-T33</f>
        <v>0.74801999999999991</v>
      </c>
      <c r="X33" s="29"/>
    </row>
    <row r="34" spans="1:24">
      <c r="A34" s="26" t="s">
        <v>14</v>
      </c>
      <c r="B34" s="26" t="s">
        <v>35</v>
      </c>
      <c r="C34" s="30">
        <v>6.85</v>
      </c>
      <c r="D34" s="27">
        <v>12</v>
      </c>
      <c r="E34" s="28">
        <v>4</v>
      </c>
      <c r="F34" s="16">
        <f t="shared" ref="F34" si="95">(C34*D34*E34/1000)</f>
        <v>0.32879999999999998</v>
      </c>
      <c r="G34" s="17" t="s">
        <v>279</v>
      </c>
      <c r="H34" s="18"/>
      <c r="I34" s="19">
        <f t="shared" ref="I34" si="96">(C34*D34*H34/1000)</f>
        <v>0</v>
      </c>
      <c r="J34" s="16"/>
      <c r="K34" s="18"/>
      <c r="L34" s="19">
        <f t="shared" ref="L34" si="97">(C34*D34*K34/1000)</f>
        <v>0</v>
      </c>
      <c r="M34" s="16"/>
      <c r="N34" s="18"/>
      <c r="O34" s="19">
        <f t="shared" ref="O34" si="98">(C34*D34*N34/1000)</f>
        <v>0</v>
      </c>
      <c r="P34" s="16"/>
      <c r="Q34" s="18"/>
      <c r="R34" s="19">
        <f t="shared" ref="R34" si="99">(C34*D34*Q34/1000)</f>
        <v>0</v>
      </c>
      <c r="S34" s="20">
        <f t="shared" si="91"/>
        <v>0</v>
      </c>
      <c r="T34" s="19">
        <f t="shared" si="92"/>
        <v>0</v>
      </c>
      <c r="U34" s="21">
        <f t="shared" ref="U34" si="100">E34-S34</f>
        <v>4</v>
      </c>
      <c r="V34" s="19">
        <f t="shared" ref="V34" si="101">F34-T34</f>
        <v>0.32879999999999998</v>
      </c>
      <c r="X34" s="29"/>
    </row>
    <row r="35" spans="1:24">
      <c r="A35" s="26" t="s">
        <v>14</v>
      </c>
      <c r="B35" s="26" t="s">
        <v>35</v>
      </c>
      <c r="C35" s="30">
        <v>6.85</v>
      </c>
      <c r="D35" s="27">
        <v>11.2</v>
      </c>
      <c r="E35" s="28"/>
      <c r="F35" s="16">
        <f t="shared" si="86"/>
        <v>0</v>
      </c>
      <c r="G35" s="17"/>
      <c r="H35" s="18">
        <v>6</v>
      </c>
      <c r="I35" s="19">
        <f t="shared" si="87"/>
        <v>0.46031999999999995</v>
      </c>
      <c r="J35" s="16"/>
      <c r="K35" s="18"/>
      <c r="L35" s="19">
        <f t="shared" si="88"/>
        <v>0</v>
      </c>
      <c r="M35" s="16"/>
      <c r="N35" s="18"/>
      <c r="O35" s="19">
        <f t="shared" si="89"/>
        <v>0</v>
      </c>
      <c r="P35" s="16"/>
      <c r="Q35" s="18"/>
      <c r="R35" s="19">
        <f t="shared" si="90"/>
        <v>0</v>
      </c>
      <c r="S35" s="20">
        <f t="shared" si="91"/>
        <v>6</v>
      </c>
      <c r="T35" s="19">
        <f t="shared" si="92"/>
        <v>0.46031999999999995</v>
      </c>
      <c r="U35" s="21">
        <f t="shared" si="93"/>
        <v>-6</v>
      </c>
      <c r="V35" s="19">
        <f t="shared" si="94"/>
        <v>-0.46031999999999995</v>
      </c>
      <c r="X35" s="29"/>
    </row>
    <row r="36" spans="1:24">
      <c r="A36" s="26"/>
      <c r="B36" s="26"/>
      <c r="C36" s="28"/>
      <c r="D36" s="27"/>
      <c r="E36" s="31">
        <f t="shared" ref="E36:F36" si="102">SUM(E33:E35)</f>
        <v>29</v>
      </c>
      <c r="F36" s="37">
        <f t="shared" si="102"/>
        <v>1.8871749999999998</v>
      </c>
      <c r="G36" s="17"/>
      <c r="H36" s="31">
        <f t="shared" ref="H36" si="103">SUM(H33:H35)</f>
        <v>19</v>
      </c>
      <c r="I36" s="37">
        <f t="shared" ref="I36" si="104">SUM(I33:I35)</f>
        <v>1.2706749999999998</v>
      </c>
      <c r="J36" s="16"/>
      <c r="K36" s="31">
        <f t="shared" ref="K36" si="105">SUM(K33:K35)</f>
        <v>0</v>
      </c>
      <c r="L36" s="37">
        <f t="shared" ref="L36" si="106">SUM(L33:L35)</f>
        <v>0</v>
      </c>
      <c r="M36" s="16"/>
      <c r="N36" s="31">
        <f t="shared" ref="N36" si="107">SUM(N33:N35)</f>
        <v>0</v>
      </c>
      <c r="O36" s="37">
        <f t="shared" ref="O36" si="108">SUM(O33:O35)</f>
        <v>0</v>
      </c>
      <c r="P36" s="16"/>
      <c r="Q36" s="31">
        <f t="shared" ref="Q36" si="109">SUM(Q33:Q35)</f>
        <v>0</v>
      </c>
      <c r="R36" s="37">
        <f t="shared" ref="R36" si="110">SUM(R33:R35)</f>
        <v>0</v>
      </c>
      <c r="S36" s="31">
        <f t="shared" ref="S36" si="111">SUM(S33:S35)</f>
        <v>19</v>
      </c>
      <c r="T36" s="37">
        <f t="shared" ref="T36" si="112">SUM(T33:T35)</f>
        <v>1.2706749999999998</v>
      </c>
      <c r="U36" s="31">
        <f t="shared" ref="U36" si="113">SUM(U33:U35)</f>
        <v>10</v>
      </c>
      <c r="V36" s="37">
        <f t="shared" ref="V36" si="114">SUM(V33:V35)</f>
        <v>0.61649999999999994</v>
      </c>
      <c r="X36" s="29"/>
    </row>
    <row r="37" spans="1:24">
      <c r="A37" s="33"/>
      <c r="B37" s="33"/>
      <c r="C37" s="34"/>
      <c r="D37" s="34"/>
      <c r="E37" s="34">
        <f t="shared" ref="E37:F37" si="115">SUM(E36,E32,E24,E19)</f>
        <v>1090</v>
      </c>
      <c r="F37" s="35">
        <f t="shared" si="115"/>
        <v>69.257906999999989</v>
      </c>
      <c r="G37" s="26"/>
      <c r="H37" s="34">
        <f t="shared" ref="H37" si="116">SUM(H36,H32,H24,H19)</f>
        <v>253</v>
      </c>
      <c r="I37" s="35">
        <f t="shared" ref="I37" si="117">SUM(I36,I32,I24,I19)</f>
        <v>16.392353999999997</v>
      </c>
      <c r="J37" s="26"/>
      <c r="K37" s="34">
        <f t="shared" ref="K37" si="118">SUM(K36,K32,K24,K19)</f>
        <v>481</v>
      </c>
      <c r="L37" s="35">
        <f t="shared" ref="L37" si="119">SUM(L36,L32,L24,L19)</f>
        <v>30.422637000000002</v>
      </c>
      <c r="M37" s="26"/>
      <c r="N37" s="34">
        <f t="shared" ref="N37" si="120">SUM(N36,N32,N24,N19)</f>
        <v>310</v>
      </c>
      <c r="O37" s="35">
        <f t="shared" ref="O37" si="121">SUM(O36,O32,O24,O19)</f>
        <v>19.572547999999998</v>
      </c>
      <c r="P37" s="26"/>
      <c r="Q37" s="34">
        <f t="shared" ref="Q37" si="122">SUM(Q36,Q32,Q24,Q19)</f>
        <v>55</v>
      </c>
      <c r="R37" s="35">
        <f t="shared" ref="R37" si="123">SUM(R36,R32,R24,R19)</f>
        <v>3.5689339999999996</v>
      </c>
      <c r="S37" s="34">
        <f t="shared" ref="S37" si="124">SUM(S36,S32,S24,S19)</f>
        <v>1099</v>
      </c>
      <c r="T37" s="35">
        <f t="shared" ref="T37" si="125">SUM(T36,T32,T24,T19)</f>
        <v>69.956472999999988</v>
      </c>
      <c r="U37" s="34">
        <f t="shared" ref="U37" si="126">SUM(U36,U32,U24,U19)</f>
        <v>-9</v>
      </c>
      <c r="V37" s="35">
        <f t="shared" ref="V37" si="127">SUM(V36,V32,V24,V19)</f>
        <v>-0.69856599999999824</v>
      </c>
    </row>
    <row r="52" spans="18:18">
      <c r="R52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8"/>
  <dimension ref="A1:X36"/>
  <sheetViews>
    <sheetView zoomScale="75" zoomScaleNormal="75" workbookViewId="0">
      <pane ySplit="5" topLeftCell="A6" activePane="bottomLeft" state="frozen"/>
      <selection activeCell="Q31" sqref="Q31"/>
      <selection pane="bottomLeft" activeCell="S6" sqref="S6:V6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226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LOI-437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228</v>
      </c>
      <c r="B2" s="8"/>
      <c r="C2" s="9"/>
      <c r="D2" s="9"/>
      <c r="E2" s="10"/>
      <c r="F2" s="146" t="s">
        <v>237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LOI-437  03.07.23</v>
      </c>
      <c r="V2" s="146"/>
    </row>
    <row r="3" spans="1:24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35</v>
      </c>
      <c r="C6" s="30">
        <v>6.86</v>
      </c>
      <c r="D6" s="27">
        <v>7</v>
      </c>
      <c r="E6" s="28">
        <v>13</v>
      </c>
      <c r="F6" s="16">
        <f>(C6*D6*E6/1000)</f>
        <v>0.62426000000000004</v>
      </c>
      <c r="G6" s="17" t="s">
        <v>93</v>
      </c>
      <c r="H6" s="18">
        <v>13</v>
      </c>
      <c r="I6" s="19">
        <f>(C6*D6*H6/1000)</f>
        <v>0.62426000000000004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13</v>
      </c>
      <c r="T6" s="19">
        <f>+I6+L6+R6+O6</f>
        <v>0.62426000000000004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13</v>
      </c>
      <c r="F7" s="38">
        <f t="shared" si="0"/>
        <v>0.62426000000000004</v>
      </c>
      <c r="G7" s="17" t="s">
        <v>282</v>
      </c>
      <c r="H7" s="31">
        <f t="shared" ref="H7:I7" si="1">SUM(H6)</f>
        <v>13</v>
      </c>
      <c r="I7" s="38">
        <f t="shared" si="1"/>
        <v>0.62426000000000004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13</v>
      </c>
      <c r="T7" s="38">
        <f t="shared" si="4"/>
        <v>0.62426000000000004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13</v>
      </c>
      <c r="B8" s="26" t="s">
        <v>36</v>
      </c>
      <c r="C8" s="30">
        <v>6.97</v>
      </c>
      <c r="D8" s="27">
        <v>10</v>
      </c>
      <c r="E8" s="28">
        <v>8</v>
      </c>
      <c r="F8" s="16">
        <f>(C8*D8*E8/1000)</f>
        <v>0.55759999999999998</v>
      </c>
      <c r="G8" s="17" t="s">
        <v>88</v>
      </c>
      <c r="H8" s="18">
        <v>8</v>
      </c>
      <c r="I8" s="19">
        <f>(C8*D8*H8/1000)</f>
        <v>0.55759999999999998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8</v>
      </c>
      <c r="T8" s="19">
        <f>+I8+L8+R8+O8</f>
        <v>0.55759999999999998</v>
      </c>
      <c r="U8" s="21">
        <f>E8-S8</f>
        <v>0</v>
      </c>
      <c r="V8" s="19">
        <f>F8-T8</f>
        <v>0</v>
      </c>
      <c r="X8" s="29"/>
    </row>
    <row r="9" spans="1:24">
      <c r="A9" s="36"/>
      <c r="B9" s="36"/>
      <c r="C9" s="37"/>
      <c r="D9" s="38"/>
      <c r="E9" s="31">
        <f t="shared" ref="E9:F9" si="5">SUM(E8)</f>
        <v>8</v>
      </c>
      <c r="F9" s="38">
        <f t="shared" si="5"/>
        <v>0.55759999999999998</v>
      </c>
      <c r="G9" s="17" t="s">
        <v>286</v>
      </c>
      <c r="H9" s="31">
        <f t="shared" ref="H9:I9" si="6">SUM(H8)</f>
        <v>8</v>
      </c>
      <c r="I9" s="38">
        <f t="shared" si="6"/>
        <v>0.55759999999999998</v>
      </c>
      <c r="J9" s="16"/>
      <c r="K9" s="31">
        <f t="shared" ref="K9:L9" si="7">SUM(K8)</f>
        <v>0</v>
      </c>
      <c r="L9" s="38">
        <f t="shared" si="7"/>
        <v>0</v>
      </c>
      <c r="M9" s="16"/>
      <c r="N9" s="31">
        <f t="shared" ref="N9:O9" si="8">SUM(N8)</f>
        <v>0</v>
      </c>
      <c r="O9" s="38">
        <f t="shared" si="8"/>
        <v>0</v>
      </c>
      <c r="P9" s="16"/>
      <c r="Q9" s="31">
        <f t="shared" ref="Q9:V9" si="9">SUM(Q8)</f>
        <v>0</v>
      </c>
      <c r="R9" s="38">
        <f t="shared" si="9"/>
        <v>0</v>
      </c>
      <c r="S9" s="31">
        <f t="shared" si="9"/>
        <v>8</v>
      </c>
      <c r="T9" s="38">
        <f t="shared" si="9"/>
        <v>0.55759999999999998</v>
      </c>
      <c r="U9" s="31">
        <f t="shared" si="9"/>
        <v>0</v>
      </c>
      <c r="V9" s="38">
        <f t="shared" si="9"/>
        <v>0</v>
      </c>
      <c r="X9" s="29"/>
    </row>
    <row r="10" spans="1:24">
      <c r="A10" s="26" t="s">
        <v>13</v>
      </c>
      <c r="B10" s="26" t="s">
        <v>26</v>
      </c>
      <c r="C10" s="30">
        <v>8.3000000000000007</v>
      </c>
      <c r="D10" s="27">
        <v>12</v>
      </c>
      <c r="E10" s="28">
        <v>21</v>
      </c>
      <c r="F10" s="16">
        <f>(C10*D10*E10/1000)</f>
        <v>2.0916000000000006</v>
      </c>
      <c r="G10" s="17" t="s">
        <v>88</v>
      </c>
      <c r="H10" s="18">
        <v>5</v>
      </c>
      <c r="I10" s="19">
        <f>(C10*D10*H10/1000)</f>
        <v>0.49800000000000005</v>
      </c>
      <c r="J10" s="16" t="s">
        <v>89</v>
      </c>
      <c r="K10" s="18">
        <v>8</v>
      </c>
      <c r="L10" s="19">
        <f>(C10*D10*K10/1000)</f>
        <v>0.79680000000000006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ref="S10:S15" si="10">+H10+K10+Q10+N10</f>
        <v>13</v>
      </c>
      <c r="T10" s="19">
        <f t="shared" ref="T10:T15" si="11">+I10+L10+R10+O10</f>
        <v>1.2948000000000002</v>
      </c>
      <c r="U10" s="21">
        <f t="shared" ref="U10:U15" si="12">E10-S10</f>
        <v>8</v>
      </c>
      <c r="V10" s="19">
        <f t="shared" ref="V10:V15" si="13">F10-T10</f>
        <v>0.7968000000000004</v>
      </c>
      <c r="X10" s="29"/>
    </row>
    <row r="11" spans="1:24">
      <c r="A11" s="26" t="s">
        <v>13</v>
      </c>
      <c r="B11" s="26" t="s">
        <v>26</v>
      </c>
      <c r="C11" s="30">
        <v>8.3000000000000007</v>
      </c>
      <c r="D11" s="27">
        <v>10.5</v>
      </c>
      <c r="E11" s="28"/>
      <c r="F11" s="16">
        <f>(C11*D11*E11/1000)</f>
        <v>0</v>
      </c>
      <c r="G11" s="17" t="s">
        <v>286</v>
      </c>
      <c r="H11" s="18">
        <v>2</v>
      </c>
      <c r="I11" s="19">
        <f>(C11*D11*H11/1000)</f>
        <v>0.17430000000000001</v>
      </c>
      <c r="J11" s="16" t="s">
        <v>287</v>
      </c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 t="shared" si="10"/>
        <v>2</v>
      </c>
      <c r="T11" s="19">
        <f t="shared" si="11"/>
        <v>0.17430000000000001</v>
      </c>
      <c r="U11" s="21">
        <f t="shared" si="12"/>
        <v>-2</v>
      </c>
      <c r="V11" s="19">
        <f t="shared" si="13"/>
        <v>-0.17430000000000001</v>
      </c>
      <c r="X11" s="29"/>
    </row>
    <row r="12" spans="1:24">
      <c r="A12" s="26" t="s">
        <v>13</v>
      </c>
      <c r="B12" s="26" t="s">
        <v>26</v>
      </c>
      <c r="C12" s="30">
        <v>8.3000000000000007</v>
      </c>
      <c r="D12" s="27">
        <v>10</v>
      </c>
      <c r="E12" s="28"/>
      <c r="F12" s="16">
        <f t="shared" ref="F12:F14" si="14">(C12*D12*E12/1000)</f>
        <v>0</v>
      </c>
      <c r="G12" s="17"/>
      <c r="H12" s="18"/>
      <c r="I12" s="19">
        <f t="shared" ref="I12:I14" si="15">(C12*D12*H12/1000)</f>
        <v>0</v>
      </c>
      <c r="J12" s="16"/>
      <c r="K12" s="18">
        <v>5</v>
      </c>
      <c r="L12" s="19">
        <f t="shared" ref="L12:L14" si="16">(C12*D12*K12/1000)</f>
        <v>0.41499999999999998</v>
      </c>
      <c r="M12" s="16"/>
      <c r="N12" s="18"/>
      <c r="O12" s="19">
        <f t="shared" ref="O12:O14" si="17">(C12*D12*N12/1000)</f>
        <v>0</v>
      </c>
      <c r="P12" s="16"/>
      <c r="Q12" s="18"/>
      <c r="R12" s="19">
        <f t="shared" ref="R12:R14" si="18">(C12*D12*Q12/1000)</f>
        <v>0</v>
      </c>
      <c r="S12" s="20">
        <f t="shared" si="10"/>
        <v>5</v>
      </c>
      <c r="T12" s="19">
        <f t="shared" si="11"/>
        <v>0.41499999999999998</v>
      </c>
      <c r="U12" s="21">
        <f t="shared" si="12"/>
        <v>-5</v>
      </c>
      <c r="V12" s="19">
        <f t="shared" si="13"/>
        <v>-0.41499999999999998</v>
      </c>
      <c r="X12" s="29"/>
    </row>
    <row r="13" spans="1:24">
      <c r="A13" s="26" t="s">
        <v>13</v>
      </c>
      <c r="B13" s="26" t="s">
        <v>26</v>
      </c>
      <c r="C13" s="30">
        <v>8.3000000000000007</v>
      </c>
      <c r="D13" s="27">
        <v>11.5</v>
      </c>
      <c r="E13" s="28"/>
      <c r="F13" s="16">
        <f t="shared" si="14"/>
        <v>0</v>
      </c>
      <c r="G13" s="17"/>
      <c r="H13" s="18"/>
      <c r="I13" s="19">
        <f t="shared" si="15"/>
        <v>0</v>
      </c>
      <c r="J13" s="16"/>
      <c r="K13" s="18">
        <v>1</v>
      </c>
      <c r="L13" s="19">
        <f t="shared" si="16"/>
        <v>9.5450000000000007E-2</v>
      </c>
      <c r="M13" s="16"/>
      <c r="N13" s="18"/>
      <c r="O13" s="19">
        <f t="shared" si="17"/>
        <v>0</v>
      </c>
      <c r="P13" s="16"/>
      <c r="Q13" s="18"/>
      <c r="R13" s="19">
        <f t="shared" si="18"/>
        <v>0</v>
      </c>
      <c r="S13" s="20">
        <f t="shared" si="10"/>
        <v>1</v>
      </c>
      <c r="T13" s="19">
        <f t="shared" si="11"/>
        <v>9.5450000000000007E-2</v>
      </c>
      <c r="U13" s="21">
        <f t="shared" si="12"/>
        <v>-1</v>
      </c>
      <c r="V13" s="19">
        <f t="shared" si="13"/>
        <v>-9.5450000000000007E-2</v>
      </c>
      <c r="X13" s="29"/>
    </row>
    <row r="14" spans="1:24">
      <c r="A14" s="26" t="s">
        <v>13</v>
      </c>
      <c r="B14" s="26" t="s">
        <v>26</v>
      </c>
      <c r="C14" s="30">
        <v>8.3000000000000007</v>
      </c>
      <c r="D14" s="27"/>
      <c r="E14" s="28"/>
      <c r="F14" s="16">
        <f t="shared" si="14"/>
        <v>0</v>
      </c>
      <c r="G14" s="17"/>
      <c r="H14" s="18"/>
      <c r="I14" s="19">
        <f t="shared" si="15"/>
        <v>0</v>
      </c>
      <c r="J14" s="16"/>
      <c r="K14" s="18"/>
      <c r="L14" s="19">
        <f t="shared" si="16"/>
        <v>0</v>
      </c>
      <c r="M14" s="16"/>
      <c r="N14" s="18"/>
      <c r="O14" s="19">
        <f t="shared" si="17"/>
        <v>0</v>
      </c>
      <c r="P14" s="16"/>
      <c r="Q14" s="18"/>
      <c r="R14" s="19">
        <f t="shared" si="18"/>
        <v>0</v>
      </c>
      <c r="S14" s="20">
        <f t="shared" si="10"/>
        <v>0</v>
      </c>
      <c r="T14" s="19">
        <f t="shared" si="11"/>
        <v>0</v>
      </c>
      <c r="U14" s="21">
        <f t="shared" si="12"/>
        <v>0</v>
      </c>
      <c r="V14" s="19">
        <f t="shared" si="13"/>
        <v>0</v>
      </c>
      <c r="X14" s="29"/>
    </row>
    <row r="15" spans="1:24">
      <c r="A15" s="26" t="s">
        <v>13</v>
      </c>
      <c r="B15" s="26" t="s">
        <v>26</v>
      </c>
      <c r="C15" s="30">
        <v>8.3000000000000007</v>
      </c>
      <c r="D15" s="27"/>
      <c r="E15" s="28"/>
      <c r="F15" s="16">
        <f>(C15*D15*E15/1000)</f>
        <v>0</v>
      </c>
      <c r="G15" s="17"/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 t="shared" si="10"/>
        <v>0</v>
      </c>
      <c r="T15" s="19">
        <f t="shared" si="11"/>
        <v>0</v>
      </c>
      <c r="U15" s="21">
        <f t="shared" si="12"/>
        <v>0</v>
      </c>
      <c r="V15" s="19">
        <f t="shared" si="13"/>
        <v>0</v>
      </c>
      <c r="X15" s="29"/>
    </row>
    <row r="16" spans="1:24">
      <c r="A16" s="36"/>
      <c r="B16" s="36"/>
      <c r="C16" s="37"/>
      <c r="D16" s="38"/>
      <c r="E16" s="31">
        <f>SUM(E10:E15)</f>
        <v>21</v>
      </c>
      <c r="F16" s="38">
        <f t="shared" ref="F16" si="19">SUM(F10:F15)</f>
        <v>2.0916000000000006</v>
      </c>
      <c r="G16" s="17"/>
      <c r="H16" s="31">
        <f>SUM(H10:H15)</f>
        <v>7</v>
      </c>
      <c r="I16" s="38">
        <f>SUM(I10:I15)</f>
        <v>0.67230000000000012</v>
      </c>
      <c r="J16" s="16"/>
      <c r="K16" s="31">
        <f>SUM(K10:K15)</f>
        <v>14</v>
      </c>
      <c r="L16" s="38">
        <f>SUM(L10:L15)</f>
        <v>1.30725</v>
      </c>
      <c r="M16" s="16"/>
      <c r="N16" s="31">
        <f>SUM(N10:N15)</f>
        <v>0</v>
      </c>
      <c r="O16" s="38">
        <f>SUM(O10:O15)</f>
        <v>0</v>
      </c>
      <c r="P16" s="16"/>
      <c r="Q16" s="31">
        <f t="shared" ref="Q16:V16" si="20">SUM(Q10:Q15)</f>
        <v>0</v>
      </c>
      <c r="R16" s="38">
        <f t="shared" si="20"/>
        <v>0</v>
      </c>
      <c r="S16" s="31">
        <f t="shared" si="20"/>
        <v>21</v>
      </c>
      <c r="T16" s="38">
        <f t="shared" si="20"/>
        <v>1.9795500000000001</v>
      </c>
      <c r="U16" s="31">
        <f t="shared" si="20"/>
        <v>0</v>
      </c>
      <c r="V16" s="38">
        <f t="shared" si="20"/>
        <v>0.1120500000000004</v>
      </c>
      <c r="X16" s="29"/>
    </row>
    <row r="17" spans="1:24">
      <c r="A17" s="26" t="s">
        <v>24</v>
      </c>
      <c r="B17" s="26" t="s">
        <v>34</v>
      </c>
      <c r="C17" s="30">
        <v>5.77</v>
      </c>
      <c r="D17" s="27">
        <v>12</v>
      </c>
      <c r="E17" s="28">
        <v>20</v>
      </c>
      <c r="F17" s="16">
        <f>(C17*D17*E17/1000)</f>
        <v>1.3848</v>
      </c>
      <c r="G17" s="17" t="s">
        <v>93</v>
      </c>
      <c r="H17" s="18">
        <v>16</v>
      </c>
      <c r="I17" s="19">
        <f>(C17*D17*H17/1000)</f>
        <v>1.1078399999999999</v>
      </c>
      <c r="J17" s="16" t="s">
        <v>93</v>
      </c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 t="shared" ref="S17:S19" si="21">+H17+K17+Q17+N17</f>
        <v>16</v>
      </c>
      <c r="T17" s="19">
        <f t="shared" ref="T17:T19" si="22">+I17+L17+R17+O17</f>
        <v>1.1078399999999999</v>
      </c>
      <c r="U17" s="21">
        <f t="shared" ref="U17:U19" si="23">E17-S17</f>
        <v>4</v>
      </c>
      <c r="V17" s="19">
        <f t="shared" ref="V17:V19" si="24">F17-T17</f>
        <v>0.27696000000000009</v>
      </c>
      <c r="X17" s="29"/>
    </row>
    <row r="18" spans="1:24">
      <c r="A18" s="26" t="s">
        <v>24</v>
      </c>
      <c r="B18" s="26" t="s">
        <v>34</v>
      </c>
      <c r="C18" s="30">
        <v>5.77</v>
      </c>
      <c r="D18" s="27">
        <v>6.75</v>
      </c>
      <c r="E18" s="28"/>
      <c r="F18" s="16">
        <f>(C18*D18*E18/1000)</f>
        <v>0</v>
      </c>
      <c r="G18" s="17" t="s">
        <v>281</v>
      </c>
      <c r="H18" s="18">
        <v>2</v>
      </c>
      <c r="I18" s="19">
        <f>(C18*D18*H18/1000)</f>
        <v>7.7894999999999992E-2</v>
      </c>
      <c r="J18" s="16" t="s">
        <v>287</v>
      </c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 t="shared" si="21"/>
        <v>2</v>
      </c>
      <c r="T18" s="19">
        <f t="shared" si="22"/>
        <v>7.7894999999999992E-2</v>
      </c>
      <c r="U18" s="21">
        <f t="shared" si="23"/>
        <v>-2</v>
      </c>
      <c r="V18" s="19">
        <f t="shared" si="24"/>
        <v>-7.7894999999999992E-2</v>
      </c>
      <c r="X18" s="29"/>
    </row>
    <row r="19" spans="1:24">
      <c r="A19" s="26" t="s">
        <v>24</v>
      </c>
      <c r="B19" s="26" t="s">
        <v>34</v>
      </c>
      <c r="C19" s="30">
        <v>5.77</v>
      </c>
      <c r="D19" s="27">
        <v>10</v>
      </c>
      <c r="E19" s="28"/>
      <c r="F19" s="16">
        <f>(C19*D19*E19/1000)</f>
        <v>0</v>
      </c>
      <c r="G19" s="17"/>
      <c r="H19" s="18"/>
      <c r="I19" s="19">
        <f>(C19*D19*H19/1000)</f>
        <v>0</v>
      </c>
      <c r="J19" s="16"/>
      <c r="K19" s="18">
        <v>4</v>
      </c>
      <c r="L19" s="19">
        <f>(C19*D19*K19/1000)</f>
        <v>0.23079999999999998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 t="shared" si="21"/>
        <v>4</v>
      </c>
      <c r="T19" s="19">
        <f t="shared" si="22"/>
        <v>0.23079999999999998</v>
      </c>
      <c r="U19" s="21">
        <f t="shared" si="23"/>
        <v>-4</v>
      </c>
      <c r="V19" s="19">
        <f t="shared" si="24"/>
        <v>-0.23079999999999998</v>
      </c>
      <c r="X19" s="29"/>
    </row>
    <row r="20" spans="1:24">
      <c r="A20" s="36"/>
      <c r="B20" s="36"/>
      <c r="C20" s="37"/>
      <c r="D20" s="38"/>
      <c r="E20" s="31">
        <f t="shared" ref="E20:F20" si="25">SUM(E17:E19)</f>
        <v>20</v>
      </c>
      <c r="F20" s="38">
        <f t="shared" si="25"/>
        <v>1.3848</v>
      </c>
      <c r="G20" s="17"/>
      <c r="H20" s="31">
        <f t="shared" ref="H20" si="26">SUM(H17:H19)</f>
        <v>18</v>
      </c>
      <c r="I20" s="38">
        <f t="shared" ref="I20" si="27">SUM(I17:I19)</f>
        <v>1.185735</v>
      </c>
      <c r="J20" s="16"/>
      <c r="K20" s="31">
        <f t="shared" ref="K20" si="28">SUM(K17:K19)</f>
        <v>4</v>
      </c>
      <c r="L20" s="38">
        <f t="shared" ref="L20" si="29">SUM(L17:L19)</f>
        <v>0.23079999999999998</v>
      </c>
      <c r="M20" s="16"/>
      <c r="N20" s="31">
        <f t="shared" ref="N20" si="30">SUM(N17:N19)</f>
        <v>0</v>
      </c>
      <c r="O20" s="38">
        <f t="shared" ref="O20" si="31">SUM(O17:O19)</f>
        <v>0</v>
      </c>
      <c r="P20" s="16"/>
      <c r="Q20" s="31">
        <f t="shared" ref="Q20" si="32">SUM(Q17:Q19)</f>
        <v>0</v>
      </c>
      <c r="R20" s="38">
        <f t="shared" ref="R20" si="33">SUM(R17:R19)</f>
        <v>0</v>
      </c>
      <c r="S20" s="31">
        <f t="shared" ref="S20" si="34">SUM(S17:S19)</f>
        <v>22</v>
      </c>
      <c r="T20" s="38">
        <f t="shared" ref="T20" si="35">SUM(T17:T19)</f>
        <v>1.4165349999999999</v>
      </c>
      <c r="U20" s="31">
        <f t="shared" ref="U20" si="36">SUM(U17:U19)</f>
        <v>-2</v>
      </c>
      <c r="V20" s="38">
        <f t="shared" ref="V20" si="37">SUM(V17:V19)</f>
        <v>-3.1734999999999874E-2</v>
      </c>
      <c r="X20" s="29"/>
    </row>
    <row r="21" spans="1:24">
      <c r="A21" s="33"/>
      <c r="B21" s="33"/>
      <c r="C21" s="34"/>
      <c r="D21" s="34"/>
      <c r="E21" s="34">
        <f t="shared" ref="E21:F21" si="38">SUM(E20,E16,E9,E7)</f>
        <v>62</v>
      </c>
      <c r="F21" s="35">
        <f t="shared" si="38"/>
        <v>4.6582600000000003</v>
      </c>
      <c r="G21" s="26"/>
      <c r="H21" s="34">
        <f t="shared" ref="H21" si="39">SUM(H20,H16,H9,H7)</f>
        <v>46</v>
      </c>
      <c r="I21" s="35">
        <f t="shared" ref="I21" si="40">SUM(I20,I16,I9,I7)</f>
        <v>3.039895</v>
      </c>
      <c r="J21" s="26"/>
      <c r="K21" s="34">
        <f t="shared" ref="K21" si="41">SUM(K20,K16,K9,K7)</f>
        <v>18</v>
      </c>
      <c r="L21" s="35">
        <f t="shared" ref="L21" si="42">SUM(L20,L16,L9,L7)</f>
        <v>1.5380499999999999</v>
      </c>
      <c r="M21" s="26"/>
      <c r="N21" s="34">
        <f t="shared" ref="N21" si="43">SUM(N20,N16,N9,N7)</f>
        <v>0</v>
      </c>
      <c r="O21" s="35">
        <f t="shared" ref="O21" si="44">SUM(O20,O16,O9,O7)</f>
        <v>0</v>
      </c>
      <c r="P21" s="26"/>
      <c r="Q21" s="34">
        <f t="shared" ref="Q21" si="45">SUM(Q20,Q16,Q9,Q7)</f>
        <v>0</v>
      </c>
      <c r="R21" s="35">
        <f t="shared" ref="R21" si="46">SUM(R20,R16,R9,R7)</f>
        <v>0</v>
      </c>
      <c r="S21" s="34">
        <f t="shared" ref="S21" si="47">SUM(S20,S16,S9,S7)</f>
        <v>64</v>
      </c>
      <c r="T21" s="35">
        <f t="shared" ref="T21" si="48">SUM(T20,T16,T9,T7)</f>
        <v>4.5779449999999997</v>
      </c>
      <c r="U21" s="34">
        <f t="shared" ref="U21" si="49">SUM(U20,U16,U9,U7)</f>
        <v>-2</v>
      </c>
      <c r="V21" s="35">
        <f t="shared" ref="V21" si="50">SUM(V20,V16,V9,V7)</f>
        <v>8.0315000000000525E-2</v>
      </c>
    </row>
    <row r="36" spans="18:18">
      <c r="R36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39"/>
  <dimension ref="A1:X25"/>
  <sheetViews>
    <sheetView zoomScale="75" zoomScaleNormal="75" workbookViewId="0">
      <pane ySplit="5" topLeftCell="A6" activePane="bottomLeft" state="frozen"/>
      <selection activeCell="A4" sqref="A4"/>
      <selection pane="bottomLeft" activeCell="S6" sqref="S6:V8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153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LOI-438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263</v>
      </c>
      <c r="B2" s="8"/>
      <c r="C2" s="9"/>
      <c r="D2" s="9"/>
      <c r="E2" s="10"/>
      <c r="F2" s="146" t="s">
        <v>262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LOI-438  03.07.23</v>
      </c>
      <c r="V2" s="146"/>
    </row>
    <row r="3" spans="1:24">
      <c r="A3" s="12" t="s">
        <v>264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34</v>
      </c>
      <c r="C6" s="30">
        <v>5.76</v>
      </c>
      <c r="D6" s="27">
        <v>12</v>
      </c>
      <c r="E6" s="28">
        <v>10</v>
      </c>
      <c r="F6" s="16">
        <f t="shared" ref="F6" si="0">(C6*D6*E6/1000)</f>
        <v>0.69120000000000004</v>
      </c>
      <c r="G6" s="17" t="s">
        <v>93</v>
      </c>
      <c r="H6" s="18">
        <v>1</v>
      </c>
      <c r="I6" s="19">
        <f t="shared" ref="I6" si="1">(C6*D6*H6/1000)</f>
        <v>6.9120000000000001E-2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16"/>
      <c r="Q6" s="18"/>
      <c r="R6" s="19">
        <f t="shared" ref="R6" si="4">(C6*D6*Q6/1000)</f>
        <v>0</v>
      </c>
      <c r="S6" s="20">
        <f t="shared" ref="S6:T8" si="5">+H6+K6+Q6+N6</f>
        <v>1</v>
      </c>
      <c r="T6" s="19">
        <f t="shared" si="5"/>
        <v>6.9120000000000001E-2</v>
      </c>
      <c r="U6" s="21">
        <f t="shared" ref="U6:V8" si="6">E6-S6</f>
        <v>9</v>
      </c>
      <c r="V6" s="19">
        <f t="shared" si="6"/>
        <v>0.62208000000000008</v>
      </c>
      <c r="X6" s="29"/>
    </row>
    <row r="7" spans="1:24">
      <c r="A7" s="26" t="s">
        <v>14</v>
      </c>
      <c r="B7" s="26" t="s">
        <v>34</v>
      </c>
      <c r="C7" s="30">
        <v>5.76</v>
      </c>
      <c r="D7" s="27">
        <v>10</v>
      </c>
      <c r="E7" s="28"/>
      <c r="F7" s="16">
        <f t="shared" ref="F7:F8" si="7">(C7*D7*E7/1000)</f>
        <v>0</v>
      </c>
      <c r="G7" s="17" t="s">
        <v>279</v>
      </c>
      <c r="H7" s="18">
        <v>1</v>
      </c>
      <c r="I7" s="19">
        <f t="shared" ref="I7:I8" si="8">(C7*D7*H7/1000)</f>
        <v>5.7599999999999991E-2</v>
      </c>
      <c r="J7" s="16"/>
      <c r="K7" s="18"/>
      <c r="L7" s="19">
        <f t="shared" ref="L7:L8" si="9">(C7*D7*K7/1000)</f>
        <v>0</v>
      </c>
      <c r="M7" s="16"/>
      <c r="N7" s="18"/>
      <c r="O7" s="19">
        <f t="shared" ref="O7:O8" si="10">(C7*D7*N7/1000)</f>
        <v>0</v>
      </c>
      <c r="P7" s="16"/>
      <c r="Q7" s="18"/>
      <c r="R7" s="19">
        <f t="shared" ref="R7:R8" si="11">(C7*D7*Q7/1000)</f>
        <v>0</v>
      </c>
      <c r="S7" s="20">
        <f t="shared" si="5"/>
        <v>1</v>
      </c>
      <c r="T7" s="19">
        <f t="shared" si="5"/>
        <v>5.7599999999999991E-2</v>
      </c>
      <c r="U7" s="21">
        <f t="shared" si="6"/>
        <v>-1</v>
      </c>
      <c r="V7" s="19">
        <f t="shared" si="6"/>
        <v>-5.7599999999999991E-2</v>
      </c>
      <c r="X7" s="29"/>
    </row>
    <row r="8" spans="1:24">
      <c r="A8" s="26" t="s">
        <v>14</v>
      </c>
      <c r="B8" s="26" t="s">
        <v>34</v>
      </c>
      <c r="C8" s="30">
        <v>5.76</v>
      </c>
      <c r="D8" s="27">
        <v>11.5</v>
      </c>
      <c r="E8" s="28"/>
      <c r="F8" s="16">
        <f t="shared" si="7"/>
        <v>0</v>
      </c>
      <c r="G8" s="17"/>
      <c r="H8" s="18">
        <v>8</v>
      </c>
      <c r="I8" s="19">
        <f t="shared" si="8"/>
        <v>0.52991999999999995</v>
      </c>
      <c r="J8" s="16"/>
      <c r="K8" s="18"/>
      <c r="L8" s="19">
        <f t="shared" si="9"/>
        <v>0</v>
      </c>
      <c r="M8" s="16"/>
      <c r="N8" s="18"/>
      <c r="O8" s="19">
        <f t="shared" si="10"/>
        <v>0</v>
      </c>
      <c r="P8" s="16"/>
      <c r="Q8" s="18"/>
      <c r="R8" s="19">
        <f t="shared" si="11"/>
        <v>0</v>
      </c>
      <c r="S8" s="20">
        <f t="shared" si="5"/>
        <v>8</v>
      </c>
      <c r="T8" s="19">
        <f t="shared" si="5"/>
        <v>0.52991999999999995</v>
      </c>
      <c r="U8" s="21">
        <f t="shared" si="6"/>
        <v>-8</v>
      </c>
      <c r="V8" s="19">
        <f t="shared" si="6"/>
        <v>-0.52991999999999995</v>
      </c>
      <c r="X8" s="29"/>
    </row>
    <row r="9" spans="1:24">
      <c r="A9" s="36"/>
      <c r="B9" s="36"/>
      <c r="C9" s="31"/>
      <c r="D9" s="38"/>
      <c r="E9" s="31">
        <f>SUM(E6:E8)</f>
        <v>10</v>
      </c>
      <c r="F9" s="37">
        <f>SUM(F6:F8)</f>
        <v>0.69120000000000004</v>
      </c>
      <c r="G9" s="17"/>
      <c r="H9" s="31">
        <f>SUM(H6:H8)</f>
        <v>10</v>
      </c>
      <c r="I9" s="37">
        <f>SUM(I6:I8)</f>
        <v>0.65663999999999989</v>
      </c>
      <c r="J9" s="16"/>
      <c r="K9" s="31">
        <f>SUM(K6:K8)</f>
        <v>0</v>
      </c>
      <c r="L9" s="37">
        <f>SUM(L6:L8)</f>
        <v>0</v>
      </c>
      <c r="M9" s="16"/>
      <c r="N9" s="31">
        <f>SUM(N6:N8)</f>
        <v>0</v>
      </c>
      <c r="O9" s="37">
        <f>SUM(O6:O8)</f>
        <v>0</v>
      </c>
      <c r="P9" s="16"/>
      <c r="Q9" s="31">
        <f t="shared" ref="Q9:V9" si="12">SUM(Q6:Q8)</f>
        <v>0</v>
      </c>
      <c r="R9" s="37">
        <f t="shared" si="12"/>
        <v>0</v>
      </c>
      <c r="S9" s="31">
        <f t="shared" si="12"/>
        <v>10</v>
      </c>
      <c r="T9" s="37">
        <f t="shared" si="12"/>
        <v>0.65663999999999989</v>
      </c>
      <c r="U9" s="31">
        <f t="shared" si="12"/>
        <v>0</v>
      </c>
      <c r="V9" s="37">
        <f t="shared" si="12"/>
        <v>3.4560000000000146E-2</v>
      </c>
      <c r="X9" s="29"/>
    </row>
    <row r="10" spans="1:24">
      <c r="A10" s="33"/>
      <c r="B10" s="33"/>
      <c r="C10" s="34"/>
      <c r="D10" s="34"/>
      <c r="E10" s="34">
        <f t="shared" ref="E10:F10" si="13">SUM(E9)</f>
        <v>10</v>
      </c>
      <c r="F10" s="35">
        <f t="shared" si="13"/>
        <v>0.69120000000000004</v>
      </c>
      <c r="G10" s="26"/>
      <c r="H10" s="34">
        <f t="shared" ref="H10:I10" si="14">SUM(H9)</f>
        <v>10</v>
      </c>
      <c r="I10" s="35">
        <f t="shared" si="14"/>
        <v>0.65663999999999989</v>
      </c>
      <c r="J10" s="26"/>
      <c r="K10" s="34">
        <f t="shared" ref="K10:L10" si="15">SUM(K9)</f>
        <v>0</v>
      </c>
      <c r="L10" s="35">
        <f t="shared" si="15"/>
        <v>0</v>
      </c>
      <c r="M10" s="26"/>
      <c r="N10" s="34">
        <f t="shared" ref="N10:O10" si="16">SUM(N9)</f>
        <v>0</v>
      </c>
      <c r="O10" s="35">
        <f t="shared" si="16"/>
        <v>0</v>
      </c>
      <c r="P10" s="26"/>
      <c r="Q10" s="34">
        <f t="shared" ref="Q10:V10" si="17">SUM(Q9)</f>
        <v>0</v>
      </c>
      <c r="R10" s="35">
        <f t="shared" si="17"/>
        <v>0</v>
      </c>
      <c r="S10" s="34">
        <f t="shared" si="17"/>
        <v>10</v>
      </c>
      <c r="T10" s="35">
        <f t="shared" si="17"/>
        <v>0.65663999999999989</v>
      </c>
      <c r="U10" s="34">
        <f t="shared" si="17"/>
        <v>0</v>
      </c>
      <c r="V10" s="35">
        <f t="shared" si="17"/>
        <v>3.4560000000000146E-2</v>
      </c>
    </row>
    <row r="25" spans="18:18">
      <c r="R25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0"/>
  <dimension ref="A1:X32"/>
  <sheetViews>
    <sheetView zoomScale="75" zoomScaleNormal="75" workbookViewId="0">
      <pane ySplit="5" topLeftCell="A6" activePane="bottomLeft" state="frozen"/>
      <selection pane="bottomLeft" activeCell="G8" sqref="G8:G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226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LOI-442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228</v>
      </c>
      <c r="B2" s="8"/>
      <c r="C2" s="9"/>
      <c r="D2" s="9"/>
      <c r="E2" s="10"/>
      <c r="F2" s="146" t="s">
        <v>238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LOI-442  03.07.23</v>
      </c>
      <c r="V2" s="146"/>
    </row>
    <row r="3" spans="1:24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46</v>
      </c>
      <c r="C6" s="30">
        <v>10.73</v>
      </c>
      <c r="D6" s="27">
        <v>12</v>
      </c>
      <c r="E6" s="28">
        <v>5</v>
      </c>
      <c r="F6" s="16">
        <f>(C6*D6*E6/1000)</f>
        <v>0.64379999999999993</v>
      </c>
      <c r="G6" s="17" t="s">
        <v>111</v>
      </c>
      <c r="H6" s="18">
        <v>5</v>
      </c>
      <c r="I6" s="19">
        <f>(C6*D6*H6/1000)</f>
        <v>0.64379999999999993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5</v>
      </c>
      <c r="T6" s="19">
        <f>+I6+L6+R6+O6</f>
        <v>0.64379999999999993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5</v>
      </c>
      <c r="F7" s="38">
        <f t="shared" si="0"/>
        <v>0.64379999999999993</v>
      </c>
      <c r="G7" s="17" t="s">
        <v>291</v>
      </c>
      <c r="H7" s="31">
        <f t="shared" ref="H7:I7" si="1">SUM(H6)</f>
        <v>5</v>
      </c>
      <c r="I7" s="38">
        <f t="shared" si="1"/>
        <v>0.64379999999999993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5</v>
      </c>
      <c r="T7" s="38">
        <f t="shared" si="4"/>
        <v>0.64379999999999993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14</v>
      </c>
      <c r="B8" s="26" t="s">
        <v>45</v>
      </c>
      <c r="C8" s="30">
        <v>9.26</v>
      </c>
      <c r="D8" s="27">
        <v>12</v>
      </c>
      <c r="E8" s="28">
        <v>5</v>
      </c>
      <c r="F8" s="16">
        <f>(C8*D8*E8/1000)</f>
        <v>0.55559999999999998</v>
      </c>
      <c r="G8" s="16" t="s">
        <v>293</v>
      </c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5</v>
      </c>
      <c r="V8" s="19">
        <f>F8-T8</f>
        <v>0.55559999999999998</v>
      </c>
      <c r="X8" s="29"/>
    </row>
    <row r="9" spans="1:24">
      <c r="A9" s="26" t="s">
        <v>14</v>
      </c>
      <c r="B9" s="26" t="s">
        <v>45</v>
      </c>
      <c r="C9" s="30">
        <v>9.26</v>
      </c>
      <c r="D9" s="27">
        <v>12</v>
      </c>
      <c r="E9" s="28"/>
      <c r="F9" s="16">
        <f t="shared" ref="F9:F15" si="5">(C9*D9*E9/1000)</f>
        <v>0</v>
      </c>
      <c r="G9" s="16" t="s">
        <v>294</v>
      </c>
      <c r="H9" s="18">
        <v>3</v>
      </c>
      <c r="I9" s="19">
        <f t="shared" ref="I9:I15" si="6">(C9*D9*H9/1000)</f>
        <v>0.33335999999999999</v>
      </c>
      <c r="J9" s="16"/>
      <c r="K9" s="18"/>
      <c r="L9" s="19">
        <f t="shared" ref="L9:L15" si="7">(C9*D9*K9/1000)</f>
        <v>0</v>
      </c>
      <c r="M9" s="16"/>
      <c r="N9" s="18"/>
      <c r="O9" s="19">
        <f t="shared" ref="O9:O15" si="8">(C9*D9*N9/1000)</f>
        <v>0</v>
      </c>
      <c r="P9" s="16"/>
      <c r="Q9" s="18"/>
      <c r="R9" s="19">
        <f t="shared" ref="R9:R15" si="9">(C9*D9*Q9/1000)</f>
        <v>0</v>
      </c>
      <c r="S9" s="20">
        <f t="shared" ref="S9:S15" si="10">+H9+K9+Q9+N9</f>
        <v>3</v>
      </c>
      <c r="T9" s="19">
        <f t="shared" ref="T9:T15" si="11">+I9+L9+R9+O9</f>
        <v>0.33335999999999999</v>
      </c>
      <c r="U9" s="21">
        <f t="shared" ref="U9:U15" si="12">E9-S9</f>
        <v>-3</v>
      </c>
      <c r="V9" s="19">
        <f t="shared" ref="V9:V15" si="13">F9-T9</f>
        <v>-0.33335999999999999</v>
      </c>
      <c r="X9" s="29"/>
    </row>
    <row r="10" spans="1:24">
      <c r="A10" s="26" t="s">
        <v>14</v>
      </c>
      <c r="B10" s="26" t="s">
        <v>45</v>
      </c>
      <c r="C10" s="30">
        <v>9.26</v>
      </c>
      <c r="D10" s="27">
        <v>11.9</v>
      </c>
      <c r="E10" s="28"/>
      <c r="F10" s="16">
        <f t="shared" si="5"/>
        <v>0</v>
      </c>
      <c r="G10" s="16"/>
      <c r="H10" s="18">
        <v>1</v>
      </c>
      <c r="I10" s="19">
        <f t="shared" si="6"/>
        <v>0.110194</v>
      </c>
      <c r="J10" s="16"/>
      <c r="K10" s="18"/>
      <c r="L10" s="19">
        <f t="shared" si="7"/>
        <v>0</v>
      </c>
      <c r="M10" s="16"/>
      <c r="N10" s="18"/>
      <c r="O10" s="19">
        <f t="shared" si="8"/>
        <v>0</v>
      </c>
      <c r="P10" s="16"/>
      <c r="Q10" s="18"/>
      <c r="R10" s="19">
        <f t="shared" si="9"/>
        <v>0</v>
      </c>
      <c r="S10" s="20">
        <f t="shared" si="10"/>
        <v>1</v>
      </c>
      <c r="T10" s="19">
        <f t="shared" si="11"/>
        <v>0.110194</v>
      </c>
      <c r="U10" s="21">
        <f t="shared" si="12"/>
        <v>-1</v>
      </c>
      <c r="V10" s="19">
        <f t="shared" si="13"/>
        <v>-0.110194</v>
      </c>
      <c r="X10" s="29"/>
    </row>
    <row r="11" spans="1:24">
      <c r="A11" s="26" t="s">
        <v>14</v>
      </c>
      <c r="B11" s="26" t="s">
        <v>45</v>
      </c>
      <c r="C11" s="30">
        <v>9.26</v>
      </c>
      <c r="D11" s="27">
        <v>11.5</v>
      </c>
      <c r="E11" s="28"/>
      <c r="F11" s="16">
        <f t="shared" si="5"/>
        <v>0</v>
      </c>
      <c r="G11" s="16"/>
      <c r="H11" s="18">
        <v>1</v>
      </c>
      <c r="I11" s="19">
        <f t="shared" si="6"/>
        <v>0.10649</v>
      </c>
      <c r="J11" s="16"/>
      <c r="K11" s="18"/>
      <c r="L11" s="19">
        <f t="shared" si="7"/>
        <v>0</v>
      </c>
      <c r="M11" s="16"/>
      <c r="N11" s="18"/>
      <c r="O11" s="19">
        <f t="shared" si="8"/>
        <v>0</v>
      </c>
      <c r="P11" s="16"/>
      <c r="Q11" s="18"/>
      <c r="R11" s="19">
        <f t="shared" si="9"/>
        <v>0</v>
      </c>
      <c r="S11" s="20">
        <f t="shared" si="10"/>
        <v>1</v>
      </c>
      <c r="T11" s="19">
        <f t="shared" si="11"/>
        <v>0.10649</v>
      </c>
      <c r="U11" s="21">
        <f t="shared" si="12"/>
        <v>-1</v>
      </c>
      <c r="V11" s="19">
        <f t="shared" si="13"/>
        <v>-0.10649</v>
      </c>
      <c r="X11" s="29"/>
    </row>
    <row r="12" spans="1:24">
      <c r="A12" s="26" t="s">
        <v>14</v>
      </c>
      <c r="B12" s="26" t="s">
        <v>45</v>
      </c>
      <c r="C12" s="30">
        <v>9.26</v>
      </c>
      <c r="D12" s="27">
        <v>10.9</v>
      </c>
      <c r="E12" s="28"/>
      <c r="F12" s="16">
        <f t="shared" si="5"/>
        <v>0</v>
      </c>
      <c r="G12" s="16"/>
      <c r="H12" s="18">
        <v>1</v>
      </c>
      <c r="I12" s="19">
        <f t="shared" si="6"/>
        <v>0.100934</v>
      </c>
      <c r="J12" s="16"/>
      <c r="K12" s="18"/>
      <c r="L12" s="19">
        <f t="shared" si="7"/>
        <v>0</v>
      </c>
      <c r="M12" s="16"/>
      <c r="N12" s="18"/>
      <c r="O12" s="19">
        <f t="shared" si="8"/>
        <v>0</v>
      </c>
      <c r="P12" s="16"/>
      <c r="Q12" s="18"/>
      <c r="R12" s="19">
        <f t="shared" si="9"/>
        <v>0</v>
      </c>
      <c r="S12" s="20">
        <f t="shared" si="10"/>
        <v>1</v>
      </c>
      <c r="T12" s="19">
        <f t="shared" si="11"/>
        <v>0.100934</v>
      </c>
      <c r="U12" s="21">
        <f t="shared" si="12"/>
        <v>-1</v>
      </c>
      <c r="V12" s="19">
        <f t="shared" si="13"/>
        <v>-0.100934</v>
      </c>
      <c r="X12" s="29"/>
    </row>
    <row r="13" spans="1:24">
      <c r="A13" s="26" t="s">
        <v>14</v>
      </c>
      <c r="B13" s="26" t="s">
        <v>45</v>
      </c>
      <c r="C13" s="30">
        <v>9.26</v>
      </c>
      <c r="D13" s="27"/>
      <c r="E13" s="28"/>
      <c r="F13" s="16">
        <f t="shared" si="5"/>
        <v>0</v>
      </c>
      <c r="G13" s="16"/>
      <c r="H13" s="18"/>
      <c r="I13" s="19">
        <f t="shared" si="6"/>
        <v>0</v>
      </c>
      <c r="J13" s="16"/>
      <c r="K13" s="18"/>
      <c r="L13" s="19">
        <f t="shared" si="7"/>
        <v>0</v>
      </c>
      <c r="M13" s="16"/>
      <c r="N13" s="18"/>
      <c r="O13" s="19">
        <f t="shared" si="8"/>
        <v>0</v>
      </c>
      <c r="P13" s="16"/>
      <c r="Q13" s="18"/>
      <c r="R13" s="19">
        <f t="shared" si="9"/>
        <v>0</v>
      </c>
      <c r="S13" s="20">
        <f t="shared" si="10"/>
        <v>0</v>
      </c>
      <c r="T13" s="19">
        <f t="shared" si="11"/>
        <v>0</v>
      </c>
      <c r="U13" s="21">
        <f t="shared" si="12"/>
        <v>0</v>
      </c>
      <c r="V13" s="19">
        <f t="shared" si="13"/>
        <v>0</v>
      </c>
      <c r="X13" s="29"/>
    </row>
    <row r="14" spans="1:24">
      <c r="A14" s="26" t="s">
        <v>14</v>
      </c>
      <c r="B14" s="26" t="s">
        <v>45</v>
      </c>
      <c r="C14" s="30">
        <v>9.26</v>
      </c>
      <c r="D14" s="27"/>
      <c r="E14" s="28"/>
      <c r="F14" s="16">
        <f t="shared" si="5"/>
        <v>0</v>
      </c>
      <c r="G14" s="16"/>
      <c r="H14" s="18"/>
      <c r="I14" s="19">
        <f t="shared" si="6"/>
        <v>0</v>
      </c>
      <c r="J14" s="16"/>
      <c r="K14" s="18"/>
      <c r="L14" s="19">
        <f t="shared" si="7"/>
        <v>0</v>
      </c>
      <c r="M14" s="16"/>
      <c r="N14" s="18"/>
      <c r="O14" s="19">
        <f t="shared" si="8"/>
        <v>0</v>
      </c>
      <c r="P14" s="16"/>
      <c r="Q14" s="18"/>
      <c r="R14" s="19">
        <f t="shared" si="9"/>
        <v>0</v>
      </c>
      <c r="S14" s="20">
        <f t="shared" si="10"/>
        <v>0</v>
      </c>
      <c r="T14" s="19">
        <f t="shared" si="11"/>
        <v>0</v>
      </c>
      <c r="U14" s="21">
        <f t="shared" si="12"/>
        <v>0</v>
      </c>
      <c r="V14" s="19">
        <f t="shared" si="13"/>
        <v>0</v>
      </c>
      <c r="X14" s="29"/>
    </row>
    <row r="15" spans="1:24">
      <c r="A15" s="26" t="s">
        <v>14</v>
      </c>
      <c r="B15" s="26" t="s">
        <v>45</v>
      </c>
      <c r="C15" s="30">
        <v>9.26</v>
      </c>
      <c r="D15" s="27"/>
      <c r="E15" s="28"/>
      <c r="F15" s="16">
        <f t="shared" si="5"/>
        <v>0</v>
      </c>
      <c r="G15" s="16"/>
      <c r="H15" s="18"/>
      <c r="I15" s="19">
        <f t="shared" si="6"/>
        <v>0</v>
      </c>
      <c r="J15" s="16"/>
      <c r="K15" s="18"/>
      <c r="L15" s="19">
        <f t="shared" si="7"/>
        <v>0</v>
      </c>
      <c r="M15" s="16"/>
      <c r="N15" s="18"/>
      <c r="O15" s="19">
        <f t="shared" si="8"/>
        <v>0</v>
      </c>
      <c r="P15" s="16"/>
      <c r="Q15" s="18"/>
      <c r="R15" s="19">
        <f t="shared" si="9"/>
        <v>0</v>
      </c>
      <c r="S15" s="20">
        <f t="shared" si="10"/>
        <v>0</v>
      </c>
      <c r="T15" s="19">
        <f t="shared" si="11"/>
        <v>0</v>
      </c>
      <c r="U15" s="21">
        <f t="shared" si="12"/>
        <v>0</v>
      </c>
      <c r="V15" s="19">
        <f t="shared" si="13"/>
        <v>0</v>
      </c>
      <c r="X15" s="29"/>
    </row>
    <row r="16" spans="1:24">
      <c r="A16" s="36"/>
      <c r="B16" s="36"/>
      <c r="C16" s="37"/>
      <c r="D16" s="38"/>
      <c r="E16" s="31">
        <f t="shared" ref="E16:F16" si="14">SUM(E8:E15)</f>
        <v>5</v>
      </c>
      <c r="F16" s="38">
        <f t="shared" si="14"/>
        <v>0.55559999999999998</v>
      </c>
      <c r="G16" s="16"/>
      <c r="H16" s="31">
        <f t="shared" ref="H16" si="15">SUM(H8:H15)</f>
        <v>6</v>
      </c>
      <c r="I16" s="38">
        <f t="shared" ref="I16" si="16">SUM(I8:I15)</f>
        <v>0.65097799999999995</v>
      </c>
      <c r="J16" s="16"/>
      <c r="K16" s="31">
        <f t="shared" ref="K16" si="17">SUM(K8:K15)</f>
        <v>0</v>
      </c>
      <c r="L16" s="38">
        <f t="shared" ref="L16" si="18">SUM(L8:L15)</f>
        <v>0</v>
      </c>
      <c r="M16" s="16"/>
      <c r="N16" s="31">
        <f t="shared" ref="N16" si="19">SUM(N8:N15)</f>
        <v>0</v>
      </c>
      <c r="O16" s="38">
        <f t="shared" ref="O16" si="20">SUM(O8:O15)</f>
        <v>0</v>
      </c>
      <c r="P16" s="16"/>
      <c r="Q16" s="31">
        <f t="shared" ref="Q16" si="21">SUM(Q8:Q15)</f>
        <v>0</v>
      </c>
      <c r="R16" s="38">
        <f t="shared" ref="R16" si="22">SUM(R8:R15)</f>
        <v>0</v>
      </c>
      <c r="S16" s="31">
        <f t="shared" ref="S16" si="23">SUM(S8:S15)</f>
        <v>6</v>
      </c>
      <c r="T16" s="38">
        <f t="shared" ref="T16" si="24">SUM(T8:T15)</f>
        <v>0.65097799999999995</v>
      </c>
      <c r="U16" s="31">
        <f t="shared" ref="U16" si="25">SUM(U8:U15)</f>
        <v>-1</v>
      </c>
      <c r="V16" s="38">
        <f t="shared" ref="V16" si="26">SUM(V8:V15)</f>
        <v>-9.5378000000000004E-2</v>
      </c>
      <c r="X16" s="29"/>
    </row>
    <row r="17" spans="1:22">
      <c r="A17" s="33"/>
      <c r="B17" s="33"/>
      <c r="C17" s="34"/>
      <c r="D17" s="34"/>
      <c r="E17" s="34">
        <f t="shared" ref="E17:F17" si="27">SUM(E16,E7)</f>
        <v>10</v>
      </c>
      <c r="F17" s="35">
        <f t="shared" si="27"/>
        <v>1.1993999999999998</v>
      </c>
      <c r="G17" s="26"/>
      <c r="H17" s="34">
        <f t="shared" ref="H17" si="28">SUM(H16,H7)</f>
        <v>11</v>
      </c>
      <c r="I17" s="35">
        <f t="shared" ref="I17" si="29">SUM(I16,I7)</f>
        <v>1.294778</v>
      </c>
      <c r="J17" s="26"/>
      <c r="K17" s="34">
        <f t="shared" ref="K17" si="30">SUM(K16,K7)</f>
        <v>0</v>
      </c>
      <c r="L17" s="35">
        <f t="shared" ref="L17" si="31">SUM(L16,L7)</f>
        <v>0</v>
      </c>
      <c r="M17" s="26"/>
      <c r="N17" s="34">
        <f t="shared" ref="N17" si="32">SUM(N16,N7)</f>
        <v>0</v>
      </c>
      <c r="O17" s="35">
        <f t="shared" ref="O17" si="33">SUM(O16,O7)</f>
        <v>0</v>
      </c>
      <c r="P17" s="26"/>
      <c r="Q17" s="34">
        <f t="shared" ref="Q17" si="34">SUM(Q16,Q7)</f>
        <v>0</v>
      </c>
      <c r="R17" s="35">
        <f t="shared" ref="R17" si="35">SUM(R16,R7)</f>
        <v>0</v>
      </c>
      <c r="S17" s="34">
        <f t="shared" ref="S17" si="36">SUM(S16,S7)</f>
        <v>11</v>
      </c>
      <c r="T17" s="35">
        <f t="shared" ref="T17" si="37">SUM(T16,T7)</f>
        <v>1.294778</v>
      </c>
      <c r="U17" s="34">
        <f t="shared" ref="U17" si="38">SUM(U16,U7)</f>
        <v>-1</v>
      </c>
      <c r="V17" s="35">
        <f t="shared" ref="V17" si="39">SUM(V16,V7)</f>
        <v>-9.5378000000000004E-2</v>
      </c>
    </row>
    <row r="32" spans="1:22">
      <c r="R32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1"/>
  <dimension ref="A1:X30"/>
  <sheetViews>
    <sheetView zoomScale="75" zoomScaleNormal="75" workbookViewId="0">
      <pane ySplit="5" topLeftCell="A9" activePane="bottomLeft" state="frozen"/>
      <selection pane="bottomLeft" activeCell="G12" sqref="G12:G1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230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LOI-443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232</v>
      </c>
      <c r="B2" s="8"/>
      <c r="C2" s="9"/>
      <c r="D2" s="9"/>
      <c r="E2" s="10"/>
      <c r="F2" s="146" t="s">
        <v>239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LOI-443  03.07.23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46</v>
      </c>
      <c r="C6" s="30">
        <v>10.7</v>
      </c>
      <c r="D6" s="27">
        <v>7</v>
      </c>
      <c r="E6" s="28">
        <v>9</v>
      </c>
      <c r="F6" s="16">
        <f>(C6*D6*E6/1000)</f>
        <v>0.67409999999999992</v>
      </c>
      <c r="G6" s="17" t="s">
        <v>111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9</v>
      </c>
      <c r="V6" s="19">
        <f>F6-T6</f>
        <v>0.67409999999999992</v>
      </c>
      <c r="X6" s="29"/>
    </row>
    <row r="7" spans="1:24">
      <c r="A7" s="26" t="s">
        <v>13</v>
      </c>
      <c r="B7" s="26" t="s">
        <v>46</v>
      </c>
      <c r="C7" s="30">
        <v>10.7</v>
      </c>
      <c r="D7" s="27">
        <v>8.9</v>
      </c>
      <c r="E7" s="28"/>
      <c r="F7" s="16">
        <f>(C7*D7*E7/1000)</f>
        <v>0</v>
      </c>
      <c r="G7" s="17" t="s">
        <v>291</v>
      </c>
      <c r="H7" s="18">
        <v>9</v>
      </c>
      <c r="I7" s="19">
        <f>(C7*D7*H7/1000)</f>
        <v>0.85707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+H7+K7+Q7+N7</f>
        <v>9</v>
      </c>
      <c r="T7" s="19">
        <f>+I7+L7+R7+O7</f>
        <v>0.85707</v>
      </c>
      <c r="U7" s="21">
        <f>E7-S7</f>
        <v>-9</v>
      </c>
      <c r="V7" s="19">
        <f>F7-T7</f>
        <v>-0.85707</v>
      </c>
      <c r="X7" s="29"/>
    </row>
    <row r="8" spans="1:24">
      <c r="A8" s="36"/>
      <c r="B8" s="36"/>
      <c r="C8" s="37"/>
      <c r="D8" s="38"/>
      <c r="E8" s="31">
        <f t="shared" ref="E8:F8" si="0">SUM(E6:E7)</f>
        <v>9</v>
      </c>
      <c r="F8" s="38">
        <f t="shared" si="0"/>
        <v>0.67409999999999992</v>
      </c>
      <c r="G8" s="17"/>
      <c r="H8" s="31">
        <f t="shared" ref="H8" si="1">SUM(H6:H7)</f>
        <v>9</v>
      </c>
      <c r="I8" s="38">
        <f t="shared" ref="I8" si="2">SUM(I6:I7)</f>
        <v>0.85707</v>
      </c>
      <c r="J8" s="16"/>
      <c r="K8" s="31">
        <f t="shared" ref="K8" si="3">SUM(K6:K7)</f>
        <v>0</v>
      </c>
      <c r="L8" s="38">
        <f t="shared" ref="L8" si="4">SUM(L6:L7)</f>
        <v>0</v>
      </c>
      <c r="M8" s="16"/>
      <c r="N8" s="31">
        <f t="shared" ref="N8" si="5">SUM(N6:N7)</f>
        <v>0</v>
      </c>
      <c r="O8" s="38">
        <f t="shared" ref="O8" si="6">SUM(O6:O7)</f>
        <v>0</v>
      </c>
      <c r="P8" s="16"/>
      <c r="Q8" s="31">
        <f t="shared" ref="Q8" si="7">SUM(Q6:Q7)</f>
        <v>0</v>
      </c>
      <c r="R8" s="38">
        <f t="shared" ref="R8" si="8">SUM(R6:R7)</f>
        <v>0</v>
      </c>
      <c r="S8" s="31">
        <f t="shared" ref="S8" si="9">SUM(S6:S7)</f>
        <v>9</v>
      </c>
      <c r="T8" s="38">
        <f t="shared" ref="T8" si="10">SUM(T6:T7)</f>
        <v>0.85707</v>
      </c>
      <c r="U8" s="31">
        <f t="shared" ref="U8" si="11">SUM(U6:U7)</f>
        <v>0</v>
      </c>
      <c r="V8" s="38">
        <f t="shared" ref="V8" si="12">SUM(V6:V7)</f>
        <v>-0.18297000000000008</v>
      </c>
      <c r="X8" s="29"/>
    </row>
    <row r="9" spans="1:24">
      <c r="A9" s="26" t="s">
        <v>13</v>
      </c>
      <c r="B9" s="26" t="s">
        <v>61</v>
      </c>
      <c r="C9" s="30">
        <v>12.2</v>
      </c>
      <c r="D9" s="27">
        <v>6</v>
      </c>
      <c r="E9" s="28">
        <v>3</v>
      </c>
      <c r="F9" s="16">
        <f>(C9*D9*E9/1000)</f>
        <v>0.21959999999999996</v>
      </c>
      <c r="G9" s="17" t="s">
        <v>288</v>
      </c>
      <c r="H9" s="18">
        <v>3</v>
      </c>
      <c r="I9" s="19">
        <f>(C9*D9*H9/1000)</f>
        <v>0.21959999999999996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3</v>
      </c>
      <c r="T9" s="19">
        <f>+I9+L9+R9+O9</f>
        <v>0.21959999999999996</v>
      </c>
      <c r="U9" s="21">
        <f>E9-S9</f>
        <v>0</v>
      </c>
      <c r="V9" s="19">
        <f>F9-T9</f>
        <v>0</v>
      </c>
      <c r="X9" s="29"/>
    </row>
    <row r="10" spans="1:24">
      <c r="A10" s="26" t="s">
        <v>13</v>
      </c>
      <c r="B10" s="26" t="s">
        <v>61</v>
      </c>
      <c r="C10" s="30">
        <v>12.2</v>
      </c>
      <c r="D10" s="27"/>
      <c r="E10" s="28"/>
      <c r="F10" s="16">
        <f>(C10*D10*E10/1000)</f>
        <v>0</v>
      </c>
      <c r="G10" s="17" t="s">
        <v>289</v>
      </c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13">SUM(E9:E10)</f>
        <v>3</v>
      </c>
      <c r="F11" s="38">
        <f t="shared" si="13"/>
        <v>0.21959999999999996</v>
      </c>
      <c r="G11" s="17"/>
      <c r="H11" s="31">
        <f t="shared" ref="H11:I11" si="14">SUM(H9:H10)</f>
        <v>3</v>
      </c>
      <c r="I11" s="38">
        <f t="shared" si="14"/>
        <v>0.21959999999999996</v>
      </c>
      <c r="J11" s="16"/>
      <c r="K11" s="31">
        <f t="shared" ref="K11:L11" si="15">SUM(K9:K10)</f>
        <v>0</v>
      </c>
      <c r="L11" s="38">
        <f t="shared" si="15"/>
        <v>0</v>
      </c>
      <c r="M11" s="16"/>
      <c r="N11" s="31">
        <f t="shared" ref="N11:O11" si="16">SUM(N9:N10)</f>
        <v>0</v>
      </c>
      <c r="O11" s="38">
        <f t="shared" si="16"/>
        <v>0</v>
      </c>
      <c r="P11" s="16"/>
      <c r="Q11" s="31">
        <f t="shared" ref="Q11:V11" si="17">SUM(Q9:Q10)</f>
        <v>0</v>
      </c>
      <c r="R11" s="38">
        <f t="shared" si="17"/>
        <v>0</v>
      </c>
      <c r="S11" s="31">
        <f t="shared" si="17"/>
        <v>3</v>
      </c>
      <c r="T11" s="38">
        <f t="shared" si="17"/>
        <v>0.21959999999999996</v>
      </c>
      <c r="U11" s="31">
        <f t="shared" si="17"/>
        <v>0</v>
      </c>
      <c r="V11" s="38">
        <f t="shared" si="17"/>
        <v>0</v>
      </c>
      <c r="X11" s="29"/>
    </row>
    <row r="12" spans="1:24">
      <c r="A12" s="26" t="s">
        <v>24</v>
      </c>
      <c r="B12" s="26" t="s">
        <v>46</v>
      </c>
      <c r="C12" s="30">
        <v>10.7</v>
      </c>
      <c r="D12" s="27">
        <v>6</v>
      </c>
      <c r="E12" s="28">
        <v>1</v>
      </c>
      <c r="F12" s="16">
        <f>(C12*D12*E12/1000)</f>
        <v>6.4199999999999993E-2</v>
      </c>
      <c r="G12" s="17" t="s">
        <v>295</v>
      </c>
      <c r="H12" s="18"/>
      <c r="I12" s="19">
        <f>(C12*D12*H12/1000)</f>
        <v>0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0</v>
      </c>
      <c r="T12" s="19">
        <f>+I12+L12+R12+O12</f>
        <v>0</v>
      </c>
      <c r="U12" s="21">
        <f>E12-S12</f>
        <v>1</v>
      </c>
      <c r="V12" s="19">
        <f>F12-T12</f>
        <v>6.4199999999999993E-2</v>
      </c>
      <c r="X12" s="29"/>
    </row>
    <row r="13" spans="1:24">
      <c r="A13" s="26" t="s">
        <v>24</v>
      </c>
      <c r="B13" s="26" t="s">
        <v>46</v>
      </c>
      <c r="C13" s="30">
        <v>10.7</v>
      </c>
      <c r="D13" s="27">
        <v>7.5</v>
      </c>
      <c r="E13" s="28"/>
      <c r="F13" s="16">
        <f>(C13*D13*E13/1000)</f>
        <v>0</v>
      </c>
      <c r="G13" s="17" t="s">
        <v>324</v>
      </c>
      <c r="H13" s="18">
        <v>1</v>
      </c>
      <c r="I13" s="19">
        <f>(C13*D13*H13/1000)</f>
        <v>8.0250000000000002E-2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1</v>
      </c>
      <c r="T13" s="19">
        <f>+I13+L13+R13+O13</f>
        <v>8.0250000000000002E-2</v>
      </c>
      <c r="U13" s="21">
        <f>E13-S13</f>
        <v>-1</v>
      </c>
      <c r="V13" s="19">
        <f>F13-T13</f>
        <v>-8.0250000000000002E-2</v>
      </c>
      <c r="X13" s="29"/>
    </row>
    <row r="14" spans="1:24">
      <c r="A14" s="36"/>
      <c r="B14" s="36"/>
      <c r="C14" s="37"/>
      <c r="D14" s="38"/>
      <c r="E14" s="31">
        <f>SUM(E12:E13)</f>
        <v>1</v>
      </c>
      <c r="F14" s="38">
        <f>SUM(F12:F13)</f>
        <v>6.4199999999999993E-2</v>
      </c>
      <c r="G14" s="17"/>
      <c r="H14" s="31">
        <f t="shared" ref="H14" si="18">SUM(H12:H13)</f>
        <v>1</v>
      </c>
      <c r="I14" s="38">
        <f>SUM(I12:I13)</f>
        <v>8.0250000000000002E-2</v>
      </c>
      <c r="J14" s="16"/>
      <c r="K14" s="31">
        <f t="shared" ref="K14:L14" si="19">SUM(K12:K13)</f>
        <v>0</v>
      </c>
      <c r="L14" s="38">
        <f t="shared" si="19"/>
        <v>0</v>
      </c>
      <c r="M14" s="16"/>
      <c r="N14" s="31">
        <f t="shared" ref="N14:O14" si="20">SUM(N12:N13)</f>
        <v>0</v>
      </c>
      <c r="O14" s="38">
        <f t="shared" si="20"/>
        <v>0</v>
      </c>
      <c r="P14" s="16"/>
      <c r="Q14" s="31">
        <f t="shared" ref="Q14:V14" si="21">SUM(Q12:Q13)</f>
        <v>0</v>
      </c>
      <c r="R14" s="38">
        <f t="shared" si="21"/>
        <v>0</v>
      </c>
      <c r="S14" s="31">
        <f t="shared" si="21"/>
        <v>1</v>
      </c>
      <c r="T14" s="38">
        <f t="shared" si="21"/>
        <v>8.0250000000000002E-2</v>
      </c>
      <c r="U14" s="31">
        <f t="shared" si="21"/>
        <v>0</v>
      </c>
      <c r="V14" s="38">
        <f t="shared" si="21"/>
        <v>-1.6050000000000009E-2</v>
      </c>
      <c r="X14" s="29"/>
    </row>
    <row r="15" spans="1:24">
      <c r="A15" s="33"/>
      <c r="B15" s="33"/>
      <c r="C15" s="34"/>
      <c r="D15" s="34"/>
      <c r="E15" s="34">
        <f t="shared" ref="E15:F15" si="22">SUM(E14,E11,E8)</f>
        <v>13</v>
      </c>
      <c r="F15" s="35">
        <f t="shared" si="22"/>
        <v>0.95789999999999986</v>
      </c>
      <c r="G15" s="26"/>
      <c r="H15" s="34">
        <f t="shared" ref="H15:I15" si="23">SUM(H14,H11,H8)</f>
        <v>13</v>
      </c>
      <c r="I15" s="35">
        <f t="shared" si="23"/>
        <v>1.1569199999999999</v>
      </c>
      <c r="J15" s="26"/>
      <c r="K15" s="34">
        <f t="shared" ref="K15:L15" si="24">SUM(K14,K11,K8)</f>
        <v>0</v>
      </c>
      <c r="L15" s="35">
        <f t="shared" si="24"/>
        <v>0</v>
      </c>
      <c r="M15" s="26"/>
      <c r="N15" s="34">
        <f t="shared" ref="N15:O15" si="25">SUM(N14,N11,N8)</f>
        <v>0</v>
      </c>
      <c r="O15" s="35">
        <f t="shared" si="25"/>
        <v>0</v>
      </c>
      <c r="P15" s="26"/>
      <c r="Q15" s="34">
        <f t="shared" ref="Q15:V15" si="26">SUM(Q14,Q11,Q8)</f>
        <v>0</v>
      </c>
      <c r="R15" s="35">
        <f t="shared" si="26"/>
        <v>0</v>
      </c>
      <c r="S15" s="34">
        <f t="shared" si="26"/>
        <v>13</v>
      </c>
      <c r="T15" s="35">
        <f t="shared" si="26"/>
        <v>1.1569199999999999</v>
      </c>
      <c r="U15" s="34">
        <f t="shared" si="26"/>
        <v>0</v>
      </c>
      <c r="V15" s="35">
        <f t="shared" si="26"/>
        <v>-0.19902000000000009</v>
      </c>
    </row>
    <row r="30" spans="18:18">
      <c r="R30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42"/>
  <dimension ref="A1:X91"/>
  <sheetViews>
    <sheetView zoomScale="75" zoomScaleNormal="75" workbookViewId="0">
      <pane ySplit="5" topLeftCell="A18" activePane="bottomLeft" state="frozen"/>
      <selection pane="bottomLeft" activeCell="K32" sqref="K32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241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LOI-444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242</v>
      </c>
      <c r="B2" s="8"/>
      <c r="C2" s="9"/>
      <c r="D2" s="9"/>
      <c r="E2" s="10"/>
      <c r="F2" s="146" t="s">
        <v>240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LOI-444  03.07.23</v>
      </c>
      <c r="V2" s="146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6.6</v>
      </c>
      <c r="E6" s="28">
        <v>2</v>
      </c>
      <c r="F6" s="16">
        <f t="shared" ref="F6:F13" si="0">(C6*D6*E6/1000)</f>
        <v>0.19800000000000001</v>
      </c>
      <c r="G6" s="17" t="s">
        <v>88</v>
      </c>
      <c r="H6" s="18"/>
      <c r="I6" s="19">
        <f t="shared" ref="I6:I13" si="1">(C6*D6*H6/1000)</f>
        <v>0</v>
      </c>
      <c r="J6" s="16" t="s">
        <v>88</v>
      </c>
      <c r="K6" s="18"/>
      <c r="L6" s="19">
        <f t="shared" ref="L6:L13" si="2">(C6*D6*K6/1000)</f>
        <v>0</v>
      </c>
      <c r="M6" s="16"/>
      <c r="N6" s="18"/>
      <c r="O6" s="19">
        <f t="shared" ref="O6:O13" si="3">(C6*D6*N6/1000)</f>
        <v>0</v>
      </c>
      <c r="P6" s="16"/>
      <c r="Q6" s="18"/>
      <c r="R6" s="19">
        <f t="shared" ref="R6:R13" si="4">(C6*D6*Q6/1000)</f>
        <v>0</v>
      </c>
      <c r="S6" s="20">
        <f>+H6+K6+Q6+N6</f>
        <v>0</v>
      </c>
      <c r="T6" s="19">
        <f t="shared" ref="S6:T13" si="5">+I6+L6+R6+O6</f>
        <v>0</v>
      </c>
      <c r="U6" s="21">
        <f t="shared" ref="U6:V13" si="6">E6-S6</f>
        <v>2</v>
      </c>
      <c r="V6" s="19">
        <f t="shared" si="6"/>
        <v>0.19800000000000001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8.1999999999999993</v>
      </c>
      <c r="E7" s="28">
        <v>59</v>
      </c>
      <c r="F7" s="16">
        <f t="shared" si="0"/>
        <v>7.2569999999999988</v>
      </c>
      <c r="G7" s="17" t="s">
        <v>283</v>
      </c>
      <c r="H7" s="18">
        <v>17</v>
      </c>
      <c r="I7" s="19">
        <f t="shared" si="1"/>
        <v>2.0909999999999997</v>
      </c>
      <c r="J7" s="16" t="s">
        <v>286</v>
      </c>
      <c r="K7" s="18">
        <v>35</v>
      </c>
      <c r="L7" s="19">
        <f t="shared" si="2"/>
        <v>4.3049999999999988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52</v>
      </c>
      <c r="T7" s="19">
        <f t="shared" si="5"/>
        <v>6.395999999999999</v>
      </c>
      <c r="U7" s="21">
        <f t="shared" si="6"/>
        <v>7</v>
      </c>
      <c r="V7" s="19">
        <f t="shared" si="6"/>
        <v>0.86099999999999977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9.6999999999999993</v>
      </c>
      <c r="E8" s="28">
        <v>29</v>
      </c>
      <c r="F8" s="16">
        <f t="shared" si="0"/>
        <v>4.2195</v>
      </c>
      <c r="G8" s="17"/>
      <c r="H8" s="18">
        <v>6</v>
      </c>
      <c r="I8" s="19">
        <f t="shared" si="1"/>
        <v>0.873</v>
      </c>
      <c r="J8" s="16"/>
      <c r="K8" s="18">
        <f>9+12</f>
        <v>21</v>
      </c>
      <c r="L8" s="19">
        <f t="shared" si="2"/>
        <v>3.0554999999999999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27</v>
      </c>
      <c r="T8" s="19">
        <f t="shared" si="5"/>
        <v>3.9284999999999997</v>
      </c>
      <c r="U8" s="21">
        <f t="shared" si="6"/>
        <v>2</v>
      </c>
      <c r="V8" s="19">
        <f t="shared" si="6"/>
        <v>0.29100000000000037</v>
      </c>
      <c r="X8" s="29"/>
    </row>
    <row r="9" spans="1:24">
      <c r="A9" s="26" t="s">
        <v>13</v>
      </c>
      <c r="B9" s="26" t="s">
        <v>60</v>
      </c>
      <c r="C9" s="30">
        <v>15</v>
      </c>
      <c r="D9" s="27">
        <v>10.7</v>
      </c>
      <c r="E9" s="28">
        <v>58</v>
      </c>
      <c r="F9" s="16">
        <f t="shared" si="0"/>
        <v>9.3089999999999993</v>
      </c>
      <c r="G9" s="17"/>
      <c r="H9" s="18">
        <v>34</v>
      </c>
      <c r="I9" s="19">
        <f t="shared" si="1"/>
        <v>5.4569999999999999</v>
      </c>
      <c r="J9" s="16"/>
      <c r="K9" s="18">
        <v>18</v>
      </c>
      <c r="L9" s="19">
        <f t="shared" si="2"/>
        <v>2.8889999999999998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52</v>
      </c>
      <c r="T9" s="19">
        <f t="shared" si="5"/>
        <v>8.3460000000000001</v>
      </c>
      <c r="U9" s="21">
        <f t="shared" si="6"/>
        <v>6</v>
      </c>
      <c r="V9" s="19">
        <f t="shared" si="6"/>
        <v>0.96299999999999919</v>
      </c>
      <c r="X9" s="29"/>
    </row>
    <row r="10" spans="1:24">
      <c r="A10" s="26" t="s">
        <v>13</v>
      </c>
      <c r="B10" s="26" t="s">
        <v>60</v>
      </c>
      <c r="C10" s="30">
        <v>15</v>
      </c>
      <c r="D10" s="27">
        <v>11.1</v>
      </c>
      <c r="E10" s="28">
        <v>32</v>
      </c>
      <c r="F10" s="16">
        <f t="shared" si="0"/>
        <v>5.3280000000000003</v>
      </c>
      <c r="G10" s="17"/>
      <c r="H10" s="18">
        <f>5+27</f>
        <v>32</v>
      </c>
      <c r="I10" s="19">
        <f t="shared" si="1"/>
        <v>5.3280000000000003</v>
      </c>
      <c r="J10" s="16"/>
      <c r="K10" s="18">
        <v>11</v>
      </c>
      <c r="L10" s="19">
        <f t="shared" si="2"/>
        <v>1.8314999999999999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43</v>
      </c>
      <c r="T10" s="19">
        <f t="shared" si="5"/>
        <v>7.1595000000000004</v>
      </c>
      <c r="U10" s="21">
        <f t="shared" si="6"/>
        <v>-11</v>
      </c>
      <c r="V10" s="19">
        <f t="shared" si="6"/>
        <v>-1.8315000000000001</v>
      </c>
      <c r="X10" s="29"/>
    </row>
    <row r="11" spans="1:24">
      <c r="A11" s="26" t="s">
        <v>13</v>
      </c>
      <c r="B11" s="26" t="s">
        <v>60</v>
      </c>
      <c r="C11" s="30">
        <v>15</v>
      </c>
      <c r="D11" s="27">
        <v>11.7</v>
      </c>
      <c r="E11" s="28">
        <v>124</v>
      </c>
      <c r="F11" s="16">
        <f t="shared" ref="F11:F12" si="7">(C11*D11*E11/1000)</f>
        <v>21.762</v>
      </c>
      <c r="G11" s="17"/>
      <c r="H11" s="18">
        <v>79</v>
      </c>
      <c r="I11" s="19">
        <f t="shared" ref="I11:I12" si="8">(C11*D11*H11/1000)</f>
        <v>13.8645</v>
      </c>
      <c r="J11" s="16"/>
      <c r="K11" s="18">
        <v>45</v>
      </c>
      <c r="L11" s="19">
        <f t="shared" ref="L11:L12" si="9">(C11*D11*K11/1000)</f>
        <v>7.8975</v>
      </c>
      <c r="M11" s="16"/>
      <c r="N11" s="18"/>
      <c r="O11" s="19">
        <f t="shared" ref="O11:O12" si="10">(C11*D11*N11/1000)</f>
        <v>0</v>
      </c>
      <c r="P11" s="16"/>
      <c r="Q11" s="18"/>
      <c r="R11" s="19">
        <f t="shared" ref="R11:R12" si="11">(C11*D11*Q11/1000)</f>
        <v>0</v>
      </c>
      <c r="S11" s="20">
        <f t="shared" si="5"/>
        <v>124</v>
      </c>
      <c r="T11" s="19">
        <f t="shared" si="5"/>
        <v>21.762</v>
      </c>
      <c r="U11" s="21">
        <f t="shared" si="6"/>
        <v>0</v>
      </c>
      <c r="V11" s="19">
        <f t="shared" si="6"/>
        <v>0</v>
      </c>
      <c r="X11" s="29"/>
    </row>
    <row r="12" spans="1:24">
      <c r="A12" s="26" t="s">
        <v>13</v>
      </c>
      <c r="B12" s="26" t="s">
        <v>60</v>
      </c>
      <c r="C12" s="30">
        <v>15</v>
      </c>
      <c r="D12" s="27">
        <v>8.9</v>
      </c>
      <c r="E12" s="28"/>
      <c r="F12" s="16">
        <f t="shared" si="7"/>
        <v>0</v>
      </c>
      <c r="G12" s="17"/>
      <c r="H12" s="18"/>
      <c r="I12" s="19">
        <f t="shared" si="8"/>
        <v>0</v>
      </c>
      <c r="J12" s="16"/>
      <c r="K12" s="18">
        <v>3</v>
      </c>
      <c r="L12" s="19">
        <f t="shared" si="9"/>
        <v>0.40050000000000002</v>
      </c>
      <c r="M12" s="16"/>
      <c r="N12" s="18"/>
      <c r="O12" s="19">
        <f t="shared" si="10"/>
        <v>0</v>
      </c>
      <c r="P12" s="16"/>
      <c r="Q12" s="18"/>
      <c r="R12" s="19">
        <f t="shared" si="11"/>
        <v>0</v>
      </c>
      <c r="S12" s="20">
        <f t="shared" si="5"/>
        <v>3</v>
      </c>
      <c r="T12" s="19">
        <f t="shared" si="5"/>
        <v>0.40050000000000002</v>
      </c>
      <c r="U12" s="21">
        <f t="shared" si="6"/>
        <v>-3</v>
      </c>
      <c r="V12" s="19">
        <f t="shared" si="6"/>
        <v>-0.40050000000000002</v>
      </c>
      <c r="X12" s="29"/>
    </row>
    <row r="13" spans="1:24">
      <c r="A13" s="26" t="s">
        <v>13</v>
      </c>
      <c r="B13" s="26" t="s">
        <v>60</v>
      </c>
      <c r="C13" s="30">
        <v>15</v>
      </c>
      <c r="D13" s="27">
        <v>6.75</v>
      </c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>
        <v>1</v>
      </c>
      <c r="L13" s="19">
        <f t="shared" si="2"/>
        <v>0.10125000000000001</v>
      </c>
      <c r="M13" s="16"/>
      <c r="N13" s="18"/>
      <c r="O13" s="19">
        <f t="shared" si="3"/>
        <v>0</v>
      </c>
      <c r="P13" s="16"/>
      <c r="Q13" s="18"/>
      <c r="R13" s="19">
        <f t="shared" si="4"/>
        <v>0</v>
      </c>
      <c r="S13" s="20">
        <f t="shared" si="5"/>
        <v>1</v>
      </c>
      <c r="T13" s="19">
        <f t="shared" si="5"/>
        <v>0.10125000000000001</v>
      </c>
      <c r="U13" s="21">
        <f t="shared" si="6"/>
        <v>-1</v>
      </c>
      <c r="V13" s="19">
        <f t="shared" si="6"/>
        <v>-0.10125000000000001</v>
      </c>
      <c r="X13" s="29"/>
    </row>
    <row r="14" spans="1:24">
      <c r="A14" s="36"/>
      <c r="B14" s="36"/>
      <c r="C14" s="37"/>
      <c r="D14" s="38"/>
      <c r="E14" s="31">
        <f t="shared" ref="E14:F14" si="12">SUM(E6:E13)</f>
        <v>304</v>
      </c>
      <c r="F14" s="38">
        <f t="shared" si="12"/>
        <v>48.073499999999996</v>
      </c>
      <c r="G14" s="17"/>
      <c r="H14" s="31">
        <f t="shared" ref="H14" si="13">SUM(H6:H13)</f>
        <v>168</v>
      </c>
      <c r="I14" s="38">
        <f t="shared" ref="I14" si="14">SUM(I6:I13)</f>
        <v>27.613499999999998</v>
      </c>
      <c r="J14" s="16"/>
      <c r="K14" s="31">
        <f t="shared" ref="K14" si="15">SUM(K6:K13)</f>
        <v>134</v>
      </c>
      <c r="L14" s="38">
        <f t="shared" ref="L14" si="16">SUM(L6:L13)</f>
        <v>20.480249999999998</v>
      </c>
      <c r="M14" s="16"/>
      <c r="N14" s="31">
        <f t="shared" ref="N14" si="17">SUM(N6:N13)</f>
        <v>0</v>
      </c>
      <c r="O14" s="38">
        <f t="shared" ref="O14" si="18">SUM(O6:O13)</f>
        <v>0</v>
      </c>
      <c r="P14" s="16"/>
      <c r="Q14" s="31">
        <f t="shared" ref="Q14" si="19">SUM(Q6:Q13)</f>
        <v>0</v>
      </c>
      <c r="R14" s="38">
        <f t="shared" ref="R14" si="20">SUM(R6:R13)</f>
        <v>0</v>
      </c>
      <c r="S14" s="31">
        <f t="shared" ref="S14" si="21">SUM(S6:S13)</f>
        <v>302</v>
      </c>
      <c r="T14" s="38">
        <f t="shared" ref="T14" si="22">SUM(T6:T13)</f>
        <v>48.09375</v>
      </c>
      <c r="U14" s="31">
        <f t="shared" ref="U14" si="23">SUM(U6:U13)</f>
        <v>2</v>
      </c>
      <c r="V14" s="38">
        <f t="shared" ref="V14" si="24">SUM(V6:V13)</f>
        <v>-2.0250000000000878E-2</v>
      </c>
      <c r="X14" s="29"/>
    </row>
    <row r="15" spans="1:24">
      <c r="A15" s="26" t="s">
        <v>13</v>
      </c>
      <c r="B15" s="26" t="s">
        <v>45</v>
      </c>
      <c r="C15" s="30">
        <v>9.26</v>
      </c>
      <c r="D15" s="27">
        <v>6.7</v>
      </c>
      <c r="E15" s="28">
        <v>27</v>
      </c>
      <c r="F15" s="16">
        <f t="shared" ref="F15:F27" si="25">(C15*D15*E15/1000)</f>
        <v>1.6751340000000001</v>
      </c>
      <c r="G15" s="16" t="s">
        <v>111</v>
      </c>
      <c r="H15" s="18"/>
      <c r="I15" s="19">
        <f t="shared" ref="I15:I27" si="26">(C15*D15*H15/1000)</f>
        <v>0</v>
      </c>
      <c r="J15" s="16" t="s">
        <v>88</v>
      </c>
      <c r="K15" s="18"/>
      <c r="L15" s="19">
        <f t="shared" ref="L15:L27" si="27">(C15*D15*K15/1000)</f>
        <v>0</v>
      </c>
      <c r="M15" s="17" t="s">
        <v>93</v>
      </c>
      <c r="N15" s="18">
        <v>27</v>
      </c>
      <c r="O15" s="19">
        <f t="shared" ref="O15:O27" si="28">(C15*D15*N15/1000)</f>
        <v>1.6751340000000001</v>
      </c>
      <c r="P15" s="16" t="s">
        <v>293</v>
      </c>
      <c r="Q15" s="18"/>
      <c r="R15" s="19">
        <f t="shared" ref="R15:R27" si="29">(C15*D15*Q15/1000)</f>
        <v>0</v>
      </c>
      <c r="S15" s="20">
        <f t="shared" ref="S15:S27" si="30">+H15+K15+Q15+N15</f>
        <v>27</v>
      </c>
      <c r="T15" s="19">
        <f t="shared" ref="T15:T27" si="31">+I15+L15+R15+O15</f>
        <v>1.6751340000000001</v>
      </c>
      <c r="U15" s="21">
        <f t="shared" ref="U15:U27" si="32">E15-S15</f>
        <v>0</v>
      </c>
      <c r="V15" s="19">
        <f t="shared" ref="V15:V27" si="33">F15-T15</f>
        <v>0</v>
      </c>
      <c r="X15" s="29"/>
    </row>
    <row r="16" spans="1:24">
      <c r="A16" s="26" t="s">
        <v>13</v>
      </c>
      <c r="B16" s="26" t="s">
        <v>45</v>
      </c>
      <c r="C16" s="30">
        <v>9.26</v>
      </c>
      <c r="D16" s="27">
        <v>9.1</v>
      </c>
      <c r="E16" s="28">
        <v>84</v>
      </c>
      <c r="F16" s="16">
        <f t="shared" si="25"/>
        <v>7.0783439999999995</v>
      </c>
      <c r="G16" s="16" t="s">
        <v>289</v>
      </c>
      <c r="H16" s="18">
        <v>21</v>
      </c>
      <c r="I16" s="19">
        <f t="shared" si="26"/>
        <v>1.7695859999999999</v>
      </c>
      <c r="J16" s="16" t="s">
        <v>290</v>
      </c>
      <c r="K16" s="18">
        <f>20+15</f>
        <v>35</v>
      </c>
      <c r="L16" s="19">
        <f t="shared" si="27"/>
        <v>2.9493099999999997</v>
      </c>
      <c r="M16" s="17" t="s">
        <v>290</v>
      </c>
      <c r="N16" s="18">
        <v>28</v>
      </c>
      <c r="O16" s="19">
        <f t="shared" si="28"/>
        <v>2.359448</v>
      </c>
      <c r="P16" s="16" t="s">
        <v>294</v>
      </c>
      <c r="Q16" s="18"/>
      <c r="R16" s="19">
        <f t="shared" si="29"/>
        <v>0</v>
      </c>
      <c r="S16" s="20">
        <f t="shared" si="30"/>
        <v>84</v>
      </c>
      <c r="T16" s="19">
        <f t="shared" si="31"/>
        <v>7.0783439999999995</v>
      </c>
      <c r="U16" s="21">
        <f t="shared" si="32"/>
        <v>0</v>
      </c>
      <c r="V16" s="19">
        <f t="shared" si="33"/>
        <v>0</v>
      </c>
      <c r="X16" s="29"/>
    </row>
    <row r="17" spans="1:24">
      <c r="A17" s="26" t="s">
        <v>13</v>
      </c>
      <c r="B17" s="26" t="s">
        <v>45</v>
      </c>
      <c r="C17" s="30">
        <v>9.26</v>
      </c>
      <c r="D17" s="27">
        <v>9.3000000000000007</v>
      </c>
      <c r="E17" s="28">
        <v>22</v>
      </c>
      <c r="F17" s="16">
        <f t="shared" si="25"/>
        <v>1.8945960000000002</v>
      </c>
      <c r="G17" s="17"/>
      <c r="H17" s="18"/>
      <c r="I17" s="19">
        <f t="shared" si="26"/>
        <v>0</v>
      </c>
      <c r="J17" s="16"/>
      <c r="K17" s="18"/>
      <c r="L17" s="19">
        <f t="shared" si="27"/>
        <v>0</v>
      </c>
      <c r="M17" s="16"/>
      <c r="N17" s="18">
        <v>22</v>
      </c>
      <c r="O17" s="19">
        <f t="shared" si="28"/>
        <v>1.8945960000000002</v>
      </c>
      <c r="P17" s="16"/>
      <c r="Q17" s="18"/>
      <c r="R17" s="19">
        <f t="shared" si="29"/>
        <v>0</v>
      </c>
      <c r="S17" s="20">
        <f t="shared" si="30"/>
        <v>22</v>
      </c>
      <c r="T17" s="19">
        <f t="shared" si="31"/>
        <v>1.8945960000000002</v>
      </c>
      <c r="U17" s="21">
        <f t="shared" si="32"/>
        <v>0</v>
      </c>
      <c r="V17" s="19">
        <f t="shared" si="33"/>
        <v>0</v>
      </c>
      <c r="X17" s="29"/>
    </row>
    <row r="18" spans="1:24">
      <c r="A18" s="26" t="s">
        <v>13</v>
      </c>
      <c r="B18" s="26" t="s">
        <v>45</v>
      </c>
      <c r="C18" s="30">
        <v>9.26</v>
      </c>
      <c r="D18" s="27">
        <v>10.3</v>
      </c>
      <c r="E18" s="28">
        <v>12</v>
      </c>
      <c r="F18" s="16">
        <f t="shared" si="25"/>
        <v>1.144536</v>
      </c>
      <c r="G18" s="17"/>
      <c r="H18" s="18"/>
      <c r="I18" s="19">
        <f t="shared" si="26"/>
        <v>0</v>
      </c>
      <c r="J18" s="16"/>
      <c r="K18" s="18"/>
      <c r="L18" s="19">
        <f t="shared" si="27"/>
        <v>0</v>
      </c>
      <c r="M18" s="16"/>
      <c r="N18" s="18"/>
      <c r="O18" s="19">
        <f t="shared" si="28"/>
        <v>0</v>
      </c>
      <c r="P18" s="16"/>
      <c r="Q18" s="18"/>
      <c r="R18" s="19">
        <f t="shared" si="29"/>
        <v>0</v>
      </c>
      <c r="S18" s="20">
        <f t="shared" si="30"/>
        <v>0</v>
      </c>
      <c r="T18" s="19">
        <f t="shared" si="31"/>
        <v>0</v>
      </c>
      <c r="U18" s="21">
        <f t="shared" si="32"/>
        <v>12</v>
      </c>
      <c r="V18" s="19">
        <f t="shared" si="33"/>
        <v>1.144536</v>
      </c>
      <c r="X18" s="29"/>
    </row>
    <row r="19" spans="1:24">
      <c r="A19" s="26" t="s">
        <v>13</v>
      </c>
      <c r="B19" s="26" t="s">
        <v>45</v>
      </c>
      <c r="C19" s="30">
        <v>9.26</v>
      </c>
      <c r="D19" s="27">
        <v>10.4</v>
      </c>
      <c r="E19" s="28">
        <v>43</v>
      </c>
      <c r="F19" s="16">
        <f t="shared" si="25"/>
        <v>4.1410720000000003</v>
      </c>
      <c r="G19" s="17"/>
      <c r="H19" s="18">
        <v>29</v>
      </c>
      <c r="I19" s="19">
        <f t="shared" si="26"/>
        <v>2.7928160000000002</v>
      </c>
      <c r="J19" s="16"/>
      <c r="K19" s="18">
        <v>17</v>
      </c>
      <c r="L19" s="19">
        <f t="shared" si="27"/>
        <v>1.6371680000000002</v>
      </c>
      <c r="M19" s="16"/>
      <c r="N19" s="18">
        <v>5</v>
      </c>
      <c r="O19" s="19">
        <f t="shared" si="28"/>
        <v>0.48152</v>
      </c>
      <c r="P19" s="16"/>
      <c r="Q19" s="18"/>
      <c r="R19" s="19">
        <f t="shared" si="29"/>
        <v>0</v>
      </c>
      <c r="S19" s="20">
        <f t="shared" si="30"/>
        <v>51</v>
      </c>
      <c r="T19" s="19">
        <f t="shared" si="31"/>
        <v>4.9115039999999999</v>
      </c>
      <c r="U19" s="21">
        <f t="shared" si="32"/>
        <v>-8</v>
      </c>
      <c r="V19" s="19">
        <f t="shared" si="33"/>
        <v>-0.77043199999999956</v>
      </c>
      <c r="X19" s="29"/>
    </row>
    <row r="20" spans="1:24">
      <c r="A20" s="26" t="s">
        <v>13</v>
      </c>
      <c r="B20" s="26" t="s">
        <v>45</v>
      </c>
      <c r="C20" s="30">
        <v>9.26</v>
      </c>
      <c r="D20" s="27">
        <v>11</v>
      </c>
      <c r="E20" s="28">
        <v>24</v>
      </c>
      <c r="F20" s="16">
        <f t="shared" si="25"/>
        <v>2.4446399999999997</v>
      </c>
      <c r="G20" s="17"/>
      <c r="H20" s="18"/>
      <c r="I20" s="19">
        <f t="shared" si="26"/>
        <v>0</v>
      </c>
      <c r="J20" s="16"/>
      <c r="K20" s="18">
        <v>7</v>
      </c>
      <c r="L20" s="19">
        <f t="shared" si="27"/>
        <v>0.71301999999999999</v>
      </c>
      <c r="M20" s="16"/>
      <c r="N20" s="18">
        <v>17</v>
      </c>
      <c r="O20" s="19">
        <f t="shared" si="28"/>
        <v>1.7316199999999999</v>
      </c>
      <c r="P20" s="16"/>
      <c r="Q20" s="18"/>
      <c r="R20" s="19">
        <f t="shared" si="29"/>
        <v>0</v>
      </c>
      <c r="S20" s="20">
        <f t="shared" si="30"/>
        <v>24</v>
      </c>
      <c r="T20" s="19">
        <f t="shared" si="31"/>
        <v>2.4446399999999997</v>
      </c>
      <c r="U20" s="21">
        <f t="shared" si="32"/>
        <v>0</v>
      </c>
      <c r="V20" s="19">
        <f t="shared" si="33"/>
        <v>0</v>
      </c>
      <c r="X20" s="29"/>
    </row>
    <row r="21" spans="1:24">
      <c r="A21" s="26" t="s">
        <v>13</v>
      </c>
      <c r="B21" s="26" t="s">
        <v>45</v>
      </c>
      <c r="C21" s="30">
        <v>9.26</v>
      </c>
      <c r="D21" s="27">
        <v>11.5</v>
      </c>
      <c r="E21" s="28">
        <v>31</v>
      </c>
      <c r="F21" s="16">
        <f t="shared" si="25"/>
        <v>3.3011900000000001</v>
      </c>
      <c r="G21" s="17"/>
      <c r="H21" s="18"/>
      <c r="I21" s="19">
        <f t="shared" si="26"/>
        <v>0</v>
      </c>
      <c r="J21" s="16"/>
      <c r="K21" s="18">
        <v>12</v>
      </c>
      <c r="L21" s="19">
        <f t="shared" si="27"/>
        <v>1.2778799999999999</v>
      </c>
      <c r="M21" s="16"/>
      <c r="N21" s="18">
        <v>20</v>
      </c>
      <c r="O21" s="19">
        <f t="shared" si="28"/>
        <v>2.1297999999999999</v>
      </c>
      <c r="P21" s="16"/>
      <c r="Q21" s="18">
        <v>1</v>
      </c>
      <c r="R21" s="19">
        <f t="shared" si="29"/>
        <v>0.10649</v>
      </c>
      <c r="S21" s="20">
        <f t="shared" si="30"/>
        <v>33</v>
      </c>
      <c r="T21" s="19">
        <f t="shared" si="31"/>
        <v>3.51417</v>
      </c>
      <c r="U21" s="21">
        <f t="shared" si="32"/>
        <v>-2</v>
      </c>
      <c r="V21" s="19">
        <f t="shared" si="33"/>
        <v>-0.21297999999999995</v>
      </c>
      <c r="X21" s="29"/>
    </row>
    <row r="22" spans="1:24">
      <c r="A22" s="26" t="s">
        <v>13</v>
      </c>
      <c r="B22" s="26" t="s">
        <v>45</v>
      </c>
      <c r="C22" s="30">
        <v>9.26</v>
      </c>
      <c r="D22" s="27">
        <v>11.6</v>
      </c>
      <c r="E22" s="28">
        <v>86</v>
      </c>
      <c r="F22" s="16">
        <f t="shared" si="25"/>
        <v>9.2377760000000002</v>
      </c>
      <c r="G22" s="17"/>
      <c r="H22" s="18"/>
      <c r="I22" s="19">
        <f t="shared" si="26"/>
        <v>0</v>
      </c>
      <c r="J22" s="16"/>
      <c r="K22" s="18">
        <v>52</v>
      </c>
      <c r="L22" s="19">
        <f t="shared" si="27"/>
        <v>5.5856319999999995</v>
      </c>
      <c r="M22" s="16"/>
      <c r="N22" s="18">
        <v>5</v>
      </c>
      <c r="O22" s="19">
        <f t="shared" si="28"/>
        <v>0.53707999999999989</v>
      </c>
      <c r="P22" s="16"/>
      <c r="Q22" s="18">
        <v>29</v>
      </c>
      <c r="R22" s="19">
        <f t="shared" si="29"/>
        <v>3.1150639999999998</v>
      </c>
      <c r="S22" s="20">
        <f t="shared" si="30"/>
        <v>86</v>
      </c>
      <c r="T22" s="19">
        <f t="shared" si="31"/>
        <v>9.2377759999999984</v>
      </c>
      <c r="U22" s="21">
        <f t="shared" si="32"/>
        <v>0</v>
      </c>
      <c r="V22" s="19">
        <f t="shared" si="33"/>
        <v>0</v>
      </c>
      <c r="X22" s="29"/>
    </row>
    <row r="23" spans="1:24">
      <c r="A23" s="26" t="s">
        <v>13</v>
      </c>
      <c r="B23" s="26" t="s">
        <v>45</v>
      </c>
      <c r="C23" s="30">
        <v>9.26</v>
      </c>
      <c r="D23" s="27">
        <v>12</v>
      </c>
      <c r="E23" s="28">
        <v>58</v>
      </c>
      <c r="F23" s="16">
        <f t="shared" ref="F23:F26" si="34">(C23*D23*E23/1000)</f>
        <v>6.44496</v>
      </c>
      <c r="G23" s="17"/>
      <c r="H23" s="18">
        <v>23</v>
      </c>
      <c r="I23" s="19">
        <f t="shared" ref="I23:I26" si="35">(C23*D23*H23/1000)</f>
        <v>2.5557600000000003</v>
      </c>
      <c r="J23" s="16"/>
      <c r="K23" s="18">
        <v>38</v>
      </c>
      <c r="L23" s="19">
        <f t="shared" ref="L23:L26" si="36">(C23*D23*K23/1000)</f>
        <v>4.2225600000000005</v>
      </c>
      <c r="M23" s="16"/>
      <c r="N23" s="18"/>
      <c r="O23" s="19">
        <f t="shared" ref="O23:O26" si="37">(C23*D23*N23/1000)</f>
        <v>0</v>
      </c>
      <c r="P23" s="16"/>
      <c r="Q23" s="18"/>
      <c r="R23" s="19">
        <f t="shared" ref="R23:R26" si="38">(C23*D23*Q23/1000)</f>
        <v>0</v>
      </c>
      <c r="S23" s="20">
        <f t="shared" ref="S23:S26" si="39">+H23+K23+Q23+N23</f>
        <v>61</v>
      </c>
      <c r="T23" s="19">
        <f t="shared" ref="T23:T26" si="40">+I23+L23+R23+O23</f>
        <v>6.7783200000000008</v>
      </c>
      <c r="U23" s="21">
        <f t="shared" ref="U23:U26" si="41">E23-S23</f>
        <v>-3</v>
      </c>
      <c r="V23" s="19">
        <f t="shared" ref="V23:V26" si="42">F23-T23</f>
        <v>-0.33336000000000077</v>
      </c>
      <c r="X23" s="29"/>
    </row>
    <row r="24" spans="1:24">
      <c r="A24" s="26" t="s">
        <v>13</v>
      </c>
      <c r="B24" s="26" t="s">
        <v>45</v>
      </c>
      <c r="C24" s="30">
        <v>9.26</v>
      </c>
      <c r="D24" s="27"/>
      <c r="E24" s="28"/>
      <c r="F24" s="16">
        <f t="shared" si="34"/>
        <v>0</v>
      </c>
      <c r="G24" s="17"/>
      <c r="H24" s="18"/>
      <c r="I24" s="19">
        <f t="shared" si="35"/>
        <v>0</v>
      </c>
      <c r="J24" s="16"/>
      <c r="K24" s="18"/>
      <c r="L24" s="19">
        <f t="shared" si="36"/>
        <v>0</v>
      </c>
      <c r="M24" s="16"/>
      <c r="N24" s="18"/>
      <c r="O24" s="19">
        <f t="shared" si="37"/>
        <v>0</v>
      </c>
      <c r="P24" s="16"/>
      <c r="Q24" s="18"/>
      <c r="R24" s="19">
        <f t="shared" si="38"/>
        <v>0</v>
      </c>
      <c r="S24" s="20">
        <f t="shared" si="39"/>
        <v>0</v>
      </c>
      <c r="T24" s="19">
        <f t="shared" si="40"/>
        <v>0</v>
      </c>
      <c r="U24" s="21">
        <f t="shared" si="41"/>
        <v>0</v>
      </c>
      <c r="V24" s="19">
        <f t="shared" si="42"/>
        <v>0</v>
      </c>
      <c r="X24" s="29"/>
    </row>
    <row r="25" spans="1:24">
      <c r="A25" s="26" t="s">
        <v>13</v>
      </c>
      <c r="B25" s="26" t="s">
        <v>45</v>
      </c>
      <c r="C25" s="30">
        <v>9.26</v>
      </c>
      <c r="D25" s="27"/>
      <c r="E25" s="28"/>
      <c r="F25" s="16">
        <f t="shared" si="34"/>
        <v>0</v>
      </c>
      <c r="G25" s="17"/>
      <c r="H25" s="18"/>
      <c r="I25" s="19">
        <f t="shared" si="35"/>
        <v>0</v>
      </c>
      <c r="J25" s="16"/>
      <c r="K25" s="18"/>
      <c r="L25" s="19">
        <f t="shared" si="36"/>
        <v>0</v>
      </c>
      <c r="M25" s="16"/>
      <c r="N25" s="18"/>
      <c r="O25" s="19">
        <f t="shared" si="37"/>
        <v>0</v>
      </c>
      <c r="P25" s="16"/>
      <c r="Q25" s="18"/>
      <c r="R25" s="19">
        <f t="shared" si="38"/>
        <v>0</v>
      </c>
      <c r="S25" s="20">
        <f t="shared" si="39"/>
        <v>0</v>
      </c>
      <c r="T25" s="19">
        <f t="shared" si="40"/>
        <v>0</v>
      </c>
      <c r="U25" s="21">
        <f t="shared" si="41"/>
        <v>0</v>
      </c>
      <c r="V25" s="19">
        <f t="shared" si="42"/>
        <v>0</v>
      </c>
      <c r="X25" s="29"/>
    </row>
    <row r="26" spans="1:24">
      <c r="A26" s="26" t="s">
        <v>13</v>
      </c>
      <c r="B26" s="26" t="s">
        <v>45</v>
      </c>
      <c r="C26" s="30">
        <v>9.26</v>
      </c>
      <c r="D26" s="27"/>
      <c r="E26" s="28"/>
      <c r="F26" s="16">
        <f t="shared" si="34"/>
        <v>0</v>
      </c>
      <c r="G26" s="17"/>
      <c r="H26" s="18"/>
      <c r="I26" s="19">
        <f t="shared" si="35"/>
        <v>0</v>
      </c>
      <c r="J26" s="16"/>
      <c r="K26" s="18"/>
      <c r="L26" s="19">
        <f t="shared" si="36"/>
        <v>0</v>
      </c>
      <c r="M26" s="16"/>
      <c r="N26" s="18"/>
      <c r="O26" s="19">
        <f t="shared" si="37"/>
        <v>0</v>
      </c>
      <c r="P26" s="16"/>
      <c r="Q26" s="18"/>
      <c r="R26" s="19">
        <f t="shared" si="38"/>
        <v>0</v>
      </c>
      <c r="S26" s="20">
        <f t="shared" si="39"/>
        <v>0</v>
      </c>
      <c r="T26" s="19">
        <f t="shared" si="40"/>
        <v>0</v>
      </c>
      <c r="U26" s="21">
        <f t="shared" si="41"/>
        <v>0</v>
      </c>
      <c r="V26" s="19">
        <f t="shared" si="42"/>
        <v>0</v>
      </c>
      <c r="X26" s="29"/>
    </row>
    <row r="27" spans="1:24">
      <c r="A27" s="26" t="s">
        <v>13</v>
      </c>
      <c r="B27" s="26" t="s">
        <v>45</v>
      </c>
      <c r="C27" s="30">
        <v>9.26</v>
      </c>
      <c r="D27" s="27"/>
      <c r="E27" s="28"/>
      <c r="F27" s="16">
        <f t="shared" si="25"/>
        <v>0</v>
      </c>
      <c r="G27" s="17"/>
      <c r="H27" s="18"/>
      <c r="I27" s="19">
        <f t="shared" si="26"/>
        <v>0</v>
      </c>
      <c r="J27" s="16"/>
      <c r="K27" s="18"/>
      <c r="L27" s="19">
        <f t="shared" si="27"/>
        <v>0</v>
      </c>
      <c r="M27" s="16"/>
      <c r="N27" s="18"/>
      <c r="O27" s="19">
        <f t="shared" si="28"/>
        <v>0</v>
      </c>
      <c r="P27" s="16"/>
      <c r="Q27" s="18"/>
      <c r="R27" s="19">
        <f t="shared" si="29"/>
        <v>0</v>
      </c>
      <c r="S27" s="20">
        <f t="shared" si="30"/>
        <v>0</v>
      </c>
      <c r="T27" s="19">
        <f t="shared" si="31"/>
        <v>0</v>
      </c>
      <c r="U27" s="21">
        <f t="shared" si="32"/>
        <v>0</v>
      </c>
      <c r="V27" s="19">
        <f t="shared" si="33"/>
        <v>0</v>
      </c>
      <c r="X27" s="29"/>
    </row>
    <row r="28" spans="1:24">
      <c r="A28" s="36"/>
      <c r="B28" s="36"/>
      <c r="C28" s="37"/>
      <c r="D28" s="38"/>
      <c r="E28" s="31">
        <f t="shared" ref="E28:F28" si="43">SUM(E15:E27)</f>
        <v>387</v>
      </c>
      <c r="F28" s="38">
        <f t="shared" si="43"/>
        <v>37.362248000000001</v>
      </c>
      <c r="G28" s="17"/>
      <c r="H28" s="31">
        <f t="shared" ref="H28" si="44">SUM(H15:H27)</f>
        <v>73</v>
      </c>
      <c r="I28" s="38">
        <f t="shared" ref="I28" si="45">SUM(I15:I27)</f>
        <v>7.1181620000000008</v>
      </c>
      <c r="J28" s="16"/>
      <c r="K28" s="31">
        <f t="shared" ref="K28" si="46">SUM(K15:K27)</f>
        <v>161</v>
      </c>
      <c r="L28" s="38">
        <f t="shared" ref="L28" si="47">SUM(L15:L27)</f>
        <v>16.385570000000001</v>
      </c>
      <c r="M28" s="16"/>
      <c r="N28" s="31">
        <f t="shared" ref="N28" si="48">SUM(N15:N27)</f>
        <v>124</v>
      </c>
      <c r="O28" s="38">
        <f t="shared" ref="O28" si="49">SUM(O15:O27)</f>
        <v>10.809197999999999</v>
      </c>
      <c r="P28" s="16"/>
      <c r="Q28" s="31">
        <f t="shared" ref="Q28" si="50">SUM(Q15:Q27)</f>
        <v>30</v>
      </c>
      <c r="R28" s="38">
        <f t="shared" ref="R28" si="51">SUM(R15:R27)</f>
        <v>3.2215539999999998</v>
      </c>
      <c r="S28" s="31">
        <f t="shared" ref="S28" si="52">SUM(S15:S27)</f>
        <v>388</v>
      </c>
      <c r="T28" s="38">
        <f t="shared" ref="T28" si="53">SUM(T15:T27)</f>
        <v>37.534483999999999</v>
      </c>
      <c r="U28" s="31">
        <f t="shared" ref="U28" si="54">SUM(U15:U27)</f>
        <v>-1</v>
      </c>
      <c r="V28" s="38">
        <f t="shared" ref="V28" si="55">SUM(V15:V27)</f>
        <v>-0.17223600000000028</v>
      </c>
      <c r="X28" s="29"/>
    </row>
    <row r="29" spans="1:24">
      <c r="A29" s="26" t="s">
        <v>13</v>
      </c>
      <c r="B29" s="26" t="s">
        <v>46</v>
      </c>
      <c r="C29" s="30">
        <v>10.7</v>
      </c>
      <c r="D29" s="27">
        <v>7.4</v>
      </c>
      <c r="E29" s="28">
        <v>16</v>
      </c>
      <c r="F29" s="16">
        <f t="shared" ref="F29:F43" si="56">(C29*D29*E29/1000)</f>
        <v>1.2668799999999998</v>
      </c>
      <c r="G29" s="16" t="s">
        <v>288</v>
      </c>
      <c r="H29" s="18"/>
      <c r="I29" s="19">
        <f t="shared" ref="I29:I43" si="57">(C29*D29*H29/1000)</f>
        <v>0</v>
      </c>
      <c r="J29" s="16" t="s">
        <v>111</v>
      </c>
      <c r="K29" s="18"/>
      <c r="L29" s="19">
        <f t="shared" ref="L29:L43" si="58">(C29*D29*K29/1000)</f>
        <v>0</v>
      </c>
      <c r="M29" s="16" t="s">
        <v>88</v>
      </c>
      <c r="N29" s="18"/>
      <c r="O29" s="19">
        <f t="shared" ref="O29:O43" si="59">(C29*D29*N29/1000)</f>
        <v>0</v>
      </c>
      <c r="P29" s="17" t="s">
        <v>111</v>
      </c>
      <c r="Q29" s="18"/>
      <c r="R29" s="19">
        <f t="shared" ref="R29:R43" si="60">(C29*D29*Q29/1000)</f>
        <v>0</v>
      </c>
      <c r="S29" s="20">
        <f t="shared" ref="S29:S43" si="61">+H29+K29+Q29+N29</f>
        <v>0</v>
      </c>
      <c r="T29" s="19">
        <f t="shared" ref="T29:T43" si="62">+I29+L29+R29+O29</f>
        <v>0</v>
      </c>
      <c r="U29" s="21">
        <f t="shared" ref="U29:U43" si="63">E29-S29</f>
        <v>16</v>
      </c>
      <c r="V29" s="19">
        <f t="shared" ref="V29:V43" si="64">F29-T29</f>
        <v>1.2668799999999998</v>
      </c>
      <c r="X29" s="29"/>
    </row>
    <row r="30" spans="1:24">
      <c r="A30" s="26" t="s">
        <v>13</v>
      </c>
      <c r="B30" s="26" t="s">
        <v>46</v>
      </c>
      <c r="C30" s="30">
        <v>10.7</v>
      </c>
      <c r="D30" s="27">
        <v>7.7</v>
      </c>
      <c r="E30" s="28">
        <v>52</v>
      </c>
      <c r="F30" s="16">
        <f t="shared" si="56"/>
        <v>4.2842799999999999</v>
      </c>
      <c r="G30" s="16" t="s">
        <v>289</v>
      </c>
      <c r="H30" s="18">
        <v>45</v>
      </c>
      <c r="I30" s="19">
        <f t="shared" si="57"/>
        <v>3.7075500000000003</v>
      </c>
      <c r="J30" s="16" t="s">
        <v>289</v>
      </c>
      <c r="K30" s="18">
        <v>32</v>
      </c>
      <c r="L30" s="19">
        <f t="shared" si="58"/>
        <v>2.6364800000000002</v>
      </c>
      <c r="M30" s="16" t="s">
        <v>290</v>
      </c>
      <c r="N30" s="18"/>
      <c r="O30" s="19">
        <f t="shared" si="59"/>
        <v>0</v>
      </c>
      <c r="P30" s="17" t="s">
        <v>291</v>
      </c>
      <c r="Q30" s="18"/>
      <c r="R30" s="19">
        <f t="shared" si="60"/>
        <v>0</v>
      </c>
      <c r="S30" s="20">
        <f t="shared" si="61"/>
        <v>77</v>
      </c>
      <c r="T30" s="19">
        <f t="shared" si="62"/>
        <v>6.3440300000000001</v>
      </c>
      <c r="U30" s="21">
        <f t="shared" si="63"/>
        <v>-25</v>
      </c>
      <c r="V30" s="19">
        <f t="shared" si="64"/>
        <v>-2.0597500000000002</v>
      </c>
      <c r="X30" s="29"/>
    </row>
    <row r="31" spans="1:24">
      <c r="A31" s="26" t="s">
        <v>13</v>
      </c>
      <c r="B31" s="26" t="s">
        <v>46</v>
      </c>
      <c r="C31" s="30">
        <v>10.7</v>
      </c>
      <c r="D31" s="27">
        <v>8</v>
      </c>
      <c r="E31" s="28">
        <v>15</v>
      </c>
      <c r="F31" s="16">
        <f t="shared" si="56"/>
        <v>1.284</v>
      </c>
      <c r="G31" s="17"/>
      <c r="H31" s="18">
        <v>11</v>
      </c>
      <c r="I31" s="19">
        <f t="shared" si="57"/>
        <v>0.94159999999999988</v>
      </c>
      <c r="J31" s="16"/>
      <c r="K31" s="18">
        <v>4</v>
      </c>
      <c r="L31" s="19">
        <f t="shared" si="58"/>
        <v>0.34239999999999998</v>
      </c>
      <c r="M31" s="16"/>
      <c r="N31" s="18"/>
      <c r="O31" s="19">
        <f t="shared" si="59"/>
        <v>0</v>
      </c>
      <c r="P31" s="16"/>
      <c r="Q31" s="18"/>
      <c r="R31" s="19">
        <f t="shared" si="60"/>
        <v>0</v>
      </c>
      <c r="S31" s="20">
        <f t="shared" si="61"/>
        <v>15</v>
      </c>
      <c r="T31" s="19">
        <f t="shared" si="62"/>
        <v>1.2839999999999998</v>
      </c>
      <c r="U31" s="21">
        <f t="shared" si="63"/>
        <v>0</v>
      </c>
      <c r="V31" s="19">
        <f t="shared" si="64"/>
        <v>0</v>
      </c>
      <c r="X31" s="29"/>
    </row>
    <row r="32" spans="1:24">
      <c r="A32" s="26" t="s">
        <v>13</v>
      </c>
      <c r="B32" s="26" t="s">
        <v>46</v>
      </c>
      <c r="C32" s="30">
        <v>10.7</v>
      </c>
      <c r="D32" s="27">
        <v>8.9</v>
      </c>
      <c r="E32" s="28">
        <v>31</v>
      </c>
      <c r="F32" s="16">
        <f t="shared" si="56"/>
        <v>2.9521299999999999</v>
      </c>
      <c r="G32" s="17"/>
      <c r="H32" s="18"/>
      <c r="I32" s="19">
        <f t="shared" si="57"/>
        <v>0</v>
      </c>
      <c r="J32" s="16"/>
      <c r="K32" s="18">
        <v>21</v>
      </c>
      <c r="L32" s="19">
        <f t="shared" si="58"/>
        <v>1.9998300000000002</v>
      </c>
      <c r="M32" s="16"/>
      <c r="N32" s="18"/>
      <c r="O32" s="19">
        <f t="shared" si="59"/>
        <v>0</v>
      </c>
      <c r="P32" s="16"/>
      <c r="Q32" s="18">
        <v>1</v>
      </c>
      <c r="R32" s="19">
        <f t="shared" si="60"/>
        <v>9.5230000000000009E-2</v>
      </c>
      <c r="S32" s="20">
        <f t="shared" si="61"/>
        <v>22</v>
      </c>
      <c r="T32" s="19">
        <f t="shared" si="62"/>
        <v>2.0950600000000001</v>
      </c>
      <c r="U32" s="21">
        <f t="shared" si="63"/>
        <v>9</v>
      </c>
      <c r="V32" s="19">
        <f t="shared" si="64"/>
        <v>0.85706999999999978</v>
      </c>
      <c r="X32" s="29"/>
    </row>
    <row r="33" spans="1:24">
      <c r="A33" s="26" t="s">
        <v>13</v>
      </c>
      <c r="B33" s="26" t="s">
        <v>46</v>
      </c>
      <c r="C33" s="30">
        <v>10.7</v>
      </c>
      <c r="D33" s="27">
        <v>9.85</v>
      </c>
      <c r="E33" s="28">
        <v>61</v>
      </c>
      <c r="F33" s="16">
        <f t="shared" si="56"/>
        <v>6.4290949999999993</v>
      </c>
      <c r="G33" s="17"/>
      <c r="H33" s="18">
        <v>20</v>
      </c>
      <c r="I33" s="19">
        <f t="shared" si="57"/>
        <v>2.1078999999999999</v>
      </c>
      <c r="J33" s="16"/>
      <c r="K33" s="18"/>
      <c r="L33" s="19">
        <f t="shared" si="58"/>
        <v>0</v>
      </c>
      <c r="M33" s="16"/>
      <c r="N33" s="18"/>
      <c r="O33" s="19">
        <f t="shared" si="59"/>
        <v>0</v>
      </c>
      <c r="P33" s="16"/>
      <c r="Q33" s="18">
        <v>9</v>
      </c>
      <c r="R33" s="19">
        <f t="shared" si="60"/>
        <v>0.94855499999999993</v>
      </c>
      <c r="S33" s="20">
        <f t="shared" si="61"/>
        <v>29</v>
      </c>
      <c r="T33" s="19">
        <f t="shared" si="62"/>
        <v>3.0564549999999997</v>
      </c>
      <c r="U33" s="21">
        <f t="shared" si="63"/>
        <v>32</v>
      </c>
      <c r="V33" s="19">
        <f t="shared" si="64"/>
        <v>3.3726399999999996</v>
      </c>
      <c r="X33" s="29"/>
    </row>
    <row r="34" spans="1:24">
      <c r="A34" s="26" t="s">
        <v>13</v>
      </c>
      <c r="B34" s="26" t="s">
        <v>46</v>
      </c>
      <c r="C34" s="30">
        <v>10.7</v>
      </c>
      <c r="D34" s="27">
        <v>10</v>
      </c>
      <c r="E34" s="28">
        <v>28</v>
      </c>
      <c r="F34" s="16">
        <f t="shared" si="56"/>
        <v>2.996</v>
      </c>
      <c r="G34" s="17"/>
      <c r="H34" s="18">
        <v>23</v>
      </c>
      <c r="I34" s="19">
        <f t="shared" si="57"/>
        <v>2.4609999999999999</v>
      </c>
      <c r="J34" s="16"/>
      <c r="K34" s="18"/>
      <c r="L34" s="19">
        <f t="shared" si="58"/>
        <v>0</v>
      </c>
      <c r="M34" s="16"/>
      <c r="N34" s="18">
        <v>15</v>
      </c>
      <c r="O34" s="19">
        <f t="shared" si="59"/>
        <v>1.605</v>
      </c>
      <c r="P34" s="16"/>
      <c r="Q34" s="18">
        <v>5</v>
      </c>
      <c r="R34" s="19">
        <f t="shared" si="60"/>
        <v>0.53500000000000003</v>
      </c>
      <c r="S34" s="20">
        <f t="shared" si="61"/>
        <v>43</v>
      </c>
      <c r="T34" s="19">
        <f t="shared" si="62"/>
        <v>4.601</v>
      </c>
      <c r="U34" s="21">
        <f t="shared" si="63"/>
        <v>-15</v>
      </c>
      <c r="V34" s="19">
        <f t="shared" si="64"/>
        <v>-1.605</v>
      </c>
      <c r="X34" s="29"/>
    </row>
    <row r="35" spans="1:24">
      <c r="A35" s="26" t="s">
        <v>13</v>
      </c>
      <c r="B35" s="26" t="s">
        <v>46</v>
      </c>
      <c r="C35" s="30">
        <v>10.7</v>
      </c>
      <c r="D35" s="27">
        <v>10.8</v>
      </c>
      <c r="E35" s="28">
        <v>15</v>
      </c>
      <c r="F35" s="16">
        <f t="shared" si="56"/>
        <v>1.7334000000000001</v>
      </c>
      <c r="G35" s="17"/>
      <c r="H35" s="18">
        <v>6</v>
      </c>
      <c r="I35" s="19">
        <f t="shared" si="57"/>
        <v>0.69335999999999998</v>
      </c>
      <c r="J35" s="16"/>
      <c r="K35" s="18">
        <v>8</v>
      </c>
      <c r="L35" s="19">
        <f t="shared" si="58"/>
        <v>0.92447999999999997</v>
      </c>
      <c r="M35" s="16"/>
      <c r="N35" s="18"/>
      <c r="O35" s="19">
        <f t="shared" si="59"/>
        <v>0</v>
      </c>
      <c r="P35" s="16"/>
      <c r="Q35" s="18"/>
      <c r="R35" s="19">
        <f t="shared" si="60"/>
        <v>0</v>
      </c>
      <c r="S35" s="20">
        <f t="shared" si="61"/>
        <v>14</v>
      </c>
      <c r="T35" s="19">
        <f t="shared" si="62"/>
        <v>1.6178399999999999</v>
      </c>
      <c r="U35" s="21">
        <f t="shared" si="63"/>
        <v>1</v>
      </c>
      <c r="V35" s="19">
        <f t="shared" si="64"/>
        <v>0.11556000000000011</v>
      </c>
      <c r="X35" s="29"/>
    </row>
    <row r="36" spans="1:24">
      <c r="A36" s="26" t="s">
        <v>13</v>
      </c>
      <c r="B36" s="26" t="s">
        <v>46</v>
      </c>
      <c r="C36" s="30">
        <v>10.7</v>
      </c>
      <c r="D36" s="27">
        <v>11</v>
      </c>
      <c r="E36" s="28">
        <v>23</v>
      </c>
      <c r="F36" s="16">
        <f t="shared" si="56"/>
        <v>2.7071000000000001</v>
      </c>
      <c r="G36" s="17"/>
      <c r="H36" s="18">
        <v>4</v>
      </c>
      <c r="I36" s="19">
        <f t="shared" si="57"/>
        <v>0.47079999999999994</v>
      </c>
      <c r="J36" s="16"/>
      <c r="K36" s="18">
        <v>19</v>
      </c>
      <c r="L36" s="19">
        <f t="shared" si="58"/>
        <v>2.2362999999999995</v>
      </c>
      <c r="M36" s="16"/>
      <c r="N36" s="18"/>
      <c r="O36" s="19">
        <f t="shared" si="59"/>
        <v>0</v>
      </c>
      <c r="P36" s="16"/>
      <c r="Q36" s="18"/>
      <c r="R36" s="19">
        <f t="shared" si="60"/>
        <v>0</v>
      </c>
      <c r="S36" s="20">
        <f t="shared" si="61"/>
        <v>23</v>
      </c>
      <c r="T36" s="19">
        <f t="shared" si="62"/>
        <v>2.7070999999999996</v>
      </c>
      <c r="U36" s="21">
        <f t="shared" si="63"/>
        <v>0</v>
      </c>
      <c r="V36" s="19">
        <f t="shared" si="64"/>
        <v>0</v>
      </c>
      <c r="X36" s="29"/>
    </row>
    <row r="37" spans="1:24">
      <c r="A37" s="26" t="s">
        <v>13</v>
      </c>
      <c r="B37" s="26" t="s">
        <v>46</v>
      </c>
      <c r="C37" s="30">
        <v>10.7</v>
      </c>
      <c r="D37" s="27">
        <v>11.2</v>
      </c>
      <c r="E37" s="28">
        <v>22</v>
      </c>
      <c r="F37" s="16">
        <f t="shared" si="56"/>
        <v>2.6364799999999997</v>
      </c>
      <c r="G37" s="17"/>
      <c r="H37" s="18">
        <v>22</v>
      </c>
      <c r="I37" s="19">
        <f t="shared" si="57"/>
        <v>2.6364799999999997</v>
      </c>
      <c r="J37" s="16"/>
      <c r="K37" s="18"/>
      <c r="L37" s="19">
        <f t="shared" si="58"/>
        <v>0</v>
      </c>
      <c r="M37" s="16"/>
      <c r="N37" s="18"/>
      <c r="O37" s="19">
        <f t="shared" si="59"/>
        <v>0</v>
      </c>
      <c r="P37" s="16"/>
      <c r="Q37" s="18">
        <v>2</v>
      </c>
      <c r="R37" s="19">
        <f t="shared" si="60"/>
        <v>0.23967999999999998</v>
      </c>
      <c r="S37" s="20">
        <f t="shared" si="61"/>
        <v>24</v>
      </c>
      <c r="T37" s="19">
        <f t="shared" si="62"/>
        <v>2.8761599999999996</v>
      </c>
      <c r="U37" s="21">
        <f t="shared" si="63"/>
        <v>-2</v>
      </c>
      <c r="V37" s="19">
        <f t="shared" si="64"/>
        <v>-0.23967999999999989</v>
      </c>
      <c r="X37" s="29"/>
    </row>
    <row r="38" spans="1:24">
      <c r="A38" s="26" t="s">
        <v>13</v>
      </c>
      <c r="B38" s="26" t="s">
        <v>46</v>
      </c>
      <c r="C38" s="30">
        <v>10.7</v>
      </c>
      <c r="D38" s="27">
        <v>11.7</v>
      </c>
      <c r="E38" s="28">
        <v>2</v>
      </c>
      <c r="F38" s="16">
        <f t="shared" si="56"/>
        <v>0.25037999999999999</v>
      </c>
      <c r="G38" s="17"/>
      <c r="H38" s="18"/>
      <c r="I38" s="19">
        <f t="shared" si="57"/>
        <v>0</v>
      </c>
      <c r="J38" s="16"/>
      <c r="K38" s="18"/>
      <c r="L38" s="19">
        <f t="shared" si="58"/>
        <v>0</v>
      </c>
      <c r="M38" s="16"/>
      <c r="N38" s="18"/>
      <c r="O38" s="19">
        <f t="shared" si="59"/>
        <v>0</v>
      </c>
      <c r="P38" s="16"/>
      <c r="Q38" s="18"/>
      <c r="R38" s="19">
        <f t="shared" si="60"/>
        <v>0</v>
      </c>
      <c r="S38" s="20">
        <f t="shared" si="61"/>
        <v>0</v>
      </c>
      <c r="T38" s="19">
        <f t="shared" si="62"/>
        <v>0</v>
      </c>
      <c r="U38" s="21">
        <f t="shared" si="63"/>
        <v>2</v>
      </c>
      <c r="V38" s="19">
        <f t="shared" si="64"/>
        <v>0.25037999999999999</v>
      </c>
      <c r="X38" s="29"/>
    </row>
    <row r="39" spans="1:24">
      <c r="A39" s="26" t="s">
        <v>13</v>
      </c>
      <c r="B39" s="26" t="s">
        <v>46</v>
      </c>
      <c r="C39" s="30">
        <v>10.7</v>
      </c>
      <c r="D39" s="27">
        <v>12</v>
      </c>
      <c r="E39" s="28">
        <v>9</v>
      </c>
      <c r="F39" s="16">
        <f t="shared" ref="F39:F42" si="65">(C39*D39*E39/1000)</f>
        <v>1.1556</v>
      </c>
      <c r="G39" s="17"/>
      <c r="H39" s="18">
        <v>11</v>
      </c>
      <c r="I39" s="19">
        <f t="shared" ref="I39:I42" si="66">(C39*D39*H39/1000)</f>
        <v>1.4123999999999997</v>
      </c>
      <c r="J39" s="16"/>
      <c r="K39" s="18"/>
      <c r="L39" s="19">
        <f t="shared" ref="L39:L42" si="67">(C39*D39*K39/1000)</f>
        <v>0</v>
      </c>
      <c r="M39" s="16"/>
      <c r="N39" s="18"/>
      <c r="O39" s="19">
        <f t="shared" ref="O39:O42" si="68">(C39*D39*N39/1000)</f>
        <v>0</v>
      </c>
      <c r="P39" s="16"/>
      <c r="Q39" s="18"/>
      <c r="R39" s="19">
        <f t="shared" ref="R39:R42" si="69">(C39*D39*Q39/1000)</f>
        <v>0</v>
      </c>
      <c r="S39" s="20">
        <f t="shared" ref="S39:S42" si="70">+H39+K39+Q39+N39</f>
        <v>11</v>
      </c>
      <c r="T39" s="19">
        <f t="shared" ref="T39:T42" si="71">+I39+L39+R39+O39</f>
        <v>1.4123999999999997</v>
      </c>
      <c r="U39" s="21">
        <f t="shared" ref="U39:U42" si="72">E39-S39</f>
        <v>-2</v>
      </c>
      <c r="V39" s="19">
        <f t="shared" ref="V39:V42" si="73">F39-T39</f>
        <v>-0.2567999999999997</v>
      </c>
      <c r="X39" s="29"/>
    </row>
    <row r="40" spans="1:24">
      <c r="A40" s="26" t="s">
        <v>13</v>
      </c>
      <c r="B40" s="26" t="s">
        <v>46</v>
      </c>
      <c r="C40" s="30">
        <v>10.7</v>
      </c>
      <c r="D40" s="27">
        <v>11.95</v>
      </c>
      <c r="E40" s="28"/>
      <c r="F40" s="16">
        <f t="shared" si="65"/>
        <v>0</v>
      </c>
      <c r="G40" s="17"/>
      <c r="H40" s="18"/>
      <c r="I40" s="19">
        <f t="shared" si="66"/>
        <v>0</v>
      </c>
      <c r="J40" s="16"/>
      <c r="K40" s="18"/>
      <c r="L40" s="19">
        <f t="shared" si="67"/>
        <v>0</v>
      </c>
      <c r="M40" s="16"/>
      <c r="N40" s="18"/>
      <c r="O40" s="19">
        <f t="shared" si="68"/>
        <v>0</v>
      </c>
      <c r="P40" s="16"/>
      <c r="Q40" s="18">
        <v>5</v>
      </c>
      <c r="R40" s="19">
        <f t="shared" si="69"/>
        <v>0.63932499999999992</v>
      </c>
      <c r="S40" s="20">
        <f t="shared" si="70"/>
        <v>5</v>
      </c>
      <c r="T40" s="19">
        <f t="shared" si="71"/>
        <v>0.63932499999999992</v>
      </c>
      <c r="U40" s="21">
        <f t="shared" si="72"/>
        <v>-5</v>
      </c>
      <c r="V40" s="19">
        <f t="shared" si="73"/>
        <v>-0.63932499999999992</v>
      </c>
      <c r="X40" s="29"/>
    </row>
    <row r="41" spans="1:24">
      <c r="A41" s="26" t="s">
        <v>13</v>
      </c>
      <c r="B41" s="26" t="s">
        <v>46</v>
      </c>
      <c r="C41" s="30">
        <v>10.7</v>
      </c>
      <c r="D41" s="27">
        <v>11.5</v>
      </c>
      <c r="E41" s="28"/>
      <c r="F41" s="16">
        <f t="shared" si="65"/>
        <v>0</v>
      </c>
      <c r="G41" s="17"/>
      <c r="H41" s="18"/>
      <c r="I41" s="19">
        <f t="shared" si="66"/>
        <v>0</v>
      </c>
      <c r="J41" s="16"/>
      <c r="K41" s="18"/>
      <c r="L41" s="19">
        <f t="shared" si="67"/>
        <v>0</v>
      </c>
      <c r="M41" s="16"/>
      <c r="N41" s="18"/>
      <c r="O41" s="19">
        <f t="shared" si="68"/>
        <v>0</v>
      </c>
      <c r="P41" s="16"/>
      <c r="Q41" s="18">
        <v>6</v>
      </c>
      <c r="R41" s="19">
        <f t="shared" si="69"/>
        <v>0.73829999999999996</v>
      </c>
      <c r="S41" s="20">
        <f t="shared" si="70"/>
        <v>6</v>
      </c>
      <c r="T41" s="19">
        <f t="shared" si="71"/>
        <v>0.73829999999999996</v>
      </c>
      <c r="U41" s="21">
        <f t="shared" si="72"/>
        <v>-6</v>
      </c>
      <c r="V41" s="19">
        <f t="shared" si="73"/>
        <v>-0.73829999999999996</v>
      </c>
      <c r="X41" s="29"/>
    </row>
    <row r="42" spans="1:24">
      <c r="A42" s="26" t="s">
        <v>13</v>
      </c>
      <c r="B42" s="26" t="s">
        <v>46</v>
      </c>
      <c r="C42" s="30">
        <v>10.7</v>
      </c>
      <c r="D42" s="27">
        <v>9.5</v>
      </c>
      <c r="E42" s="28"/>
      <c r="F42" s="16">
        <f t="shared" si="65"/>
        <v>0</v>
      </c>
      <c r="G42" s="17"/>
      <c r="H42" s="18"/>
      <c r="I42" s="19">
        <f t="shared" si="66"/>
        <v>0</v>
      </c>
      <c r="J42" s="16"/>
      <c r="K42" s="18"/>
      <c r="L42" s="19">
        <f t="shared" si="67"/>
        <v>0</v>
      </c>
      <c r="M42" s="16"/>
      <c r="N42" s="18"/>
      <c r="O42" s="19">
        <f t="shared" si="68"/>
        <v>0</v>
      </c>
      <c r="P42" s="16"/>
      <c r="Q42" s="18">
        <v>4</v>
      </c>
      <c r="R42" s="19">
        <f t="shared" si="69"/>
        <v>0.40659999999999996</v>
      </c>
      <c r="S42" s="20">
        <f t="shared" si="70"/>
        <v>4</v>
      </c>
      <c r="T42" s="19">
        <f t="shared" si="71"/>
        <v>0.40659999999999996</v>
      </c>
      <c r="U42" s="21">
        <f t="shared" si="72"/>
        <v>-4</v>
      </c>
      <c r="V42" s="19">
        <f t="shared" si="73"/>
        <v>-0.40659999999999996</v>
      </c>
      <c r="X42" s="29"/>
    </row>
    <row r="43" spans="1:24">
      <c r="A43" s="26" t="s">
        <v>13</v>
      </c>
      <c r="B43" s="26" t="s">
        <v>46</v>
      </c>
      <c r="C43" s="30">
        <v>10.7</v>
      </c>
      <c r="D43" s="27"/>
      <c r="E43" s="28"/>
      <c r="F43" s="16">
        <f t="shared" si="56"/>
        <v>0</v>
      </c>
      <c r="G43" s="17"/>
      <c r="H43" s="18"/>
      <c r="I43" s="19">
        <f t="shared" si="57"/>
        <v>0</v>
      </c>
      <c r="J43" s="16"/>
      <c r="K43" s="18"/>
      <c r="L43" s="19">
        <f t="shared" si="58"/>
        <v>0</v>
      </c>
      <c r="M43" s="16"/>
      <c r="N43" s="18"/>
      <c r="O43" s="19">
        <f t="shared" si="59"/>
        <v>0</v>
      </c>
      <c r="P43" s="16"/>
      <c r="Q43" s="18"/>
      <c r="R43" s="19">
        <f t="shared" si="60"/>
        <v>0</v>
      </c>
      <c r="S43" s="20">
        <f t="shared" si="61"/>
        <v>0</v>
      </c>
      <c r="T43" s="19">
        <f t="shared" si="62"/>
        <v>0</v>
      </c>
      <c r="U43" s="21">
        <f t="shared" si="63"/>
        <v>0</v>
      </c>
      <c r="V43" s="19">
        <f t="shared" si="64"/>
        <v>0</v>
      </c>
      <c r="X43" s="29"/>
    </row>
    <row r="44" spans="1:24">
      <c r="A44" s="36"/>
      <c r="B44" s="36"/>
      <c r="C44" s="37"/>
      <c r="D44" s="38"/>
      <c r="E44" s="31">
        <f t="shared" ref="E44:F44" si="74">SUM(E29:E43)</f>
        <v>274</v>
      </c>
      <c r="F44" s="38">
        <f t="shared" si="74"/>
        <v>27.695344999999996</v>
      </c>
      <c r="G44" s="17"/>
      <c r="H44" s="31">
        <f t="shared" ref="H44" si="75">SUM(H29:H43)</f>
        <v>142</v>
      </c>
      <c r="I44" s="38">
        <f t="shared" ref="I44" si="76">SUM(I29:I43)</f>
        <v>14.431089999999999</v>
      </c>
      <c r="J44" s="16"/>
      <c r="K44" s="31">
        <f t="shared" ref="K44" si="77">SUM(K29:K43)</f>
        <v>84</v>
      </c>
      <c r="L44" s="38">
        <f t="shared" ref="L44" si="78">SUM(L29:L43)</f>
        <v>8.1394900000000003</v>
      </c>
      <c r="M44" s="16"/>
      <c r="N44" s="31">
        <f t="shared" ref="N44" si="79">SUM(N29:N43)</f>
        <v>15</v>
      </c>
      <c r="O44" s="38">
        <f t="shared" ref="O44" si="80">SUM(O29:O43)</f>
        <v>1.605</v>
      </c>
      <c r="P44" s="16"/>
      <c r="Q44" s="31">
        <f t="shared" ref="Q44" si="81">SUM(Q29:Q43)</f>
        <v>32</v>
      </c>
      <c r="R44" s="38">
        <f t="shared" ref="R44" si="82">SUM(R29:R43)</f>
        <v>3.6026899999999999</v>
      </c>
      <c r="S44" s="31">
        <f t="shared" ref="S44" si="83">SUM(S29:S43)</f>
        <v>273</v>
      </c>
      <c r="T44" s="38">
        <f t="shared" ref="T44" si="84">SUM(T29:T43)</f>
        <v>27.778269999999996</v>
      </c>
      <c r="U44" s="31">
        <f t="shared" ref="U44" si="85">SUM(U29:U43)</f>
        <v>1</v>
      </c>
      <c r="V44" s="38">
        <f t="shared" ref="V44" si="86">SUM(V29:V43)</f>
        <v>-8.2925000000000026E-2</v>
      </c>
      <c r="X44" s="29"/>
    </row>
    <row r="45" spans="1:24">
      <c r="A45" s="26" t="s">
        <v>13</v>
      </c>
      <c r="B45" s="26" t="s">
        <v>61</v>
      </c>
      <c r="C45" s="30">
        <v>12.2</v>
      </c>
      <c r="D45" s="27">
        <v>6.5</v>
      </c>
      <c r="E45" s="28">
        <v>122</v>
      </c>
      <c r="F45" s="16">
        <f t="shared" ref="F45:F48" si="87">(C45*D45*E45/1000)</f>
        <v>9.6745999999999999</v>
      </c>
      <c r="G45" s="17" t="s">
        <v>88</v>
      </c>
      <c r="H45" s="18">
        <v>25</v>
      </c>
      <c r="I45" s="19">
        <f t="shared" ref="I45:I48" si="88">(C45*D45*H45/1000)</f>
        <v>1.9824999999999999</v>
      </c>
      <c r="J45" s="16" t="s">
        <v>93</v>
      </c>
      <c r="K45" s="18"/>
      <c r="L45" s="19">
        <f t="shared" ref="L45:L48" si="89">(C45*D45*K45/1000)</f>
        <v>0</v>
      </c>
      <c r="M45" s="16" t="s">
        <v>89</v>
      </c>
      <c r="N45" s="18">
        <v>79</v>
      </c>
      <c r="O45" s="19">
        <f t="shared" ref="O45:O48" si="90">(C45*D45*N45/1000)</f>
        <v>6.2646999999999995</v>
      </c>
      <c r="P45" s="17" t="s">
        <v>93</v>
      </c>
      <c r="Q45" s="18">
        <v>21</v>
      </c>
      <c r="R45" s="19">
        <f t="shared" ref="R45:R48" si="91">(C45*D45*Q45/1000)</f>
        <v>1.6653</v>
      </c>
      <c r="S45" s="20">
        <f>+H45+K45+Q45+N45</f>
        <v>125</v>
      </c>
      <c r="T45" s="19">
        <f t="shared" ref="S45:T48" si="92">+I45+L45+R45+O45</f>
        <v>9.9124999999999996</v>
      </c>
      <c r="U45" s="21">
        <f>E45-S45</f>
        <v>-3</v>
      </c>
      <c r="V45" s="19">
        <f t="shared" ref="U45:V48" si="93">F45-T45</f>
        <v>-0.23789999999999978</v>
      </c>
      <c r="X45" s="29"/>
    </row>
    <row r="46" spans="1:24">
      <c r="A46" s="26" t="s">
        <v>13</v>
      </c>
      <c r="B46" s="26" t="s">
        <v>61</v>
      </c>
      <c r="C46" s="30">
        <v>12.2</v>
      </c>
      <c r="D46" s="27">
        <v>7</v>
      </c>
      <c r="E46" s="28">
        <v>120</v>
      </c>
      <c r="F46" s="16">
        <f t="shared" si="87"/>
        <v>10.247999999999998</v>
      </c>
      <c r="G46" s="17" t="s">
        <v>283</v>
      </c>
      <c r="H46" s="18">
        <v>23</v>
      </c>
      <c r="I46" s="19">
        <f t="shared" si="88"/>
        <v>1.9641999999999997</v>
      </c>
      <c r="J46" s="16" t="s">
        <v>287</v>
      </c>
      <c r="K46" s="18">
        <v>43</v>
      </c>
      <c r="L46" s="19">
        <f t="shared" si="89"/>
        <v>3.6721999999999997</v>
      </c>
      <c r="M46" s="16" t="s">
        <v>287</v>
      </c>
      <c r="N46" s="18">
        <v>51</v>
      </c>
      <c r="O46" s="19">
        <f t="shared" si="90"/>
        <v>4.3553999999999995</v>
      </c>
      <c r="P46" s="17" t="s">
        <v>290</v>
      </c>
      <c r="Q46" s="18"/>
      <c r="R46" s="19">
        <f t="shared" si="91"/>
        <v>0</v>
      </c>
      <c r="S46" s="20">
        <f t="shared" si="92"/>
        <v>117</v>
      </c>
      <c r="T46" s="19">
        <f t="shared" si="92"/>
        <v>9.9917999999999978</v>
      </c>
      <c r="U46" s="21">
        <f t="shared" si="93"/>
        <v>3</v>
      </c>
      <c r="V46" s="19">
        <f t="shared" si="93"/>
        <v>0.25619999999999976</v>
      </c>
      <c r="X46" s="29"/>
    </row>
    <row r="47" spans="1:24">
      <c r="A47" s="26" t="s">
        <v>13</v>
      </c>
      <c r="B47" s="26" t="s">
        <v>61</v>
      </c>
      <c r="C47" s="30">
        <v>12.2</v>
      </c>
      <c r="D47" s="27">
        <v>8.5</v>
      </c>
      <c r="E47" s="28">
        <v>35</v>
      </c>
      <c r="F47" s="16">
        <f t="shared" si="87"/>
        <v>3.6294999999999997</v>
      </c>
      <c r="G47" s="17"/>
      <c r="H47" s="18"/>
      <c r="I47" s="19">
        <f t="shared" si="88"/>
        <v>0</v>
      </c>
      <c r="J47" s="16"/>
      <c r="K47" s="18">
        <v>1</v>
      </c>
      <c r="L47" s="19">
        <f t="shared" si="89"/>
        <v>0.10369999999999999</v>
      </c>
      <c r="M47" s="16" t="s">
        <v>88</v>
      </c>
      <c r="N47" s="18">
        <f>2+25</f>
        <v>27</v>
      </c>
      <c r="O47" s="19">
        <f t="shared" si="90"/>
        <v>2.7998999999999996</v>
      </c>
      <c r="P47" s="17" t="s">
        <v>111</v>
      </c>
      <c r="Q47" s="18">
        <f>6+2</f>
        <v>8</v>
      </c>
      <c r="R47" s="19">
        <f t="shared" si="91"/>
        <v>0.82959999999999989</v>
      </c>
      <c r="S47" s="20">
        <f t="shared" si="92"/>
        <v>36</v>
      </c>
      <c r="T47" s="19">
        <f t="shared" si="92"/>
        <v>3.7331999999999996</v>
      </c>
      <c r="U47" s="21">
        <f t="shared" si="93"/>
        <v>-1</v>
      </c>
      <c r="V47" s="19">
        <f t="shared" si="93"/>
        <v>-0.1036999999999999</v>
      </c>
      <c r="X47" s="29"/>
    </row>
    <row r="48" spans="1:24">
      <c r="A48" s="26" t="s">
        <v>13</v>
      </c>
      <c r="B48" s="26" t="s">
        <v>61</v>
      </c>
      <c r="C48" s="30">
        <v>12.2</v>
      </c>
      <c r="D48" s="27">
        <v>12</v>
      </c>
      <c r="E48" s="28">
        <v>7</v>
      </c>
      <c r="F48" s="16">
        <f t="shared" si="87"/>
        <v>1.0247999999999997</v>
      </c>
      <c r="G48" s="17"/>
      <c r="H48" s="18"/>
      <c r="I48" s="19">
        <f t="shared" si="88"/>
        <v>0</v>
      </c>
      <c r="J48" s="16"/>
      <c r="K48" s="18">
        <v>7</v>
      </c>
      <c r="L48" s="19">
        <f t="shared" si="89"/>
        <v>1.0247999999999997</v>
      </c>
      <c r="M48" s="16" t="s">
        <v>290</v>
      </c>
      <c r="N48" s="18"/>
      <c r="O48" s="19">
        <f t="shared" si="90"/>
        <v>0</v>
      </c>
      <c r="P48" s="17" t="s">
        <v>291</v>
      </c>
      <c r="Q48" s="18"/>
      <c r="R48" s="19">
        <f t="shared" si="91"/>
        <v>0</v>
      </c>
      <c r="S48" s="20">
        <f t="shared" si="92"/>
        <v>7</v>
      </c>
      <c r="T48" s="19">
        <f t="shared" si="92"/>
        <v>1.0247999999999997</v>
      </c>
      <c r="U48" s="21">
        <f t="shared" si="93"/>
        <v>0</v>
      </c>
      <c r="V48" s="19">
        <f t="shared" si="93"/>
        <v>0</v>
      </c>
      <c r="X48" s="29"/>
    </row>
    <row r="49" spans="1:24">
      <c r="A49" s="36"/>
      <c r="B49" s="36"/>
      <c r="C49" s="37"/>
      <c r="D49" s="38"/>
      <c r="E49" s="31">
        <f t="shared" ref="E49:F49" si="94">SUM(E45:E48)</f>
        <v>284</v>
      </c>
      <c r="F49" s="38">
        <f t="shared" si="94"/>
        <v>24.576899999999995</v>
      </c>
      <c r="G49" s="17"/>
      <c r="H49" s="31">
        <f t="shared" ref="H49" si="95">SUM(H45:H48)</f>
        <v>48</v>
      </c>
      <c r="I49" s="38">
        <f t="shared" ref="I49" si="96">SUM(I45:I48)</f>
        <v>3.9466999999999999</v>
      </c>
      <c r="J49" s="16"/>
      <c r="K49" s="31">
        <f t="shared" ref="K49" si="97">SUM(K45:K48)</f>
        <v>51</v>
      </c>
      <c r="L49" s="38">
        <f t="shared" ref="L49" si="98">SUM(L45:L48)</f>
        <v>4.8006999999999991</v>
      </c>
      <c r="M49" s="16"/>
      <c r="N49" s="31">
        <f t="shared" ref="N49" si="99">SUM(N45:N48)</f>
        <v>157</v>
      </c>
      <c r="O49" s="38">
        <f t="shared" ref="O49" si="100">SUM(O45:O48)</f>
        <v>13.419999999999998</v>
      </c>
      <c r="P49" s="16"/>
      <c r="Q49" s="31">
        <f t="shared" ref="Q49" si="101">SUM(Q45:Q48)</f>
        <v>29</v>
      </c>
      <c r="R49" s="38">
        <f t="shared" ref="R49" si="102">SUM(R45:R48)</f>
        <v>2.4948999999999999</v>
      </c>
      <c r="S49" s="31">
        <f t="shared" ref="S49" si="103">SUM(S45:S48)</f>
        <v>285</v>
      </c>
      <c r="T49" s="38">
        <f t="shared" ref="T49" si="104">SUM(T45:T48)</f>
        <v>24.662299999999998</v>
      </c>
      <c r="U49" s="31">
        <f t="shared" ref="U49" si="105">SUM(U45:U48)</f>
        <v>-1</v>
      </c>
      <c r="V49" s="38">
        <f>SUM(V45:V48)</f>
        <v>-8.539999999999992E-2</v>
      </c>
      <c r="X49" s="29"/>
    </row>
    <row r="50" spans="1:24">
      <c r="A50" s="26" t="s">
        <v>13</v>
      </c>
      <c r="B50" s="26" t="s">
        <v>36</v>
      </c>
      <c r="C50" s="30">
        <v>6.97</v>
      </c>
      <c r="D50" s="27">
        <v>12</v>
      </c>
      <c r="E50" s="28">
        <v>3</v>
      </c>
      <c r="F50" s="16">
        <f>(C50*D50*E50/1000)</f>
        <v>0.25092000000000003</v>
      </c>
      <c r="G50" s="16" t="s">
        <v>88</v>
      </c>
      <c r="H50" s="18">
        <v>3</v>
      </c>
      <c r="I50" s="19">
        <f>(C50*D50*H50/1000)</f>
        <v>0.25092000000000003</v>
      </c>
      <c r="J50" s="16"/>
      <c r="K50" s="18"/>
      <c r="L50" s="19">
        <f>(C50*D50*K50/1000)</f>
        <v>0</v>
      </c>
      <c r="M50" s="16"/>
      <c r="N50" s="18"/>
      <c r="O50" s="19">
        <f>(C50*D50*N50/1000)</f>
        <v>0</v>
      </c>
      <c r="P50" s="16"/>
      <c r="Q50" s="18"/>
      <c r="R50" s="19">
        <f>(C50*D50*Q50/1000)</f>
        <v>0</v>
      </c>
      <c r="S50" s="20">
        <f>+H50+K50+Q50+N50</f>
        <v>3</v>
      </c>
      <c r="T50" s="19">
        <f>+I50+L50+R50+O50</f>
        <v>0.25092000000000003</v>
      </c>
      <c r="U50" s="21">
        <f>E50-S50</f>
        <v>0</v>
      </c>
      <c r="V50" s="19">
        <f>F50-T50</f>
        <v>0</v>
      </c>
      <c r="X50" s="29"/>
    </row>
    <row r="51" spans="1:24">
      <c r="A51" s="36"/>
      <c r="B51" s="36"/>
      <c r="C51" s="37"/>
      <c r="D51" s="38"/>
      <c r="E51" s="31">
        <f t="shared" ref="E51:F51" si="106">SUM(E50)</f>
        <v>3</v>
      </c>
      <c r="F51" s="38">
        <f t="shared" si="106"/>
        <v>0.25092000000000003</v>
      </c>
      <c r="G51" s="16" t="s">
        <v>286</v>
      </c>
      <c r="H51" s="31">
        <f t="shared" ref="H51" si="107">SUM(H50)</f>
        <v>3</v>
      </c>
      <c r="I51" s="38">
        <f t="shared" ref="I51" si="108">SUM(I50)</f>
        <v>0.25092000000000003</v>
      </c>
      <c r="J51" s="16"/>
      <c r="K51" s="31">
        <f t="shared" ref="K51" si="109">SUM(K50)</f>
        <v>0</v>
      </c>
      <c r="L51" s="38">
        <f t="shared" ref="L51" si="110">SUM(L50)</f>
        <v>0</v>
      </c>
      <c r="M51" s="16"/>
      <c r="N51" s="31">
        <f t="shared" ref="N51" si="111">SUM(N50)</f>
        <v>0</v>
      </c>
      <c r="O51" s="38">
        <f t="shared" ref="O51" si="112">SUM(O50)</f>
        <v>0</v>
      </c>
      <c r="P51" s="16"/>
      <c r="Q51" s="31">
        <f t="shared" ref="Q51" si="113">SUM(Q50)</f>
        <v>0</v>
      </c>
      <c r="R51" s="38">
        <f t="shared" ref="R51" si="114">SUM(R50)</f>
        <v>0</v>
      </c>
      <c r="S51" s="31">
        <f t="shared" ref="S51" si="115">SUM(S50)</f>
        <v>3</v>
      </c>
      <c r="T51" s="38">
        <f t="shared" ref="T51" si="116">SUM(T50)</f>
        <v>0.25092000000000003</v>
      </c>
      <c r="U51" s="31">
        <f t="shared" ref="U51" si="117">SUM(U50)</f>
        <v>0</v>
      </c>
      <c r="V51" s="38">
        <f t="shared" ref="V51" si="118">SUM(V50)</f>
        <v>0</v>
      </c>
      <c r="X51" s="29"/>
    </row>
    <row r="52" spans="1:24">
      <c r="A52" s="26" t="s">
        <v>13</v>
      </c>
      <c r="B52" s="26" t="s">
        <v>26</v>
      </c>
      <c r="C52" s="30">
        <v>8.3000000000000007</v>
      </c>
      <c r="D52" s="27">
        <v>10</v>
      </c>
      <c r="E52" s="28">
        <v>35</v>
      </c>
      <c r="F52" s="16">
        <f t="shared" ref="F52:F63" si="119">(C52*D52*E52/1000)</f>
        <v>2.9049999999999998</v>
      </c>
      <c r="G52" s="17" t="s">
        <v>93</v>
      </c>
      <c r="H52" s="18">
        <v>7</v>
      </c>
      <c r="I52" s="19">
        <f t="shared" ref="I52:I63" si="120">(C52*D52*H52/1000)</f>
        <v>0.58099999999999996</v>
      </c>
      <c r="J52" s="16" t="s">
        <v>93</v>
      </c>
      <c r="K52" s="18">
        <f>28+6</f>
        <v>34</v>
      </c>
      <c r="L52" s="19">
        <f t="shared" ref="L52:L63" si="121">(C52*D52*K52/1000)</f>
        <v>2.8220000000000001</v>
      </c>
      <c r="M52" s="16" t="s">
        <v>89</v>
      </c>
      <c r="N52" s="18"/>
      <c r="O52" s="19">
        <f t="shared" ref="O52:O63" si="122">(C52*D52*N52/1000)</f>
        <v>0</v>
      </c>
      <c r="P52" s="16"/>
      <c r="Q52" s="18"/>
      <c r="R52" s="19">
        <f t="shared" ref="R52:R63" si="123">(C52*D52*Q52/1000)</f>
        <v>0</v>
      </c>
      <c r="S52" s="20">
        <f t="shared" ref="S52:S63" si="124">+H52+K52+Q52+N52</f>
        <v>41</v>
      </c>
      <c r="T52" s="19">
        <f t="shared" ref="T52:T63" si="125">+I52+L52+R52+O52</f>
        <v>3.403</v>
      </c>
      <c r="U52" s="21">
        <f t="shared" ref="U52:U63" si="126">E52-S52</f>
        <v>-6</v>
      </c>
      <c r="V52" s="19">
        <f t="shared" ref="V52:V63" si="127">F52-T52</f>
        <v>-0.49800000000000022</v>
      </c>
      <c r="X52" s="29"/>
    </row>
    <row r="53" spans="1:24">
      <c r="A53" s="26" t="s">
        <v>13</v>
      </c>
      <c r="B53" s="26" t="s">
        <v>26</v>
      </c>
      <c r="C53" s="30">
        <v>8.3000000000000007</v>
      </c>
      <c r="D53" s="27">
        <v>10.3</v>
      </c>
      <c r="E53" s="28">
        <v>15</v>
      </c>
      <c r="F53" s="16">
        <f t="shared" si="119"/>
        <v>1.2823500000000001</v>
      </c>
      <c r="G53" s="17" t="s">
        <v>282</v>
      </c>
      <c r="H53" s="18">
        <v>14</v>
      </c>
      <c r="I53" s="19">
        <f t="shared" si="120"/>
        <v>1.19686</v>
      </c>
      <c r="J53" s="16" t="s">
        <v>283</v>
      </c>
      <c r="K53" s="18">
        <v>11</v>
      </c>
      <c r="L53" s="19">
        <f t="shared" si="121"/>
        <v>0.94039000000000006</v>
      </c>
      <c r="M53" s="16" t="s">
        <v>287</v>
      </c>
      <c r="N53" s="18"/>
      <c r="O53" s="19">
        <f t="shared" si="122"/>
        <v>0</v>
      </c>
      <c r="P53" s="16"/>
      <c r="Q53" s="18"/>
      <c r="R53" s="19">
        <f t="shared" si="123"/>
        <v>0</v>
      </c>
      <c r="S53" s="20">
        <f t="shared" si="124"/>
        <v>25</v>
      </c>
      <c r="T53" s="19">
        <f t="shared" si="125"/>
        <v>2.1372499999999999</v>
      </c>
      <c r="U53" s="21">
        <f t="shared" si="126"/>
        <v>-10</v>
      </c>
      <c r="V53" s="19">
        <f t="shared" si="127"/>
        <v>-0.85489999999999977</v>
      </c>
      <c r="X53" s="29"/>
    </row>
    <row r="54" spans="1:24">
      <c r="A54" s="26" t="s">
        <v>13</v>
      </c>
      <c r="B54" s="26" t="s">
        <v>26</v>
      </c>
      <c r="C54" s="30">
        <v>8.3000000000000007</v>
      </c>
      <c r="D54" s="27">
        <v>10.5</v>
      </c>
      <c r="E54" s="28">
        <v>32</v>
      </c>
      <c r="F54" s="16">
        <f t="shared" si="119"/>
        <v>2.7888000000000002</v>
      </c>
      <c r="G54" s="17"/>
      <c r="H54" s="18"/>
      <c r="I54" s="19">
        <f t="shared" si="120"/>
        <v>0</v>
      </c>
      <c r="J54" s="16"/>
      <c r="K54" s="18">
        <v>20</v>
      </c>
      <c r="L54" s="19">
        <f t="shared" si="121"/>
        <v>1.7430000000000001</v>
      </c>
      <c r="M54" s="16"/>
      <c r="N54" s="18"/>
      <c r="O54" s="19">
        <f t="shared" si="122"/>
        <v>0</v>
      </c>
      <c r="P54" s="16"/>
      <c r="Q54" s="18"/>
      <c r="R54" s="19">
        <f t="shared" si="123"/>
        <v>0</v>
      </c>
      <c r="S54" s="20">
        <f t="shared" si="124"/>
        <v>20</v>
      </c>
      <c r="T54" s="19">
        <f t="shared" si="125"/>
        <v>1.7430000000000001</v>
      </c>
      <c r="U54" s="21">
        <f t="shared" si="126"/>
        <v>12</v>
      </c>
      <c r="V54" s="19">
        <f t="shared" si="127"/>
        <v>1.0458000000000001</v>
      </c>
      <c r="X54" s="29"/>
    </row>
    <row r="55" spans="1:24">
      <c r="A55" s="26" t="s">
        <v>13</v>
      </c>
      <c r="B55" s="26" t="s">
        <v>26</v>
      </c>
      <c r="C55" s="30">
        <v>8.3000000000000007</v>
      </c>
      <c r="D55" s="27">
        <v>10.8</v>
      </c>
      <c r="E55" s="28">
        <v>128</v>
      </c>
      <c r="F55" s="16">
        <f t="shared" si="119"/>
        <v>11.473920000000001</v>
      </c>
      <c r="G55" s="17"/>
      <c r="H55" s="18">
        <v>72</v>
      </c>
      <c r="I55" s="19">
        <f t="shared" si="120"/>
        <v>6.4540800000000011</v>
      </c>
      <c r="J55" s="16"/>
      <c r="K55" s="18">
        <f>36+34</f>
        <v>70</v>
      </c>
      <c r="L55" s="19">
        <f t="shared" si="121"/>
        <v>6.2748000000000008</v>
      </c>
      <c r="M55" s="16"/>
      <c r="N55" s="18"/>
      <c r="O55" s="19">
        <f t="shared" si="122"/>
        <v>0</v>
      </c>
      <c r="P55" s="16"/>
      <c r="Q55" s="18"/>
      <c r="R55" s="19">
        <f t="shared" si="123"/>
        <v>0</v>
      </c>
      <c r="S55" s="20">
        <f t="shared" si="124"/>
        <v>142</v>
      </c>
      <c r="T55" s="19">
        <f t="shared" si="125"/>
        <v>12.728880000000002</v>
      </c>
      <c r="U55" s="21">
        <f t="shared" si="126"/>
        <v>-14</v>
      </c>
      <c r="V55" s="19">
        <f t="shared" si="127"/>
        <v>-1.2549600000000005</v>
      </c>
      <c r="X55" s="29"/>
    </row>
    <row r="56" spans="1:24">
      <c r="A56" s="26" t="s">
        <v>13</v>
      </c>
      <c r="B56" s="26" t="s">
        <v>26</v>
      </c>
      <c r="C56" s="30">
        <v>8.3000000000000007</v>
      </c>
      <c r="D56" s="27">
        <v>11</v>
      </c>
      <c r="E56" s="28">
        <v>346</v>
      </c>
      <c r="F56" s="16">
        <f t="shared" si="119"/>
        <v>31.589800000000004</v>
      </c>
      <c r="G56" s="17"/>
      <c r="H56" s="18">
        <v>154</v>
      </c>
      <c r="I56" s="19">
        <f t="shared" si="120"/>
        <v>14.060200000000002</v>
      </c>
      <c r="J56" s="16"/>
      <c r="K56" s="18">
        <v>135</v>
      </c>
      <c r="L56" s="19">
        <f t="shared" si="121"/>
        <v>12.325500000000002</v>
      </c>
      <c r="M56" s="16"/>
      <c r="N56" s="18"/>
      <c r="O56" s="19">
        <f t="shared" si="122"/>
        <v>0</v>
      </c>
      <c r="P56" s="16"/>
      <c r="Q56" s="18"/>
      <c r="R56" s="19">
        <f t="shared" si="123"/>
        <v>0</v>
      </c>
      <c r="S56" s="20">
        <f t="shared" si="124"/>
        <v>289</v>
      </c>
      <c r="T56" s="19">
        <f t="shared" si="125"/>
        <v>26.385700000000003</v>
      </c>
      <c r="U56" s="21">
        <f t="shared" si="126"/>
        <v>57</v>
      </c>
      <c r="V56" s="19">
        <f t="shared" si="127"/>
        <v>5.2041000000000004</v>
      </c>
      <c r="X56" s="29"/>
    </row>
    <row r="57" spans="1:24">
      <c r="A57" s="26" t="s">
        <v>13</v>
      </c>
      <c r="B57" s="26" t="s">
        <v>26</v>
      </c>
      <c r="C57" s="30">
        <v>8.3000000000000007</v>
      </c>
      <c r="D57" s="27">
        <v>12</v>
      </c>
      <c r="E57" s="28">
        <v>41</v>
      </c>
      <c r="F57" s="16">
        <f t="shared" ref="F57:F62" si="128">(C57*D57*E57/1000)</f>
        <v>4.0836000000000006</v>
      </c>
      <c r="G57" s="17"/>
      <c r="H57" s="18"/>
      <c r="I57" s="19">
        <f t="shared" ref="I57:I62" si="129">(C57*D57*H57/1000)</f>
        <v>0</v>
      </c>
      <c r="J57" s="16"/>
      <c r="K57" s="18">
        <f t="shared" ref="K57" si="130">30+13+10</f>
        <v>53</v>
      </c>
      <c r="L57" s="19">
        <f t="shared" ref="L57:L62" si="131">(C57*D57*K57/1000)</f>
        <v>5.2788000000000004</v>
      </c>
      <c r="M57" s="16"/>
      <c r="N57" s="18">
        <v>6</v>
      </c>
      <c r="O57" s="19">
        <f t="shared" ref="O57:O62" si="132">(C57*D57*N57/1000)</f>
        <v>0.59760000000000002</v>
      </c>
      <c r="P57" s="16"/>
      <c r="Q57" s="18"/>
      <c r="R57" s="19">
        <f t="shared" ref="R57:R62" si="133">(C57*D57*Q57/1000)</f>
        <v>0</v>
      </c>
      <c r="S57" s="20">
        <f t="shared" si="124"/>
        <v>59</v>
      </c>
      <c r="T57" s="19">
        <f t="shared" si="125"/>
        <v>5.8764000000000003</v>
      </c>
      <c r="U57" s="21">
        <f t="shared" si="126"/>
        <v>-18</v>
      </c>
      <c r="V57" s="19">
        <f t="shared" si="127"/>
        <v>-1.7927999999999997</v>
      </c>
      <c r="X57" s="29"/>
    </row>
    <row r="58" spans="1:24">
      <c r="A58" s="26" t="s">
        <v>13</v>
      </c>
      <c r="B58" s="26" t="s">
        <v>26</v>
      </c>
      <c r="C58" s="30">
        <v>8.3000000000000007</v>
      </c>
      <c r="D58" s="27">
        <v>11.5</v>
      </c>
      <c r="E58" s="28"/>
      <c r="F58" s="16">
        <f t="shared" si="128"/>
        <v>0</v>
      </c>
      <c r="G58" s="17"/>
      <c r="H58" s="18"/>
      <c r="I58" s="19">
        <f t="shared" si="129"/>
        <v>0</v>
      </c>
      <c r="J58" s="16"/>
      <c r="K58" s="18">
        <v>16</v>
      </c>
      <c r="L58" s="19">
        <f t="shared" si="131"/>
        <v>1.5272000000000001</v>
      </c>
      <c r="M58" s="16"/>
      <c r="N58" s="18">
        <v>1</v>
      </c>
      <c r="O58" s="19">
        <f t="shared" si="132"/>
        <v>9.5450000000000007E-2</v>
      </c>
      <c r="P58" s="16"/>
      <c r="Q58" s="18"/>
      <c r="R58" s="19">
        <f t="shared" si="133"/>
        <v>0</v>
      </c>
      <c r="S58" s="20">
        <f t="shared" si="124"/>
        <v>17</v>
      </c>
      <c r="T58" s="19">
        <f t="shared" si="125"/>
        <v>1.6226500000000001</v>
      </c>
      <c r="U58" s="21">
        <f t="shared" si="126"/>
        <v>-17</v>
      </c>
      <c r="V58" s="19">
        <f t="shared" si="127"/>
        <v>-1.6226500000000001</v>
      </c>
      <c r="X58" s="29"/>
    </row>
    <row r="59" spans="1:24">
      <c r="A59" s="26" t="s">
        <v>13</v>
      </c>
      <c r="B59" s="26" t="s">
        <v>26</v>
      </c>
      <c r="C59" s="30">
        <v>8.3000000000000007</v>
      </c>
      <c r="D59" s="27">
        <v>11.3</v>
      </c>
      <c r="E59" s="28"/>
      <c r="F59" s="16">
        <f t="shared" si="128"/>
        <v>0</v>
      </c>
      <c r="G59" s="17"/>
      <c r="H59" s="18"/>
      <c r="I59" s="19">
        <f t="shared" si="129"/>
        <v>0</v>
      </c>
      <c r="J59" s="16"/>
      <c r="K59" s="18">
        <v>1</v>
      </c>
      <c r="L59" s="19">
        <f t="shared" si="131"/>
        <v>9.3790000000000026E-2</v>
      </c>
      <c r="M59" s="16"/>
      <c r="N59" s="18"/>
      <c r="O59" s="19">
        <f t="shared" si="132"/>
        <v>0</v>
      </c>
      <c r="P59" s="16"/>
      <c r="Q59" s="18"/>
      <c r="R59" s="19">
        <f t="shared" si="133"/>
        <v>0</v>
      </c>
      <c r="S59" s="20">
        <f t="shared" si="124"/>
        <v>1</v>
      </c>
      <c r="T59" s="19">
        <f t="shared" si="125"/>
        <v>9.3790000000000026E-2</v>
      </c>
      <c r="U59" s="21">
        <f t="shared" si="126"/>
        <v>-1</v>
      </c>
      <c r="V59" s="19">
        <f t="shared" si="127"/>
        <v>-9.3790000000000026E-2</v>
      </c>
      <c r="X59" s="29"/>
    </row>
    <row r="60" spans="1:24">
      <c r="A60" s="26" t="s">
        <v>13</v>
      </c>
      <c r="B60" s="26" t="s">
        <v>26</v>
      </c>
      <c r="C60" s="30">
        <v>8.3000000000000007</v>
      </c>
      <c r="D60" s="27">
        <v>11.6</v>
      </c>
      <c r="E60" s="28"/>
      <c r="F60" s="16">
        <f t="shared" si="128"/>
        <v>0</v>
      </c>
      <c r="G60" s="17"/>
      <c r="H60" s="18"/>
      <c r="I60" s="19">
        <f t="shared" si="129"/>
        <v>0</v>
      </c>
      <c r="J60" s="16"/>
      <c r="K60" s="18">
        <v>2</v>
      </c>
      <c r="L60" s="19">
        <f t="shared" si="131"/>
        <v>0.19256000000000001</v>
      </c>
      <c r="M60" s="16"/>
      <c r="N60" s="18"/>
      <c r="O60" s="19">
        <f t="shared" si="132"/>
        <v>0</v>
      </c>
      <c r="P60" s="16"/>
      <c r="Q60" s="18"/>
      <c r="R60" s="19">
        <f t="shared" si="133"/>
        <v>0</v>
      </c>
      <c r="S60" s="20">
        <f t="shared" si="124"/>
        <v>2</v>
      </c>
      <c r="T60" s="19">
        <f t="shared" si="125"/>
        <v>0.19256000000000001</v>
      </c>
      <c r="U60" s="21">
        <f t="shared" si="126"/>
        <v>-2</v>
      </c>
      <c r="V60" s="19">
        <f t="shared" si="127"/>
        <v>-0.19256000000000001</v>
      </c>
      <c r="X60" s="29"/>
    </row>
    <row r="61" spans="1:24">
      <c r="A61" s="26" t="s">
        <v>13</v>
      </c>
      <c r="B61" s="26" t="s">
        <v>26</v>
      </c>
      <c r="C61" s="30">
        <v>8.3000000000000007</v>
      </c>
      <c r="D61" s="27"/>
      <c r="E61" s="28"/>
      <c r="F61" s="16">
        <f t="shared" si="128"/>
        <v>0</v>
      </c>
      <c r="G61" s="17"/>
      <c r="H61" s="18"/>
      <c r="I61" s="19">
        <f t="shared" si="129"/>
        <v>0</v>
      </c>
      <c r="J61" s="16"/>
      <c r="K61" s="18"/>
      <c r="L61" s="19">
        <f t="shared" si="131"/>
        <v>0</v>
      </c>
      <c r="M61" s="16"/>
      <c r="N61" s="18"/>
      <c r="O61" s="19">
        <f t="shared" si="132"/>
        <v>0</v>
      </c>
      <c r="P61" s="16"/>
      <c r="Q61" s="18"/>
      <c r="R61" s="19">
        <f t="shared" si="133"/>
        <v>0</v>
      </c>
      <c r="S61" s="20">
        <f t="shared" si="124"/>
        <v>0</v>
      </c>
      <c r="T61" s="19">
        <f t="shared" si="125"/>
        <v>0</v>
      </c>
      <c r="U61" s="21">
        <f t="shared" si="126"/>
        <v>0</v>
      </c>
      <c r="V61" s="19">
        <f t="shared" si="127"/>
        <v>0</v>
      </c>
      <c r="X61" s="29"/>
    </row>
    <row r="62" spans="1:24">
      <c r="A62" s="26" t="s">
        <v>13</v>
      </c>
      <c r="B62" s="26" t="s">
        <v>26</v>
      </c>
      <c r="C62" s="30">
        <v>8.3000000000000007</v>
      </c>
      <c r="D62" s="27"/>
      <c r="E62" s="28"/>
      <c r="F62" s="16">
        <f t="shared" si="128"/>
        <v>0</v>
      </c>
      <c r="G62" s="17"/>
      <c r="H62" s="18"/>
      <c r="I62" s="19">
        <f t="shared" si="129"/>
        <v>0</v>
      </c>
      <c r="J62" s="16"/>
      <c r="K62" s="18"/>
      <c r="L62" s="19">
        <f t="shared" si="131"/>
        <v>0</v>
      </c>
      <c r="M62" s="16"/>
      <c r="N62" s="18"/>
      <c r="O62" s="19">
        <f t="shared" si="132"/>
        <v>0</v>
      </c>
      <c r="P62" s="16"/>
      <c r="Q62" s="18"/>
      <c r="R62" s="19">
        <f t="shared" si="133"/>
        <v>0</v>
      </c>
      <c r="S62" s="20">
        <f t="shared" si="124"/>
        <v>0</v>
      </c>
      <c r="T62" s="19">
        <f t="shared" si="125"/>
        <v>0</v>
      </c>
      <c r="U62" s="21">
        <f t="shared" si="126"/>
        <v>0</v>
      </c>
      <c r="V62" s="19">
        <f t="shared" si="127"/>
        <v>0</v>
      </c>
      <c r="X62" s="29"/>
    </row>
    <row r="63" spans="1:24">
      <c r="A63" s="26" t="s">
        <v>13</v>
      </c>
      <c r="B63" s="26" t="s">
        <v>26</v>
      </c>
      <c r="C63" s="30">
        <v>8.3000000000000007</v>
      </c>
      <c r="D63" s="27"/>
      <c r="E63" s="28"/>
      <c r="F63" s="16">
        <f t="shared" si="119"/>
        <v>0</v>
      </c>
      <c r="G63" s="17"/>
      <c r="H63" s="18"/>
      <c r="I63" s="19">
        <f t="shared" si="120"/>
        <v>0</v>
      </c>
      <c r="J63" s="16"/>
      <c r="K63" s="18"/>
      <c r="L63" s="19">
        <f t="shared" si="121"/>
        <v>0</v>
      </c>
      <c r="M63" s="16"/>
      <c r="N63" s="18"/>
      <c r="O63" s="19">
        <f t="shared" si="122"/>
        <v>0</v>
      </c>
      <c r="P63" s="16"/>
      <c r="Q63" s="18"/>
      <c r="R63" s="19">
        <f t="shared" si="123"/>
        <v>0</v>
      </c>
      <c r="S63" s="20">
        <f t="shared" si="124"/>
        <v>0</v>
      </c>
      <c r="T63" s="19">
        <f t="shared" si="125"/>
        <v>0</v>
      </c>
      <c r="U63" s="21">
        <f t="shared" si="126"/>
        <v>0</v>
      </c>
      <c r="V63" s="19">
        <f t="shared" si="127"/>
        <v>0</v>
      </c>
      <c r="X63" s="29"/>
    </row>
    <row r="64" spans="1:24">
      <c r="A64" s="36"/>
      <c r="B64" s="36"/>
      <c r="C64" s="37"/>
      <c r="D64" s="38"/>
      <c r="E64" s="31">
        <f t="shared" ref="E64:F64" si="134">SUM(E52:E63)</f>
        <v>597</v>
      </c>
      <c r="F64" s="38">
        <f t="shared" si="134"/>
        <v>54.123470000000012</v>
      </c>
      <c r="G64" s="17"/>
      <c r="H64" s="31">
        <f t="shared" ref="H64" si="135">SUM(H52:H63)</f>
        <v>247</v>
      </c>
      <c r="I64" s="38">
        <f t="shared" ref="I64" si="136">SUM(I52:I63)</f>
        <v>22.292140000000003</v>
      </c>
      <c r="J64" s="16"/>
      <c r="K64" s="31">
        <f t="shared" ref="K64" si="137">SUM(K52:K63)</f>
        <v>342</v>
      </c>
      <c r="L64" s="38">
        <f t="shared" ref="L64" si="138">SUM(L52:L63)</f>
        <v>31.198040000000002</v>
      </c>
      <c r="M64" s="16"/>
      <c r="N64" s="31">
        <f t="shared" ref="N64" si="139">SUM(N52:N63)</f>
        <v>7</v>
      </c>
      <c r="O64" s="38">
        <f t="shared" ref="O64" si="140">SUM(O52:O63)</f>
        <v>0.69305000000000005</v>
      </c>
      <c r="P64" s="16"/>
      <c r="Q64" s="31">
        <f t="shared" ref="Q64" si="141">SUM(Q52:Q63)</f>
        <v>0</v>
      </c>
      <c r="R64" s="38">
        <f t="shared" ref="R64" si="142">SUM(R52:R63)</f>
        <v>0</v>
      </c>
      <c r="S64" s="31">
        <f t="shared" ref="S64" si="143">SUM(S52:S63)</f>
        <v>596</v>
      </c>
      <c r="T64" s="38">
        <f t="shared" ref="T64" si="144">SUM(T52:T63)</f>
        <v>54.183230000000002</v>
      </c>
      <c r="U64" s="31">
        <f t="shared" ref="U64" si="145">SUM(U52:U63)</f>
        <v>1</v>
      </c>
      <c r="V64" s="38">
        <f t="shared" ref="V64" si="146">SUM(V52:V63)</f>
        <v>-5.9760000000000202E-2</v>
      </c>
      <c r="X64" s="29"/>
    </row>
    <row r="65" spans="1:24">
      <c r="A65" s="26" t="s">
        <v>13</v>
      </c>
      <c r="B65" s="26" t="s">
        <v>37</v>
      </c>
      <c r="C65" s="30">
        <v>9.61</v>
      </c>
      <c r="D65" s="27">
        <v>7.2</v>
      </c>
      <c r="E65" s="28">
        <v>32</v>
      </c>
      <c r="F65" s="16">
        <f t="shared" ref="F65:F72" si="147">(C65*D65*E65/1000)</f>
        <v>2.2141439999999997</v>
      </c>
      <c r="G65" s="17" t="s">
        <v>89</v>
      </c>
      <c r="H65" s="18">
        <v>14</v>
      </c>
      <c r="I65" s="19">
        <f t="shared" ref="I65:I72" si="148">(C65*D65*H65/1000)</f>
        <v>0.96868799999999988</v>
      </c>
      <c r="J65" s="16" t="s">
        <v>89</v>
      </c>
      <c r="K65" s="18">
        <v>18</v>
      </c>
      <c r="L65" s="19">
        <f t="shared" ref="L65:L72" si="149">(C65*D65*K65/1000)</f>
        <v>1.2454559999999999</v>
      </c>
      <c r="M65" s="16" t="s">
        <v>288</v>
      </c>
      <c r="N65" s="18">
        <v>2</v>
      </c>
      <c r="O65" s="19">
        <f t="shared" ref="O65:O72" si="150">(C65*D65*N65/1000)</f>
        <v>0.13838399999999998</v>
      </c>
      <c r="P65" s="16"/>
      <c r="Q65" s="18"/>
      <c r="R65" s="19">
        <f t="shared" ref="R65:R72" si="151">(C65*D65*Q65/1000)</f>
        <v>0</v>
      </c>
      <c r="S65" s="20">
        <f t="shared" ref="S65:T72" si="152">+H65+K65+Q65+N65</f>
        <v>34</v>
      </c>
      <c r="T65" s="19">
        <f t="shared" si="152"/>
        <v>2.3525279999999995</v>
      </c>
      <c r="U65" s="21">
        <f t="shared" ref="U65:V72" si="153">E65-S65</f>
        <v>-2</v>
      </c>
      <c r="V65" s="19">
        <f t="shared" si="153"/>
        <v>-0.13838399999999984</v>
      </c>
      <c r="X65" s="29"/>
    </row>
    <row r="66" spans="1:24">
      <c r="A66" s="26" t="s">
        <v>13</v>
      </c>
      <c r="B66" s="26" t="s">
        <v>37</v>
      </c>
      <c r="C66" s="30">
        <v>9.61</v>
      </c>
      <c r="D66" s="27">
        <v>8.75</v>
      </c>
      <c r="E66" s="28">
        <v>2</v>
      </c>
      <c r="F66" s="16">
        <f t="shared" si="147"/>
        <v>0.16817499999999999</v>
      </c>
      <c r="G66" s="17" t="s">
        <v>286</v>
      </c>
      <c r="H66" s="18">
        <v>2</v>
      </c>
      <c r="I66" s="19">
        <f t="shared" si="148"/>
        <v>0.16817499999999999</v>
      </c>
      <c r="J66" s="16" t="s">
        <v>287</v>
      </c>
      <c r="K66" s="18"/>
      <c r="L66" s="19">
        <f t="shared" si="149"/>
        <v>0</v>
      </c>
      <c r="M66" s="16" t="s">
        <v>289</v>
      </c>
      <c r="N66" s="18"/>
      <c r="O66" s="19">
        <f t="shared" si="150"/>
        <v>0</v>
      </c>
      <c r="P66" s="16"/>
      <c r="Q66" s="18"/>
      <c r="R66" s="19">
        <f t="shared" si="151"/>
        <v>0</v>
      </c>
      <c r="S66" s="20">
        <f t="shared" si="152"/>
        <v>2</v>
      </c>
      <c r="T66" s="19">
        <f t="shared" si="152"/>
        <v>0.16817499999999999</v>
      </c>
      <c r="U66" s="21">
        <f t="shared" si="153"/>
        <v>0</v>
      </c>
      <c r="V66" s="19">
        <f t="shared" si="153"/>
        <v>0</v>
      </c>
      <c r="X66" s="29"/>
    </row>
    <row r="67" spans="1:24">
      <c r="A67" s="26" t="s">
        <v>13</v>
      </c>
      <c r="B67" s="26" t="s">
        <v>37</v>
      </c>
      <c r="C67" s="30">
        <v>9.61</v>
      </c>
      <c r="D67" s="27">
        <v>10</v>
      </c>
      <c r="E67" s="28">
        <v>7</v>
      </c>
      <c r="F67" s="16">
        <f t="shared" si="147"/>
        <v>0.67269999999999996</v>
      </c>
      <c r="G67" s="17"/>
      <c r="H67" s="18">
        <v>2</v>
      </c>
      <c r="I67" s="19">
        <f t="shared" si="148"/>
        <v>0.19219999999999998</v>
      </c>
      <c r="J67" s="16"/>
      <c r="K67" s="18"/>
      <c r="L67" s="19">
        <f t="shared" si="149"/>
        <v>0</v>
      </c>
      <c r="M67" s="16"/>
      <c r="N67" s="18"/>
      <c r="O67" s="19">
        <f t="shared" si="150"/>
        <v>0</v>
      </c>
      <c r="P67" s="16"/>
      <c r="Q67" s="18"/>
      <c r="R67" s="19">
        <f t="shared" si="151"/>
        <v>0</v>
      </c>
      <c r="S67" s="20">
        <f t="shared" si="152"/>
        <v>2</v>
      </c>
      <c r="T67" s="19">
        <f t="shared" si="152"/>
        <v>0.19219999999999998</v>
      </c>
      <c r="U67" s="21">
        <f t="shared" si="153"/>
        <v>5</v>
      </c>
      <c r="V67" s="19">
        <f t="shared" si="153"/>
        <v>0.48049999999999998</v>
      </c>
      <c r="X67" s="29"/>
    </row>
    <row r="68" spans="1:24">
      <c r="A68" s="26" t="s">
        <v>13</v>
      </c>
      <c r="B68" s="26" t="s">
        <v>37</v>
      </c>
      <c r="C68" s="30">
        <v>9.61</v>
      </c>
      <c r="D68" s="27">
        <v>11</v>
      </c>
      <c r="E68" s="28">
        <v>119</v>
      </c>
      <c r="F68" s="16">
        <f t="shared" si="147"/>
        <v>12.57949</v>
      </c>
      <c r="G68" s="17"/>
      <c r="H68" s="18">
        <v>77</v>
      </c>
      <c r="I68" s="19">
        <f t="shared" si="148"/>
        <v>8.1396699999999989</v>
      </c>
      <c r="J68" s="16"/>
      <c r="K68" s="18">
        <v>42</v>
      </c>
      <c r="L68" s="19">
        <f t="shared" si="149"/>
        <v>4.4398200000000001</v>
      </c>
      <c r="M68" s="16"/>
      <c r="N68" s="18"/>
      <c r="O68" s="19">
        <f t="shared" si="150"/>
        <v>0</v>
      </c>
      <c r="P68" s="16"/>
      <c r="Q68" s="18"/>
      <c r="R68" s="19">
        <f t="shared" si="151"/>
        <v>0</v>
      </c>
      <c r="S68" s="20">
        <f t="shared" si="152"/>
        <v>119</v>
      </c>
      <c r="T68" s="19">
        <f t="shared" si="152"/>
        <v>12.57949</v>
      </c>
      <c r="U68" s="21">
        <f t="shared" si="153"/>
        <v>0</v>
      </c>
      <c r="V68" s="19">
        <f t="shared" si="153"/>
        <v>0</v>
      </c>
      <c r="X68" s="29"/>
    </row>
    <row r="69" spans="1:24">
      <c r="A69" s="26" t="s">
        <v>13</v>
      </c>
      <c r="B69" s="26" t="s">
        <v>37</v>
      </c>
      <c r="C69" s="30">
        <v>9.61</v>
      </c>
      <c r="D69" s="27">
        <v>12</v>
      </c>
      <c r="E69" s="28">
        <v>20</v>
      </c>
      <c r="F69" s="16">
        <f t="shared" ref="F69:F71" si="154">(C69*D69*E69/1000)</f>
        <v>2.3063999999999996</v>
      </c>
      <c r="G69" s="17"/>
      <c r="H69" s="18">
        <v>18</v>
      </c>
      <c r="I69" s="19">
        <f t="shared" ref="I69:I71" si="155">(C69*D69*H69/1000)</f>
        <v>2.0757599999999998</v>
      </c>
      <c r="J69" s="16"/>
      <c r="K69" s="18">
        <v>2</v>
      </c>
      <c r="L69" s="19">
        <f t="shared" ref="L69:L71" si="156">(C69*D69*K69/1000)</f>
        <v>0.23063999999999998</v>
      </c>
      <c r="M69" s="16"/>
      <c r="N69" s="18"/>
      <c r="O69" s="19">
        <f t="shared" ref="O69:O71" si="157">(C69*D69*N69/1000)</f>
        <v>0</v>
      </c>
      <c r="P69" s="16"/>
      <c r="Q69" s="18"/>
      <c r="R69" s="19">
        <f t="shared" ref="R69:R71" si="158">(C69*D69*Q69/1000)</f>
        <v>0</v>
      </c>
      <c r="S69" s="20">
        <f t="shared" ref="S69:S71" si="159">+H69+K69+Q69+N69</f>
        <v>20</v>
      </c>
      <c r="T69" s="19">
        <f t="shared" ref="T69:T71" si="160">+I69+L69+R69+O69</f>
        <v>2.3064</v>
      </c>
      <c r="U69" s="21">
        <f t="shared" ref="U69:U71" si="161">E69-S69</f>
        <v>0</v>
      </c>
      <c r="V69" s="19">
        <f t="shared" ref="V69:V71" si="162">F69-T69</f>
        <v>0</v>
      </c>
      <c r="X69" s="29"/>
    </row>
    <row r="70" spans="1:24">
      <c r="A70" s="26" t="s">
        <v>13</v>
      </c>
      <c r="B70" s="26" t="s">
        <v>37</v>
      </c>
      <c r="C70" s="30">
        <v>9.61</v>
      </c>
      <c r="D70" s="27">
        <v>10.5</v>
      </c>
      <c r="E70" s="28"/>
      <c r="F70" s="16">
        <f t="shared" si="154"/>
        <v>0</v>
      </c>
      <c r="G70" s="17"/>
      <c r="H70" s="18"/>
      <c r="I70" s="19">
        <f t="shared" si="155"/>
        <v>0</v>
      </c>
      <c r="J70" s="16"/>
      <c r="K70" s="18"/>
      <c r="L70" s="19">
        <f t="shared" si="156"/>
        <v>0</v>
      </c>
      <c r="M70" s="16"/>
      <c r="N70" s="18">
        <v>3</v>
      </c>
      <c r="O70" s="19">
        <f t="shared" si="157"/>
        <v>0.30271500000000001</v>
      </c>
      <c r="P70" s="16"/>
      <c r="Q70" s="18"/>
      <c r="R70" s="19">
        <f t="shared" si="158"/>
        <v>0</v>
      </c>
      <c r="S70" s="20">
        <f t="shared" si="159"/>
        <v>3</v>
      </c>
      <c r="T70" s="19">
        <f t="shared" si="160"/>
        <v>0.30271500000000001</v>
      </c>
      <c r="U70" s="21">
        <f t="shared" si="161"/>
        <v>-3</v>
      </c>
      <c r="V70" s="19">
        <f t="shared" si="162"/>
        <v>-0.30271500000000001</v>
      </c>
      <c r="X70" s="29"/>
    </row>
    <row r="71" spans="1:24">
      <c r="A71" s="26" t="s">
        <v>13</v>
      </c>
      <c r="B71" s="26" t="s">
        <v>37</v>
      </c>
      <c r="C71" s="30">
        <v>9.61</v>
      </c>
      <c r="D71" s="27">
        <v>11.5</v>
      </c>
      <c r="E71" s="28"/>
      <c r="F71" s="16">
        <f t="shared" si="154"/>
        <v>0</v>
      </c>
      <c r="G71" s="17"/>
      <c r="H71" s="18"/>
      <c r="I71" s="19">
        <f t="shared" si="155"/>
        <v>0</v>
      </c>
      <c r="J71" s="16"/>
      <c r="K71" s="18"/>
      <c r="L71" s="19">
        <f t="shared" si="156"/>
        <v>0</v>
      </c>
      <c r="M71" s="16"/>
      <c r="N71" s="18">
        <v>1</v>
      </c>
      <c r="O71" s="19">
        <f t="shared" si="157"/>
        <v>0.11051499999999999</v>
      </c>
      <c r="P71" s="16"/>
      <c r="Q71" s="18"/>
      <c r="R71" s="19">
        <f t="shared" si="158"/>
        <v>0</v>
      </c>
      <c r="S71" s="20">
        <f t="shared" si="159"/>
        <v>1</v>
      </c>
      <c r="T71" s="19">
        <f t="shared" si="160"/>
        <v>0.11051499999999999</v>
      </c>
      <c r="U71" s="21">
        <f t="shared" si="161"/>
        <v>-1</v>
      </c>
      <c r="V71" s="19">
        <f t="shared" si="162"/>
        <v>-0.11051499999999999</v>
      </c>
      <c r="X71" s="29"/>
    </row>
    <row r="72" spans="1:24">
      <c r="A72" s="26" t="s">
        <v>13</v>
      </c>
      <c r="B72" s="26" t="s">
        <v>37</v>
      </c>
      <c r="C72" s="30">
        <v>9.61</v>
      </c>
      <c r="D72" s="27"/>
      <c r="E72" s="28"/>
      <c r="F72" s="16">
        <f t="shared" si="147"/>
        <v>0</v>
      </c>
      <c r="G72" s="17"/>
      <c r="H72" s="18"/>
      <c r="I72" s="19">
        <f t="shared" si="148"/>
        <v>0</v>
      </c>
      <c r="J72" s="16"/>
      <c r="K72" s="18"/>
      <c r="L72" s="19">
        <f t="shared" si="149"/>
        <v>0</v>
      </c>
      <c r="M72" s="16"/>
      <c r="N72" s="18"/>
      <c r="O72" s="19">
        <f t="shared" si="150"/>
        <v>0</v>
      </c>
      <c r="P72" s="16"/>
      <c r="Q72" s="18"/>
      <c r="R72" s="19">
        <f t="shared" si="151"/>
        <v>0</v>
      </c>
      <c r="S72" s="20">
        <f t="shared" si="152"/>
        <v>0</v>
      </c>
      <c r="T72" s="19">
        <f t="shared" si="152"/>
        <v>0</v>
      </c>
      <c r="U72" s="21">
        <f t="shared" si="153"/>
        <v>0</v>
      </c>
      <c r="V72" s="19">
        <f t="shared" si="153"/>
        <v>0</v>
      </c>
      <c r="X72" s="29"/>
    </row>
    <row r="73" spans="1:24">
      <c r="A73" s="36"/>
      <c r="B73" s="36"/>
      <c r="C73" s="37"/>
      <c r="D73" s="38"/>
      <c r="E73" s="31">
        <f t="shared" ref="E73:F73" si="163">SUM(E65:E72)</f>
        <v>180</v>
      </c>
      <c r="F73" s="38">
        <f t="shared" si="163"/>
        <v>17.940908999999998</v>
      </c>
      <c r="G73" s="17"/>
      <c r="H73" s="31">
        <f t="shared" ref="H73" si="164">SUM(H65:H72)</f>
        <v>113</v>
      </c>
      <c r="I73" s="38">
        <f t="shared" ref="I73" si="165">SUM(I65:I72)</f>
        <v>11.544492999999999</v>
      </c>
      <c r="J73" s="16"/>
      <c r="K73" s="31">
        <f t="shared" ref="K73" si="166">SUM(K65:K72)</f>
        <v>62</v>
      </c>
      <c r="L73" s="38">
        <f t="shared" ref="L73" si="167">SUM(L65:L72)</f>
        <v>5.9159160000000002</v>
      </c>
      <c r="M73" s="16"/>
      <c r="N73" s="31">
        <f t="shared" ref="N73" si="168">SUM(N65:N72)</f>
        <v>6</v>
      </c>
      <c r="O73" s="38">
        <f t="shared" ref="O73" si="169">SUM(O65:O72)</f>
        <v>0.55161400000000005</v>
      </c>
      <c r="P73" s="16"/>
      <c r="Q73" s="31">
        <f t="shared" ref="Q73" si="170">SUM(Q65:Q72)</f>
        <v>0</v>
      </c>
      <c r="R73" s="38">
        <f t="shared" ref="R73" si="171">SUM(R65:R72)</f>
        <v>0</v>
      </c>
      <c r="S73" s="31">
        <f t="shared" ref="S73" si="172">SUM(S65:S72)</f>
        <v>181</v>
      </c>
      <c r="T73" s="38">
        <f t="shared" ref="T73" si="173">SUM(T65:T72)</f>
        <v>18.012022999999999</v>
      </c>
      <c r="U73" s="31">
        <f t="shared" ref="U73" si="174">SUM(U65:U72)</f>
        <v>-1</v>
      </c>
      <c r="V73" s="38">
        <f t="shared" ref="V73" si="175">SUM(V65:V72)</f>
        <v>-7.1113999999999858E-2</v>
      </c>
      <c r="X73" s="29"/>
    </row>
    <row r="74" spans="1:24">
      <c r="A74" s="26" t="s">
        <v>13</v>
      </c>
      <c r="B74" s="26" t="s">
        <v>244</v>
      </c>
      <c r="C74" s="30">
        <v>10.9</v>
      </c>
      <c r="D74" s="27">
        <v>11.35</v>
      </c>
      <c r="E74" s="28">
        <v>19</v>
      </c>
      <c r="F74" s="16">
        <f>(C74*D74*E74/1000)</f>
        <v>2.3505850000000001</v>
      </c>
      <c r="G74" s="17" t="s">
        <v>111</v>
      </c>
      <c r="H74" s="18">
        <v>19</v>
      </c>
      <c r="I74" s="19">
        <f>(C74*D74*H74/1000)</f>
        <v>2.3505850000000001</v>
      </c>
      <c r="J74" s="16"/>
      <c r="K74" s="18"/>
      <c r="L74" s="19">
        <f>(C74*D74*K74/1000)</f>
        <v>0</v>
      </c>
      <c r="M74" s="16"/>
      <c r="N74" s="18"/>
      <c r="O74" s="19">
        <f>(C74*D74*N74/1000)</f>
        <v>0</v>
      </c>
      <c r="P74" s="16"/>
      <c r="Q74" s="18"/>
      <c r="R74" s="19">
        <f>(C74*D74*Q74/1000)</f>
        <v>0</v>
      </c>
      <c r="S74" s="20">
        <f>+H74+K74+Q74+N74</f>
        <v>19</v>
      </c>
      <c r="T74" s="19">
        <f>+I74+L74+R74+O74</f>
        <v>2.3505850000000001</v>
      </c>
      <c r="U74" s="21">
        <f>E74-S74</f>
        <v>0</v>
      </c>
      <c r="V74" s="19">
        <f>F74-T74</f>
        <v>0</v>
      </c>
      <c r="X74" s="29"/>
    </row>
    <row r="75" spans="1:24">
      <c r="A75" s="36"/>
      <c r="B75" s="36"/>
      <c r="C75" s="37"/>
      <c r="D75" s="38"/>
      <c r="E75" s="31">
        <f t="shared" ref="E75:F75" si="176">SUM(E74)</f>
        <v>19</v>
      </c>
      <c r="F75" s="38">
        <f t="shared" si="176"/>
        <v>2.3505850000000001</v>
      </c>
      <c r="G75" s="17" t="s">
        <v>282</v>
      </c>
      <c r="H75" s="31">
        <f t="shared" ref="H75" si="177">SUM(H74)</f>
        <v>19</v>
      </c>
      <c r="I75" s="38">
        <f t="shared" ref="I75" si="178">SUM(I74)</f>
        <v>2.3505850000000001</v>
      </c>
      <c r="J75" s="16"/>
      <c r="K75" s="31">
        <f t="shared" ref="K75" si="179">SUM(K74)</f>
        <v>0</v>
      </c>
      <c r="L75" s="38">
        <f t="shared" ref="L75" si="180">SUM(L74)</f>
        <v>0</v>
      </c>
      <c r="M75" s="16"/>
      <c r="N75" s="31">
        <f t="shared" ref="N75" si="181">SUM(N74)</f>
        <v>0</v>
      </c>
      <c r="O75" s="38">
        <f t="shared" ref="O75" si="182">SUM(O74)</f>
        <v>0</v>
      </c>
      <c r="P75" s="16"/>
      <c r="Q75" s="31">
        <f t="shared" ref="Q75" si="183">SUM(Q74)</f>
        <v>0</v>
      </c>
      <c r="R75" s="38">
        <f t="shared" ref="R75" si="184">SUM(R74)</f>
        <v>0</v>
      </c>
      <c r="S75" s="31">
        <f t="shared" ref="S75" si="185">SUM(S74)</f>
        <v>19</v>
      </c>
      <c r="T75" s="38">
        <f t="shared" ref="T75" si="186">SUM(T74)</f>
        <v>2.3505850000000001</v>
      </c>
      <c r="U75" s="31">
        <f t="shared" ref="U75" si="187">SUM(U74)</f>
        <v>0</v>
      </c>
      <c r="V75" s="38">
        <f t="shared" ref="V75" si="188">SUM(V74)</f>
        <v>0</v>
      </c>
      <c r="X75" s="29"/>
    </row>
    <row r="76" spans="1:24">
      <c r="A76" s="33"/>
      <c r="B76" s="33"/>
      <c r="C76" s="34"/>
      <c r="D76" s="34"/>
      <c r="E76" s="34">
        <f t="shared" ref="E76" si="189">SUM(E75,E73,E64,E51,E49,E44,E28,E14)</f>
        <v>2048</v>
      </c>
      <c r="F76" s="35">
        <f>SUM(F75,F73,F64,F51,F49,F44,F28,F14)</f>
        <v>212.37387699999999</v>
      </c>
      <c r="G76" s="26"/>
      <c r="H76" s="34">
        <f t="shared" ref="H76" si="190">SUM(H75,H73,H64,H51,H49,H44,H28,H14)</f>
        <v>813</v>
      </c>
      <c r="I76" s="35">
        <f t="shared" ref="I76" si="191">SUM(I75,I73,I64,I51,I49,I44,I28,I14)</f>
        <v>89.54759</v>
      </c>
      <c r="J76" s="26"/>
      <c r="K76" s="34">
        <f t="shared" ref="K76" si="192">SUM(K75,K73,K64,K51,K49,K44,K28,K14)</f>
        <v>834</v>
      </c>
      <c r="L76" s="35">
        <f t="shared" ref="L76" si="193">SUM(L75,L73,L64,L51,L49,L44,L28,L14)</f>
        <v>86.919966000000002</v>
      </c>
      <c r="M76" s="26"/>
      <c r="N76" s="34">
        <f t="shared" ref="N76" si="194">SUM(N75,N73,N64,N51,N49,N44,N28,N14)</f>
        <v>309</v>
      </c>
      <c r="O76" s="35">
        <f t="shared" ref="O76" si="195">SUM(O75,O73,O64,O51,O49,O44,O28,O14)</f>
        <v>27.078861999999997</v>
      </c>
      <c r="P76" s="26"/>
      <c r="Q76" s="34">
        <f t="shared" ref="Q76" si="196">SUM(Q75,Q73,Q64,Q51,Q49,Q44,Q28,Q14)</f>
        <v>91</v>
      </c>
      <c r="R76" s="35">
        <f t="shared" ref="R76" si="197">SUM(R75,R73,R64,R51,R49,R44,R28,R14)</f>
        <v>9.3191439999999997</v>
      </c>
      <c r="S76" s="34">
        <f t="shared" ref="S76" si="198">SUM(S75,S73,S64,S51,S49,S44,S28,S14)</f>
        <v>2047</v>
      </c>
      <c r="T76" s="35">
        <f t="shared" ref="T76" si="199">SUM(T75,T73,T64,T51,T49,T44,T28,T14)</f>
        <v>212.86556199999998</v>
      </c>
      <c r="U76" s="34">
        <f t="shared" ref="U76" si="200">SUM(U75,U73,U64,U51,U49,U44,U28,U14)</f>
        <v>1</v>
      </c>
      <c r="V76" s="35">
        <f t="shared" ref="V76" si="201">SUM(V75,V73,V64,V51,V49,V44,V28,V14)</f>
        <v>-0.49168500000000115</v>
      </c>
    </row>
    <row r="91" spans="18:18">
      <c r="R91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3"/>
  <dimension ref="A1:X35"/>
  <sheetViews>
    <sheetView zoomScale="75" zoomScaleNormal="75" workbookViewId="0">
      <pane ySplit="5" topLeftCell="A6" activePane="bottomLeft" state="frozen"/>
      <selection pane="bottomLeft" activeCell="U16" sqref="U16:V16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222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LOI-445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218</v>
      </c>
      <c r="B2" s="8"/>
      <c r="C2" s="9"/>
      <c r="D2" s="9"/>
      <c r="E2" s="10"/>
      <c r="F2" s="146" t="s">
        <v>245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LOI-445  03.07.23</v>
      </c>
      <c r="V2" s="146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12</v>
      </c>
      <c r="E6" s="28">
        <v>52</v>
      </c>
      <c r="F6" s="16">
        <f>(C6*D6*E6/1000)</f>
        <v>5.7782399999999994</v>
      </c>
      <c r="G6" s="17" t="s">
        <v>88</v>
      </c>
      <c r="H6" s="18">
        <v>52</v>
      </c>
      <c r="I6" s="19">
        <f>(C6*D6*H6/1000)</f>
        <v>5.7782399999999994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52</v>
      </c>
      <c r="T6" s="19">
        <f>+I6+L6+R6+O6</f>
        <v>5.7782399999999994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52</v>
      </c>
      <c r="F7" s="38">
        <f t="shared" si="0"/>
        <v>5.7782399999999994</v>
      </c>
      <c r="G7" s="17" t="s">
        <v>303</v>
      </c>
      <c r="H7" s="31">
        <f t="shared" ref="H7:I7" si="1">SUM(H6)</f>
        <v>52</v>
      </c>
      <c r="I7" s="38">
        <f t="shared" si="1"/>
        <v>5.7782399999999994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52</v>
      </c>
      <c r="T7" s="38">
        <f t="shared" si="4"/>
        <v>5.7782399999999994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13</v>
      </c>
      <c r="B8" s="26" t="s">
        <v>46</v>
      </c>
      <c r="C8" s="30">
        <v>10.73</v>
      </c>
      <c r="D8" s="27">
        <v>12</v>
      </c>
      <c r="E8" s="28">
        <v>4</v>
      </c>
      <c r="F8" s="16">
        <f>(C8*D8*E8/1000)</f>
        <v>0.51503999999999994</v>
      </c>
      <c r="G8" s="17" t="s">
        <v>88</v>
      </c>
      <c r="H8" s="18">
        <v>4</v>
      </c>
      <c r="I8" s="19">
        <f>(C8*D8*H8/1000)</f>
        <v>0.51503999999999994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4</v>
      </c>
      <c r="T8" s="19">
        <f>+I8+L8+R8+O8</f>
        <v>0.51503999999999994</v>
      </c>
      <c r="U8" s="21">
        <f>E8-S8</f>
        <v>0</v>
      </c>
      <c r="V8" s="19">
        <f>F8-T8</f>
        <v>0</v>
      </c>
      <c r="X8" s="29"/>
    </row>
    <row r="9" spans="1:24">
      <c r="A9" s="36"/>
      <c r="B9" s="36"/>
      <c r="C9" s="37"/>
      <c r="D9" s="38"/>
      <c r="E9" s="31">
        <f t="shared" ref="E9:F9" si="5">SUM(E8)</f>
        <v>4</v>
      </c>
      <c r="F9" s="38">
        <f t="shared" si="5"/>
        <v>0.51503999999999994</v>
      </c>
      <c r="G9" s="17" t="s">
        <v>303</v>
      </c>
      <c r="H9" s="31">
        <f t="shared" ref="H9:I9" si="6">SUM(H8)</f>
        <v>4</v>
      </c>
      <c r="I9" s="38">
        <f t="shared" si="6"/>
        <v>0.51503999999999994</v>
      </c>
      <c r="J9" s="16"/>
      <c r="K9" s="31">
        <f t="shared" ref="K9:L9" si="7">SUM(K8)</f>
        <v>0</v>
      </c>
      <c r="L9" s="38">
        <f t="shared" si="7"/>
        <v>0</v>
      </c>
      <c r="M9" s="16"/>
      <c r="N9" s="31">
        <f t="shared" ref="N9:O9" si="8">SUM(N8)</f>
        <v>0</v>
      </c>
      <c r="O9" s="38">
        <f t="shared" si="8"/>
        <v>0</v>
      </c>
      <c r="P9" s="16"/>
      <c r="Q9" s="31">
        <f t="shared" ref="Q9:V9" si="9">SUM(Q8)</f>
        <v>0</v>
      </c>
      <c r="R9" s="38">
        <f t="shared" si="9"/>
        <v>0</v>
      </c>
      <c r="S9" s="31">
        <f t="shared" si="9"/>
        <v>4</v>
      </c>
      <c r="T9" s="38">
        <f t="shared" si="9"/>
        <v>0.51503999999999994</v>
      </c>
      <c r="U9" s="31">
        <f t="shared" si="9"/>
        <v>0</v>
      </c>
      <c r="V9" s="38">
        <f t="shared" si="9"/>
        <v>0</v>
      </c>
      <c r="X9" s="29"/>
    </row>
    <row r="10" spans="1:24">
      <c r="A10" s="26" t="s">
        <v>13</v>
      </c>
      <c r="B10" s="26" t="s">
        <v>31</v>
      </c>
      <c r="C10" s="30">
        <v>10.199999999999999</v>
      </c>
      <c r="D10" s="27">
        <v>12</v>
      </c>
      <c r="E10" s="28">
        <v>6</v>
      </c>
      <c r="F10" s="16">
        <f>(C10*D10*E10/1000)</f>
        <v>0.73439999999999994</v>
      </c>
      <c r="G10" s="16" t="s">
        <v>89</v>
      </c>
      <c r="H10" s="18">
        <v>6</v>
      </c>
      <c r="I10" s="19">
        <f>(C10*D10*H10/1000)</f>
        <v>0.73439999999999994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6</v>
      </c>
      <c r="T10" s="19">
        <f>+I10+L10+R10+O10</f>
        <v>0.73439999999999994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10">SUM(E10)</f>
        <v>6</v>
      </c>
      <c r="F11" s="38">
        <f t="shared" si="10"/>
        <v>0.73439999999999994</v>
      </c>
      <c r="G11" s="16" t="s">
        <v>327</v>
      </c>
      <c r="H11" s="31">
        <f t="shared" ref="H11:I11" si="11">SUM(H10)</f>
        <v>6</v>
      </c>
      <c r="I11" s="38">
        <f t="shared" si="11"/>
        <v>0.73439999999999994</v>
      </c>
      <c r="J11" s="16"/>
      <c r="K11" s="31">
        <f t="shared" ref="K11:L11" si="12">SUM(K10)</f>
        <v>0</v>
      </c>
      <c r="L11" s="38">
        <f t="shared" si="12"/>
        <v>0</v>
      </c>
      <c r="M11" s="16"/>
      <c r="N11" s="31">
        <f t="shared" ref="N11:O11" si="13">SUM(N10)</f>
        <v>0</v>
      </c>
      <c r="O11" s="38">
        <f t="shared" si="13"/>
        <v>0</v>
      </c>
      <c r="P11" s="16"/>
      <c r="Q11" s="31">
        <f t="shared" ref="Q11:V11" si="14">SUM(Q10)</f>
        <v>0</v>
      </c>
      <c r="R11" s="38">
        <f t="shared" si="14"/>
        <v>0</v>
      </c>
      <c r="S11" s="31">
        <f t="shared" si="14"/>
        <v>6</v>
      </c>
      <c r="T11" s="38">
        <f t="shared" si="14"/>
        <v>0.73439999999999994</v>
      </c>
      <c r="U11" s="31">
        <f t="shared" si="14"/>
        <v>0</v>
      </c>
      <c r="V11" s="38">
        <f t="shared" si="14"/>
        <v>0</v>
      </c>
      <c r="X11" s="29"/>
    </row>
    <row r="12" spans="1:24">
      <c r="A12" s="26" t="s">
        <v>13</v>
      </c>
      <c r="B12" s="26" t="s">
        <v>25</v>
      </c>
      <c r="C12" s="30">
        <v>13.4</v>
      </c>
      <c r="D12" s="27">
        <v>12</v>
      </c>
      <c r="E12" s="28">
        <v>4</v>
      </c>
      <c r="F12" s="16">
        <f>(C12*D12*E12/1000)</f>
        <v>0.64319999999999999</v>
      </c>
      <c r="G12" s="17" t="s">
        <v>325</v>
      </c>
      <c r="H12" s="18">
        <v>4</v>
      </c>
      <c r="I12" s="19">
        <f>(C12*D12*H12/1000)</f>
        <v>0.64319999999999999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4</v>
      </c>
      <c r="T12" s="19">
        <f>+I12+L12+R12+O12</f>
        <v>0.64319999999999999</v>
      </c>
      <c r="U12" s="21">
        <f>E12-S12</f>
        <v>0</v>
      </c>
      <c r="V12" s="19">
        <f>F12-T12</f>
        <v>0</v>
      </c>
      <c r="X12" s="29"/>
    </row>
    <row r="13" spans="1:24">
      <c r="A13" s="36"/>
      <c r="B13" s="36"/>
      <c r="C13" s="37"/>
      <c r="D13" s="38"/>
      <c r="E13" s="31">
        <f t="shared" ref="E13:F13" si="15">SUM(E12)</f>
        <v>4</v>
      </c>
      <c r="F13" s="38">
        <f t="shared" si="15"/>
        <v>0.64319999999999999</v>
      </c>
      <c r="G13" s="17" t="s">
        <v>326</v>
      </c>
      <c r="H13" s="31">
        <f t="shared" ref="H13:I13" si="16">SUM(H12)</f>
        <v>4</v>
      </c>
      <c r="I13" s="38">
        <f t="shared" si="16"/>
        <v>0.64319999999999999</v>
      </c>
      <c r="J13" s="16"/>
      <c r="K13" s="31">
        <f t="shared" ref="K13:L13" si="17">SUM(K12)</f>
        <v>0</v>
      </c>
      <c r="L13" s="38">
        <f t="shared" si="17"/>
        <v>0</v>
      </c>
      <c r="M13" s="16"/>
      <c r="N13" s="31">
        <f t="shared" ref="N13:O13" si="18">SUM(N12)</f>
        <v>0</v>
      </c>
      <c r="O13" s="38">
        <f t="shared" si="18"/>
        <v>0</v>
      </c>
      <c r="P13" s="16"/>
      <c r="Q13" s="31">
        <f t="shared" ref="Q13:V13" si="19">SUM(Q12)</f>
        <v>0</v>
      </c>
      <c r="R13" s="38">
        <f t="shared" si="19"/>
        <v>0</v>
      </c>
      <c r="S13" s="31">
        <f t="shared" si="19"/>
        <v>4</v>
      </c>
      <c r="T13" s="38">
        <f t="shared" si="19"/>
        <v>0.64319999999999999</v>
      </c>
      <c r="U13" s="31">
        <f t="shared" si="19"/>
        <v>0</v>
      </c>
      <c r="V13" s="38">
        <f t="shared" si="19"/>
        <v>0</v>
      </c>
      <c r="X13" s="29"/>
    </row>
    <row r="14" spans="1:24">
      <c r="A14" s="26" t="s">
        <v>24</v>
      </c>
      <c r="B14" s="26" t="s">
        <v>31</v>
      </c>
      <c r="C14" s="30">
        <v>10.199999999999999</v>
      </c>
      <c r="D14" s="27">
        <v>12</v>
      </c>
      <c r="E14" s="28">
        <v>2</v>
      </c>
      <c r="F14" s="16">
        <f>(C14*D14*E14/1000)</f>
        <v>0.24479999999999999</v>
      </c>
      <c r="G14" s="17" t="s">
        <v>325</v>
      </c>
      <c r="H14" s="18">
        <v>2</v>
      </c>
      <c r="I14" s="19">
        <f>(C14*D14*H14/1000)</f>
        <v>0.24479999999999999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2</v>
      </c>
      <c r="T14" s="19">
        <f>+I14+L14+R14+O14</f>
        <v>0.24479999999999999</v>
      </c>
      <c r="U14" s="21">
        <f>E14-S14</f>
        <v>0</v>
      </c>
      <c r="V14" s="19">
        <f>F14-T14</f>
        <v>0</v>
      </c>
      <c r="X14" s="29"/>
    </row>
    <row r="15" spans="1:24">
      <c r="A15" s="36"/>
      <c r="B15" s="36"/>
      <c r="C15" s="37"/>
      <c r="D15" s="38"/>
      <c r="E15" s="31">
        <f t="shared" ref="E15:F15" si="20">SUM(E14)</f>
        <v>2</v>
      </c>
      <c r="F15" s="38">
        <f t="shared" si="20"/>
        <v>0.24479999999999999</v>
      </c>
      <c r="G15" s="17" t="s">
        <v>326</v>
      </c>
      <c r="H15" s="31">
        <f t="shared" ref="H15:I15" si="21">SUM(H14)</f>
        <v>2</v>
      </c>
      <c r="I15" s="38">
        <f t="shared" si="21"/>
        <v>0.24479999999999999</v>
      </c>
      <c r="J15" s="16"/>
      <c r="K15" s="31">
        <f t="shared" ref="K15:L15" si="22">SUM(K14)</f>
        <v>0</v>
      </c>
      <c r="L15" s="38">
        <f t="shared" si="22"/>
        <v>0</v>
      </c>
      <c r="M15" s="16"/>
      <c r="N15" s="31">
        <f t="shared" ref="N15:O15" si="23">SUM(N14)</f>
        <v>0</v>
      </c>
      <c r="O15" s="38">
        <f t="shared" si="23"/>
        <v>0</v>
      </c>
      <c r="P15" s="16"/>
      <c r="Q15" s="31">
        <f t="shared" ref="Q15:V15" si="24">SUM(Q14)</f>
        <v>0</v>
      </c>
      <c r="R15" s="38">
        <f t="shared" si="24"/>
        <v>0</v>
      </c>
      <c r="S15" s="31">
        <f t="shared" si="24"/>
        <v>2</v>
      </c>
      <c r="T15" s="38">
        <f t="shared" si="24"/>
        <v>0.24479999999999999</v>
      </c>
      <c r="U15" s="31">
        <f t="shared" si="24"/>
        <v>0</v>
      </c>
      <c r="V15" s="38">
        <f t="shared" si="24"/>
        <v>0</v>
      </c>
      <c r="X15" s="29"/>
    </row>
    <row r="16" spans="1:24">
      <c r="A16" s="33"/>
      <c r="B16" s="33"/>
      <c r="C16" s="34"/>
      <c r="D16" s="34"/>
      <c r="E16" s="34">
        <f t="shared" ref="E16:F16" si="25">SUM(E15,E13,E11,E9,E7)</f>
        <v>68</v>
      </c>
      <c r="F16" s="35">
        <f t="shared" si="25"/>
        <v>7.9156799999999992</v>
      </c>
      <c r="G16" s="26"/>
      <c r="H16" s="34">
        <f t="shared" ref="H16" si="26">SUM(H15,H13,H11,H9,H7)</f>
        <v>68</v>
      </c>
      <c r="I16" s="35">
        <f t="shared" ref="I16" si="27">SUM(I15,I13,I11,I9,I7)</f>
        <v>7.9156799999999992</v>
      </c>
      <c r="J16" s="26"/>
      <c r="K16" s="34">
        <f t="shared" ref="K16" si="28">SUM(K15,K13,K11,K9,K7)</f>
        <v>0</v>
      </c>
      <c r="L16" s="35">
        <f t="shared" ref="L16" si="29">SUM(L15,L13,L11,L9,L7)</f>
        <v>0</v>
      </c>
      <c r="M16" s="26"/>
      <c r="N16" s="34">
        <f t="shared" ref="N16" si="30">SUM(N15,N13,N11,N9,N7)</f>
        <v>0</v>
      </c>
      <c r="O16" s="35">
        <f t="shared" ref="O16" si="31">SUM(O15,O13,O11,O9,O7)</f>
        <v>0</v>
      </c>
      <c r="P16" s="26"/>
      <c r="Q16" s="34">
        <f t="shared" ref="Q16" si="32">SUM(Q15,Q13,Q11,Q9,Q7)</f>
        <v>0</v>
      </c>
      <c r="R16" s="35">
        <f t="shared" ref="R16" si="33">SUM(R15,R13,R11,R9,R7)</f>
        <v>0</v>
      </c>
      <c r="S16" s="34">
        <f t="shared" ref="S16" si="34">SUM(S15,S13,S11,S9,S7)</f>
        <v>68</v>
      </c>
      <c r="T16" s="35">
        <f t="shared" ref="T16" si="35">SUM(T15,T13,T11,T9,T7)</f>
        <v>7.9156799999999992</v>
      </c>
      <c r="U16" s="34">
        <f t="shared" ref="U16" si="36">SUM(U15,U13,U11,U9,U7)</f>
        <v>0</v>
      </c>
      <c r="V16" s="35">
        <f t="shared" ref="V16" si="37">SUM(V15,V13,V11,V9,V7)</f>
        <v>0</v>
      </c>
    </row>
    <row r="20" spans="1:24" s="56" customFormat="1">
      <c r="A20" s="57" t="s">
        <v>24</v>
      </c>
      <c r="B20" s="57" t="s">
        <v>36</v>
      </c>
      <c r="C20" s="58">
        <v>6.97</v>
      </c>
      <c r="D20" s="59">
        <v>12</v>
      </c>
      <c r="E20" s="60">
        <v>20</v>
      </c>
      <c r="F20" s="61">
        <f>(C20*D20*E20/1000)</f>
        <v>1.6728000000000001</v>
      </c>
      <c r="G20" s="62"/>
      <c r="H20" s="63"/>
      <c r="I20" s="64">
        <f>(C20*D20*H20/1000)</f>
        <v>0</v>
      </c>
      <c r="J20" s="61"/>
      <c r="K20" s="63"/>
      <c r="L20" s="64">
        <f>(C20*D20*K20/1000)</f>
        <v>0</v>
      </c>
      <c r="M20" s="61"/>
      <c r="N20" s="63"/>
      <c r="O20" s="64">
        <f>(C20*D20*N20/1000)</f>
        <v>0</v>
      </c>
      <c r="P20" s="61"/>
      <c r="Q20" s="63"/>
      <c r="R20" s="64">
        <f>(C20*D20*Q20/1000)</f>
        <v>0</v>
      </c>
      <c r="S20" s="65">
        <f>+H20+K20+Q20</f>
        <v>0</v>
      </c>
      <c r="T20" s="64">
        <f>+I20+L20+R20</f>
        <v>0</v>
      </c>
      <c r="U20" s="42">
        <f>E20-S20</f>
        <v>20</v>
      </c>
      <c r="V20" s="64">
        <f>F20-T20</f>
        <v>1.6728000000000001</v>
      </c>
      <c r="X20" s="69"/>
    </row>
    <row r="21" spans="1:24" s="56" customFormat="1">
      <c r="A21" s="41"/>
      <c r="B21" s="41"/>
      <c r="C21" s="66"/>
      <c r="D21" s="67"/>
      <c r="E21" s="68">
        <f t="shared" ref="E21:F21" si="38">SUM(E20)</f>
        <v>20</v>
      </c>
      <c r="F21" s="67">
        <f t="shared" si="38"/>
        <v>1.6728000000000001</v>
      </c>
      <c r="G21" s="62"/>
      <c r="H21" s="68">
        <f t="shared" ref="H21:I21" si="39">SUM(H20)</f>
        <v>0</v>
      </c>
      <c r="I21" s="67">
        <f t="shared" si="39"/>
        <v>0</v>
      </c>
      <c r="J21" s="61"/>
      <c r="K21" s="68">
        <f t="shared" ref="K21:L21" si="40">SUM(K20)</f>
        <v>0</v>
      </c>
      <c r="L21" s="67">
        <f t="shared" si="40"/>
        <v>0</v>
      </c>
      <c r="M21" s="61"/>
      <c r="N21" s="68">
        <f t="shared" ref="N21:O21" si="41">SUM(N20)</f>
        <v>0</v>
      </c>
      <c r="O21" s="67">
        <f t="shared" si="41"/>
        <v>0</v>
      </c>
      <c r="P21" s="61"/>
      <c r="Q21" s="68">
        <f t="shared" ref="Q21:V21" si="42">SUM(Q20)</f>
        <v>0</v>
      </c>
      <c r="R21" s="67">
        <f t="shared" si="42"/>
        <v>0</v>
      </c>
      <c r="S21" s="68">
        <f t="shared" si="42"/>
        <v>0</v>
      </c>
      <c r="T21" s="67">
        <f t="shared" si="42"/>
        <v>0</v>
      </c>
      <c r="U21" s="68">
        <f t="shared" si="42"/>
        <v>20</v>
      </c>
      <c r="V21" s="67">
        <f t="shared" si="42"/>
        <v>1.6728000000000001</v>
      </c>
      <c r="X21" s="69"/>
    </row>
    <row r="22" spans="1:24" s="56" customFormat="1">
      <c r="A22" s="57" t="s">
        <v>24</v>
      </c>
      <c r="B22" s="57" t="s">
        <v>26</v>
      </c>
      <c r="C22" s="58">
        <v>8.3000000000000007</v>
      </c>
      <c r="D22" s="59">
        <v>12</v>
      </c>
      <c r="E22" s="60">
        <v>6</v>
      </c>
      <c r="F22" s="61">
        <f>(C22*D22*E22/1000)</f>
        <v>0.59760000000000002</v>
      </c>
      <c r="G22" s="62"/>
      <c r="H22" s="63"/>
      <c r="I22" s="64">
        <f>(C22*D22*H22/1000)</f>
        <v>0</v>
      </c>
      <c r="J22" s="61"/>
      <c r="K22" s="63"/>
      <c r="L22" s="64">
        <f>(C22*D22*K22/1000)</f>
        <v>0</v>
      </c>
      <c r="M22" s="61"/>
      <c r="N22" s="63"/>
      <c r="O22" s="64">
        <f>(C22*D22*N22/1000)</f>
        <v>0</v>
      </c>
      <c r="P22" s="61"/>
      <c r="Q22" s="63"/>
      <c r="R22" s="64">
        <f>(C22*D22*Q22/1000)</f>
        <v>0</v>
      </c>
      <c r="S22" s="65">
        <f>+H22+K22+Q22</f>
        <v>0</v>
      </c>
      <c r="T22" s="64">
        <f>+I22+L22+R22</f>
        <v>0</v>
      </c>
      <c r="U22" s="42">
        <f>E22-S22</f>
        <v>6</v>
      </c>
      <c r="V22" s="64">
        <f>F22-T22</f>
        <v>0.59760000000000002</v>
      </c>
      <c r="X22" s="69"/>
    </row>
    <row r="23" spans="1:24" s="56" customFormat="1">
      <c r="A23" s="41"/>
      <c r="B23" s="41"/>
      <c r="C23" s="66"/>
      <c r="D23" s="67"/>
      <c r="E23" s="68">
        <f t="shared" ref="E23:F23" si="43">SUM(E22)</f>
        <v>6</v>
      </c>
      <c r="F23" s="67">
        <f t="shared" si="43"/>
        <v>0.59760000000000002</v>
      </c>
      <c r="G23" s="62"/>
      <c r="H23" s="68">
        <f t="shared" ref="H23:I23" si="44">SUM(H22)</f>
        <v>0</v>
      </c>
      <c r="I23" s="67">
        <f t="shared" si="44"/>
        <v>0</v>
      </c>
      <c r="J23" s="61"/>
      <c r="K23" s="68">
        <f t="shared" ref="K23:L23" si="45">SUM(K22)</f>
        <v>0</v>
      </c>
      <c r="L23" s="67">
        <f t="shared" si="45"/>
        <v>0</v>
      </c>
      <c r="M23" s="61"/>
      <c r="N23" s="68">
        <f t="shared" ref="N23:O23" si="46">SUM(N22)</f>
        <v>0</v>
      </c>
      <c r="O23" s="67">
        <f t="shared" si="46"/>
        <v>0</v>
      </c>
      <c r="P23" s="61"/>
      <c r="Q23" s="68">
        <f t="shared" ref="Q23:V23" si="47">SUM(Q22)</f>
        <v>0</v>
      </c>
      <c r="R23" s="67">
        <f t="shared" si="47"/>
        <v>0</v>
      </c>
      <c r="S23" s="68">
        <f t="shared" si="47"/>
        <v>0</v>
      </c>
      <c r="T23" s="67">
        <f t="shared" si="47"/>
        <v>0</v>
      </c>
      <c r="U23" s="68">
        <f t="shared" si="47"/>
        <v>6</v>
      </c>
      <c r="V23" s="67">
        <f t="shared" si="47"/>
        <v>0.59760000000000002</v>
      </c>
      <c r="X23" s="69"/>
    </row>
    <row r="35" spans="18:18">
      <c r="R35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4"/>
  <dimension ref="A1:X28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246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LOI-493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261</v>
      </c>
      <c r="B2" s="8"/>
      <c r="C2" s="9"/>
      <c r="D2" s="9"/>
      <c r="E2" s="10"/>
      <c r="F2" s="146" t="s">
        <v>247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LOI-493  03.07.23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161</v>
      </c>
      <c r="C6" s="30">
        <v>44.2</v>
      </c>
      <c r="D6" s="27">
        <v>9.6999999999999993</v>
      </c>
      <c r="E6" s="28">
        <v>12</v>
      </c>
      <c r="F6" s="16">
        <f>(C6*D6*E6/1000)</f>
        <v>5.1448799999999997</v>
      </c>
      <c r="G6" s="17" t="s">
        <v>86</v>
      </c>
      <c r="H6" s="18">
        <v>8</v>
      </c>
      <c r="I6" s="19">
        <f>(C6*D6*H6/1000)</f>
        <v>3.4299200000000001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 t="shared" ref="S6:T11" si="0">+H6+K6+Q6+N6</f>
        <v>8</v>
      </c>
      <c r="T6" s="19">
        <f t="shared" si="0"/>
        <v>3.4299200000000001</v>
      </c>
      <c r="U6" s="21">
        <f t="shared" ref="U6:V11" si="1">E6-S6</f>
        <v>4</v>
      </c>
      <c r="V6" s="19">
        <f t="shared" si="1"/>
        <v>1.7149599999999996</v>
      </c>
      <c r="X6" s="29"/>
    </row>
    <row r="7" spans="1:24">
      <c r="A7" s="26" t="s">
        <v>13</v>
      </c>
      <c r="B7" s="26" t="s">
        <v>161</v>
      </c>
      <c r="C7" s="30">
        <v>44.2</v>
      </c>
      <c r="D7" s="27">
        <v>11.1</v>
      </c>
      <c r="E7" s="28"/>
      <c r="F7" s="16">
        <f t="shared" ref="F7:F9" si="2">(C7*D7*E7/1000)</f>
        <v>0</v>
      </c>
      <c r="G7" s="17" t="s">
        <v>316</v>
      </c>
      <c r="H7" s="18">
        <v>1</v>
      </c>
      <c r="I7" s="19">
        <f t="shared" ref="I7:I9" si="3">(C7*D7*H7/1000)</f>
        <v>0.49062</v>
      </c>
      <c r="J7" s="16"/>
      <c r="K7" s="18"/>
      <c r="L7" s="19">
        <f t="shared" ref="L7:L9" si="4">(C7*D7*K7/1000)</f>
        <v>0</v>
      </c>
      <c r="M7" s="16"/>
      <c r="N7" s="18"/>
      <c r="O7" s="19">
        <f t="shared" ref="O7:O9" si="5">(C7*D7*N7/1000)</f>
        <v>0</v>
      </c>
      <c r="P7" s="16"/>
      <c r="Q7" s="18"/>
      <c r="R7" s="19">
        <f t="shared" ref="R7:R9" si="6">(C7*D7*Q7/1000)</f>
        <v>0</v>
      </c>
      <c r="S7" s="20">
        <f t="shared" ref="S7:S9" si="7">+H7+K7+Q7+N7</f>
        <v>1</v>
      </c>
      <c r="T7" s="19">
        <f t="shared" ref="T7:T9" si="8">+I7+L7+R7+O7</f>
        <v>0.49062</v>
      </c>
      <c r="U7" s="21">
        <f t="shared" ref="U7:U9" si="9">E7-S7</f>
        <v>-1</v>
      </c>
      <c r="V7" s="19">
        <f t="shared" ref="V7:V9" si="10">F7-T7</f>
        <v>-0.49062</v>
      </c>
      <c r="X7" s="29"/>
    </row>
    <row r="8" spans="1:24">
      <c r="A8" s="26" t="s">
        <v>13</v>
      </c>
      <c r="B8" s="26" t="s">
        <v>161</v>
      </c>
      <c r="C8" s="30">
        <v>44.2</v>
      </c>
      <c r="D8" s="27">
        <v>8.1</v>
      </c>
      <c r="E8" s="28"/>
      <c r="F8" s="16">
        <f t="shared" si="2"/>
        <v>0</v>
      </c>
      <c r="G8" s="17"/>
      <c r="H8" s="18">
        <v>1</v>
      </c>
      <c r="I8" s="19">
        <f t="shared" si="3"/>
        <v>0.35802</v>
      </c>
      <c r="J8" s="16"/>
      <c r="K8" s="18"/>
      <c r="L8" s="19">
        <f t="shared" si="4"/>
        <v>0</v>
      </c>
      <c r="M8" s="16"/>
      <c r="N8" s="18"/>
      <c r="O8" s="19">
        <f t="shared" si="5"/>
        <v>0</v>
      </c>
      <c r="P8" s="16"/>
      <c r="Q8" s="18"/>
      <c r="R8" s="19">
        <f t="shared" si="6"/>
        <v>0</v>
      </c>
      <c r="S8" s="20">
        <f t="shared" si="7"/>
        <v>1</v>
      </c>
      <c r="T8" s="19">
        <f t="shared" si="8"/>
        <v>0.35802</v>
      </c>
      <c r="U8" s="21">
        <f t="shared" si="9"/>
        <v>-1</v>
      </c>
      <c r="V8" s="19">
        <f t="shared" si="10"/>
        <v>-0.35802</v>
      </c>
      <c r="X8" s="29"/>
    </row>
    <row r="9" spans="1:24">
      <c r="A9" s="26" t="s">
        <v>13</v>
      </c>
      <c r="B9" s="26" t="s">
        <v>161</v>
      </c>
      <c r="C9" s="30">
        <v>44.2</v>
      </c>
      <c r="D9" s="27">
        <v>8.1999999999999993</v>
      </c>
      <c r="E9" s="28"/>
      <c r="F9" s="16">
        <f t="shared" si="2"/>
        <v>0</v>
      </c>
      <c r="G9" s="17"/>
      <c r="H9" s="18">
        <v>2</v>
      </c>
      <c r="I9" s="19">
        <f t="shared" si="3"/>
        <v>0.72487999999999997</v>
      </c>
      <c r="J9" s="16"/>
      <c r="K9" s="18"/>
      <c r="L9" s="19">
        <f t="shared" si="4"/>
        <v>0</v>
      </c>
      <c r="M9" s="16"/>
      <c r="N9" s="18"/>
      <c r="O9" s="19">
        <f t="shared" si="5"/>
        <v>0</v>
      </c>
      <c r="P9" s="16"/>
      <c r="Q9" s="18"/>
      <c r="R9" s="19">
        <f t="shared" si="6"/>
        <v>0</v>
      </c>
      <c r="S9" s="20">
        <f t="shared" si="7"/>
        <v>2</v>
      </c>
      <c r="T9" s="19">
        <f t="shared" si="8"/>
        <v>0.72487999999999997</v>
      </c>
      <c r="U9" s="21">
        <f t="shared" si="9"/>
        <v>-2</v>
      </c>
      <c r="V9" s="19">
        <f t="shared" si="10"/>
        <v>-0.72487999999999997</v>
      </c>
      <c r="X9" s="29"/>
    </row>
    <row r="10" spans="1:24">
      <c r="A10" s="26" t="s">
        <v>13</v>
      </c>
      <c r="B10" s="26" t="s">
        <v>161</v>
      </c>
      <c r="C10" s="30">
        <v>44.2</v>
      </c>
      <c r="D10" s="27">
        <v>9.6</v>
      </c>
      <c r="E10" s="28"/>
      <c r="F10" s="16">
        <f>(C10*D10*E10/1000)</f>
        <v>0</v>
      </c>
      <c r="G10" s="17"/>
      <c r="H10" s="18">
        <v>1</v>
      </c>
      <c r="I10" s="19">
        <f>(C10*D10*H10/1000)</f>
        <v>0.42431999999999997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si="0"/>
        <v>1</v>
      </c>
      <c r="T10" s="19">
        <f t="shared" si="0"/>
        <v>0.42431999999999997</v>
      </c>
      <c r="U10" s="21">
        <f t="shared" si="1"/>
        <v>-1</v>
      </c>
      <c r="V10" s="19">
        <f t="shared" si="1"/>
        <v>-0.42431999999999997</v>
      </c>
      <c r="X10" s="29"/>
    </row>
    <row r="11" spans="1:24">
      <c r="A11" s="26" t="s">
        <v>13</v>
      </c>
      <c r="B11" s="26" t="s">
        <v>161</v>
      </c>
      <c r="C11" s="30">
        <v>44.2</v>
      </c>
      <c r="D11" s="27"/>
      <c r="E11" s="28"/>
      <c r="F11" s="16">
        <f>(C11*D11*E11/1000)</f>
        <v>0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 t="shared" si="0"/>
        <v>0</v>
      </c>
      <c r="T11" s="19">
        <f t="shared" si="0"/>
        <v>0</v>
      </c>
      <c r="U11" s="21">
        <f t="shared" si="1"/>
        <v>0</v>
      </c>
      <c r="V11" s="19">
        <f t="shared" si="1"/>
        <v>0</v>
      </c>
      <c r="X11" s="29"/>
    </row>
    <row r="12" spans="1:24">
      <c r="A12" s="36"/>
      <c r="B12" s="36"/>
      <c r="C12" s="37"/>
      <c r="D12" s="38"/>
      <c r="E12" s="31">
        <f>SUM(E6:E11)</f>
        <v>12</v>
      </c>
      <c r="F12" s="38">
        <f>SUM(F6:F11)</f>
        <v>5.1448799999999997</v>
      </c>
      <c r="G12" s="17"/>
      <c r="H12" s="31">
        <f>SUM(H6:H11)</f>
        <v>13</v>
      </c>
      <c r="I12" s="38">
        <f>SUM(I6:I11)</f>
        <v>5.4277599999999993</v>
      </c>
      <c r="J12" s="16"/>
      <c r="K12" s="31">
        <f t="shared" ref="K12" si="11">SUM(K6:K11)</f>
        <v>0</v>
      </c>
      <c r="L12" s="38">
        <f t="shared" ref="L12" si="12">SUM(L6:L11)</f>
        <v>0</v>
      </c>
      <c r="M12" s="16"/>
      <c r="N12" s="31">
        <f t="shared" ref="N12" si="13">SUM(N6:N11)</f>
        <v>0</v>
      </c>
      <c r="O12" s="38">
        <f t="shared" ref="O12" si="14">SUM(O6:O11)</f>
        <v>0</v>
      </c>
      <c r="P12" s="16"/>
      <c r="Q12" s="31">
        <f t="shared" ref="Q12" si="15">SUM(Q6:Q11)</f>
        <v>0</v>
      </c>
      <c r="R12" s="38">
        <f t="shared" ref="R12" si="16">SUM(R6:R11)</f>
        <v>0</v>
      </c>
      <c r="S12" s="31">
        <f t="shared" ref="S12" si="17">SUM(S6:S11)</f>
        <v>13</v>
      </c>
      <c r="T12" s="38">
        <f t="shared" ref="T12" si="18">SUM(T6:T11)</f>
        <v>5.4277599999999993</v>
      </c>
      <c r="U12" s="31">
        <f t="shared" ref="U12" si="19">SUM(U6:U11)</f>
        <v>-1</v>
      </c>
      <c r="V12" s="38">
        <f t="shared" ref="V12" si="20">SUM(V6:V11)</f>
        <v>-0.28288000000000041</v>
      </c>
      <c r="X12" s="29"/>
    </row>
    <row r="13" spans="1:24">
      <c r="A13" s="33"/>
      <c r="B13" s="33"/>
      <c r="C13" s="34"/>
      <c r="D13" s="34"/>
      <c r="E13" s="54">
        <f t="shared" ref="E13:F13" si="21">SUM(E12)</f>
        <v>12</v>
      </c>
      <c r="F13" s="55">
        <f t="shared" si="21"/>
        <v>5.1448799999999997</v>
      </c>
      <c r="G13" s="26"/>
      <c r="H13" s="54">
        <f t="shared" ref="H13" si="22">SUM(H12)</f>
        <v>13</v>
      </c>
      <c r="I13" s="55">
        <f t="shared" ref="I13" si="23">SUM(I12)</f>
        <v>5.4277599999999993</v>
      </c>
      <c r="J13" s="26"/>
      <c r="K13" s="54">
        <f t="shared" ref="K13" si="24">SUM(K12)</f>
        <v>0</v>
      </c>
      <c r="L13" s="55">
        <f t="shared" ref="L13" si="25">SUM(L12)</f>
        <v>0</v>
      </c>
      <c r="M13" s="26"/>
      <c r="N13" s="54">
        <f t="shared" ref="N13" si="26">SUM(N12)</f>
        <v>0</v>
      </c>
      <c r="O13" s="55">
        <f t="shared" ref="O13" si="27">SUM(O12)</f>
        <v>0</v>
      </c>
      <c r="P13" s="26"/>
      <c r="Q13" s="54">
        <f t="shared" ref="Q13" si="28">SUM(Q12)</f>
        <v>0</v>
      </c>
      <c r="R13" s="55">
        <f t="shared" ref="R13" si="29">SUM(R12)</f>
        <v>0</v>
      </c>
      <c r="S13" s="54">
        <f t="shared" ref="S13" si="30">SUM(S12)</f>
        <v>13</v>
      </c>
      <c r="T13" s="55">
        <f t="shared" ref="T13" si="31">SUM(T12)</f>
        <v>5.4277599999999993</v>
      </c>
      <c r="U13" s="54">
        <f t="shared" ref="U13" si="32">SUM(U12)</f>
        <v>-1</v>
      </c>
      <c r="V13" s="55">
        <f t="shared" ref="V13" si="33">SUM(V12)</f>
        <v>-0.28288000000000041</v>
      </c>
    </row>
    <row r="28" spans="18:18">
      <c r="R28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5"/>
  <dimension ref="A1:X107"/>
  <sheetViews>
    <sheetView zoomScale="75" zoomScaleNormal="75" workbookViewId="0">
      <pane ySplit="5" topLeftCell="A57" activePane="bottomLeft" state="frozen"/>
      <selection pane="bottomLeft" activeCell="P59" sqref="P59:P6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246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LOI-494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261</v>
      </c>
      <c r="B2" s="8"/>
      <c r="C2" s="9"/>
      <c r="D2" s="9"/>
      <c r="E2" s="10"/>
      <c r="F2" s="146" t="s">
        <v>267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LOI-494  03.07.23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11.3</v>
      </c>
      <c r="E6" s="28">
        <v>11</v>
      </c>
      <c r="F6" s="16">
        <f t="shared" ref="F6:F8" si="0">(C6*D6*E6/1000)</f>
        <v>1.8645</v>
      </c>
      <c r="G6" s="16" t="s">
        <v>93</v>
      </c>
      <c r="H6" s="18">
        <v>8</v>
      </c>
      <c r="I6" s="19">
        <f t="shared" ref="I6:I8" si="1">(C6*D6*H6/1000)</f>
        <v>1.3560000000000001</v>
      </c>
      <c r="J6" s="16" t="s">
        <v>111</v>
      </c>
      <c r="K6" s="18"/>
      <c r="L6" s="19">
        <f t="shared" ref="L6:L8" si="2">(C6*D6*K6/1000)</f>
        <v>0</v>
      </c>
      <c r="M6" s="16"/>
      <c r="N6" s="18"/>
      <c r="O6" s="19">
        <f t="shared" ref="O6:O8" si="3">(C6*D6*N6/1000)</f>
        <v>0</v>
      </c>
      <c r="P6" s="16"/>
      <c r="Q6" s="18"/>
      <c r="R6" s="19">
        <f t="shared" ref="R6:R8" si="4">(C6*D6*Q6/1000)</f>
        <v>0</v>
      </c>
      <c r="S6" s="20">
        <f t="shared" ref="S6:T8" si="5">+H6+K6+Q6+N6</f>
        <v>8</v>
      </c>
      <c r="T6" s="19">
        <f t="shared" si="5"/>
        <v>1.3560000000000001</v>
      </c>
      <c r="U6" s="21">
        <f t="shared" ref="U6:V8" si="6">E6-S6</f>
        <v>3</v>
      </c>
      <c r="V6" s="19">
        <f t="shared" si="6"/>
        <v>0.50849999999999995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12</v>
      </c>
      <c r="E7" s="28">
        <v>7</v>
      </c>
      <c r="F7" s="16">
        <f t="shared" ref="F7" si="7">(C7*D7*E7/1000)</f>
        <v>1.26</v>
      </c>
      <c r="G7" s="16" t="s">
        <v>287</v>
      </c>
      <c r="H7" s="18">
        <v>7</v>
      </c>
      <c r="I7" s="19">
        <f t="shared" ref="I7" si="8">(C7*D7*H7/1000)</f>
        <v>1.26</v>
      </c>
      <c r="J7" s="16" t="s">
        <v>289</v>
      </c>
      <c r="K7" s="18"/>
      <c r="L7" s="19">
        <f t="shared" ref="L7" si="9">(C7*D7*K7/1000)</f>
        <v>0</v>
      </c>
      <c r="M7" s="16"/>
      <c r="N7" s="18"/>
      <c r="O7" s="19">
        <f t="shared" ref="O7" si="10">(C7*D7*N7/1000)</f>
        <v>0</v>
      </c>
      <c r="P7" s="16"/>
      <c r="Q7" s="18"/>
      <c r="R7" s="19">
        <f t="shared" ref="R7" si="11">(C7*D7*Q7/1000)</f>
        <v>0</v>
      </c>
      <c r="S7" s="20">
        <f t="shared" si="5"/>
        <v>7</v>
      </c>
      <c r="T7" s="19">
        <f t="shared" si="5"/>
        <v>1.26</v>
      </c>
      <c r="U7" s="21">
        <f t="shared" si="6"/>
        <v>0</v>
      </c>
      <c r="V7" s="19">
        <f t="shared" si="6"/>
        <v>0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11.5</v>
      </c>
      <c r="E8" s="28"/>
      <c r="F8" s="16">
        <f t="shared" si="0"/>
        <v>0</v>
      </c>
      <c r="G8" s="16"/>
      <c r="H8" s="18"/>
      <c r="I8" s="19">
        <f t="shared" si="1"/>
        <v>0</v>
      </c>
      <c r="J8" s="16"/>
      <c r="K8" s="18">
        <v>3</v>
      </c>
      <c r="L8" s="19">
        <f t="shared" si="2"/>
        <v>0.51749999999999996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</v>
      </c>
      <c r="T8" s="19">
        <f t="shared" si="5"/>
        <v>0.51749999999999996</v>
      </c>
      <c r="U8" s="21">
        <f t="shared" si="6"/>
        <v>-3</v>
      </c>
      <c r="V8" s="19">
        <f t="shared" si="6"/>
        <v>-0.51749999999999996</v>
      </c>
      <c r="X8" s="29"/>
    </row>
    <row r="9" spans="1:24">
      <c r="A9" s="36"/>
      <c r="B9" s="36"/>
      <c r="C9" s="37"/>
      <c r="D9" s="38"/>
      <c r="E9" s="31">
        <f>SUM(E6:E8)</f>
        <v>18</v>
      </c>
      <c r="F9" s="38">
        <f>SUM(F6:F8)</f>
        <v>3.1245000000000003</v>
      </c>
      <c r="G9" s="17"/>
      <c r="H9" s="31">
        <f>SUM(H6:H8)</f>
        <v>15</v>
      </c>
      <c r="I9" s="38">
        <f>SUM(I6:I8)</f>
        <v>2.6160000000000001</v>
      </c>
      <c r="J9" s="16"/>
      <c r="K9" s="31">
        <f>SUM(K6:K8)</f>
        <v>3</v>
      </c>
      <c r="L9" s="38">
        <f>SUM(L6:L8)</f>
        <v>0.51749999999999996</v>
      </c>
      <c r="M9" s="16"/>
      <c r="N9" s="31">
        <f>SUM(N6:N8)</f>
        <v>0</v>
      </c>
      <c r="O9" s="38">
        <f>SUM(O6:O8)</f>
        <v>0</v>
      </c>
      <c r="P9" s="16"/>
      <c r="Q9" s="31">
        <f t="shared" ref="Q9:V9" si="12">SUM(Q6:Q8)</f>
        <v>0</v>
      </c>
      <c r="R9" s="38">
        <f t="shared" si="12"/>
        <v>0</v>
      </c>
      <c r="S9" s="31">
        <f t="shared" si="12"/>
        <v>18</v>
      </c>
      <c r="T9" s="38">
        <f t="shared" si="12"/>
        <v>3.1335000000000002</v>
      </c>
      <c r="U9" s="31">
        <f t="shared" si="12"/>
        <v>0</v>
      </c>
      <c r="V9" s="38">
        <f t="shared" si="12"/>
        <v>-9.000000000000008E-3</v>
      </c>
      <c r="X9" s="29"/>
    </row>
    <row r="10" spans="1:24">
      <c r="A10" s="26" t="s">
        <v>13</v>
      </c>
      <c r="B10" s="26" t="s">
        <v>46</v>
      </c>
      <c r="C10" s="30">
        <v>10.7</v>
      </c>
      <c r="D10" s="27">
        <v>10.5</v>
      </c>
      <c r="E10" s="28">
        <v>40</v>
      </c>
      <c r="F10" s="16">
        <f t="shared" ref="F10:F12" si="13">(C10*D10*E10/1000)</f>
        <v>4.4939999999999998</v>
      </c>
      <c r="G10" s="16" t="s">
        <v>288</v>
      </c>
      <c r="H10" s="18">
        <v>17</v>
      </c>
      <c r="I10" s="19">
        <f t="shared" ref="I10:I12" si="14">(C10*D10*H10/1000)</f>
        <v>1.9099499999999998</v>
      </c>
      <c r="J10" s="16" t="s">
        <v>111</v>
      </c>
      <c r="K10" s="18">
        <v>23</v>
      </c>
      <c r="L10" s="19">
        <f t="shared" ref="L10:L12" si="15">(C10*D10*K10/1000)</f>
        <v>2.5840499999999995</v>
      </c>
      <c r="M10" s="16" t="s">
        <v>88</v>
      </c>
      <c r="N10" s="18"/>
      <c r="O10" s="19">
        <f t="shared" ref="O10:O12" si="16">(C10*D10*N10/1000)</f>
        <v>0</v>
      </c>
      <c r="P10" s="16"/>
      <c r="Q10" s="18"/>
      <c r="R10" s="19">
        <f t="shared" ref="R10:R12" si="17">(C10*D10*Q10/1000)</f>
        <v>0</v>
      </c>
      <c r="S10" s="20">
        <f t="shared" ref="S10:T12" si="18">+H10+K10+Q10+N10</f>
        <v>40</v>
      </c>
      <c r="T10" s="19">
        <f t="shared" si="18"/>
        <v>4.4939999999999998</v>
      </c>
      <c r="U10" s="21">
        <f t="shared" ref="U10:V12" si="19">E10-S10</f>
        <v>0</v>
      </c>
      <c r="V10" s="19">
        <f t="shared" si="19"/>
        <v>0</v>
      </c>
      <c r="X10" s="29"/>
    </row>
    <row r="11" spans="1:24">
      <c r="A11" s="26" t="s">
        <v>13</v>
      </c>
      <c r="B11" s="26" t="s">
        <v>46</v>
      </c>
      <c r="C11" s="30">
        <v>10.7</v>
      </c>
      <c r="D11" s="27">
        <v>11.2</v>
      </c>
      <c r="E11" s="28">
        <v>68</v>
      </c>
      <c r="F11" s="16">
        <f t="shared" si="13"/>
        <v>8.1491199999999981</v>
      </c>
      <c r="G11" s="16" t="s">
        <v>289</v>
      </c>
      <c r="H11" s="18">
        <v>42</v>
      </c>
      <c r="I11" s="19">
        <f t="shared" si="14"/>
        <v>5.0332799999999995</v>
      </c>
      <c r="J11" s="16" t="s">
        <v>289</v>
      </c>
      <c r="K11" s="18">
        <v>18</v>
      </c>
      <c r="L11" s="19">
        <f t="shared" si="15"/>
        <v>2.1571199999999999</v>
      </c>
      <c r="M11" s="16" t="s">
        <v>290</v>
      </c>
      <c r="N11" s="18">
        <v>8</v>
      </c>
      <c r="O11" s="19">
        <f t="shared" si="16"/>
        <v>0.95871999999999991</v>
      </c>
      <c r="P11" s="16"/>
      <c r="Q11" s="18"/>
      <c r="R11" s="19">
        <f t="shared" si="17"/>
        <v>0</v>
      </c>
      <c r="S11" s="20">
        <f t="shared" si="18"/>
        <v>68</v>
      </c>
      <c r="T11" s="19">
        <f t="shared" si="18"/>
        <v>8.1491199999999999</v>
      </c>
      <c r="U11" s="21">
        <f t="shared" si="19"/>
        <v>0</v>
      </c>
      <c r="V11" s="19">
        <f t="shared" si="19"/>
        <v>0</v>
      </c>
      <c r="X11" s="29"/>
    </row>
    <row r="12" spans="1:24">
      <c r="A12" s="26" t="s">
        <v>13</v>
      </c>
      <c r="B12" s="26" t="s">
        <v>46</v>
      </c>
      <c r="C12" s="30">
        <v>10.7</v>
      </c>
      <c r="D12" s="27">
        <v>12</v>
      </c>
      <c r="E12" s="28">
        <v>40</v>
      </c>
      <c r="F12" s="16">
        <f t="shared" si="13"/>
        <v>5.1359999999999992</v>
      </c>
      <c r="G12" s="17"/>
      <c r="H12" s="18"/>
      <c r="I12" s="19">
        <f t="shared" si="14"/>
        <v>0</v>
      </c>
      <c r="J12" s="16"/>
      <c r="K12" s="18">
        <v>40</v>
      </c>
      <c r="L12" s="19">
        <f t="shared" si="15"/>
        <v>5.1359999999999992</v>
      </c>
      <c r="M12" s="16"/>
      <c r="N12" s="18"/>
      <c r="O12" s="19">
        <f t="shared" si="16"/>
        <v>0</v>
      </c>
      <c r="P12" s="16"/>
      <c r="Q12" s="18"/>
      <c r="R12" s="19">
        <f t="shared" si="17"/>
        <v>0</v>
      </c>
      <c r="S12" s="20">
        <f t="shared" si="18"/>
        <v>40</v>
      </c>
      <c r="T12" s="19">
        <f t="shared" si="18"/>
        <v>5.1359999999999992</v>
      </c>
      <c r="U12" s="21">
        <f t="shared" si="19"/>
        <v>0</v>
      </c>
      <c r="V12" s="19">
        <f t="shared" si="19"/>
        <v>0</v>
      </c>
      <c r="X12" s="29"/>
    </row>
    <row r="13" spans="1:24">
      <c r="A13" s="36"/>
      <c r="B13" s="36"/>
      <c r="C13" s="37"/>
      <c r="D13" s="38"/>
      <c r="E13" s="31">
        <f t="shared" ref="E13:F13" si="20">SUM(E10:E12)</f>
        <v>148</v>
      </c>
      <c r="F13" s="38">
        <f t="shared" si="20"/>
        <v>17.779119999999999</v>
      </c>
      <c r="G13" s="17"/>
      <c r="H13" s="31">
        <f t="shared" ref="H13" si="21">SUM(H10:H12)</f>
        <v>59</v>
      </c>
      <c r="I13" s="38">
        <f t="shared" ref="I13" si="22">SUM(I10:I12)</f>
        <v>6.9432299999999998</v>
      </c>
      <c r="J13" s="16"/>
      <c r="K13" s="31">
        <f t="shared" ref="K13" si="23">SUM(K10:K12)</f>
        <v>81</v>
      </c>
      <c r="L13" s="38">
        <f t="shared" ref="L13" si="24">SUM(L10:L12)</f>
        <v>9.8771699999999996</v>
      </c>
      <c r="M13" s="16"/>
      <c r="N13" s="31">
        <f t="shared" ref="N13" si="25">SUM(N10:N12)</f>
        <v>8</v>
      </c>
      <c r="O13" s="38">
        <f t="shared" ref="O13" si="26">SUM(O10:O12)</f>
        <v>0.95871999999999991</v>
      </c>
      <c r="P13" s="16"/>
      <c r="Q13" s="31">
        <f t="shared" ref="Q13" si="27">SUM(Q10:Q12)</f>
        <v>0</v>
      </c>
      <c r="R13" s="38">
        <f t="shared" ref="R13" si="28">SUM(R10:R12)</f>
        <v>0</v>
      </c>
      <c r="S13" s="31">
        <f t="shared" ref="S13" si="29">SUM(S10:S12)</f>
        <v>148</v>
      </c>
      <c r="T13" s="38">
        <f t="shared" ref="T13" si="30">SUM(T10:T12)</f>
        <v>17.779119999999999</v>
      </c>
      <c r="U13" s="31">
        <f t="shared" ref="U13" si="31">SUM(U10:U12)</f>
        <v>0</v>
      </c>
      <c r="V13" s="38">
        <f t="shared" ref="V13" si="32">SUM(V10:V12)</f>
        <v>0</v>
      </c>
      <c r="X13" s="29"/>
    </row>
    <row r="14" spans="1:24">
      <c r="A14" s="26" t="s">
        <v>13</v>
      </c>
      <c r="B14" s="26" t="s">
        <v>61</v>
      </c>
      <c r="C14" s="30">
        <v>12.2</v>
      </c>
      <c r="D14" s="27">
        <v>6.9</v>
      </c>
      <c r="E14" s="28">
        <v>13</v>
      </c>
      <c r="F14" s="16">
        <f t="shared" ref="F14:F23" si="33">(C14*D14*E14/1000)</f>
        <v>1.0943399999999999</v>
      </c>
      <c r="G14" s="17" t="s">
        <v>89</v>
      </c>
      <c r="H14" s="18">
        <v>11</v>
      </c>
      <c r="I14" s="19">
        <f t="shared" ref="I14:I23" si="34">(C14*D14*H14/1000)</f>
        <v>0.92597999999999991</v>
      </c>
      <c r="J14" s="16" t="s">
        <v>93</v>
      </c>
      <c r="K14" s="18"/>
      <c r="L14" s="19">
        <f t="shared" ref="L14:L23" si="35">(C14*D14*K14/1000)</f>
        <v>0</v>
      </c>
      <c r="M14" s="16" t="s">
        <v>89</v>
      </c>
      <c r="N14" s="18">
        <v>5</v>
      </c>
      <c r="O14" s="19">
        <f t="shared" ref="O14:O23" si="36">(C14*D14*N14/1000)</f>
        <v>0.4209</v>
      </c>
      <c r="P14" s="17" t="s">
        <v>111</v>
      </c>
      <c r="Q14" s="18"/>
      <c r="R14" s="19">
        <f t="shared" ref="R14:R23" si="37">(C14*D14*Q14/1000)</f>
        <v>0</v>
      </c>
      <c r="S14" s="20">
        <f>+H14+K14+Q14+N14</f>
        <v>16</v>
      </c>
      <c r="T14" s="19">
        <f t="shared" ref="S14:T23" si="38">+I14+L14+R14+O14</f>
        <v>1.3468799999999999</v>
      </c>
      <c r="U14" s="21">
        <f t="shared" ref="U14:V23" si="39">E14-S14</f>
        <v>-3</v>
      </c>
      <c r="V14" s="19">
        <f t="shared" si="39"/>
        <v>-0.25253999999999999</v>
      </c>
      <c r="X14" s="29"/>
    </row>
    <row r="15" spans="1:24">
      <c r="A15" s="26" t="s">
        <v>13</v>
      </c>
      <c r="B15" s="26" t="s">
        <v>61</v>
      </c>
      <c r="C15" s="30">
        <v>12.2</v>
      </c>
      <c r="D15" s="27">
        <v>9</v>
      </c>
      <c r="E15" s="28">
        <v>84</v>
      </c>
      <c r="F15" s="16">
        <f t="shared" si="33"/>
        <v>9.2231999999999985</v>
      </c>
      <c r="G15" s="17" t="s">
        <v>286</v>
      </c>
      <c r="H15" s="18">
        <v>6</v>
      </c>
      <c r="I15" s="19">
        <f t="shared" si="34"/>
        <v>0.65879999999999994</v>
      </c>
      <c r="J15" s="16" t="s">
        <v>287</v>
      </c>
      <c r="K15" s="18">
        <v>3</v>
      </c>
      <c r="L15" s="19">
        <f t="shared" si="35"/>
        <v>0.32939999999999997</v>
      </c>
      <c r="M15" s="16" t="s">
        <v>287</v>
      </c>
      <c r="N15" s="18">
        <f>9+65</f>
        <v>74</v>
      </c>
      <c r="O15" s="19">
        <f t="shared" si="36"/>
        <v>8.1251999999999995</v>
      </c>
      <c r="P15" s="17" t="s">
        <v>291</v>
      </c>
      <c r="Q15" s="18"/>
      <c r="R15" s="19">
        <f t="shared" si="37"/>
        <v>0</v>
      </c>
      <c r="S15" s="20">
        <f t="shared" si="38"/>
        <v>83</v>
      </c>
      <c r="T15" s="19">
        <f t="shared" si="38"/>
        <v>9.1133999999999986</v>
      </c>
      <c r="U15" s="21">
        <f t="shared" si="39"/>
        <v>1</v>
      </c>
      <c r="V15" s="19">
        <f t="shared" si="39"/>
        <v>0.1097999999999999</v>
      </c>
      <c r="X15" s="29"/>
    </row>
    <row r="16" spans="1:24">
      <c r="A16" s="26" t="s">
        <v>13</v>
      </c>
      <c r="B16" s="26" t="s">
        <v>61</v>
      </c>
      <c r="C16" s="30">
        <v>12.2</v>
      </c>
      <c r="D16" s="27">
        <v>9.9</v>
      </c>
      <c r="E16" s="28">
        <v>37</v>
      </c>
      <c r="F16" s="16">
        <f t="shared" si="33"/>
        <v>4.4688599999999994</v>
      </c>
      <c r="G16" s="17"/>
      <c r="H16" s="18"/>
      <c r="I16" s="19">
        <f t="shared" si="34"/>
        <v>0</v>
      </c>
      <c r="J16" s="16"/>
      <c r="K16" s="18">
        <v>20</v>
      </c>
      <c r="L16" s="19">
        <f t="shared" si="35"/>
        <v>2.4156</v>
      </c>
      <c r="M16" s="16" t="s">
        <v>288</v>
      </c>
      <c r="N16" s="18">
        <v>15</v>
      </c>
      <c r="O16" s="19">
        <f t="shared" si="36"/>
        <v>1.8117000000000001</v>
      </c>
      <c r="P16" s="17"/>
      <c r="Q16" s="18"/>
      <c r="R16" s="19">
        <f>(C16*D16*Q16/1000)</f>
        <v>0</v>
      </c>
      <c r="S16" s="20">
        <f t="shared" si="38"/>
        <v>35</v>
      </c>
      <c r="T16" s="19">
        <f t="shared" si="38"/>
        <v>4.2272999999999996</v>
      </c>
      <c r="U16" s="21">
        <f t="shared" si="39"/>
        <v>2</v>
      </c>
      <c r="V16" s="19">
        <f t="shared" si="39"/>
        <v>0.24155999999999977</v>
      </c>
      <c r="X16" s="29"/>
    </row>
    <row r="17" spans="1:24">
      <c r="A17" s="26" t="s">
        <v>13</v>
      </c>
      <c r="B17" s="26" t="s">
        <v>61</v>
      </c>
      <c r="C17" s="30">
        <v>12.2</v>
      </c>
      <c r="D17" s="27">
        <v>11.5</v>
      </c>
      <c r="E17" s="28">
        <v>148</v>
      </c>
      <c r="F17" s="16">
        <f t="shared" si="33"/>
        <v>20.764399999999998</v>
      </c>
      <c r="G17" s="17"/>
      <c r="H17" s="18">
        <f>7+71</f>
        <v>78</v>
      </c>
      <c r="I17" s="19">
        <f t="shared" si="34"/>
        <v>10.943399999999999</v>
      </c>
      <c r="J17" s="16"/>
      <c r="K17" s="18">
        <f>26+28</f>
        <v>54</v>
      </c>
      <c r="L17" s="19">
        <f t="shared" si="35"/>
        <v>7.5761999999999992</v>
      </c>
      <c r="M17" s="16" t="s">
        <v>289</v>
      </c>
      <c r="N17" s="18">
        <f>4+1</f>
        <v>5</v>
      </c>
      <c r="O17" s="19">
        <f t="shared" si="36"/>
        <v>0.7014999999999999</v>
      </c>
      <c r="P17" s="17"/>
      <c r="Q17" s="18">
        <v>2</v>
      </c>
      <c r="R17" s="19">
        <f t="shared" si="37"/>
        <v>0.28059999999999996</v>
      </c>
      <c r="S17" s="20">
        <f t="shared" si="38"/>
        <v>139</v>
      </c>
      <c r="T17" s="19">
        <f t="shared" si="38"/>
        <v>19.501699999999996</v>
      </c>
      <c r="U17" s="21">
        <f t="shared" si="39"/>
        <v>9</v>
      </c>
      <c r="V17" s="19">
        <f t="shared" si="39"/>
        <v>1.2627000000000024</v>
      </c>
      <c r="X17" s="29"/>
    </row>
    <row r="18" spans="1:24">
      <c r="A18" s="26" t="s">
        <v>13</v>
      </c>
      <c r="B18" s="26" t="s">
        <v>61</v>
      </c>
      <c r="C18" s="30">
        <v>12.2</v>
      </c>
      <c r="D18" s="27">
        <v>11.7</v>
      </c>
      <c r="E18" s="28">
        <v>66</v>
      </c>
      <c r="F18" s="16">
        <f t="shared" ref="F18:F22" si="40">(C18*D18*E18/1000)</f>
        <v>9.4208399999999983</v>
      </c>
      <c r="G18" s="17"/>
      <c r="H18" s="18">
        <v>40</v>
      </c>
      <c r="I18" s="19">
        <f t="shared" ref="I18:I22" si="41">(C18*D18*H18/1000)</f>
        <v>5.7095999999999991</v>
      </c>
      <c r="J18" s="16"/>
      <c r="K18" s="18">
        <v>15</v>
      </c>
      <c r="L18" s="19">
        <f t="shared" ref="L18:L22" si="42">(C18*D18*K18/1000)</f>
        <v>2.1410999999999998</v>
      </c>
      <c r="M18" s="16"/>
      <c r="N18" s="18">
        <v>2</v>
      </c>
      <c r="O18" s="19">
        <f t="shared" ref="O18:O22" si="43">(C18*D18*N18/1000)</f>
        <v>0.28547999999999996</v>
      </c>
      <c r="P18" s="16"/>
      <c r="Q18" s="18">
        <v>10</v>
      </c>
      <c r="R18" s="19">
        <f t="shared" ref="R18:R22" si="44">(C18*D18*Q18/1000)</f>
        <v>1.4273999999999998</v>
      </c>
      <c r="S18" s="20">
        <f t="shared" ref="S18:S22" si="45">+H18+K18+Q18+N18</f>
        <v>67</v>
      </c>
      <c r="T18" s="19">
        <f t="shared" ref="T18:T22" si="46">+I18+L18+R18+O18</f>
        <v>9.5635799999999982</v>
      </c>
      <c r="U18" s="21">
        <f t="shared" ref="U18:U22" si="47">E18-S18</f>
        <v>-1</v>
      </c>
      <c r="V18" s="19">
        <f t="shared" ref="V18:V22" si="48">F18-T18</f>
        <v>-0.14273999999999987</v>
      </c>
      <c r="X18" s="29"/>
    </row>
    <row r="19" spans="1:24">
      <c r="A19" s="26" t="s">
        <v>13</v>
      </c>
      <c r="B19" s="26" t="s">
        <v>61</v>
      </c>
      <c r="C19" s="30">
        <v>12.2</v>
      </c>
      <c r="D19" s="27">
        <v>11</v>
      </c>
      <c r="E19" s="28"/>
      <c r="F19" s="16">
        <f t="shared" si="40"/>
        <v>0</v>
      </c>
      <c r="G19" s="17"/>
      <c r="H19" s="18"/>
      <c r="I19" s="19">
        <f t="shared" si="41"/>
        <v>0</v>
      </c>
      <c r="J19" s="16"/>
      <c r="K19" s="18"/>
      <c r="L19" s="19">
        <f t="shared" si="42"/>
        <v>0</v>
      </c>
      <c r="M19" s="16"/>
      <c r="N19" s="18"/>
      <c r="O19" s="19">
        <f t="shared" si="43"/>
        <v>0</v>
      </c>
      <c r="P19" s="16"/>
      <c r="Q19" s="18">
        <v>6</v>
      </c>
      <c r="R19" s="19">
        <f t="shared" si="44"/>
        <v>0.80519999999999992</v>
      </c>
      <c r="S19" s="20">
        <f t="shared" si="45"/>
        <v>6</v>
      </c>
      <c r="T19" s="19">
        <f t="shared" si="46"/>
        <v>0.80519999999999992</v>
      </c>
      <c r="U19" s="21">
        <f t="shared" si="47"/>
        <v>-6</v>
      </c>
      <c r="V19" s="19">
        <f t="shared" si="48"/>
        <v>-0.80519999999999992</v>
      </c>
      <c r="X19" s="29"/>
    </row>
    <row r="20" spans="1:24">
      <c r="A20" s="26" t="s">
        <v>13</v>
      </c>
      <c r="B20" s="26" t="s">
        <v>61</v>
      </c>
      <c r="C20" s="30">
        <v>12.2</v>
      </c>
      <c r="D20" s="27">
        <v>11.5</v>
      </c>
      <c r="E20" s="28"/>
      <c r="F20" s="16">
        <f t="shared" si="40"/>
        <v>0</v>
      </c>
      <c r="G20" s="17"/>
      <c r="H20" s="18"/>
      <c r="I20" s="19">
        <f t="shared" si="41"/>
        <v>0</v>
      </c>
      <c r="J20" s="16"/>
      <c r="K20" s="18"/>
      <c r="L20" s="19">
        <f t="shared" si="42"/>
        <v>0</v>
      </c>
      <c r="M20" s="16"/>
      <c r="N20" s="18"/>
      <c r="O20" s="19">
        <f t="shared" si="43"/>
        <v>0</v>
      </c>
      <c r="P20" s="16"/>
      <c r="Q20" s="18">
        <v>3</v>
      </c>
      <c r="R20" s="19">
        <f t="shared" si="44"/>
        <v>0.4209</v>
      </c>
      <c r="S20" s="20">
        <f t="shared" si="45"/>
        <v>3</v>
      </c>
      <c r="T20" s="19">
        <f t="shared" si="46"/>
        <v>0.4209</v>
      </c>
      <c r="U20" s="21">
        <f t="shared" si="47"/>
        <v>-3</v>
      </c>
      <c r="V20" s="19">
        <f t="shared" si="48"/>
        <v>-0.4209</v>
      </c>
      <c r="X20" s="29"/>
    </row>
    <row r="21" spans="1:24">
      <c r="A21" s="26" t="s">
        <v>13</v>
      </c>
      <c r="B21" s="26" t="s">
        <v>61</v>
      </c>
      <c r="C21" s="30">
        <v>12.2</v>
      </c>
      <c r="D21" s="27"/>
      <c r="E21" s="28"/>
      <c r="F21" s="16">
        <f t="shared" si="40"/>
        <v>0</v>
      </c>
      <c r="G21" s="17"/>
      <c r="H21" s="18"/>
      <c r="I21" s="19">
        <f t="shared" si="41"/>
        <v>0</v>
      </c>
      <c r="J21" s="16"/>
      <c r="K21" s="18"/>
      <c r="L21" s="19">
        <f t="shared" si="42"/>
        <v>0</v>
      </c>
      <c r="M21" s="16"/>
      <c r="N21" s="18"/>
      <c r="O21" s="19">
        <f t="shared" si="43"/>
        <v>0</v>
      </c>
      <c r="P21" s="16"/>
      <c r="Q21" s="18"/>
      <c r="R21" s="19">
        <f t="shared" si="44"/>
        <v>0</v>
      </c>
      <c r="S21" s="20">
        <f t="shared" si="45"/>
        <v>0</v>
      </c>
      <c r="T21" s="19">
        <f t="shared" si="46"/>
        <v>0</v>
      </c>
      <c r="U21" s="21">
        <f t="shared" si="47"/>
        <v>0</v>
      </c>
      <c r="V21" s="19">
        <f t="shared" si="48"/>
        <v>0</v>
      </c>
      <c r="X21" s="29"/>
    </row>
    <row r="22" spans="1:24">
      <c r="A22" s="26" t="s">
        <v>13</v>
      </c>
      <c r="B22" s="26" t="s">
        <v>61</v>
      </c>
      <c r="C22" s="30">
        <v>12.2</v>
      </c>
      <c r="D22" s="27"/>
      <c r="E22" s="28"/>
      <c r="F22" s="16">
        <f t="shared" si="40"/>
        <v>0</v>
      </c>
      <c r="G22" s="17"/>
      <c r="H22" s="18"/>
      <c r="I22" s="19">
        <f t="shared" si="41"/>
        <v>0</v>
      </c>
      <c r="J22" s="16"/>
      <c r="K22" s="18"/>
      <c r="L22" s="19">
        <f t="shared" si="42"/>
        <v>0</v>
      </c>
      <c r="M22" s="16"/>
      <c r="N22" s="18"/>
      <c r="O22" s="19">
        <f t="shared" si="43"/>
        <v>0</v>
      </c>
      <c r="P22" s="16"/>
      <c r="Q22" s="18"/>
      <c r="R22" s="19">
        <f t="shared" si="44"/>
        <v>0</v>
      </c>
      <c r="S22" s="20">
        <f t="shared" si="45"/>
        <v>0</v>
      </c>
      <c r="T22" s="19">
        <f t="shared" si="46"/>
        <v>0</v>
      </c>
      <c r="U22" s="21">
        <f t="shared" si="47"/>
        <v>0</v>
      </c>
      <c r="V22" s="19">
        <f t="shared" si="48"/>
        <v>0</v>
      </c>
      <c r="X22" s="29"/>
    </row>
    <row r="23" spans="1:24">
      <c r="A23" s="26" t="s">
        <v>13</v>
      </c>
      <c r="B23" s="26" t="s">
        <v>61</v>
      </c>
      <c r="C23" s="30">
        <v>12.2</v>
      </c>
      <c r="D23" s="27"/>
      <c r="E23" s="28"/>
      <c r="F23" s="16">
        <f t="shared" si="33"/>
        <v>0</v>
      </c>
      <c r="G23" s="17"/>
      <c r="H23" s="18"/>
      <c r="I23" s="19">
        <f t="shared" si="34"/>
        <v>0</v>
      </c>
      <c r="J23" s="16"/>
      <c r="K23" s="18"/>
      <c r="L23" s="19">
        <f t="shared" si="35"/>
        <v>0</v>
      </c>
      <c r="M23" s="16"/>
      <c r="N23" s="18"/>
      <c r="O23" s="19">
        <f t="shared" si="36"/>
        <v>0</v>
      </c>
      <c r="P23" s="16"/>
      <c r="Q23" s="18"/>
      <c r="R23" s="19">
        <f t="shared" si="37"/>
        <v>0</v>
      </c>
      <c r="S23" s="20">
        <f t="shared" si="38"/>
        <v>0</v>
      </c>
      <c r="T23" s="19">
        <f t="shared" si="38"/>
        <v>0</v>
      </c>
      <c r="U23" s="21">
        <f t="shared" si="39"/>
        <v>0</v>
      </c>
      <c r="V23" s="19">
        <f t="shared" si="39"/>
        <v>0</v>
      </c>
      <c r="X23" s="29"/>
    </row>
    <row r="24" spans="1:24">
      <c r="A24" s="36"/>
      <c r="B24" s="36"/>
      <c r="C24" s="37"/>
      <c r="D24" s="38"/>
      <c r="E24" s="31">
        <f t="shared" ref="E24:F24" si="49">SUM(E14:E23)</f>
        <v>348</v>
      </c>
      <c r="F24" s="38">
        <f t="shared" si="49"/>
        <v>44.971639999999994</v>
      </c>
      <c r="G24" s="17"/>
      <c r="H24" s="31">
        <f t="shared" ref="H24" si="50">SUM(H14:H23)</f>
        <v>135</v>
      </c>
      <c r="I24" s="38">
        <f t="shared" ref="I24" si="51">SUM(I14:I23)</f>
        <v>18.237779999999997</v>
      </c>
      <c r="J24" s="16"/>
      <c r="K24" s="31">
        <f t="shared" ref="K24" si="52">SUM(K14:K23)</f>
        <v>92</v>
      </c>
      <c r="L24" s="38">
        <f t="shared" ref="L24" si="53">SUM(L14:L23)</f>
        <v>12.462299999999999</v>
      </c>
      <c r="M24" s="16"/>
      <c r="N24" s="31">
        <f t="shared" ref="N24" si="54">SUM(N14:N23)</f>
        <v>101</v>
      </c>
      <c r="O24" s="38">
        <f t="shared" ref="O24" si="55">SUM(O14:O23)</f>
        <v>11.344779999999998</v>
      </c>
      <c r="P24" s="16"/>
      <c r="Q24" s="31">
        <f t="shared" ref="Q24" si="56">SUM(Q14:Q23)</f>
        <v>21</v>
      </c>
      <c r="R24" s="38">
        <f t="shared" ref="R24" si="57">SUM(R14:R23)</f>
        <v>2.9340999999999995</v>
      </c>
      <c r="S24" s="31">
        <f t="shared" ref="S24" si="58">SUM(S14:S23)</f>
        <v>349</v>
      </c>
      <c r="T24" s="38">
        <f t="shared" ref="T24" si="59">SUM(T14:T23)</f>
        <v>44.978960000000001</v>
      </c>
      <c r="U24" s="31">
        <f t="shared" ref="U24" si="60">SUM(U14:U23)</f>
        <v>-1</v>
      </c>
      <c r="V24" s="38">
        <f t="shared" ref="V24" si="61">SUM(V14:V23)</f>
        <v>-7.3199999999977172E-3</v>
      </c>
      <c r="X24" s="29"/>
    </row>
    <row r="25" spans="1:24">
      <c r="A25" s="26" t="s">
        <v>13</v>
      </c>
      <c r="B25" s="26" t="s">
        <v>18</v>
      </c>
      <c r="C25" s="30">
        <v>16.600000000000001</v>
      </c>
      <c r="D25" s="27">
        <v>6.2</v>
      </c>
      <c r="E25" s="28">
        <v>1</v>
      </c>
      <c r="F25" s="16">
        <f t="shared" ref="F25:F28" si="62">(C25*D25*E25/1000)</f>
        <v>0.10292000000000001</v>
      </c>
      <c r="G25" s="17" t="s">
        <v>205</v>
      </c>
      <c r="H25" s="18"/>
      <c r="I25" s="19">
        <f t="shared" ref="I25:I28" si="63">(C25*D25*H25/1000)</f>
        <v>0</v>
      </c>
      <c r="J25" s="16"/>
      <c r="K25" s="18"/>
      <c r="L25" s="19">
        <f t="shared" ref="L25:L28" si="64">(C25*D25*K25/1000)</f>
        <v>0</v>
      </c>
      <c r="M25" s="16"/>
      <c r="N25" s="18"/>
      <c r="O25" s="19">
        <f t="shared" ref="O25:O28" si="65">(C25*D25*N25/1000)</f>
        <v>0</v>
      </c>
      <c r="P25" s="16"/>
      <c r="Q25" s="18"/>
      <c r="R25" s="19">
        <f t="shared" ref="R25:R28" si="66">(C25*D25*Q25/1000)</f>
        <v>0</v>
      </c>
      <c r="S25" s="20">
        <f t="shared" ref="S25:T28" si="67">+H25+K25+Q25+N25</f>
        <v>0</v>
      </c>
      <c r="T25" s="19">
        <f t="shared" si="67"/>
        <v>0</v>
      </c>
      <c r="U25" s="21">
        <f t="shared" ref="U25:V28" si="68">E25-S25</f>
        <v>1</v>
      </c>
      <c r="V25" s="19">
        <f t="shared" si="68"/>
        <v>0.10292000000000001</v>
      </c>
      <c r="X25" s="29"/>
    </row>
    <row r="26" spans="1:24">
      <c r="A26" s="26" t="s">
        <v>13</v>
      </c>
      <c r="B26" s="26" t="s">
        <v>18</v>
      </c>
      <c r="C26" s="30">
        <v>16.600000000000001</v>
      </c>
      <c r="D26" s="27">
        <v>10.4</v>
      </c>
      <c r="E26" s="28">
        <v>14</v>
      </c>
      <c r="F26" s="16">
        <f t="shared" ref="F26:F27" si="69">(C26*D26*E26/1000)</f>
        <v>2.41696</v>
      </c>
      <c r="G26" s="17" t="s">
        <v>351</v>
      </c>
      <c r="H26" s="18"/>
      <c r="I26" s="19">
        <f t="shared" ref="I26:I27" si="70">(C26*D26*H26/1000)</f>
        <v>0</v>
      </c>
      <c r="J26" s="16"/>
      <c r="K26" s="18"/>
      <c r="L26" s="19">
        <f t="shared" ref="L26:L27" si="71">(C26*D26*K26/1000)</f>
        <v>0</v>
      </c>
      <c r="M26" s="16"/>
      <c r="N26" s="18"/>
      <c r="O26" s="19">
        <f t="shared" ref="O26:O27" si="72">(C26*D26*N26/1000)</f>
        <v>0</v>
      </c>
      <c r="P26" s="16"/>
      <c r="Q26" s="18"/>
      <c r="R26" s="19">
        <f t="shared" ref="R26:R27" si="73">(C26*D26*Q26/1000)</f>
        <v>0</v>
      </c>
      <c r="S26" s="20">
        <f t="shared" si="67"/>
        <v>0</v>
      </c>
      <c r="T26" s="19">
        <f t="shared" si="67"/>
        <v>0</v>
      </c>
      <c r="U26" s="21">
        <f t="shared" si="68"/>
        <v>14</v>
      </c>
      <c r="V26" s="19">
        <f t="shared" si="68"/>
        <v>2.41696</v>
      </c>
      <c r="X26" s="29"/>
    </row>
    <row r="27" spans="1:24">
      <c r="A27" s="26" t="s">
        <v>13</v>
      </c>
      <c r="B27" s="26" t="s">
        <v>18</v>
      </c>
      <c r="C27" s="30">
        <v>16.600000000000001</v>
      </c>
      <c r="D27" s="27">
        <v>6.7</v>
      </c>
      <c r="E27" s="28"/>
      <c r="F27" s="16">
        <f t="shared" si="69"/>
        <v>0</v>
      </c>
      <c r="G27" s="17"/>
      <c r="H27" s="18">
        <v>1</v>
      </c>
      <c r="I27" s="19">
        <f t="shared" si="70"/>
        <v>0.11122000000000001</v>
      </c>
      <c r="J27" s="16"/>
      <c r="K27" s="18"/>
      <c r="L27" s="19">
        <f t="shared" si="71"/>
        <v>0</v>
      </c>
      <c r="M27" s="16"/>
      <c r="N27" s="18"/>
      <c r="O27" s="19">
        <f t="shared" si="72"/>
        <v>0</v>
      </c>
      <c r="P27" s="16"/>
      <c r="Q27" s="18"/>
      <c r="R27" s="19">
        <f t="shared" si="73"/>
        <v>0</v>
      </c>
      <c r="S27" s="20">
        <f t="shared" si="67"/>
        <v>1</v>
      </c>
      <c r="T27" s="19">
        <f t="shared" si="67"/>
        <v>0.11122000000000001</v>
      </c>
      <c r="U27" s="21">
        <f t="shared" si="68"/>
        <v>-1</v>
      </c>
      <c r="V27" s="19">
        <f t="shared" si="68"/>
        <v>-0.11122000000000001</v>
      </c>
      <c r="X27" s="29"/>
    </row>
    <row r="28" spans="1:24">
      <c r="A28" s="26" t="s">
        <v>13</v>
      </c>
      <c r="B28" s="26" t="s">
        <v>18</v>
      </c>
      <c r="C28" s="30">
        <v>16.600000000000001</v>
      </c>
      <c r="D28" s="27">
        <v>10.5</v>
      </c>
      <c r="E28" s="28"/>
      <c r="F28" s="16">
        <f t="shared" si="62"/>
        <v>0</v>
      </c>
      <c r="G28" s="17"/>
      <c r="H28" s="18">
        <v>14</v>
      </c>
      <c r="I28" s="19">
        <f t="shared" si="63"/>
        <v>2.4402000000000004</v>
      </c>
      <c r="J28" s="16"/>
      <c r="K28" s="18"/>
      <c r="L28" s="19">
        <f t="shared" si="64"/>
        <v>0</v>
      </c>
      <c r="M28" s="16"/>
      <c r="N28" s="18"/>
      <c r="O28" s="19">
        <f t="shared" si="65"/>
        <v>0</v>
      </c>
      <c r="P28" s="16"/>
      <c r="Q28" s="18"/>
      <c r="R28" s="19">
        <f t="shared" si="66"/>
        <v>0</v>
      </c>
      <c r="S28" s="20">
        <f t="shared" si="67"/>
        <v>14</v>
      </c>
      <c r="T28" s="19">
        <f t="shared" si="67"/>
        <v>2.4402000000000004</v>
      </c>
      <c r="U28" s="21">
        <f t="shared" si="68"/>
        <v>-14</v>
      </c>
      <c r="V28" s="19">
        <f t="shared" si="68"/>
        <v>-2.4402000000000004</v>
      </c>
      <c r="X28" s="29"/>
    </row>
    <row r="29" spans="1:24">
      <c r="A29" s="36"/>
      <c r="B29" s="36"/>
      <c r="C29" s="37"/>
      <c r="D29" s="38"/>
      <c r="E29" s="31">
        <f t="shared" ref="E29:F29" si="74">SUM(E25:E28)</f>
        <v>15</v>
      </c>
      <c r="F29" s="38">
        <f t="shared" si="74"/>
        <v>2.5198800000000001</v>
      </c>
      <c r="G29" s="17"/>
      <c r="H29" s="31">
        <f t="shared" ref="H29" si="75">SUM(H25:H28)</f>
        <v>15</v>
      </c>
      <c r="I29" s="38">
        <f t="shared" ref="I29" si="76">SUM(I25:I28)</f>
        <v>2.5514200000000002</v>
      </c>
      <c r="J29" s="16"/>
      <c r="K29" s="31">
        <f t="shared" ref="K29" si="77">SUM(K25:K28)</f>
        <v>0</v>
      </c>
      <c r="L29" s="38">
        <f t="shared" ref="L29" si="78">SUM(L25:L28)</f>
        <v>0</v>
      </c>
      <c r="M29" s="16"/>
      <c r="N29" s="31">
        <f t="shared" ref="N29" si="79">SUM(N25:N28)</f>
        <v>0</v>
      </c>
      <c r="O29" s="38">
        <f t="shared" ref="O29" si="80">SUM(O25:O28)</f>
        <v>0</v>
      </c>
      <c r="P29" s="16"/>
      <c r="Q29" s="31">
        <f t="shared" ref="Q29" si="81">SUM(Q25:Q28)</f>
        <v>0</v>
      </c>
      <c r="R29" s="38">
        <f t="shared" ref="R29" si="82">SUM(R25:R28)</f>
        <v>0</v>
      </c>
      <c r="S29" s="31">
        <f t="shared" ref="S29" si="83">SUM(S25:S28)</f>
        <v>15</v>
      </c>
      <c r="T29" s="38">
        <f t="shared" ref="T29" si="84">SUM(T25:T28)</f>
        <v>2.5514200000000002</v>
      </c>
      <c r="U29" s="31">
        <f t="shared" ref="U29" si="85">SUM(U25:U28)</f>
        <v>0</v>
      </c>
      <c r="V29" s="38">
        <f t="shared" ref="V29" si="86">SUM(V25:V28)</f>
        <v>-3.1540000000000123E-2</v>
      </c>
      <c r="X29" s="29"/>
    </row>
    <row r="30" spans="1:24">
      <c r="A30" s="26" t="s">
        <v>13</v>
      </c>
      <c r="B30" s="26" t="s">
        <v>47</v>
      </c>
      <c r="C30" s="30">
        <v>18.2</v>
      </c>
      <c r="D30" s="27">
        <v>9.1</v>
      </c>
      <c r="E30" s="28">
        <v>148</v>
      </c>
      <c r="F30" s="16">
        <f>(C30*D30*E30/1000)</f>
        <v>24.511759999999995</v>
      </c>
      <c r="G30" s="16" t="s">
        <v>295</v>
      </c>
      <c r="H30" s="18">
        <v>81</v>
      </c>
      <c r="I30" s="19">
        <f>(C30*D30*H30/1000)</f>
        <v>13.415219999999998</v>
      </c>
      <c r="J30" s="16" t="s">
        <v>89</v>
      </c>
      <c r="K30" s="18">
        <v>67</v>
      </c>
      <c r="L30" s="19">
        <f>(C30*D30*K30/1000)</f>
        <v>11.096539999999999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148</v>
      </c>
      <c r="T30" s="19">
        <f>+I30+L30+R30+O30</f>
        <v>24.511759999999995</v>
      </c>
      <c r="U30" s="21">
        <f>E30-S30</f>
        <v>0</v>
      </c>
      <c r="V30" s="19">
        <f>F30-T30</f>
        <v>0</v>
      </c>
      <c r="X30" s="29"/>
    </row>
    <row r="31" spans="1:24">
      <c r="A31" s="36"/>
      <c r="B31" s="36"/>
      <c r="C31" s="37"/>
      <c r="D31" s="38"/>
      <c r="E31" s="31">
        <f t="shared" ref="E31:F31" si="87">SUM(E30)</f>
        <v>148</v>
      </c>
      <c r="F31" s="38">
        <f t="shared" si="87"/>
        <v>24.511759999999995</v>
      </c>
      <c r="G31" s="16" t="s">
        <v>299</v>
      </c>
      <c r="H31" s="31">
        <f t="shared" ref="H31" si="88">SUM(H30)</f>
        <v>81</v>
      </c>
      <c r="I31" s="38">
        <f t="shared" ref="I31" si="89">SUM(I30)</f>
        <v>13.415219999999998</v>
      </c>
      <c r="J31" s="16" t="s">
        <v>300</v>
      </c>
      <c r="K31" s="31">
        <f t="shared" ref="K31" si="90">SUM(K30)</f>
        <v>67</v>
      </c>
      <c r="L31" s="38">
        <f t="shared" ref="L31" si="91">SUM(L30)</f>
        <v>11.096539999999999</v>
      </c>
      <c r="M31" s="16"/>
      <c r="N31" s="31">
        <f t="shared" ref="N31" si="92">SUM(N30)</f>
        <v>0</v>
      </c>
      <c r="O31" s="38">
        <f t="shared" ref="O31" si="93">SUM(O30)</f>
        <v>0</v>
      </c>
      <c r="P31" s="16"/>
      <c r="Q31" s="31">
        <f t="shared" ref="Q31" si="94">SUM(Q30)</f>
        <v>0</v>
      </c>
      <c r="R31" s="38">
        <f t="shared" ref="R31" si="95">SUM(R30)</f>
        <v>0</v>
      </c>
      <c r="S31" s="31">
        <f t="shared" ref="S31" si="96">SUM(S30)</f>
        <v>148</v>
      </c>
      <c r="T31" s="38">
        <f t="shared" ref="T31" si="97">SUM(T30)</f>
        <v>24.511759999999995</v>
      </c>
      <c r="U31" s="31">
        <f t="shared" ref="U31" si="98">SUM(U30)</f>
        <v>0</v>
      </c>
      <c r="V31" s="38">
        <f t="shared" ref="V31" si="99">SUM(V30)</f>
        <v>0</v>
      </c>
      <c r="X31" s="29"/>
    </row>
    <row r="32" spans="1:24">
      <c r="A32" s="26" t="s">
        <v>13</v>
      </c>
      <c r="B32" s="26" t="s">
        <v>49</v>
      </c>
      <c r="C32" s="30">
        <v>14.7</v>
      </c>
      <c r="D32" s="27">
        <v>9.1999999999999993</v>
      </c>
      <c r="E32" s="28">
        <v>296</v>
      </c>
      <c r="F32" s="16">
        <f>(C32*D32*E32/1000)</f>
        <v>40.03103999999999</v>
      </c>
      <c r="G32" s="16" t="s">
        <v>89</v>
      </c>
      <c r="H32" s="18">
        <v>148</v>
      </c>
      <c r="I32" s="19">
        <f>(C32*D32*H32/1000)</f>
        <v>20.015519999999995</v>
      </c>
      <c r="J32" s="16" t="s">
        <v>295</v>
      </c>
      <c r="K32" s="18">
        <f>30+68</f>
        <v>98</v>
      </c>
      <c r="L32" s="19">
        <f>(C32*D32*K32/1000)</f>
        <v>13.253519999999998</v>
      </c>
      <c r="M32" s="17" t="s">
        <v>318</v>
      </c>
      <c r="N32" s="18">
        <v>18</v>
      </c>
      <c r="O32" s="19">
        <f>(C32*D32*N32/1000)</f>
        <v>2.4343199999999996</v>
      </c>
      <c r="P32" s="16" t="s">
        <v>89</v>
      </c>
      <c r="Q32" s="18">
        <v>18</v>
      </c>
      <c r="R32" s="19">
        <f>(C32*D32*Q32/1000)</f>
        <v>2.4343199999999996</v>
      </c>
      <c r="S32" s="20">
        <f>+H32+K32+Q32+N32</f>
        <v>282</v>
      </c>
      <c r="T32" s="19">
        <f>+I32+L32+R32+O32</f>
        <v>38.137679999999989</v>
      </c>
      <c r="U32" s="21">
        <f>E32-S32</f>
        <v>14</v>
      </c>
      <c r="V32" s="19">
        <f>F32-T32</f>
        <v>1.8933600000000013</v>
      </c>
      <c r="X32" s="29"/>
    </row>
    <row r="33" spans="1:24">
      <c r="A33" s="26" t="s">
        <v>13</v>
      </c>
      <c r="B33" s="26" t="s">
        <v>49</v>
      </c>
      <c r="C33" s="30">
        <v>14.7</v>
      </c>
      <c r="D33" s="27">
        <v>8.5</v>
      </c>
      <c r="E33" s="28"/>
      <c r="F33" s="16">
        <f t="shared" ref="F33:F34" si="100">(C33*D33*E33/1000)</f>
        <v>0</v>
      </c>
      <c r="G33" s="16" t="s">
        <v>300</v>
      </c>
      <c r="H33" s="18"/>
      <c r="I33" s="19"/>
      <c r="J33" s="16" t="s">
        <v>300</v>
      </c>
      <c r="K33" s="18"/>
      <c r="L33" s="19"/>
      <c r="M33" s="17" t="s">
        <v>317</v>
      </c>
      <c r="N33" s="18">
        <v>1</v>
      </c>
      <c r="O33" s="19">
        <f t="shared" ref="O33:O34" si="101">(C33*D33*N33/1000)</f>
        <v>0.12494999999999999</v>
      </c>
      <c r="P33" s="16" t="s">
        <v>341</v>
      </c>
      <c r="Q33" s="18">
        <v>14</v>
      </c>
      <c r="R33" s="19">
        <f>(C33*D33*Q33/1000)</f>
        <v>1.7492999999999996</v>
      </c>
      <c r="S33" s="20">
        <f t="shared" ref="S33:S34" si="102">+H33+K33+Q33+N33</f>
        <v>15</v>
      </c>
      <c r="T33" s="19">
        <f t="shared" ref="T33:T34" si="103">+I33+L33+R33+O33</f>
        <v>1.8742499999999995</v>
      </c>
      <c r="U33" s="21">
        <f t="shared" ref="U33:U34" si="104">E33-S33</f>
        <v>-15</v>
      </c>
      <c r="V33" s="19">
        <f t="shared" ref="V33:V34" si="105">F33-T33</f>
        <v>-1.8742499999999995</v>
      </c>
      <c r="X33" s="29"/>
    </row>
    <row r="34" spans="1:24">
      <c r="A34" s="26" t="s">
        <v>13</v>
      </c>
      <c r="B34" s="26" t="s">
        <v>49</v>
      </c>
      <c r="C34" s="30">
        <v>14.7</v>
      </c>
      <c r="D34" s="27"/>
      <c r="E34" s="28"/>
      <c r="F34" s="16">
        <f t="shared" si="100"/>
        <v>0</v>
      </c>
      <c r="G34" s="16"/>
      <c r="H34" s="18"/>
      <c r="I34" s="19"/>
      <c r="J34" s="16"/>
      <c r="K34" s="18"/>
      <c r="L34" s="19"/>
      <c r="M34" s="17"/>
      <c r="N34" s="18"/>
      <c r="O34" s="19">
        <f t="shared" si="101"/>
        <v>0</v>
      </c>
      <c r="P34" s="16"/>
      <c r="Q34" s="18"/>
      <c r="R34" s="19"/>
      <c r="S34" s="20">
        <f t="shared" si="102"/>
        <v>0</v>
      </c>
      <c r="T34" s="19">
        <f t="shared" si="103"/>
        <v>0</v>
      </c>
      <c r="U34" s="21">
        <f t="shared" si="104"/>
        <v>0</v>
      </c>
      <c r="V34" s="19">
        <f t="shared" si="105"/>
        <v>0</v>
      </c>
      <c r="X34" s="29"/>
    </row>
    <row r="35" spans="1:24">
      <c r="A35" s="36"/>
      <c r="B35" s="36"/>
      <c r="C35" s="37"/>
      <c r="D35" s="38"/>
      <c r="E35" s="31">
        <f t="shared" ref="E35:F35" si="106">SUM(E32:E34)</f>
        <v>296</v>
      </c>
      <c r="F35" s="38">
        <f t="shared" si="106"/>
        <v>40.03103999999999</v>
      </c>
      <c r="G35" s="16"/>
      <c r="H35" s="31">
        <f t="shared" ref="H35" si="107">SUM(H32:H34)</f>
        <v>148</v>
      </c>
      <c r="I35" s="38">
        <f t="shared" ref="I35" si="108">SUM(I32:I34)</f>
        <v>20.015519999999995</v>
      </c>
      <c r="J35" s="16"/>
      <c r="K35" s="31">
        <f>SUM(K32:K34)</f>
        <v>98</v>
      </c>
      <c r="L35" s="38">
        <f t="shared" ref="L35" si="109">SUM(L32:L34)</f>
        <v>13.253519999999998</v>
      </c>
      <c r="M35" s="17"/>
      <c r="N35" s="31">
        <f>SUM(N32:N34)</f>
        <v>19</v>
      </c>
      <c r="O35" s="38">
        <f>SUM(O32:O34)</f>
        <v>2.5592699999999997</v>
      </c>
      <c r="P35" s="16"/>
      <c r="Q35" s="31">
        <f>SUM(Q32:Q34)</f>
        <v>32</v>
      </c>
      <c r="R35" s="38">
        <f t="shared" ref="R35" si="110">SUM(R32:R34)</f>
        <v>4.1836199999999995</v>
      </c>
      <c r="S35" s="31">
        <f>SUM(S32:S34)</f>
        <v>297</v>
      </c>
      <c r="T35" s="38">
        <f t="shared" ref="T35" si="111">SUM(T32:T34)</f>
        <v>40.011929999999985</v>
      </c>
      <c r="U35" s="31">
        <f>SUM(U32:U34)</f>
        <v>-1</v>
      </c>
      <c r="V35" s="38">
        <f t="shared" ref="V35" si="112">SUM(V32:V34)</f>
        <v>1.9110000000001737E-2</v>
      </c>
      <c r="X35" s="29"/>
    </row>
    <row r="36" spans="1:24">
      <c r="A36" s="26" t="s">
        <v>13</v>
      </c>
      <c r="B36" s="26" t="s">
        <v>53</v>
      </c>
      <c r="C36" s="30">
        <v>23.6</v>
      </c>
      <c r="D36" s="27">
        <v>7.6</v>
      </c>
      <c r="E36" s="28">
        <v>148</v>
      </c>
      <c r="F36" s="16">
        <f t="shared" ref="F36:F41" si="113">(C36*D36*E36/1000)</f>
        <v>26.545280000000002</v>
      </c>
      <c r="G36" s="17" t="s">
        <v>295</v>
      </c>
      <c r="H36" s="18">
        <f>75+7</f>
        <v>82</v>
      </c>
      <c r="I36" s="19">
        <f t="shared" ref="I36:I41" si="114">(C36*D36*H36/1000)</f>
        <v>14.707520000000001</v>
      </c>
      <c r="J36" s="17" t="s">
        <v>86</v>
      </c>
      <c r="K36" s="18">
        <v>43</v>
      </c>
      <c r="L36" s="19">
        <f t="shared" ref="L36:L41" si="115">(C36*D36*K36/1000)</f>
        <v>7.7124800000000002</v>
      </c>
      <c r="M36" s="16" t="s">
        <v>86</v>
      </c>
      <c r="N36" s="18">
        <v>15</v>
      </c>
      <c r="O36" s="19">
        <f t="shared" ref="O36:O41" si="116">(C36*D36*N36/1000)</f>
        <v>2.6903999999999999</v>
      </c>
      <c r="P36" s="16"/>
      <c r="Q36" s="18"/>
      <c r="R36" s="19">
        <f t="shared" ref="R36:R41" si="117">(C36*D36*Q36/1000)</f>
        <v>0</v>
      </c>
      <c r="S36" s="20">
        <f>+H36+K36+Q36+N36</f>
        <v>140</v>
      </c>
      <c r="T36" s="19">
        <f>+I36+L36+R36+O36</f>
        <v>25.110400000000002</v>
      </c>
      <c r="U36" s="21">
        <f>E36-S36</f>
        <v>8</v>
      </c>
      <c r="V36" s="19">
        <f>F36-T36</f>
        <v>1.4348799999999997</v>
      </c>
      <c r="X36" s="29"/>
    </row>
    <row r="37" spans="1:24">
      <c r="A37" s="26" t="s">
        <v>13</v>
      </c>
      <c r="B37" s="26" t="s">
        <v>53</v>
      </c>
      <c r="C37" s="30">
        <v>23.6</v>
      </c>
      <c r="D37" s="27">
        <v>9.5</v>
      </c>
      <c r="E37" s="28">
        <v>1</v>
      </c>
      <c r="F37" s="16">
        <f t="shared" ref="F37:F40" si="118">(C37*D37*E37/1000)</f>
        <v>0.22420000000000001</v>
      </c>
      <c r="G37" s="17" t="s">
        <v>302</v>
      </c>
      <c r="H37" s="18"/>
      <c r="I37" s="19">
        <f t="shared" ref="I37:I40" si="119">(C37*D37*H37/1000)</f>
        <v>0</v>
      </c>
      <c r="J37" s="17" t="s">
        <v>316</v>
      </c>
      <c r="K37" s="18"/>
      <c r="L37" s="19">
        <f t="shared" ref="L37:L40" si="120">(C37*D37*K37/1000)</f>
        <v>0</v>
      </c>
      <c r="M37" s="16" t="s">
        <v>343</v>
      </c>
      <c r="N37" s="18"/>
      <c r="O37" s="19">
        <f t="shared" ref="O37:O40" si="121">(C37*D37*N37/1000)</f>
        <v>0</v>
      </c>
      <c r="P37" s="16"/>
      <c r="Q37" s="18"/>
      <c r="R37" s="19">
        <f t="shared" ref="R37:R40" si="122">(C37*D37*Q37/1000)</f>
        <v>0</v>
      </c>
      <c r="S37" s="20">
        <f t="shared" ref="S37:S39" si="123">+H37+K37+Q37+N37</f>
        <v>0</v>
      </c>
      <c r="T37" s="19">
        <f t="shared" ref="T37:T39" si="124">+I37+L37+R37+O37</f>
        <v>0</v>
      </c>
      <c r="U37" s="21">
        <f t="shared" ref="U37:U39" si="125">E37-S37</f>
        <v>1</v>
      </c>
      <c r="V37" s="19">
        <f t="shared" ref="V37:V39" si="126">F37-T37</f>
        <v>0.22420000000000001</v>
      </c>
      <c r="X37" s="29"/>
    </row>
    <row r="38" spans="1:24">
      <c r="A38" s="26" t="s">
        <v>13</v>
      </c>
      <c r="B38" s="26" t="s">
        <v>53</v>
      </c>
      <c r="C38" s="30">
        <v>23.6</v>
      </c>
      <c r="D38" s="27">
        <v>9.8000000000000007</v>
      </c>
      <c r="E38" s="28"/>
      <c r="F38" s="16">
        <f t="shared" si="118"/>
        <v>0</v>
      </c>
      <c r="G38" s="17"/>
      <c r="H38" s="18"/>
      <c r="I38" s="19">
        <f t="shared" si="119"/>
        <v>0</v>
      </c>
      <c r="J38" s="17"/>
      <c r="K38" s="18"/>
      <c r="L38" s="19">
        <f t="shared" si="120"/>
        <v>0</v>
      </c>
      <c r="M38" s="16"/>
      <c r="N38" s="18">
        <v>4</v>
      </c>
      <c r="O38" s="19">
        <f t="shared" si="121"/>
        <v>0.92512000000000016</v>
      </c>
      <c r="P38" s="16"/>
      <c r="Q38" s="18"/>
      <c r="R38" s="19">
        <f t="shared" si="122"/>
        <v>0</v>
      </c>
      <c r="S38" s="20">
        <f t="shared" si="123"/>
        <v>4</v>
      </c>
      <c r="T38" s="19">
        <f t="shared" si="124"/>
        <v>0.92512000000000016</v>
      </c>
      <c r="U38" s="21">
        <f t="shared" si="125"/>
        <v>-4</v>
      </c>
      <c r="V38" s="19">
        <f t="shared" si="126"/>
        <v>-0.92512000000000016</v>
      </c>
      <c r="X38" s="29"/>
    </row>
    <row r="39" spans="1:24">
      <c r="A39" s="26" t="s">
        <v>13</v>
      </c>
      <c r="B39" s="26" t="s">
        <v>53</v>
      </c>
      <c r="C39" s="30">
        <v>23.6</v>
      </c>
      <c r="D39" s="27">
        <v>11.4</v>
      </c>
      <c r="E39" s="28"/>
      <c r="F39" s="16">
        <f t="shared" si="118"/>
        <v>0</v>
      </c>
      <c r="G39" s="17"/>
      <c r="H39" s="18"/>
      <c r="I39" s="19">
        <f t="shared" si="119"/>
        <v>0</v>
      </c>
      <c r="J39" s="17"/>
      <c r="K39" s="18"/>
      <c r="L39" s="19">
        <f t="shared" si="120"/>
        <v>0</v>
      </c>
      <c r="M39" s="16"/>
      <c r="N39" s="18">
        <v>2</v>
      </c>
      <c r="O39" s="19">
        <f t="shared" si="121"/>
        <v>0.53808</v>
      </c>
      <c r="P39" s="16"/>
      <c r="Q39" s="18"/>
      <c r="R39" s="19">
        <f t="shared" si="122"/>
        <v>0</v>
      </c>
      <c r="S39" s="20">
        <f t="shared" si="123"/>
        <v>2</v>
      </c>
      <c r="T39" s="19">
        <f t="shared" si="124"/>
        <v>0.53808</v>
      </c>
      <c r="U39" s="21">
        <f t="shared" si="125"/>
        <v>-2</v>
      </c>
      <c r="V39" s="19">
        <f t="shared" si="126"/>
        <v>-0.53808</v>
      </c>
      <c r="X39" s="29"/>
    </row>
    <row r="40" spans="1:24">
      <c r="A40" s="26" t="s">
        <v>13</v>
      </c>
      <c r="B40" s="26" t="s">
        <v>53</v>
      </c>
      <c r="C40" s="30">
        <v>23.6</v>
      </c>
      <c r="D40" s="27">
        <v>9.6999999999999993</v>
      </c>
      <c r="E40" s="28"/>
      <c r="F40" s="16">
        <f t="shared" si="118"/>
        <v>0</v>
      </c>
      <c r="G40" s="17"/>
      <c r="H40" s="18"/>
      <c r="I40" s="19">
        <f t="shared" si="119"/>
        <v>0</v>
      </c>
      <c r="J40" s="17"/>
      <c r="K40" s="18"/>
      <c r="L40" s="19">
        <f t="shared" si="120"/>
        <v>0</v>
      </c>
      <c r="M40" s="16"/>
      <c r="N40" s="18">
        <v>1</v>
      </c>
      <c r="O40" s="19">
        <f t="shared" si="121"/>
        <v>0.22891999999999998</v>
      </c>
      <c r="P40" s="16"/>
      <c r="Q40" s="18"/>
      <c r="R40" s="19">
        <f t="shared" si="122"/>
        <v>0</v>
      </c>
      <c r="S40" s="20">
        <f>+H40+K40+Q40+N40</f>
        <v>1</v>
      </c>
      <c r="T40" s="19">
        <f>+I40+L40+R40+O40</f>
        <v>0.22891999999999998</v>
      </c>
      <c r="U40" s="21">
        <f>E40-S40</f>
        <v>-1</v>
      </c>
      <c r="V40" s="19">
        <f>F40-T40</f>
        <v>-0.22891999999999998</v>
      </c>
      <c r="X40" s="29"/>
    </row>
    <row r="41" spans="1:24">
      <c r="A41" s="26" t="s">
        <v>13</v>
      </c>
      <c r="B41" s="26" t="s">
        <v>53</v>
      </c>
      <c r="C41" s="30">
        <v>23.6</v>
      </c>
      <c r="D41" s="27">
        <v>6.9</v>
      </c>
      <c r="E41" s="28"/>
      <c r="F41" s="16">
        <f t="shared" si="113"/>
        <v>0</v>
      </c>
      <c r="G41" s="17"/>
      <c r="H41" s="18"/>
      <c r="I41" s="19">
        <f t="shared" si="114"/>
        <v>0</v>
      </c>
      <c r="J41" s="17"/>
      <c r="K41" s="18"/>
      <c r="L41" s="19">
        <f t="shared" si="115"/>
        <v>0</v>
      </c>
      <c r="M41" s="16"/>
      <c r="N41" s="18">
        <v>1</v>
      </c>
      <c r="O41" s="19">
        <f t="shared" si="116"/>
        <v>0.16284000000000004</v>
      </c>
      <c r="P41" s="16"/>
      <c r="Q41" s="18"/>
      <c r="R41" s="19">
        <f t="shared" si="117"/>
        <v>0</v>
      </c>
      <c r="S41" s="20">
        <f>+H41+K41+Q41+N41</f>
        <v>1</v>
      </c>
      <c r="T41" s="19">
        <f>+I41+L41+R41+O41</f>
        <v>0.16284000000000004</v>
      </c>
      <c r="U41" s="21">
        <f>E41-S41</f>
        <v>-1</v>
      </c>
      <c r="V41" s="19">
        <f>F41-T41</f>
        <v>-0.16284000000000004</v>
      </c>
      <c r="X41" s="29"/>
    </row>
    <row r="42" spans="1:24">
      <c r="A42" s="36"/>
      <c r="B42" s="36"/>
      <c r="C42" s="37"/>
      <c r="D42" s="38"/>
      <c r="E42" s="31">
        <f t="shared" ref="E42:F42" si="127">SUM(E36:E41)</f>
        <v>149</v>
      </c>
      <c r="F42" s="38">
        <f t="shared" si="127"/>
        <v>26.769480000000001</v>
      </c>
      <c r="G42" s="17"/>
      <c r="H42" s="31">
        <f t="shared" ref="H42" si="128">SUM(H36:H41)</f>
        <v>82</v>
      </c>
      <c r="I42" s="38">
        <f t="shared" ref="I42" si="129">SUM(I36:I41)</f>
        <v>14.707520000000001</v>
      </c>
      <c r="J42" s="16"/>
      <c r="K42" s="31">
        <f t="shared" ref="K42" si="130">SUM(K36:K41)</f>
        <v>43</v>
      </c>
      <c r="L42" s="38">
        <f t="shared" ref="L42" si="131">SUM(L36:L41)</f>
        <v>7.7124800000000002</v>
      </c>
      <c r="M42" s="16"/>
      <c r="N42" s="31">
        <f t="shared" ref="N42" si="132">SUM(N36:N41)</f>
        <v>23</v>
      </c>
      <c r="O42" s="38">
        <f t="shared" ref="O42" si="133">SUM(O36:O41)</f>
        <v>4.5453599999999996</v>
      </c>
      <c r="P42" s="16"/>
      <c r="Q42" s="31">
        <f t="shared" ref="Q42" si="134">SUM(Q36:Q41)</f>
        <v>0</v>
      </c>
      <c r="R42" s="38">
        <f t="shared" ref="R42" si="135">SUM(R36:R41)</f>
        <v>0</v>
      </c>
      <c r="S42" s="31">
        <f t="shared" ref="S42" si="136">SUM(S36:S41)</f>
        <v>148</v>
      </c>
      <c r="T42" s="38">
        <f t="shared" ref="T42" si="137">SUM(T36:T41)</f>
        <v>26.96536</v>
      </c>
      <c r="U42" s="31">
        <f t="shared" ref="U42" si="138">SUM(U36:U41)</f>
        <v>1</v>
      </c>
      <c r="V42" s="38">
        <f t="shared" ref="V42" si="139">SUM(V36:V41)</f>
        <v>-0.19588000000000053</v>
      </c>
      <c r="X42" s="29"/>
    </row>
    <row r="43" spans="1:24">
      <c r="A43" s="26" t="s">
        <v>13</v>
      </c>
      <c r="B43" s="26" t="s">
        <v>128</v>
      </c>
      <c r="C43" s="30">
        <v>40.1</v>
      </c>
      <c r="D43" s="27">
        <v>6.15</v>
      </c>
      <c r="E43" s="28">
        <v>16</v>
      </c>
      <c r="F43" s="16">
        <f t="shared" ref="F43:F55" si="140">(C43*D43*E43/1000)</f>
        <v>3.94584</v>
      </c>
      <c r="G43" s="16" t="s">
        <v>205</v>
      </c>
      <c r="H43" s="18">
        <v>5</v>
      </c>
      <c r="I43" s="19">
        <f t="shared" ref="I43:I55" si="141">(C43*D43*H43/1000)</f>
        <v>1.2330750000000001</v>
      </c>
      <c r="J43" s="16" t="s">
        <v>89</v>
      </c>
      <c r="K43" s="18">
        <v>6</v>
      </c>
      <c r="L43" s="19">
        <f t="shared" ref="L43:L55" si="142">(C43*D43*K43/1000)</f>
        <v>1.4796899999999999</v>
      </c>
      <c r="M43" s="16" t="s">
        <v>111</v>
      </c>
      <c r="N43" s="18">
        <v>6</v>
      </c>
      <c r="O43" s="19">
        <f t="shared" ref="O43:O55" si="143">(C43*D43*N43/1000)</f>
        <v>1.4796899999999999</v>
      </c>
      <c r="P43" s="16"/>
      <c r="Q43" s="18"/>
      <c r="R43" s="19">
        <f t="shared" ref="R43:R55" si="144">(C43*D43*Q43/1000)</f>
        <v>0</v>
      </c>
      <c r="S43" s="20">
        <f t="shared" ref="S43:T55" si="145">+H43+K43+Q43+N43</f>
        <v>17</v>
      </c>
      <c r="T43" s="19">
        <f t="shared" si="145"/>
        <v>4.1924549999999998</v>
      </c>
      <c r="U43" s="21">
        <f t="shared" ref="U43:V55" si="146">E43-S43</f>
        <v>-1</v>
      </c>
      <c r="V43" s="19">
        <f t="shared" si="146"/>
        <v>-0.24661499999999981</v>
      </c>
      <c r="X43" s="29"/>
    </row>
    <row r="44" spans="1:24">
      <c r="A44" s="26" t="s">
        <v>13</v>
      </c>
      <c r="B44" s="26" t="s">
        <v>128</v>
      </c>
      <c r="C44" s="30">
        <v>40.1</v>
      </c>
      <c r="D44" s="27">
        <v>6.85</v>
      </c>
      <c r="E44" s="28">
        <v>30</v>
      </c>
      <c r="F44" s="16">
        <f t="shared" si="140"/>
        <v>8.2405499999999989</v>
      </c>
      <c r="G44" s="16" t="s">
        <v>319</v>
      </c>
      <c r="H44" s="18">
        <v>8</v>
      </c>
      <c r="I44" s="19">
        <f t="shared" si="141"/>
        <v>2.1974800000000001</v>
      </c>
      <c r="J44" s="16" t="s">
        <v>319</v>
      </c>
      <c r="K44" s="18">
        <v>6</v>
      </c>
      <c r="L44" s="19">
        <f t="shared" si="142"/>
        <v>1.6481100000000002</v>
      </c>
      <c r="M44" s="16" t="s">
        <v>319</v>
      </c>
      <c r="N44" s="18">
        <v>15</v>
      </c>
      <c r="O44" s="19">
        <f t="shared" si="143"/>
        <v>4.1202749999999995</v>
      </c>
      <c r="P44" s="16"/>
      <c r="Q44" s="18">
        <v>1</v>
      </c>
      <c r="R44" s="19">
        <f t="shared" si="144"/>
        <v>0.27468500000000001</v>
      </c>
      <c r="S44" s="20">
        <f t="shared" si="145"/>
        <v>30</v>
      </c>
      <c r="T44" s="19">
        <f t="shared" si="145"/>
        <v>8.2405499999999989</v>
      </c>
      <c r="U44" s="21">
        <f t="shared" si="146"/>
        <v>0</v>
      </c>
      <c r="V44" s="19">
        <f t="shared" si="146"/>
        <v>0</v>
      </c>
      <c r="X44" s="29"/>
    </row>
    <row r="45" spans="1:24">
      <c r="A45" s="26" t="s">
        <v>13</v>
      </c>
      <c r="B45" s="26" t="s">
        <v>128</v>
      </c>
      <c r="C45" s="30">
        <v>40.1</v>
      </c>
      <c r="D45" s="27">
        <v>8.9</v>
      </c>
      <c r="E45" s="28">
        <v>24</v>
      </c>
      <c r="F45" s="16">
        <f t="shared" si="140"/>
        <v>8.5653600000000001</v>
      </c>
      <c r="G45" s="16" t="s">
        <v>89</v>
      </c>
      <c r="H45" s="18">
        <v>5</v>
      </c>
      <c r="I45" s="19">
        <f t="shared" si="141"/>
        <v>1.7844500000000003</v>
      </c>
      <c r="J45" s="16"/>
      <c r="K45" s="18">
        <v>5</v>
      </c>
      <c r="L45" s="19">
        <f t="shared" si="142"/>
        <v>1.7844500000000003</v>
      </c>
      <c r="M45" s="16"/>
      <c r="N45" s="18">
        <v>9</v>
      </c>
      <c r="O45" s="19">
        <f t="shared" si="143"/>
        <v>3.2120100000000003</v>
      </c>
      <c r="P45" s="16" t="s">
        <v>93</v>
      </c>
      <c r="Q45" s="18"/>
      <c r="R45" s="19">
        <f t="shared" si="144"/>
        <v>0</v>
      </c>
      <c r="S45" s="20">
        <f t="shared" si="145"/>
        <v>19</v>
      </c>
      <c r="T45" s="19">
        <f t="shared" si="145"/>
        <v>6.7809100000000004</v>
      </c>
      <c r="U45" s="21">
        <f t="shared" si="146"/>
        <v>5</v>
      </c>
      <c r="V45" s="19">
        <f t="shared" si="146"/>
        <v>1.7844499999999996</v>
      </c>
      <c r="X45" s="29"/>
    </row>
    <row r="46" spans="1:24">
      <c r="A46" s="26" t="s">
        <v>13</v>
      </c>
      <c r="B46" s="26" t="s">
        <v>128</v>
      </c>
      <c r="C46" s="30">
        <v>40.1</v>
      </c>
      <c r="D46" s="27">
        <v>9.1</v>
      </c>
      <c r="E46" s="28">
        <v>146</v>
      </c>
      <c r="F46" s="16">
        <f t="shared" si="140"/>
        <v>53.276859999999999</v>
      </c>
      <c r="G46" s="16" t="s">
        <v>320</v>
      </c>
      <c r="H46" s="18">
        <f>22+16</f>
        <v>38</v>
      </c>
      <c r="I46" s="19">
        <f t="shared" si="141"/>
        <v>13.866580000000003</v>
      </c>
      <c r="J46" s="16"/>
      <c r="K46" s="18">
        <f>4+33+12</f>
        <v>49</v>
      </c>
      <c r="L46" s="19">
        <f t="shared" si="142"/>
        <v>17.880590000000002</v>
      </c>
      <c r="M46" s="16"/>
      <c r="N46" s="18">
        <v>32</v>
      </c>
      <c r="O46" s="19">
        <f t="shared" si="143"/>
        <v>11.67712</v>
      </c>
      <c r="P46" s="16" t="s">
        <v>351</v>
      </c>
      <c r="Q46" s="18">
        <v>1</v>
      </c>
      <c r="R46" s="19">
        <f t="shared" si="144"/>
        <v>0.36491000000000001</v>
      </c>
      <c r="S46" s="20">
        <f t="shared" si="145"/>
        <v>120</v>
      </c>
      <c r="T46" s="19">
        <f t="shared" si="145"/>
        <v>43.789200000000008</v>
      </c>
      <c r="U46" s="21">
        <f t="shared" si="146"/>
        <v>26</v>
      </c>
      <c r="V46" s="19">
        <f t="shared" si="146"/>
        <v>9.4876599999999911</v>
      </c>
      <c r="X46" s="29"/>
    </row>
    <row r="47" spans="1:24">
      <c r="A47" s="26" t="s">
        <v>13</v>
      </c>
      <c r="B47" s="26" t="s">
        <v>128</v>
      </c>
      <c r="C47" s="30">
        <v>40.1</v>
      </c>
      <c r="D47" s="27">
        <v>9.1999999999999993</v>
      </c>
      <c r="E47" s="28">
        <v>9</v>
      </c>
      <c r="F47" s="16">
        <f t="shared" si="140"/>
        <v>3.3202799999999999</v>
      </c>
      <c r="G47" s="17"/>
      <c r="H47" s="18">
        <v>8</v>
      </c>
      <c r="I47" s="19">
        <f t="shared" si="141"/>
        <v>2.9513599999999998</v>
      </c>
      <c r="J47" s="16"/>
      <c r="K47" s="18"/>
      <c r="L47" s="19">
        <f t="shared" si="142"/>
        <v>0</v>
      </c>
      <c r="M47" s="16"/>
      <c r="N47" s="18">
        <v>5</v>
      </c>
      <c r="O47" s="19">
        <f t="shared" si="143"/>
        <v>1.8446</v>
      </c>
      <c r="P47" s="16"/>
      <c r="Q47" s="18"/>
      <c r="R47" s="19">
        <f t="shared" si="144"/>
        <v>0</v>
      </c>
      <c r="S47" s="20">
        <f t="shared" si="145"/>
        <v>13</v>
      </c>
      <c r="T47" s="19">
        <f t="shared" si="145"/>
        <v>4.79596</v>
      </c>
      <c r="U47" s="21">
        <f t="shared" si="146"/>
        <v>-4</v>
      </c>
      <c r="V47" s="19">
        <f t="shared" si="146"/>
        <v>-1.4756800000000001</v>
      </c>
      <c r="X47" s="29"/>
    </row>
    <row r="48" spans="1:24">
      <c r="A48" s="26" t="s">
        <v>13</v>
      </c>
      <c r="B48" s="26" t="s">
        <v>128</v>
      </c>
      <c r="C48" s="30">
        <v>40.1</v>
      </c>
      <c r="D48" s="27">
        <v>9.6</v>
      </c>
      <c r="E48" s="28">
        <v>38</v>
      </c>
      <c r="F48" s="16">
        <f t="shared" si="140"/>
        <v>14.62848</v>
      </c>
      <c r="G48" s="17"/>
      <c r="H48" s="18">
        <f>26+2</f>
        <v>28</v>
      </c>
      <c r="I48" s="19">
        <f t="shared" si="141"/>
        <v>10.778879999999999</v>
      </c>
      <c r="J48" s="16"/>
      <c r="K48" s="18">
        <v>18</v>
      </c>
      <c r="L48" s="19">
        <f t="shared" si="142"/>
        <v>6.9292799999999994</v>
      </c>
      <c r="M48" s="16"/>
      <c r="N48" s="18"/>
      <c r="O48" s="19">
        <f t="shared" si="143"/>
        <v>0</v>
      </c>
      <c r="P48" s="16"/>
      <c r="Q48" s="18"/>
      <c r="R48" s="19">
        <f t="shared" si="144"/>
        <v>0</v>
      </c>
      <c r="S48" s="20">
        <f t="shared" si="145"/>
        <v>46</v>
      </c>
      <c r="T48" s="19">
        <f t="shared" si="145"/>
        <v>17.708159999999999</v>
      </c>
      <c r="U48" s="21">
        <f t="shared" si="146"/>
        <v>-8</v>
      </c>
      <c r="V48" s="19">
        <f t="shared" si="146"/>
        <v>-3.0796799999999998</v>
      </c>
      <c r="X48" s="29"/>
    </row>
    <row r="49" spans="1:24">
      <c r="A49" s="26" t="s">
        <v>13</v>
      </c>
      <c r="B49" s="26" t="s">
        <v>128</v>
      </c>
      <c r="C49" s="30">
        <v>40.1</v>
      </c>
      <c r="D49" s="27">
        <v>10.3</v>
      </c>
      <c r="E49" s="28">
        <v>3</v>
      </c>
      <c r="F49" s="16">
        <f t="shared" ref="F49:F54" si="147">(C49*D49*E49/1000)</f>
        <v>1.2390900000000002</v>
      </c>
      <c r="G49" s="17"/>
      <c r="H49" s="18">
        <v>6</v>
      </c>
      <c r="I49" s="19">
        <f t="shared" ref="I49:I54" si="148">(C49*D49*H49/1000)</f>
        <v>2.4781800000000005</v>
      </c>
      <c r="J49" s="16"/>
      <c r="K49" s="18"/>
      <c r="L49" s="19">
        <f t="shared" ref="L49:L54" si="149">(C49*D49*K49/1000)</f>
        <v>0</v>
      </c>
      <c r="M49" s="16"/>
      <c r="N49" s="18">
        <v>3</v>
      </c>
      <c r="O49" s="19">
        <f t="shared" ref="O49:O54" si="150">(C49*D49*N49/1000)</f>
        <v>1.2390900000000002</v>
      </c>
      <c r="P49" s="16"/>
      <c r="Q49" s="18"/>
      <c r="R49" s="19">
        <f t="shared" ref="R49:R54" si="151">(C49*D49*Q49/1000)</f>
        <v>0</v>
      </c>
      <c r="S49" s="20">
        <f t="shared" ref="S49:S54" si="152">+H49+K49+Q49+N49</f>
        <v>9</v>
      </c>
      <c r="T49" s="19">
        <f t="shared" ref="T49:T54" si="153">+I49+L49+R49+O49</f>
        <v>3.717270000000001</v>
      </c>
      <c r="U49" s="21">
        <f t="shared" ref="U49:U54" si="154">E49-S49</f>
        <v>-6</v>
      </c>
      <c r="V49" s="19">
        <f t="shared" ref="V49:V54" si="155">F49-T49</f>
        <v>-2.4781800000000009</v>
      </c>
      <c r="X49" s="29"/>
    </row>
    <row r="50" spans="1:24">
      <c r="A50" s="26" t="s">
        <v>13</v>
      </c>
      <c r="B50" s="26" t="s">
        <v>128</v>
      </c>
      <c r="C50" s="30">
        <v>40.1</v>
      </c>
      <c r="D50" s="27">
        <v>8.5</v>
      </c>
      <c r="E50" s="28"/>
      <c r="F50" s="16">
        <f t="shared" si="147"/>
        <v>0</v>
      </c>
      <c r="G50" s="17"/>
      <c r="H50" s="18"/>
      <c r="I50" s="19">
        <f t="shared" si="148"/>
        <v>0</v>
      </c>
      <c r="J50" s="16"/>
      <c r="K50" s="18"/>
      <c r="L50" s="19">
        <f t="shared" si="149"/>
        <v>0</v>
      </c>
      <c r="M50" s="16"/>
      <c r="N50" s="18">
        <v>4</v>
      </c>
      <c r="O50" s="19">
        <f t="shared" si="150"/>
        <v>1.3634000000000002</v>
      </c>
      <c r="P50" s="16"/>
      <c r="Q50" s="18"/>
      <c r="R50" s="19">
        <f t="shared" si="151"/>
        <v>0</v>
      </c>
      <c r="S50" s="20">
        <f t="shared" si="152"/>
        <v>4</v>
      </c>
      <c r="T50" s="19">
        <f t="shared" si="153"/>
        <v>1.3634000000000002</v>
      </c>
      <c r="U50" s="21">
        <f t="shared" si="154"/>
        <v>-4</v>
      </c>
      <c r="V50" s="19">
        <f t="shared" si="155"/>
        <v>-1.3634000000000002</v>
      </c>
      <c r="X50" s="29"/>
    </row>
    <row r="51" spans="1:24">
      <c r="A51" s="26" t="s">
        <v>13</v>
      </c>
      <c r="B51" s="26" t="s">
        <v>128</v>
      </c>
      <c r="C51" s="30">
        <v>40.1</v>
      </c>
      <c r="D51" s="27">
        <v>11.2</v>
      </c>
      <c r="E51" s="28"/>
      <c r="F51" s="16">
        <f t="shared" si="147"/>
        <v>0</v>
      </c>
      <c r="G51" s="17"/>
      <c r="H51" s="18">
        <v>1</v>
      </c>
      <c r="I51" s="19">
        <f t="shared" si="148"/>
        <v>0.44912000000000002</v>
      </c>
      <c r="J51" s="16"/>
      <c r="K51" s="18"/>
      <c r="L51" s="19">
        <f t="shared" si="149"/>
        <v>0</v>
      </c>
      <c r="M51" s="16"/>
      <c r="N51" s="18"/>
      <c r="O51" s="19">
        <f t="shared" si="150"/>
        <v>0</v>
      </c>
      <c r="P51" s="16"/>
      <c r="Q51" s="18"/>
      <c r="R51" s="19">
        <f t="shared" si="151"/>
        <v>0</v>
      </c>
      <c r="S51" s="20">
        <f t="shared" si="152"/>
        <v>1</v>
      </c>
      <c r="T51" s="19">
        <f t="shared" si="153"/>
        <v>0.44912000000000002</v>
      </c>
      <c r="U51" s="21">
        <f t="shared" si="154"/>
        <v>-1</v>
      </c>
      <c r="V51" s="19">
        <f t="shared" si="155"/>
        <v>-0.44912000000000002</v>
      </c>
      <c r="X51" s="29"/>
    </row>
    <row r="52" spans="1:24">
      <c r="A52" s="26" t="s">
        <v>13</v>
      </c>
      <c r="B52" s="26" t="s">
        <v>128</v>
      </c>
      <c r="C52" s="30">
        <v>40.1</v>
      </c>
      <c r="D52" s="27">
        <v>11.5</v>
      </c>
      <c r="E52" s="28"/>
      <c r="F52" s="16">
        <f t="shared" si="147"/>
        <v>0</v>
      </c>
      <c r="G52" s="17"/>
      <c r="H52" s="18">
        <v>2</v>
      </c>
      <c r="I52" s="19">
        <f t="shared" si="148"/>
        <v>0.92230000000000012</v>
      </c>
      <c r="J52" s="16"/>
      <c r="K52" s="18"/>
      <c r="L52" s="19">
        <f t="shared" si="149"/>
        <v>0</v>
      </c>
      <c r="M52" s="16"/>
      <c r="N52" s="18"/>
      <c r="O52" s="19">
        <f t="shared" si="150"/>
        <v>0</v>
      </c>
      <c r="P52" s="16"/>
      <c r="Q52" s="18"/>
      <c r="R52" s="19">
        <f t="shared" si="151"/>
        <v>0</v>
      </c>
      <c r="S52" s="20">
        <f t="shared" si="152"/>
        <v>2</v>
      </c>
      <c r="T52" s="19">
        <f t="shared" si="153"/>
        <v>0.92230000000000012</v>
      </c>
      <c r="U52" s="21">
        <f t="shared" si="154"/>
        <v>-2</v>
      </c>
      <c r="V52" s="19">
        <f t="shared" si="155"/>
        <v>-0.92230000000000012</v>
      </c>
      <c r="X52" s="29"/>
    </row>
    <row r="53" spans="1:24">
      <c r="A53" s="26" t="s">
        <v>13</v>
      </c>
      <c r="B53" s="26" t="s">
        <v>128</v>
      </c>
      <c r="C53" s="30">
        <v>40.1</v>
      </c>
      <c r="D53" s="27">
        <v>9.8000000000000007</v>
      </c>
      <c r="E53" s="28"/>
      <c r="F53" s="16">
        <f t="shared" si="147"/>
        <v>0</v>
      </c>
      <c r="G53" s="17"/>
      <c r="H53" s="18"/>
      <c r="I53" s="19">
        <f t="shared" si="148"/>
        <v>0</v>
      </c>
      <c r="J53" s="16"/>
      <c r="K53" s="18"/>
      <c r="L53" s="19">
        <f t="shared" si="149"/>
        <v>0</v>
      </c>
      <c r="M53" s="16"/>
      <c r="N53" s="18"/>
      <c r="O53" s="19">
        <f t="shared" si="150"/>
        <v>0</v>
      </c>
      <c r="P53" s="16"/>
      <c r="Q53" s="18">
        <v>1</v>
      </c>
      <c r="R53" s="19">
        <f t="shared" si="151"/>
        <v>0.39298</v>
      </c>
      <c r="S53" s="20">
        <f t="shared" si="152"/>
        <v>1</v>
      </c>
      <c r="T53" s="19">
        <f t="shared" si="153"/>
        <v>0.39298</v>
      </c>
      <c r="U53" s="21">
        <f t="shared" si="154"/>
        <v>-1</v>
      </c>
      <c r="V53" s="19">
        <f t="shared" si="155"/>
        <v>-0.39298</v>
      </c>
      <c r="X53" s="29"/>
    </row>
    <row r="54" spans="1:24">
      <c r="A54" s="26" t="s">
        <v>13</v>
      </c>
      <c r="B54" s="26" t="s">
        <v>128</v>
      </c>
      <c r="C54" s="30">
        <v>40.1</v>
      </c>
      <c r="D54" s="27">
        <v>8.3000000000000007</v>
      </c>
      <c r="E54" s="28"/>
      <c r="F54" s="16">
        <f t="shared" si="147"/>
        <v>0</v>
      </c>
      <c r="G54" s="17"/>
      <c r="H54" s="18"/>
      <c r="I54" s="19">
        <f t="shared" si="148"/>
        <v>0</v>
      </c>
      <c r="J54" s="16"/>
      <c r="K54" s="18"/>
      <c r="L54" s="19">
        <f t="shared" si="149"/>
        <v>0</v>
      </c>
      <c r="M54" s="16"/>
      <c r="N54" s="18"/>
      <c r="O54" s="19">
        <f t="shared" si="150"/>
        <v>0</v>
      </c>
      <c r="P54" s="16"/>
      <c r="Q54" s="18">
        <v>2</v>
      </c>
      <c r="R54" s="19">
        <f t="shared" si="151"/>
        <v>0.66566000000000003</v>
      </c>
      <c r="S54" s="20">
        <f t="shared" si="152"/>
        <v>2</v>
      </c>
      <c r="T54" s="19">
        <f t="shared" si="153"/>
        <v>0.66566000000000003</v>
      </c>
      <c r="U54" s="21">
        <f t="shared" si="154"/>
        <v>-2</v>
      </c>
      <c r="V54" s="19">
        <f t="shared" si="155"/>
        <v>-0.66566000000000003</v>
      </c>
      <c r="X54" s="29"/>
    </row>
    <row r="55" spans="1:24">
      <c r="A55" s="26" t="s">
        <v>13</v>
      </c>
      <c r="B55" s="26" t="s">
        <v>128</v>
      </c>
      <c r="C55" s="30">
        <v>40.1</v>
      </c>
      <c r="D55" s="27">
        <v>8.4</v>
      </c>
      <c r="E55" s="28"/>
      <c r="F55" s="16">
        <f t="shared" si="140"/>
        <v>0</v>
      </c>
      <c r="G55" s="17"/>
      <c r="H55" s="18"/>
      <c r="I55" s="19">
        <f t="shared" si="141"/>
        <v>0</v>
      </c>
      <c r="J55" s="16"/>
      <c r="K55" s="18"/>
      <c r="L55" s="19">
        <f t="shared" si="142"/>
        <v>0</v>
      </c>
      <c r="M55" s="16"/>
      <c r="N55" s="18"/>
      <c r="O55" s="19">
        <f t="shared" si="143"/>
        <v>0</v>
      </c>
      <c r="P55" s="16"/>
      <c r="Q55" s="18">
        <v>1</v>
      </c>
      <c r="R55" s="19">
        <f t="shared" si="144"/>
        <v>0.33684000000000003</v>
      </c>
      <c r="S55" s="20">
        <f t="shared" si="145"/>
        <v>1</v>
      </c>
      <c r="T55" s="19">
        <f t="shared" si="145"/>
        <v>0.33684000000000003</v>
      </c>
      <c r="U55" s="21">
        <f t="shared" si="146"/>
        <v>-1</v>
      </c>
      <c r="V55" s="19">
        <f t="shared" si="146"/>
        <v>-0.33684000000000003</v>
      </c>
      <c r="X55" s="29"/>
    </row>
    <row r="56" spans="1:24">
      <c r="A56" s="36"/>
      <c r="B56" s="36"/>
      <c r="C56" s="37"/>
      <c r="D56" s="38"/>
      <c r="E56" s="31">
        <f t="shared" ref="E56:F56" si="156">SUM(E43:E55)</f>
        <v>266</v>
      </c>
      <c r="F56" s="38">
        <f t="shared" si="156"/>
        <v>93.216459999999998</v>
      </c>
      <c r="G56" s="17"/>
      <c r="H56" s="31">
        <f t="shared" ref="H56" si="157">SUM(H43:H55)</f>
        <v>101</v>
      </c>
      <c r="I56" s="38">
        <f t="shared" ref="I56" si="158">SUM(I43:I55)</f>
        <v>36.661425000000008</v>
      </c>
      <c r="J56" s="16"/>
      <c r="K56" s="31">
        <f t="shared" ref="K56" si="159">SUM(K43:K55)</f>
        <v>84</v>
      </c>
      <c r="L56" s="38">
        <f t="shared" ref="L56" si="160">SUM(L43:L55)</f>
        <v>29.72212</v>
      </c>
      <c r="M56" s="16"/>
      <c r="N56" s="31">
        <f t="shared" ref="N56" si="161">SUM(N43:N55)</f>
        <v>74</v>
      </c>
      <c r="O56" s="38">
        <f t="shared" ref="O56" si="162">SUM(O43:O55)</f>
        <v>24.936184999999998</v>
      </c>
      <c r="P56" s="16"/>
      <c r="Q56" s="31">
        <f t="shared" ref="Q56" si="163">SUM(Q43:Q55)</f>
        <v>6</v>
      </c>
      <c r="R56" s="38">
        <f t="shared" ref="R56" si="164">SUM(R43:R55)</f>
        <v>2.035075</v>
      </c>
      <c r="S56" s="31">
        <f t="shared" ref="S56" si="165">SUM(S43:S55)</f>
        <v>265</v>
      </c>
      <c r="T56" s="38">
        <f t="shared" ref="T56" si="166">SUM(T43:T55)</f>
        <v>93.354804999999999</v>
      </c>
      <c r="U56" s="31">
        <f t="shared" ref="U56" si="167">SUM(U43:U55)</f>
        <v>1</v>
      </c>
      <c r="V56" s="38">
        <f t="shared" ref="V56" si="168">SUM(V43:V55)</f>
        <v>-0.13834500000001149</v>
      </c>
      <c r="X56" s="29"/>
    </row>
    <row r="57" spans="1:24">
      <c r="A57" s="26" t="s">
        <v>13</v>
      </c>
      <c r="B57" s="26" t="s">
        <v>161</v>
      </c>
      <c r="C57" s="30">
        <v>44.2</v>
      </c>
      <c r="D57" s="27">
        <v>6.5</v>
      </c>
      <c r="E57" s="28">
        <v>7</v>
      </c>
      <c r="F57" s="16">
        <f>(C57*D57*E57/1000)</f>
        <v>2.0111000000000003</v>
      </c>
      <c r="G57" s="16" t="s">
        <v>93</v>
      </c>
      <c r="H57" s="18">
        <v>7</v>
      </c>
      <c r="I57" s="19">
        <f>(C57*D57*H57/1000)</f>
        <v>2.0111000000000003</v>
      </c>
      <c r="J57" s="16"/>
      <c r="K57" s="18"/>
      <c r="L57" s="19">
        <f>(C57*D57*K57/1000)</f>
        <v>0</v>
      </c>
      <c r="M57" s="16"/>
      <c r="N57" s="18"/>
      <c r="O57" s="19">
        <f>(C57*D57*N57/1000)</f>
        <v>0</v>
      </c>
      <c r="P57" s="16"/>
      <c r="Q57" s="18"/>
      <c r="R57" s="19">
        <f>(C57*D57*Q57/1000)</f>
        <v>0</v>
      </c>
      <c r="S57" s="20">
        <f>+H57+K57+Q57+N57</f>
        <v>7</v>
      </c>
      <c r="T57" s="19">
        <f>+I57+L57+R57+O57</f>
        <v>2.0111000000000003</v>
      </c>
      <c r="U57" s="21">
        <f>E57-S57</f>
        <v>0</v>
      </c>
      <c r="V57" s="19">
        <f>F57-T57</f>
        <v>0</v>
      </c>
      <c r="X57" s="29"/>
    </row>
    <row r="58" spans="1:24">
      <c r="A58" s="36"/>
      <c r="B58" s="36"/>
      <c r="C58" s="37"/>
      <c r="D58" s="38"/>
      <c r="E58" s="31">
        <f t="shared" ref="E58:F58" si="169">SUM(E57)</f>
        <v>7</v>
      </c>
      <c r="F58" s="38">
        <f t="shared" si="169"/>
        <v>2.0111000000000003</v>
      </c>
      <c r="G58" s="16" t="s">
        <v>351</v>
      </c>
      <c r="H58" s="31">
        <f t="shared" ref="H58" si="170">SUM(H57)</f>
        <v>7</v>
      </c>
      <c r="I58" s="38">
        <f t="shared" ref="I58" si="171">SUM(I57)</f>
        <v>2.0111000000000003</v>
      </c>
      <c r="J58" s="16"/>
      <c r="K58" s="31">
        <f t="shared" ref="K58" si="172">SUM(K57)</f>
        <v>0</v>
      </c>
      <c r="L58" s="38">
        <f t="shared" ref="L58" si="173">SUM(L57)</f>
        <v>0</v>
      </c>
      <c r="M58" s="16"/>
      <c r="N58" s="31">
        <f t="shared" ref="N58" si="174">SUM(N57)</f>
        <v>0</v>
      </c>
      <c r="O58" s="38">
        <f t="shared" ref="O58" si="175">SUM(O57)</f>
        <v>0</v>
      </c>
      <c r="P58" s="16"/>
      <c r="Q58" s="31">
        <f t="shared" ref="Q58" si="176">SUM(Q57)</f>
        <v>0</v>
      </c>
      <c r="R58" s="38">
        <f t="shared" ref="R58" si="177">SUM(R57)</f>
        <v>0</v>
      </c>
      <c r="S58" s="31">
        <f t="shared" ref="S58" si="178">SUM(S57)</f>
        <v>7</v>
      </c>
      <c r="T58" s="38">
        <f t="shared" ref="T58" si="179">SUM(T57)</f>
        <v>2.0111000000000003</v>
      </c>
      <c r="U58" s="31">
        <f t="shared" ref="U58" si="180">SUM(U57)</f>
        <v>0</v>
      </c>
      <c r="V58" s="38">
        <f t="shared" ref="V58" si="181">SUM(V57)</f>
        <v>0</v>
      </c>
      <c r="X58" s="29"/>
    </row>
    <row r="59" spans="1:24">
      <c r="A59" s="26" t="s">
        <v>13</v>
      </c>
      <c r="B59" s="26" t="s">
        <v>58</v>
      </c>
      <c r="C59" s="30">
        <v>7.34</v>
      </c>
      <c r="D59" s="27">
        <v>9.35</v>
      </c>
      <c r="E59" s="28">
        <v>292</v>
      </c>
      <c r="F59" s="16">
        <f t="shared" ref="F59:F67" si="182">(C59*D59*E59/1000)</f>
        <v>20.039667999999999</v>
      </c>
      <c r="G59" s="17" t="s">
        <v>111</v>
      </c>
      <c r="H59" s="18">
        <v>122</v>
      </c>
      <c r="I59" s="19">
        <f t="shared" ref="I59:I67" si="183">(C59*D59*H59/1000)</f>
        <v>8.372738</v>
      </c>
      <c r="J59" s="17" t="s">
        <v>205</v>
      </c>
      <c r="K59" s="18">
        <v>31</v>
      </c>
      <c r="L59" s="19">
        <f t="shared" ref="L59:L67" si="184">(C59*D59*K59/1000)</f>
        <v>2.1274989999999998</v>
      </c>
      <c r="M59" s="16" t="s">
        <v>89</v>
      </c>
      <c r="N59" s="18">
        <f>109+5</f>
        <v>114</v>
      </c>
      <c r="O59" s="19">
        <f t="shared" ref="O59:O67" si="185">(C59*D59*N59/1000)</f>
        <v>7.8237059999999996</v>
      </c>
      <c r="P59" s="16" t="s">
        <v>392</v>
      </c>
      <c r="Q59" s="18"/>
      <c r="R59" s="19">
        <f t="shared" ref="R59:R67" si="186">(C59*D59*Q59/1000)</f>
        <v>0</v>
      </c>
      <c r="S59" s="20">
        <f t="shared" ref="S59:T67" si="187">+H59+K59+Q59+N59</f>
        <v>267</v>
      </c>
      <c r="T59" s="19">
        <f t="shared" si="187"/>
        <v>18.323943</v>
      </c>
      <c r="U59" s="21">
        <f t="shared" ref="U59:V67" si="188">E59-S59</f>
        <v>25</v>
      </c>
      <c r="V59" s="19">
        <f t="shared" si="188"/>
        <v>1.7157249999999991</v>
      </c>
      <c r="X59" s="29"/>
    </row>
    <row r="60" spans="1:24">
      <c r="A60" s="26" t="s">
        <v>13</v>
      </c>
      <c r="B60" s="26" t="s">
        <v>58</v>
      </c>
      <c r="C60" s="30">
        <v>7.34</v>
      </c>
      <c r="D60" s="27">
        <v>10</v>
      </c>
      <c r="E60" s="28">
        <v>4</v>
      </c>
      <c r="F60" s="16">
        <f t="shared" si="182"/>
        <v>0.29360000000000003</v>
      </c>
      <c r="G60" s="17" t="s">
        <v>351</v>
      </c>
      <c r="H60" s="18"/>
      <c r="I60" s="19">
        <f t="shared" si="183"/>
        <v>0</v>
      </c>
      <c r="J60" s="17" t="s">
        <v>351</v>
      </c>
      <c r="K60" s="18"/>
      <c r="L60" s="19">
        <f t="shared" si="184"/>
        <v>0</v>
      </c>
      <c r="M60" s="16" t="s">
        <v>351</v>
      </c>
      <c r="N60" s="18">
        <v>4</v>
      </c>
      <c r="O60" s="19">
        <f t="shared" si="185"/>
        <v>0.29360000000000003</v>
      </c>
      <c r="P60" s="16" t="s">
        <v>393</v>
      </c>
      <c r="Q60" s="18"/>
      <c r="R60" s="19">
        <f t="shared" si="186"/>
        <v>0</v>
      </c>
      <c r="S60" s="20">
        <f t="shared" si="187"/>
        <v>4</v>
      </c>
      <c r="T60" s="19">
        <f t="shared" si="187"/>
        <v>0.29360000000000003</v>
      </c>
      <c r="U60" s="21">
        <f t="shared" si="188"/>
        <v>0</v>
      </c>
      <c r="V60" s="19">
        <f t="shared" si="188"/>
        <v>0</v>
      </c>
      <c r="X60" s="29"/>
    </row>
    <row r="61" spans="1:24">
      <c r="A61" s="26" t="s">
        <v>13</v>
      </c>
      <c r="B61" s="26" t="s">
        <v>58</v>
      </c>
      <c r="C61" s="30">
        <v>7.34</v>
      </c>
      <c r="D61" s="27">
        <v>11.5</v>
      </c>
      <c r="E61" s="28">
        <v>74</v>
      </c>
      <c r="F61" s="16">
        <f t="shared" ref="F61:F66" si="189">(C61*D61*E61/1000)</f>
        <v>6.24634</v>
      </c>
      <c r="G61" s="17"/>
      <c r="H61" s="18"/>
      <c r="I61" s="19">
        <f t="shared" ref="I61:I66" si="190">(C61*D61*H61/1000)</f>
        <v>0</v>
      </c>
      <c r="J61" s="16"/>
      <c r="K61" s="18"/>
      <c r="L61" s="19">
        <f t="shared" ref="L61:L66" si="191">(C61*D61*K61/1000)</f>
        <v>0</v>
      </c>
      <c r="M61" s="16" t="s">
        <v>93</v>
      </c>
      <c r="N61" s="18">
        <v>74</v>
      </c>
      <c r="O61" s="19">
        <f t="shared" ref="O61:O66" si="192">(C61*D61*N61/1000)</f>
        <v>6.24634</v>
      </c>
      <c r="P61" s="16"/>
      <c r="Q61" s="18"/>
      <c r="R61" s="19">
        <f t="shared" ref="R61:R66" si="193">(C61*D61*Q61/1000)</f>
        <v>0</v>
      </c>
      <c r="S61" s="20">
        <f t="shared" ref="S61:S66" si="194">+H61+K61+Q61+N61</f>
        <v>74</v>
      </c>
      <c r="T61" s="19">
        <f t="shared" ref="T61:T66" si="195">+I61+L61+R61+O61</f>
        <v>6.24634</v>
      </c>
      <c r="U61" s="21">
        <f t="shared" ref="U61:U66" si="196">E61-S61</f>
        <v>0</v>
      </c>
      <c r="V61" s="19">
        <f t="shared" ref="V61:V66" si="197">F61-T61</f>
        <v>0</v>
      </c>
      <c r="X61" s="29"/>
    </row>
    <row r="62" spans="1:24">
      <c r="A62" s="26" t="s">
        <v>13</v>
      </c>
      <c r="B62" s="26" t="s">
        <v>58</v>
      </c>
      <c r="C62" s="30">
        <v>7.34</v>
      </c>
      <c r="D62" s="27">
        <v>11</v>
      </c>
      <c r="E62" s="28"/>
      <c r="F62" s="16">
        <f t="shared" si="189"/>
        <v>0</v>
      </c>
      <c r="G62" s="17"/>
      <c r="H62" s="18"/>
      <c r="I62" s="19">
        <f t="shared" si="190"/>
        <v>0</v>
      </c>
      <c r="J62" s="16"/>
      <c r="K62" s="18"/>
      <c r="L62" s="19">
        <f t="shared" si="191"/>
        <v>0</v>
      </c>
      <c r="M62" s="16" t="s">
        <v>352</v>
      </c>
      <c r="N62" s="18"/>
      <c r="O62" s="19">
        <f t="shared" si="192"/>
        <v>0</v>
      </c>
      <c r="P62" s="16"/>
      <c r="Q62" s="18">
        <v>7</v>
      </c>
      <c r="R62" s="19">
        <f t="shared" si="193"/>
        <v>0.5651799999999999</v>
      </c>
      <c r="S62" s="20">
        <f t="shared" si="194"/>
        <v>7</v>
      </c>
      <c r="T62" s="19">
        <f t="shared" si="195"/>
        <v>0.5651799999999999</v>
      </c>
      <c r="U62" s="21">
        <f t="shared" si="196"/>
        <v>-7</v>
      </c>
      <c r="V62" s="19">
        <f t="shared" si="197"/>
        <v>-0.5651799999999999</v>
      </c>
      <c r="X62" s="29"/>
    </row>
    <row r="63" spans="1:24">
      <c r="A63" s="26" t="s">
        <v>13</v>
      </c>
      <c r="B63" s="26" t="s">
        <v>58</v>
      </c>
      <c r="C63" s="30">
        <v>7.34</v>
      </c>
      <c r="D63" s="27">
        <v>7.1</v>
      </c>
      <c r="E63" s="28"/>
      <c r="F63" s="16">
        <f t="shared" si="189"/>
        <v>0</v>
      </c>
      <c r="G63" s="17"/>
      <c r="H63" s="18"/>
      <c r="I63" s="19">
        <f t="shared" si="190"/>
        <v>0</v>
      </c>
      <c r="J63" s="16"/>
      <c r="K63" s="18"/>
      <c r="L63" s="19">
        <f t="shared" si="191"/>
        <v>0</v>
      </c>
      <c r="M63" s="16"/>
      <c r="N63" s="18"/>
      <c r="O63" s="19">
        <f t="shared" si="192"/>
        <v>0</v>
      </c>
      <c r="P63" s="16"/>
      <c r="Q63" s="18">
        <v>1</v>
      </c>
      <c r="R63" s="19">
        <f t="shared" si="193"/>
        <v>5.2114000000000001E-2</v>
      </c>
      <c r="S63" s="20">
        <f t="shared" si="194"/>
        <v>1</v>
      </c>
      <c r="T63" s="19">
        <f t="shared" si="195"/>
        <v>5.2114000000000001E-2</v>
      </c>
      <c r="U63" s="21">
        <f t="shared" si="196"/>
        <v>-1</v>
      </c>
      <c r="V63" s="19">
        <f t="shared" si="197"/>
        <v>-5.2114000000000001E-2</v>
      </c>
      <c r="X63" s="29"/>
    </row>
    <row r="64" spans="1:24">
      <c r="A64" s="26" t="s">
        <v>13</v>
      </c>
      <c r="B64" s="26" t="s">
        <v>58</v>
      </c>
      <c r="C64" s="30">
        <v>7.34</v>
      </c>
      <c r="D64" s="27">
        <v>8.4</v>
      </c>
      <c r="E64" s="28"/>
      <c r="F64" s="16">
        <f t="shared" si="189"/>
        <v>0</v>
      </c>
      <c r="G64" s="17"/>
      <c r="H64" s="18"/>
      <c r="I64" s="19">
        <f t="shared" si="190"/>
        <v>0</v>
      </c>
      <c r="J64" s="16"/>
      <c r="K64" s="18"/>
      <c r="L64" s="19">
        <f t="shared" si="191"/>
        <v>0</v>
      </c>
      <c r="M64" s="16"/>
      <c r="N64" s="18"/>
      <c r="O64" s="19">
        <f t="shared" si="192"/>
        <v>0</v>
      </c>
      <c r="P64" s="16"/>
      <c r="Q64" s="18">
        <v>1</v>
      </c>
      <c r="R64" s="19">
        <f t="shared" si="193"/>
        <v>6.1655999999999996E-2</v>
      </c>
      <c r="S64" s="20">
        <f t="shared" si="194"/>
        <v>1</v>
      </c>
      <c r="T64" s="19">
        <f t="shared" si="195"/>
        <v>6.1655999999999996E-2</v>
      </c>
      <c r="U64" s="21">
        <f t="shared" si="196"/>
        <v>-1</v>
      </c>
      <c r="V64" s="19">
        <f t="shared" si="197"/>
        <v>-6.1655999999999996E-2</v>
      </c>
      <c r="X64" s="29"/>
    </row>
    <row r="65" spans="1:24">
      <c r="A65" s="26" t="s">
        <v>13</v>
      </c>
      <c r="B65" s="26" t="s">
        <v>58</v>
      </c>
      <c r="C65" s="30">
        <v>7.34</v>
      </c>
      <c r="D65" s="27">
        <v>8.1999999999999993</v>
      </c>
      <c r="E65" s="28"/>
      <c r="F65" s="16">
        <f t="shared" si="189"/>
        <v>0</v>
      </c>
      <c r="G65" s="17"/>
      <c r="H65" s="18"/>
      <c r="I65" s="19">
        <f t="shared" si="190"/>
        <v>0</v>
      </c>
      <c r="J65" s="16"/>
      <c r="K65" s="18"/>
      <c r="L65" s="19">
        <f t="shared" si="191"/>
        <v>0</v>
      </c>
      <c r="M65" s="16"/>
      <c r="N65" s="18"/>
      <c r="O65" s="19">
        <f t="shared" si="192"/>
        <v>0</v>
      </c>
      <c r="P65" s="16"/>
      <c r="Q65" s="18">
        <v>1</v>
      </c>
      <c r="R65" s="19">
        <f t="shared" si="193"/>
        <v>6.0187999999999998E-2</v>
      </c>
      <c r="S65" s="20">
        <f t="shared" si="194"/>
        <v>1</v>
      </c>
      <c r="T65" s="19">
        <f t="shared" si="195"/>
        <v>6.0187999999999998E-2</v>
      </c>
      <c r="U65" s="21">
        <f t="shared" si="196"/>
        <v>-1</v>
      </c>
      <c r="V65" s="19">
        <f t="shared" si="197"/>
        <v>-6.0187999999999998E-2</v>
      </c>
      <c r="X65" s="29"/>
    </row>
    <row r="66" spans="1:24">
      <c r="A66" s="26" t="s">
        <v>13</v>
      </c>
      <c r="B66" s="26" t="s">
        <v>58</v>
      </c>
      <c r="C66" s="30">
        <v>7.34</v>
      </c>
      <c r="D66" s="27">
        <v>8.9</v>
      </c>
      <c r="E66" s="28"/>
      <c r="F66" s="16">
        <f t="shared" si="189"/>
        <v>0</v>
      </c>
      <c r="G66" s="17"/>
      <c r="H66" s="18"/>
      <c r="I66" s="19">
        <f t="shared" si="190"/>
        <v>0</v>
      </c>
      <c r="J66" s="16"/>
      <c r="K66" s="18"/>
      <c r="L66" s="19">
        <f t="shared" si="191"/>
        <v>0</v>
      </c>
      <c r="M66" s="16"/>
      <c r="N66" s="18"/>
      <c r="O66" s="19">
        <f t="shared" si="192"/>
        <v>0</v>
      </c>
      <c r="P66" s="16"/>
      <c r="Q66" s="18">
        <v>4</v>
      </c>
      <c r="R66" s="19">
        <f t="shared" si="193"/>
        <v>0.26130400000000004</v>
      </c>
      <c r="S66" s="20">
        <f t="shared" si="194"/>
        <v>4</v>
      </c>
      <c r="T66" s="19">
        <f t="shared" si="195"/>
        <v>0.26130400000000004</v>
      </c>
      <c r="U66" s="21">
        <f t="shared" si="196"/>
        <v>-4</v>
      </c>
      <c r="V66" s="19">
        <f t="shared" si="197"/>
        <v>-0.26130400000000004</v>
      </c>
      <c r="X66" s="29"/>
    </row>
    <row r="67" spans="1:24">
      <c r="A67" s="26" t="s">
        <v>13</v>
      </c>
      <c r="B67" s="26" t="s">
        <v>58</v>
      </c>
      <c r="C67" s="30">
        <v>7.34</v>
      </c>
      <c r="D67" s="27">
        <v>9.1</v>
      </c>
      <c r="E67" s="28"/>
      <c r="F67" s="16">
        <f t="shared" si="182"/>
        <v>0</v>
      </c>
      <c r="G67" s="17"/>
      <c r="H67" s="18"/>
      <c r="I67" s="19">
        <f t="shared" si="183"/>
        <v>0</v>
      </c>
      <c r="J67" s="16"/>
      <c r="K67" s="18"/>
      <c r="L67" s="19">
        <f t="shared" si="184"/>
        <v>0</v>
      </c>
      <c r="M67" s="16"/>
      <c r="N67" s="18"/>
      <c r="O67" s="19">
        <f t="shared" si="185"/>
        <v>0</v>
      </c>
      <c r="P67" s="16"/>
      <c r="Q67" s="18">
        <v>15</v>
      </c>
      <c r="R67" s="19">
        <f t="shared" si="186"/>
        <v>1.0019100000000001</v>
      </c>
      <c r="S67" s="20">
        <f t="shared" si="187"/>
        <v>15</v>
      </c>
      <c r="T67" s="19">
        <f t="shared" si="187"/>
        <v>1.0019100000000001</v>
      </c>
      <c r="U67" s="21">
        <f t="shared" si="188"/>
        <v>-15</v>
      </c>
      <c r="V67" s="19">
        <f t="shared" si="188"/>
        <v>-1.0019100000000001</v>
      </c>
      <c r="X67" s="29"/>
    </row>
    <row r="68" spans="1:24">
      <c r="A68" s="36"/>
      <c r="B68" s="36"/>
      <c r="C68" s="37"/>
      <c r="D68" s="38"/>
      <c r="E68" s="31">
        <f t="shared" ref="E68:F68" si="198">SUM(E59:E67)</f>
        <v>370</v>
      </c>
      <c r="F68" s="38">
        <f t="shared" si="198"/>
        <v>26.579608</v>
      </c>
      <c r="G68" s="17"/>
      <c r="H68" s="31">
        <f t="shared" ref="H68" si="199">SUM(H59:H67)</f>
        <v>122</v>
      </c>
      <c r="I68" s="38">
        <f t="shared" ref="I68" si="200">SUM(I59:I67)</f>
        <v>8.372738</v>
      </c>
      <c r="J68" s="16"/>
      <c r="K68" s="31">
        <f t="shared" ref="K68" si="201">SUM(K59:K67)</f>
        <v>31</v>
      </c>
      <c r="L68" s="38">
        <f t="shared" ref="L68" si="202">SUM(L59:L67)</f>
        <v>2.1274989999999998</v>
      </c>
      <c r="M68" s="16"/>
      <c r="N68" s="31">
        <f t="shared" ref="N68" si="203">SUM(N59:N67)</f>
        <v>192</v>
      </c>
      <c r="O68" s="38">
        <f t="shared" ref="O68" si="204">SUM(O59:O67)</f>
        <v>14.363645999999999</v>
      </c>
      <c r="P68" s="16"/>
      <c r="Q68" s="31">
        <f t="shared" ref="Q68" si="205">SUM(Q59:Q67)</f>
        <v>29</v>
      </c>
      <c r="R68" s="38">
        <f t="shared" ref="R68" si="206">SUM(R59:R67)</f>
        <v>2.0023520000000001</v>
      </c>
      <c r="S68" s="31">
        <f t="shared" ref="S68" si="207">SUM(S59:S67)</f>
        <v>374</v>
      </c>
      <c r="T68" s="38">
        <f t="shared" ref="T68" si="208">SUM(T59:T67)</f>
        <v>26.866235</v>
      </c>
      <c r="U68" s="31">
        <f t="shared" ref="U68" si="209">SUM(U59:U67)</f>
        <v>-4</v>
      </c>
      <c r="V68" s="38">
        <f t="shared" ref="V68" si="210">SUM(V59:V67)</f>
        <v>-0.28662700000000085</v>
      </c>
      <c r="X68" s="29"/>
    </row>
    <row r="69" spans="1:24">
      <c r="A69" s="26" t="s">
        <v>13</v>
      </c>
      <c r="B69" s="26" t="s">
        <v>26</v>
      </c>
      <c r="C69" s="30">
        <v>8.3000000000000007</v>
      </c>
      <c r="D69" s="27">
        <v>10.5</v>
      </c>
      <c r="E69" s="28">
        <v>37</v>
      </c>
      <c r="F69" s="16">
        <f t="shared" ref="F69:F72" si="211">(C69*D69*E69/1000)</f>
        <v>3.2245500000000002</v>
      </c>
      <c r="G69" s="17" t="s">
        <v>93</v>
      </c>
      <c r="H69" s="18"/>
      <c r="I69" s="19">
        <f t="shared" ref="I69:I72" si="212">(C69*D69*H69/1000)</f>
        <v>0</v>
      </c>
      <c r="J69" s="16" t="s">
        <v>86</v>
      </c>
      <c r="K69" s="18">
        <v>37</v>
      </c>
      <c r="L69" s="19">
        <f t="shared" ref="L69:L72" si="213">(C69*D69*K69/1000)</f>
        <v>3.2245500000000002</v>
      </c>
      <c r="M69" s="16" t="s">
        <v>111</v>
      </c>
      <c r="N69" s="18"/>
      <c r="O69" s="19">
        <f t="shared" ref="O69:O72" si="214">(C69*D69*N69/1000)</f>
        <v>0</v>
      </c>
      <c r="P69" s="16"/>
      <c r="Q69" s="18"/>
      <c r="R69" s="19">
        <f t="shared" ref="R69:R72" si="215">(C69*D69*Q69/1000)</f>
        <v>0</v>
      </c>
      <c r="S69" s="20">
        <f t="shared" ref="S69:T72" si="216">+H69+K69+Q69+N69</f>
        <v>37</v>
      </c>
      <c r="T69" s="19">
        <f t="shared" si="216"/>
        <v>3.2245500000000002</v>
      </c>
      <c r="U69" s="21">
        <f t="shared" ref="U69:V72" si="217">E69-S69</f>
        <v>0</v>
      </c>
      <c r="V69" s="19">
        <f t="shared" si="217"/>
        <v>0</v>
      </c>
      <c r="X69" s="29"/>
    </row>
    <row r="70" spans="1:24">
      <c r="A70" s="26" t="s">
        <v>13</v>
      </c>
      <c r="B70" s="26" t="s">
        <v>26</v>
      </c>
      <c r="C70" s="30">
        <v>8.3000000000000007</v>
      </c>
      <c r="D70" s="27">
        <v>11.5</v>
      </c>
      <c r="E70" s="28">
        <v>371</v>
      </c>
      <c r="F70" s="16">
        <f t="shared" si="211"/>
        <v>35.411950000000004</v>
      </c>
      <c r="G70" s="17" t="s">
        <v>354</v>
      </c>
      <c r="H70" s="18">
        <f>142+88</f>
        <v>230</v>
      </c>
      <c r="I70" s="19">
        <f t="shared" si="212"/>
        <v>21.953499999999998</v>
      </c>
      <c r="J70" s="16" t="s">
        <v>354</v>
      </c>
      <c r="K70" s="18">
        <f>54+83</f>
        <v>137</v>
      </c>
      <c r="L70" s="19">
        <f t="shared" si="213"/>
        <v>13.076649999999999</v>
      </c>
      <c r="M70" s="16" t="s">
        <v>391</v>
      </c>
      <c r="N70" s="18"/>
      <c r="O70" s="19">
        <f t="shared" si="214"/>
        <v>0</v>
      </c>
      <c r="P70" s="16"/>
      <c r="Q70" s="18"/>
      <c r="R70" s="19">
        <f t="shared" si="215"/>
        <v>0</v>
      </c>
      <c r="S70" s="20">
        <f t="shared" si="216"/>
        <v>367</v>
      </c>
      <c r="T70" s="19">
        <f t="shared" si="216"/>
        <v>35.030149999999999</v>
      </c>
      <c r="U70" s="21">
        <f t="shared" si="217"/>
        <v>4</v>
      </c>
      <c r="V70" s="19">
        <f t="shared" si="217"/>
        <v>0.38180000000000547</v>
      </c>
      <c r="X70" s="29"/>
    </row>
    <row r="71" spans="1:24">
      <c r="A71" s="26" t="s">
        <v>13</v>
      </c>
      <c r="B71" s="26" t="s">
        <v>26</v>
      </c>
      <c r="C71" s="30">
        <v>8.3000000000000007</v>
      </c>
      <c r="D71" s="27">
        <v>12</v>
      </c>
      <c r="E71" s="28">
        <v>29</v>
      </c>
      <c r="F71" s="16">
        <f t="shared" ref="F71" si="218">(C71*D71*E71/1000)</f>
        <v>2.8884000000000003</v>
      </c>
      <c r="G71" s="17"/>
      <c r="H71" s="18"/>
      <c r="I71" s="19">
        <f t="shared" ref="I71" si="219">(C71*D71*H71/1000)</f>
        <v>0</v>
      </c>
      <c r="J71" s="16"/>
      <c r="K71" s="18">
        <v>29</v>
      </c>
      <c r="L71" s="19">
        <f t="shared" ref="L71" si="220">(C71*D71*K71/1000)</f>
        <v>2.8884000000000003</v>
      </c>
      <c r="M71" s="16"/>
      <c r="N71" s="18"/>
      <c r="O71" s="19">
        <f t="shared" ref="O71" si="221">(C71*D71*N71/1000)</f>
        <v>0</v>
      </c>
      <c r="P71" s="16"/>
      <c r="Q71" s="18"/>
      <c r="R71" s="19">
        <f t="shared" ref="R71" si="222">(C71*D71*Q71/1000)</f>
        <v>0</v>
      </c>
      <c r="S71" s="20">
        <f t="shared" ref="S71" si="223">+H71+K71+Q71+N71</f>
        <v>29</v>
      </c>
      <c r="T71" s="19">
        <f t="shared" ref="T71" si="224">+I71+L71+R71+O71</f>
        <v>2.8884000000000003</v>
      </c>
      <c r="U71" s="21">
        <f t="shared" ref="U71" si="225">E71-S71</f>
        <v>0</v>
      </c>
      <c r="V71" s="19">
        <f t="shared" ref="V71" si="226">F71-T71</f>
        <v>0</v>
      </c>
      <c r="X71" s="29"/>
    </row>
    <row r="72" spans="1:24">
      <c r="A72" s="26" t="s">
        <v>13</v>
      </c>
      <c r="B72" s="26" t="s">
        <v>26</v>
      </c>
      <c r="C72" s="30">
        <v>8.3000000000000007</v>
      </c>
      <c r="D72" s="27">
        <v>9.5</v>
      </c>
      <c r="E72" s="28"/>
      <c r="F72" s="16">
        <f t="shared" si="211"/>
        <v>0</v>
      </c>
      <c r="G72" s="17"/>
      <c r="H72" s="18"/>
      <c r="I72" s="19">
        <f t="shared" si="212"/>
        <v>0</v>
      </c>
      <c r="J72" s="16"/>
      <c r="K72" s="18"/>
      <c r="L72" s="19">
        <f t="shared" si="213"/>
        <v>0</v>
      </c>
      <c r="M72" s="16"/>
      <c r="N72" s="18">
        <v>5</v>
      </c>
      <c r="O72" s="19">
        <f t="shared" si="214"/>
        <v>0.39425000000000004</v>
      </c>
      <c r="P72" s="16"/>
      <c r="Q72" s="18"/>
      <c r="R72" s="19">
        <f t="shared" si="215"/>
        <v>0</v>
      </c>
      <c r="S72" s="20">
        <f t="shared" si="216"/>
        <v>5</v>
      </c>
      <c r="T72" s="19">
        <f t="shared" si="216"/>
        <v>0.39425000000000004</v>
      </c>
      <c r="U72" s="21">
        <f t="shared" si="217"/>
        <v>-5</v>
      </c>
      <c r="V72" s="19">
        <f t="shared" si="217"/>
        <v>-0.39425000000000004</v>
      </c>
      <c r="X72" s="29"/>
    </row>
    <row r="73" spans="1:24">
      <c r="A73" s="36"/>
      <c r="B73" s="36"/>
      <c r="C73" s="37"/>
      <c r="D73" s="38"/>
      <c r="E73" s="31">
        <f t="shared" ref="E73:F73" si="227">SUM(E69:E72)</f>
        <v>437</v>
      </c>
      <c r="F73" s="38">
        <f t="shared" si="227"/>
        <v>41.524900000000002</v>
      </c>
      <c r="G73" s="17"/>
      <c r="H73" s="31">
        <f t="shared" ref="H73" si="228">SUM(H69:H72)</f>
        <v>230</v>
      </c>
      <c r="I73" s="38">
        <f t="shared" ref="I73" si="229">SUM(I69:I72)</f>
        <v>21.953499999999998</v>
      </c>
      <c r="J73" s="16"/>
      <c r="K73" s="31">
        <f t="shared" ref="K73" si="230">SUM(K69:K72)</f>
        <v>203</v>
      </c>
      <c r="L73" s="38">
        <f t="shared" ref="L73" si="231">SUM(L69:L72)</f>
        <v>19.189599999999999</v>
      </c>
      <c r="M73" s="16"/>
      <c r="N73" s="31">
        <f t="shared" ref="N73" si="232">SUM(N69:N72)</f>
        <v>5</v>
      </c>
      <c r="O73" s="38">
        <f t="shared" ref="O73" si="233">SUM(O69:O72)</f>
        <v>0.39425000000000004</v>
      </c>
      <c r="P73" s="16"/>
      <c r="Q73" s="31">
        <f t="shared" ref="Q73" si="234">SUM(Q69:Q72)</f>
        <v>0</v>
      </c>
      <c r="R73" s="38">
        <f t="shared" ref="R73" si="235">SUM(R69:R72)</f>
        <v>0</v>
      </c>
      <c r="S73" s="31">
        <f t="shared" ref="S73" si="236">SUM(S69:S72)</f>
        <v>438</v>
      </c>
      <c r="T73" s="38">
        <f t="shared" ref="T73" si="237">SUM(T69:T72)</f>
        <v>41.537349999999996</v>
      </c>
      <c r="U73" s="31">
        <f t="shared" ref="U73" si="238">SUM(U69:U72)</f>
        <v>-1</v>
      </c>
      <c r="V73" s="38">
        <f t="shared" ref="V73" si="239">SUM(V69:V72)</f>
        <v>-1.2449999999994577E-2</v>
      </c>
      <c r="X73" s="29"/>
    </row>
    <row r="74" spans="1:24">
      <c r="A74" s="26" t="s">
        <v>13</v>
      </c>
      <c r="B74" s="26" t="s">
        <v>37</v>
      </c>
      <c r="C74" s="30">
        <v>9.61</v>
      </c>
      <c r="D74" s="27">
        <v>7</v>
      </c>
      <c r="E74" s="28">
        <v>520</v>
      </c>
      <c r="F74" s="16">
        <f t="shared" ref="F74:F90" si="240">(C74*D74*E74/1000)</f>
        <v>34.980400000000003</v>
      </c>
      <c r="G74" s="16" t="s">
        <v>93</v>
      </c>
      <c r="H74" s="18">
        <f>232+111</f>
        <v>343</v>
      </c>
      <c r="I74" s="19">
        <f t="shared" ref="I74:I90" si="241">(C74*D74*H74/1000)</f>
        <v>23.073609999999999</v>
      </c>
      <c r="J74" s="16" t="s">
        <v>205</v>
      </c>
      <c r="K74" s="18">
        <f>45+69+38</f>
        <v>152</v>
      </c>
      <c r="L74" s="19">
        <f t="shared" ref="L74:L90" si="242">(C74*D74*K74/1000)</f>
        <v>10.22504</v>
      </c>
      <c r="M74" s="16" t="s">
        <v>86</v>
      </c>
      <c r="N74" s="18">
        <v>11</v>
      </c>
      <c r="O74" s="19">
        <f t="shared" ref="O74:O90" si="243">(C74*D74*N74/1000)</f>
        <v>0.73996999999999991</v>
      </c>
      <c r="P74" s="16" t="s">
        <v>86</v>
      </c>
      <c r="Q74" s="18">
        <v>30</v>
      </c>
      <c r="R74" s="19">
        <f t="shared" ref="R74:R90" si="244">(C74*D74*Q74/1000)</f>
        <v>2.0181</v>
      </c>
      <c r="S74" s="20">
        <f t="shared" ref="S74:T90" si="245">+H74+K74+Q74+N74</f>
        <v>536</v>
      </c>
      <c r="T74" s="19">
        <f t="shared" si="245"/>
        <v>36.056719999999991</v>
      </c>
      <c r="U74" s="21">
        <f t="shared" ref="U74:V90" si="246">E74-S74</f>
        <v>-16</v>
      </c>
      <c r="V74" s="19">
        <f t="shared" si="246"/>
        <v>-1.0763199999999884</v>
      </c>
      <c r="X74" s="29"/>
    </row>
    <row r="75" spans="1:24">
      <c r="A75" s="26" t="s">
        <v>13</v>
      </c>
      <c r="B75" s="26" t="s">
        <v>37</v>
      </c>
      <c r="C75" s="30">
        <v>9.61</v>
      </c>
      <c r="D75" s="27">
        <v>10</v>
      </c>
      <c r="E75" s="28">
        <v>19</v>
      </c>
      <c r="F75" s="16">
        <f t="shared" si="240"/>
        <v>1.8258999999999999</v>
      </c>
      <c r="G75" s="16" t="s">
        <v>352</v>
      </c>
      <c r="H75" s="18"/>
      <c r="I75" s="19">
        <f t="shared" si="241"/>
        <v>0</v>
      </c>
      <c r="J75" s="16" t="s">
        <v>352</v>
      </c>
      <c r="K75" s="18">
        <v>1</v>
      </c>
      <c r="L75" s="19">
        <f t="shared" si="242"/>
        <v>9.6099999999999991E-2</v>
      </c>
      <c r="M75" s="16" t="s">
        <v>353</v>
      </c>
      <c r="N75" s="18">
        <v>3</v>
      </c>
      <c r="O75" s="19">
        <f t="shared" si="243"/>
        <v>0.28829999999999995</v>
      </c>
      <c r="P75" s="16" t="s">
        <v>354</v>
      </c>
      <c r="Q75" s="18">
        <v>1</v>
      </c>
      <c r="R75" s="19">
        <f t="shared" si="244"/>
        <v>9.6099999999999991E-2</v>
      </c>
      <c r="S75" s="20">
        <f t="shared" si="245"/>
        <v>5</v>
      </c>
      <c r="T75" s="19">
        <f t="shared" si="245"/>
        <v>0.48049999999999993</v>
      </c>
      <c r="U75" s="21">
        <f t="shared" si="246"/>
        <v>14</v>
      </c>
      <c r="V75" s="19">
        <f t="shared" si="246"/>
        <v>1.3453999999999999</v>
      </c>
      <c r="X75" s="29"/>
    </row>
    <row r="76" spans="1:24">
      <c r="A76" s="26" t="s">
        <v>13</v>
      </c>
      <c r="B76" s="26" t="s">
        <v>37</v>
      </c>
      <c r="C76" s="30">
        <v>9.61</v>
      </c>
      <c r="D76" s="27">
        <v>10.050000000000001</v>
      </c>
      <c r="E76" s="28">
        <v>176</v>
      </c>
      <c r="F76" s="16">
        <f t="shared" si="240"/>
        <v>16.998168</v>
      </c>
      <c r="G76" s="16" t="s">
        <v>93</v>
      </c>
      <c r="H76" s="18"/>
      <c r="I76" s="19">
        <f t="shared" si="241"/>
        <v>0</v>
      </c>
      <c r="J76" s="16"/>
      <c r="K76" s="18">
        <v>49</v>
      </c>
      <c r="L76" s="19">
        <f t="shared" si="242"/>
        <v>4.7324444999999997</v>
      </c>
      <c r="M76" s="16"/>
      <c r="N76" s="18">
        <v>105</v>
      </c>
      <c r="O76" s="19">
        <f t="shared" si="243"/>
        <v>10.140952499999999</v>
      </c>
      <c r="P76" s="16" t="s">
        <v>392</v>
      </c>
      <c r="Q76" s="18">
        <v>9</v>
      </c>
      <c r="R76" s="19">
        <f t="shared" si="244"/>
        <v>0.86922450000000007</v>
      </c>
      <c r="S76" s="20">
        <f t="shared" si="245"/>
        <v>163</v>
      </c>
      <c r="T76" s="19">
        <f t="shared" si="245"/>
        <v>15.742621499999998</v>
      </c>
      <c r="U76" s="21">
        <f t="shared" si="246"/>
        <v>13</v>
      </c>
      <c r="V76" s="19">
        <f t="shared" si="246"/>
        <v>1.2555465000000012</v>
      </c>
      <c r="X76" s="29"/>
    </row>
    <row r="77" spans="1:24">
      <c r="A77" s="26" t="s">
        <v>13</v>
      </c>
      <c r="B77" s="26" t="s">
        <v>37</v>
      </c>
      <c r="C77" s="30">
        <v>9.61</v>
      </c>
      <c r="D77" s="27">
        <v>10.7</v>
      </c>
      <c r="E77" s="28">
        <v>108</v>
      </c>
      <c r="F77" s="16">
        <f t="shared" si="240"/>
        <v>11.105315999999998</v>
      </c>
      <c r="G77" s="16" t="s">
        <v>353</v>
      </c>
      <c r="H77" s="18"/>
      <c r="I77" s="19">
        <f t="shared" si="241"/>
        <v>0</v>
      </c>
      <c r="J77" s="16"/>
      <c r="K77" s="18">
        <v>57</v>
      </c>
      <c r="L77" s="19">
        <f t="shared" si="242"/>
        <v>5.8611389999999997</v>
      </c>
      <c r="M77" s="16"/>
      <c r="N77" s="18">
        <v>42</v>
      </c>
      <c r="O77" s="19">
        <f t="shared" si="243"/>
        <v>4.3187339999999992</v>
      </c>
      <c r="P77" s="16" t="s">
        <v>393</v>
      </c>
      <c r="Q77" s="18">
        <v>1</v>
      </c>
      <c r="R77" s="19">
        <f t="shared" si="244"/>
        <v>0.10282699999999999</v>
      </c>
      <c r="S77" s="20">
        <f t="shared" si="245"/>
        <v>100</v>
      </c>
      <c r="T77" s="19">
        <f t="shared" si="245"/>
        <v>10.282699999999998</v>
      </c>
      <c r="U77" s="21">
        <f t="shared" si="246"/>
        <v>8</v>
      </c>
      <c r="V77" s="19">
        <f t="shared" si="246"/>
        <v>0.82261600000000001</v>
      </c>
      <c r="X77" s="29"/>
    </row>
    <row r="78" spans="1:24">
      <c r="A78" s="26" t="s">
        <v>13</v>
      </c>
      <c r="B78" s="26" t="s">
        <v>37</v>
      </c>
      <c r="C78" s="30">
        <v>9.61</v>
      </c>
      <c r="D78" s="27">
        <v>11</v>
      </c>
      <c r="E78" s="28">
        <v>170</v>
      </c>
      <c r="F78" s="16">
        <f t="shared" si="240"/>
        <v>17.970700000000001</v>
      </c>
      <c r="G78" s="17"/>
      <c r="H78" s="18">
        <v>78</v>
      </c>
      <c r="I78" s="19">
        <f t="shared" si="241"/>
        <v>8.245379999999999</v>
      </c>
      <c r="J78" s="16"/>
      <c r="K78" s="18">
        <v>30</v>
      </c>
      <c r="L78" s="19">
        <f t="shared" si="242"/>
        <v>3.1712999999999996</v>
      </c>
      <c r="M78" s="16"/>
      <c r="N78" s="18">
        <v>61</v>
      </c>
      <c r="O78" s="19">
        <f t="shared" si="243"/>
        <v>6.4483099999999993</v>
      </c>
      <c r="P78" s="16"/>
      <c r="Q78" s="18"/>
      <c r="R78" s="19">
        <f t="shared" si="244"/>
        <v>0</v>
      </c>
      <c r="S78" s="20">
        <f t="shared" si="245"/>
        <v>169</v>
      </c>
      <c r="T78" s="19">
        <f t="shared" si="245"/>
        <v>17.864989999999999</v>
      </c>
      <c r="U78" s="21">
        <f t="shared" si="246"/>
        <v>1</v>
      </c>
      <c r="V78" s="19">
        <f t="shared" si="246"/>
        <v>0.10571000000000197</v>
      </c>
      <c r="X78" s="29"/>
    </row>
    <row r="79" spans="1:24">
      <c r="A79" s="26" t="s">
        <v>13</v>
      </c>
      <c r="B79" s="26" t="s">
        <v>37</v>
      </c>
      <c r="C79" s="30">
        <v>9.61</v>
      </c>
      <c r="D79" s="27">
        <v>11.5</v>
      </c>
      <c r="E79" s="28">
        <v>108</v>
      </c>
      <c r="F79" s="16">
        <f t="shared" si="240"/>
        <v>11.935619999999998</v>
      </c>
      <c r="G79" s="17"/>
      <c r="H79" s="18">
        <v>2</v>
      </c>
      <c r="I79" s="19">
        <f t="shared" si="241"/>
        <v>0.22102999999999998</v>
      </c>
      <c r="J79" s="16"/>
      <c r="K79" s="18">
        <v>58</v>
      </c>
      <c r="L79" s="19">
        <f t="shared" si="242"/>
        <v>6.4098699999999988</v>
      </c>
      <c r="M79" s="16"/>
      <c r="N79" s="18">
        <v>49</v>
      </c>
      <c r="O79" s="19">
        <f t="shared" si="243"/>
        <v>5.415235</v>
      </c>
      <c r="P79" s="16"/>
      <c r="Q79" s="18"/>
      <c r="R79" s="19">
        <f t="shared" si="244"/>
        <v>0</v>
      </c>
      <c r="S79" s="20">
        <f t="shared" si="245"/>
        <v>109</v>
      </c>
      <c r="T79" s="19">
        <f t="shared" si="245"/>
        <v>12.046135</v>
      </c>
      <c r="U79" s="21">
        <f t="shared" si="246"/>
        <v>-1</v>
      </c>
      <c r="V79" s="19">
        <f t="shared" si="246"/>
        <v>-0.11051500000000125</v>
      </c>
      <c r="X79" s="29"/>
    </row>
    <row r="80" spans="1:24">
      <c r="A80" s="26" t="s">
        <v>13</v>
      </c>
      <c r="B80" s="26" t="s">
        <v>37</v>
      </c>
      <c r="C80" s="30">
        <v>9.61</v>
      </c>
      <c r="D80" s="27">
        <v>12</v>
      </c>
      <c r="E80" s="28">
        <v>124</v>
      </c>
      <c r="F80" s="16">
        <f t="shared" ref="F80:F89" si="247">(C80*D80*E80/1000)</f>
        <v>14.299679999999999</v>
      </c>
      <c r="G80" s="17"/>
      <c r="H80" s="18">
        <v>41</v>
      </c>
      <c r="I80" s="19">
        <f t="shared" ref="I80:I89" si="248">(C80*D80*H80/1000)</f>
        <v>4.7281199999999997</v>
      </c>
      <c r="J80" s="16"/>
      <c r="K80" s="18">
        <v>19</v>
      </c>
      <c r="L80" s="19">
        <f t="shared" ref="L80:L89" si="249">(C80*D80*K80/1000)</f>
        <v>2.1910799999999999</v>
      </c>
      <c r="M80" s="16"/>
      <c r="N80" s="18"/>
      <c r="O80" s="19">
        <f t="shared" ref="O80:O89" si="250">(C80*D80*N80/1000)</f>
        <v>0</v>
      </c>
      <c r="P80" s="16"/>
      <c r="Q80" s="18">
        <v>72</v>
      </c>
      <c r="R80" s="19">
        <f t="shared" ref="R80:R89" si="251">(C80*D80*Q80/1000)</f>
        <v>8.3030399999999993</v>
      </c>
      <c r="S80" s="20">
        <f t="shared" ref="S80:S89" si="252">+H80+K80+Q80+N80</f>
        <v>132</v>
      </c>
      <c r="T80" s="19">
        <f t="shared" ref="T80:T89" si="253">+I80+L80+R80+O80</f>
        <v>15.222239999999999</v>
      </c>
      <c r="U80" s="21">
        <f t="shared" ref="U80:U89" si="254">E80-S80</f>
        <v>-8</v>
      </c>
      <c r="V80" s="19">
        <f t="shared" ref="V80:V89" si="255">F80-T80</f>
        <v>-0.92256000000000071</v>
      </c>
      <c r="X80" s="29"/>
    </row>
    <row r="81" spans="1:24">
      <c r="A81" s="26" t="s">
        <v>13</v>
      </c>
      <c r="B81" s="26" t="s">
        <v>37</v>
      </c>
      <c r="C81" s="30">
        <v>9.61</v>
      </c>
      <c r="D81" s="27">
        <v>8.5</v>
      </c>
      <c r="E81" s="28"/>
      <c r="F81" s="16">
        <f t="shared" si="247"/>
        <v>0</v>
      </c>
      <c r="G81" s="17"/>
      <c r="H81" s="18"/>
      <c r="I81" s="19">
        <f t="shared" si="248"/>
        <v>0</v>
      </c>
      <c r="J81" s="16"/>
      <c r="K81" s="18"/>
      <c r="L81" s="19">
        <f t="shared" si="249"/>
        <v>0</v>
      </c>
      <c r="M81" s="16"/>
      <c r="N81" s="18"/>
      <c r="O81" s="19">
        <f t="shared" si="250"/>
        <v>0</v>
      </c>
      <c r="P81" s="16"/>
      <c r="Q81" s="18">
        <v>3</v>
      </c>
      <c r="R81" s="19">
        <f t="shared" si="251"/>
        <v>0.245055</v>
      </c>
      <c r="S81" s="20">
        <f t="shared" si="252"/>
        <v>3</v>
      </c>
      <c r="T81" s="19">
        <f t="shared" si="253"/>
        <v>0.245055</v>
      </c>
      <c r="U81" s="21">
        <f t="shared" si="254"/>
        <v>-3</v>
      </c>
      <c r="V81" s="19">
        <f t="shared" si="255"/>
        <v>-0.245055</v>
      </c>
      <c r="X81" s="29"/>
    </row>
    <row r="82" spans="1:24">
      <c r="A82" s="26" t="s">
        <v>13</v>
      </c>
      <c r="B82" s="26" t="s">
        <v>37</v>
      </c>
      <c r="C82" s="30">
        <v>9.61</v>
      </c>
      <c r="D82" s="27">
        <v>9</v>
      </c>
      <c r="E82" s="28"/>
      <c r="F82" s="16">
        <f t="shared" si="247"/>
        <v>0</v>
      </c>
      <c r="G82" s="17"/>
      <c r="H82" s="18"/>
      <c r="I82" s="19">
        <f t="shared" si="248"/>
        <v>0</v>
      </c>
      <c r="J82" s="16"/>
      <c r="K82" s="18"/>
      <c r="L82" s="19">
        <f t="shared" si="249"/>
        <v>0</v>
      </c>
      <c r="M82" s="16"/>
      <c r="N82" s="18"/>
      <c r="O82" s="19">
        <f t="shared" si="250"/>
        <v>0</v>
      </c>
      <c r="P82" s="16"/>
      <c r="Q82" s="18">
        <v>1</v>
      </c>
      <c r="R82" s="19">
        <f t="shared" si="251"/>
        <v>8.6489999999999997E-2</v>
      </c>
      <c r="S82" s="20">
        <f t="shared" si="252"/>
        <v>1</v>
      </c>
      <c r="T82" s="19">
        <f t="shared" si="253"/>
        <v>8.6489999999999997E-2</v>
      </c>
      <c r="U82" s="21">
        <f t="shared" si="254"/>
        <v>-1</v>
      </c>
      <c r="V82" s="19">
        <f t="shared" si="255"/>
        <v>-8.6489999999999997E-2</v>
      </c>
      <c r="X82" s="29"/>
    </row>
    <row r="83" spans="1:24">
      <c r="A83" s="26" t="s">
        <v>13</v>
      </c>
      <c r="B83" s="26" t="s">
        <v>37</v>
      </c>
      <c r="C83" s="30">
        <v>9.61</v>
      </c>
      <c r="D83" s="27">
        <v>9.5</v>
      </c>
      <c r="E83" s="28"/>
      <c r="F83" s="16">
        <f t="shared" si="247"/>
        <v>0</v>
      </c>
      <c r="G83" s="17"/>
      <c r="H83" s="18"/>
      <c r="I83" s="19">
        <f t="shared" si="248"/>
        <v>0</v>
      </c>
      <c r="J83" s="16"/>
      <c r="K83" s="18"/>
      <c r="L83" s="19">
        <f t="shared" si="249"/>
        <v>0</v>
      </c>
      <c r="M83" s="16"/>
      <c r="N83" s="18"/>
      <c r="O83" s="19">
        <f t="shared" si="250"/>
        <v>0</v>
      </c>
      <c r="P83" s="16"/>
      <c r="Q83" s="18">
        <v>1</v>
      </c>
      <c r="R83" s="19">
        <f t="shared" si="251"/>
        <v>9.1294999999999987E-2</v>
      </c>
      <c r="S83" s="20">
        <f t="shared" si="252"/>
        <v>1</v>
      </c>
      <c r="T83" s="19">
        <f t="shared" si="253"/>
        <v>9.1294999999999987E-2</v>
      </c>
      <c r="U83" s="21">
        <f t="shared" si="254"/>
        <v>-1</v>
      </c>
      <c r="V83" s="19">
        <f t="shared" si="255"/>
        <v>-9.1294999999999987E-2</v>
      </c>
      <c r="X83" s="29"/>
    </row>
    <row r="84" spans="1:24">
      <c r="A84" s="26" t="s">
        <v>13</v>
      </c>
      <c r="B84" s="26" t="s">
        <v>37</v>
      </c>
      <c r="C84" s="30">
        <v>9.61</v>
      </c>
      <c r="D84" s="27">
        <v>10</v>
      </c>
      <c r="E84" s="28"/>
      <c r="F84" s="16">
        <f t="shared" si="247"/>
        <v>0</v>
      </c>
      <c r="G84" s="17"/>
      <c r="H84" s="18"/>
      <c r="I84" s="19">
        <f t="shared" si="248"/>
        <v>0</v>
      </c>
      <c r="J84" s="16"/>
      <c r="K84" s="18"/>
      <c r="L84" s="19">
        <f t="shared" si="249"/>
        <v>0</v>
      </c>
      <c r="M84" s="16"/>
      <c r="N84" s="18"/>
      <c r="O84" s="19">
        <f t="shared" si="250"/>
        <v>0</v>
      </c>
      <c r="P84" s="16"/>
      <c r="Q84" s="18">
        <v>4</v>
      </c>
      <c r="R84" s="19">
        <f t="shared" si="251"/>
        <v>0.38439999999999996</v>
      </c>
      <c r="S84" s="20">
        <f t="shared" si="252"/>
        <v>4</v>
      </c>
      <c r="T84" s="19">
        <f t="shared" si="253"/>
        <v>0.38439999999999996</v>
      </c>
      <c r="U84" s="21">
        <f t="shared" si="254"/>
        <v>-4</v>
      </c>
      <c r="V84" s="19">
        <f t="shared" si="255"/>
        <v>-0.38439999999999996</v>
      </c>
      <c r="X84" s="29"/>
    </row>
    <row r="85" spans="1:24">
      <c r="A85" s="26" t="s">
        <v>13</v>
      </c>
      <c r="B85" s="26" t="s">
        <v>37</v>
      </c>
      <c r="C85" s="30">
        <v>9.61</v>
      </c>
      <c r="D85" s="27">
        <v>10.5</v>
      </c>
      <c r="E85" s="28"/>
      <c r="F85" s="16">
        <f t="shared" si="247"/>
        <v>0</v>
      </c>
      <c r="G85" s="17"/>
      <c r="H85" s="18"/>
      <c r="I85" s="19">
        <f t="shared" si="248"/>
        <v>0</v>
      </c>
      <c r="J85" s="16"/>
      <c r="K85" s="18"/>
      <c r="L85" s="19">
        <f t="shared" si="249"/>
        <v>0</v>
      </c>
      <c r="M85" s="16"/>
      <c r="N85" s="18"/>
      <c r="O85" s="19">
        <f t="shared" si="250"/>
        <v>0</v>
      </c>
      <c r="P85" s="16"/>
      <c r="Q85" s="18">
        <v>1</v>
      </c>
      <c r="R85" s="19">
        <f t="shared" si="251"/>
        <v>0.10090499999999999</v>
      </c>
      <c r="S85" s="20">
        <f t="shared" si="252"/>
        <v>1</v>
      </c>
      <c r="T85" s="19">
        <f t="shared" si="253"/>
        <v>0.10090499999999999</v>
      </c>
      <c r="U85" s="21">
        <f t="shared" si="254"/>
        <v>-1</v>
      </c>
      <c r="V85" s="19">
        <f t="shared" si="255"/>
        <v>-0.10090499999999999</v>
      </c>
      <c r="X85" s="29"/>
    </row>
    <row r="86" spans="1:24">
      <c r="A86" s="26" t="s">
        <v>13</v>
      </c>
      <c r="B86" s="26" t="s">
        <v>37</v>
      </c>
      <c r="C86" s="30">
        <v>9.61</v>
      </c>
      <c r="D86" s="27">
        <v>8.75</v>
      </c>
      <c r="E86" s="28"/>
      <c r="F86" s="16">
        <f t="shared" si="247"/>
        <v>0</v>
      </c>
      <c r="G86" s="17"/>
      <c r="H86" s="18"/>
      <c r="I86" s="19">
        <f t="shared" si="248"/>
        <v>0</v>
      </c>
      <c r="J86" s="16"/>
      <c r="K86" s="18"/>
      <c r="L86" s="19">
        <f t="shared" si="249"/>
        <v>0</v>
      </c>
      <c r="M86" s="16"/>
      <c r="N86" s="18"/>
      <c r="O86" s="19">
        <f t="shared" si="250"/>
        <v>0</v>
      </c>
      <c r="P86" s="16"/>
      <c r="Q86" s="18">
        <v>8</v>
      </c>
      <c r="R86" s="19">
        <f t="shared" si="251"/>
        <v>0.67269999999999996</v>
      </c>
      <c r="S86" s="20">
        <f t="shared" si="252"/>
        <v>8</v>
      </c>
      <c r="T86" s="19">
        <f t="shared" si="253"/>
        <v>0.67269999999999996</v>
      </c>
      <c r="U86" s="21">
        <f t="shared" si="254"/>
        <v>-8</v>
      </c>
      <c r="V86" s="19">
        <f t="shared" si="255"/>
        <v>-0.67269999999999996</v>
      </c>
      <c r="X86" s="29"/>
    </row>
    <row r="87" spans="1:24">
      <c r="A87" s="26" t="s">
        <v>13</v>
      </c>
      <c r="B87" s="26" t="s">
        <v>37</v>
      </c>
      <c r="C87" s="30">
        <v>9.61</v>
      </c>
      <c r="D87" s="27"/>
      <c r="E87" s="28"/>
      <c r="F87" s="16">
        <f t="shared" si="247"/>
        <v>0</v>
      </c>
      <c r="G87" s="17"/>
      <c r="H87" s="18"/>
      <c r="I87" s="19">
        <f t="shared" si="248"/>
        <v>0</v>
      </c>
      <c r="J87" s="16"/>
      <c r="K87" s="18"/>
      <c r="L87" s="19">
        <f t="shared" si="249"/>
        <v>0</v>
      </c>
      <c r="M87" s="16"/>
      <c r="N87" s="18"/>
      <c r="O87" s="19">
        <f t="shared" si="250"/>
        <v>0</v>
      </c>
      <c r="P87" s="16"/>
      <c r="Q87" s="18"/>
      <c r="R87" s="19">
        <f t="shared" si="251"/>
        <v>0</v>
      </c>
      <c r="S87" s="20">
        <f t="shared" si="252"/>
        <v>0</v>
      </c>
      <c r="T87" s="19">
        <f t="shared" si="253"/>
        <v>0</v>
      </c>
      <c r="U87" s="21">
        <f t="shared" si="254"/>
        <v>0</v>
      </c>
      <c r="V87" s="19">
        <f t="shared" si="255"/>
        <v>0</v>
      </c>
      <c r="X87" s="29"/>
    </row>
    <row r="88" spans="1:24">
      <c r="A88" s="26" t="s">
        <v>13</v>
      </c>
      <c r="B88" s="26" t="s">
        <v>37</v>
      </c>
      <c r="C88" s="30">
        <v>9.61</v>
      </c>
      <c r="D88" s="27"/>
      <c r="E88" s="28"/>
      <c r="F88" s="16">
        <f t="shared" si="247"/>
        <v>0</v>
      </c>
      <c r="G88" s="17"/>
      <c r="H88" s="18"/>
      <c r="I88" s="19">
        <f t="shared" si="248"/>
        <v>0</v>
      </c>
      <c r="J88" s="16"/>
      <c r="K88" s="18"/>
      <c r="L88" s="19">
        <f t="shared" si="249"/>
        <v>0</v>
      </c>
      <c r="M88" s="16"/>
      <c r="N88" s="18"/>
      <c r="O88" s="19">
        <f t="shared" si="250"/>
        <v>0</v>
      </c>
      <c r="P88" s="16"/>
      <c r="Q88" s="18"/>
      <c r="R88" s="19">
        <f t="shared" si="251"/>
        <v>0</v>
      </c>
      <c r="S88" s="20">
        <f t="shared" si="252"/>
        <v>0</v>
      </c>
      <c r="T88" s="19">
        <f t="shared" si="253"/>
        <v>0</v>
      </c>
      <c r="U88" s="21">
        <f t="shared" si="254"/>
        <v>0</v>
      </c>
      <c r="V88" s="19">
        <f t="shared" si="255"/>
        <v>0</v>
      </c>
      <c r="X88" s="29"/>
    </row>
    <row r="89" spans="1:24">
      <c r="A89" s="26" t="s">
        <v>13</v>
      </c>
      <c r="B89" s="26" t="s">
        <v>37</v>
      </c>
      <c r="C89" s="30">
        <v>9.61</v>
      </c>
      <c r="D89" s="27"/>
      <c r="E89" s="28"/>
      <c r="F89" s="16">
        <f t="shared" si="247"/>
        <v>0</v>
      </c>
      <c r="G89" s="17"/>
      <c r="H89" s="18"/>
      <c r="I89" s="19">
        <f t="shared" si="248"/>
        <v>0</v>
      </c>
      <c r="J89" s="16"/>
      <c r="K89" s="18"/>
      <c r="L89" s="19">
        <f t="shared" si="249"/>
        <v>0</v>
      </c>
      <c r="M89" s="16"/>
      <c r="N89" s="18"/>
      <c r="O89" s="19">
        <f t="shared" si="250"/>
        <v>0</v>
      </c>
      <c r="P89" s="16"/>
      <c r="Q89" s="18"/>
      <c r="R89" s="19">
        <f t="shared" si="251"/>
        <v>0</v>
      </c>
      <c r="S89" s="20">
        <f t="shared" si="252"/>
        <v>0</v>
      </c>
      <c r="T89" s="19">
        <f t="shared" si="253"/>
        <v>0</v>
      </c>
      <c r="U89" s="21">
        <f t="shared" si="254"/>
        <v>0</v>
      </c>
      <c r="V89" s="19">
        <f t="shared" si="255"/>
        <v>0</v>
      </c>
      <c r="X89" s="29"/>
    </row>
    <row r="90" spans="1:24">
      <c r="A90" s="26" t="s">
        <v>13</v>
      </c>
      <c r="B90" s="26" t="s">
        <v>37</v>
      </c>
      <c r="C90" s="30">
        <v>9.61</v>
      </c>
      <c r="D90" s="27"/>
      <c r="E90" s="28"/>
      <c r="F90" s="16">
        <f t="shared" si="240"/>
        <v>0</v>
      </c>
      <c r="G90" s="17"/>
      <c r="H90" s="18"/>
      <c r="I90" s="19">
        <f t="shared" si="241"/>
        <v>0</v>
      </c>
      <c r="J90" s="16"/>
      <c r="K90" s="18"/>
      <c r="L90" s="19">
        <f t="shared" si="242"/>
        <v>0</v>
      </c>
      <c r="M90" s="16"/>
      <c r="N90" s="18"/>
      <c r="O90" s="19">
        <f t="shared" si="243"/>
        <v>0</v>
      </c>
      <c r="P90" s="16"/>
      <c r="Q90" s="18"/>
      <c r="R90" s="19">
        <f t="shared" si="244"/>
        <v>0</v>
      </c>
      <c r="S90" s="20">
        <f t="shared" si="245"/>
        <v>0</v>
      </c>
      <c r="T90" s="19">
        <f t="shared" si="245"/>
        <v>0</v>
      </c>
      <c r="U90" s="21">
        <f t="shared" si="246"/>
        <v>0</v>
      </c>
      <c r="V90" s="19">
        <f t="shared" si="246"/>
        <v>0</v>
      </c>
      <c r="X90" s="29"/>
    </row>
    <row r="91" spans="1:24">
      <c r="A91" s="36"/>
      <c r="B91" s="36"/>
      <c r="C91" s="37"/>
      <c r="D91" s="38"/>
      <c r="E91" s="31">
        <f t="shared" ref="E91:F91" si="256">SUM(E74:E90)</f>
        <v>1225</v>
      </c>
      <c r="F91" s="38">
        <f t="shared" si="256"/>
        <v>109.11578399999999</v>
      </c>
      <c r="G91" s="17"/>
      <c r="H91" s="31">
        <f t="shared" ref="H91" si="257">SUM(H74:H90)</f>
        <v>464</v>
      </c>
      <c r="I91" s="38">
        <f t="shared" ref="I91" si="258">SUM(I74:I90)</f>
        <v>36.268139999999995</v>
      </c>
      <c r="J91" s="16"/>
      <c r="K91" s="31">
        <f t="shared" ref="K91" si="259">SUM(K74:K90)</f>
        <v>366</v>
      </c>
      <c r="L91" s="38">
        <f t="shared" ref="L91" si="260">SUM(L74:L90)</f>
        <v>32.686973500000001</v>
      </c>
      <c r="M91" s="16"/>
      <c r="N91" s="31">
        <f t="shared" ref="N91" si="261">SUM(N74:N90)</f>
        <v>271</v>
      </c>
      <c r="O91" s="38">
        <f t="shared" ref="O91" si="262">SUM(O74:O90)</f>
        <v>27.351501499999994</v>
      </c>
      <c r="P91" s="16"/>
      <c r="Q91" s="31">
        <f t="shared" ref="Q91" si="263">SUM(Q74:Q90)</f>
        <v>131</v>
      </c>
      <c r="R91" s="38">
        <f t="shared" ref="R91" si="264">SUM(R74:R90)</f>
        <v>12.970136499999999</v>
      </c>
      <c r="S91" s="31">
        <f t="shared" ref="S91" si="265">SUM(S74:S90)</f>
        <v>1232</v>
      </c>
      <c r="T91" s="38">
        <f t="shared" ref="T91" si="266">SUM(T74:T90)</f>
        <v>109.27675149999997</v>
      </c>
      <c r="U91" s="31">
        <f t="shared" ref="U91" si="267">SUM(U74:U90)</f>
        <v>-7</v>
      </c>
      <c r="V91" s="38">
        <f t="shared" ref="V91" si="268">SUM(V74:V90)</f>
        <v>-0.16096749999998738</v>
      </c>
      <c r="X91" s="29"/>
    </row>
    <row r="92" spans="1:24">
      <c r="A92" s="33"/>
      <c r="B92" s="33"/>
      <c r="C92" s="34"/>
      <c r="D92" s="34"/>
      <c r="E92" s="54">
        <f t="shared" ref="E92:F92" si="269">SUM(E91,E73,E68,E58,E56,E42,E35,E31,E29,E24,E13,E9)</f>
        <v>3427</v>
      </c>
      <c r="F92" s="55">
        <f t="shared" si="269"/>
        <v>432.15527199999997</v>
      </c>
      <c r="G92" s="26"/>
      <c r="H92" s="54">
        <f t="shared" ref="H92" si="270">SUM(H91,H73,H68,H58,H56,H42,H35,H31,H29,H24,H13,H9)</f>
        <v>1459</v>
      </c>
      <c r="I92" s="55">
        <f t="shared" ref="I92" si="271">SUM(I91,I73,I68,I58,I56,I42,I35,I31,I29,I24,I13,I9)</f>
        <v>183.753593</v>
      </c>
      <c r="J92" s="26"/>
      <c r="K92" s="54">
        <f t="shared" ref="K92" si="272">SUM(K91,K73,K68,K58,K56,K42,K35,K31,K29,K24,K13,K9)</f>
        <v>1068</v>
      </c>
      <c r="L92" s="55">
        <f t="shared" ref="L92" si="273">SUM(L91,L73,L68,L58,L56,L42,L35,L31,L29,L24,L13,L9)</f>
        <v>138.64570250000003</v>
      </c>
      <c r="M92" s="26"/>
      <c r="N92" s="54">
        <f t="shared" ref="N92" si="274">SUM(N91,N73,N68,N58,N56,N42,N35,N31,N29,N24,N13,N9)</f>
        <v>693</v>
      </c>
      <c r="O92" s="55">
        <f t="shared" ref="O92" si="275">SUM(O91,O73,O68,O58,O56,O42,O35,O31,O29,O24,O13,O9)</f>
        <v>86.453712499999995</v>
      </c>
      <c r="P92" s="26"/>
      <c r="Q92" s="54">
        <f t="shared" ref="Q92" si="276">SUM(Q91,Q73,Q68,Q58,Q56,Q42,Q35,Q31,Q29,Q24,Q13,Q9)</f>
        <v>219</v>
      </c>
      <c r="R92" s="55">
        <f t="shared" ref="R92" si="277">SUM(R91,R73,R68,R58,R56,R42,R35,R31,R29,R24,R13,R9)</f>
        <v>24.125283500000002</v>
      </c>
      <c r="S92" s="54">
        <f t="shared" ref="S92" si="278">SUM(S91,S73,S68,S58,S56,S42,S35,S31,S29,S24,S13,S9)</f>
        <v>3439</v>
      </c>
      <c r="T92" s="55">
        <f t="shared" ref="T92" si="279">SUM(T91,T73,T68,T58,T56,T42,T35,T31,T29,T24,T13,T9)</f>
        <v>432.9782914999999</v>
      </c>
      <c r="U92" s="54">
        <f t="shared" ref="U92" si="280">SUM(U91,U73,U68,U58,U56,U42,U35,U31,U29,U24,U13,U9)</f>
        <v>-12</v>
      </c>
      <c r="V92" s="55">
        <f t="shared" ref="V92" si="281">SUM(V91,V73,V68,V58,V56,V42,V35,V31,V29,V24,V13,V9)</f>
        <v>-0.82301949999999102</v>
      </c>
    </row>
    <row r="107" spans="18:18">
      <c r="R107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6"/>
  <dimension ref="A1:X214"/>
  <sheetViews>
    <sheetView zoomScale="75" zoomScaleNormal="75" workbookViewId="0">
      <pane ySplit="5" topLeftCell="A18" activePane="bottomLeft" state="frozen"/>
      <selection pane="bottomLeft" activeCell="P26" sqref="P26:P2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246</v>
      </c>
      <c r="H1" s="144"/>
      <c r="I1" s="145" t="s">
        <v>269</v>
      </c>
      <c r="J1" s="144"/>
      <c r="K1" s="3"/>
      <c r="L1" s="4"/>
      <c r="M1" s="4"/>
      <c r="N1" s="3"/>
      <c r="O1" s="4"/>
      <c r="P1" s="146" t="str">
        <f>+F2</f>
        <v>LOI-495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261</v>
      </c>
      <c r="B2" s="8"/>
      <c r="C2" s="9"/>
      <c r="D2" s="9"/>
      <c r="E2" s="10"/>
      <c r="F2" s="146" t="s">
        <v>268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LOI-495  03.07.23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61</v>
      </c>
      <c r="C6" s="30">
        <v>12.2</v>
      </c>
      <c r="D6" s="27">
        <v>6.9</v>
      </c>
      <c r="E6" s="28">
        <v>57</v>
      </c>
      <c r="F6" s="16">
        <f t="shared" ref="F6:F15" si="0">(C6*D6*E6/1000)</f>
        <v>4.7982599999999991</v>
      </c>
      <c r="G6" s="17" t="s">
        <v>111</v>
      </c>
      <c r="H6" s="18">
        <v>45</v>
      </c>
      <c r="I6" s="19">
        <f t="shared" ref="I6:I15" si="1">(C6*D6*H6/1000)</f>
        <v>3.7880999999999996</v>
      </c>
      <c r="J6" s="17" t="s">
        <v>88</v>
      </c>
      <c r="K6" s="18">
        <v>14</v>
      </c>
      <c r="L6" s="19">
        <f t="shared" ref="L6:L15" si="2">(C6*D6*K6/1000)</f>
        <v>1.17852</v>
      </c>
      <c r="M6" s="16" t="s">
        <v>293</v>
      </c>
      <c r="N6" s="18"/>
      <c r="O6" s="19">
        <f t="shared" ref="O6:O15" si="3">(C6*D6*N6/1000)</f>
        <v>0</v>
      </c>
      <c r="P6" s="16"/>
      <c r="Q6" s="18"/>
      <c r="R6" s="19">
        <f t="shared" ref="R6:R15" si="4">(C6*D6*Q6/1000)</f>
        <v>0</v>
      </c>
      <c r="S6" s="20">
        <f t="shared" ref="S6:S15" si="5">+H6+K6+Q6+N6</f>
        <v>59</v>
      </c>
      <c r="T6" s="19">
        <f t="shared" ref="T6:T15" si="6">+I6+L6+R6+O6</f>
        <v>4.9666199999999998</v>
      </c>
      <c r="U6" s="21">
        <f t="shared" ref="U6:U15" si="7">E6-S6</f>
        <v>-2</v>
      </c>
      <c r="V6" s="19">
        <f t="shared" ref="V6:V15" si="8">F6-T6</f>
        <v>-0.16836000000000073</v>
      </c>
      <c r="X6" s="29"/>
    </row>
    <row r="7" spans="1:24">
      <c r="A7" s="26" t="s">
        <v>13</v>
      </c>
      <c r="B7" s="26" t="s">
        <v>61</v>
      </c>
      <c r="C7" s="30">
        <v>12.2</v>
      </c>
      <c r="D7" s="27">
        <v>9</v>
      </c>
      <c r="E7" s="28">
        <v>9</v>
      </c>
      <c r="F7" s="16">
        <f t="shared" si="0"/>
        <v>0.98819999999999997</v>
      </c>
      <c r="G7" s="17" t="s">
        <v>291</v>
      </c>
      <c r="H7" s="18"/>
      <c r="I7" s="19">
        <f t="shared" si="1"/>
        <v>0</v>
      </c>
      <c r="J7" s="17" t="s">
        <v>291</v>
      </c>
      <c r="K7" s="18"/>
      <c r="L7" s="19">
        <f t="shared" si="2"/>
        <v>0</v>
      </c>
      <c r="M7" s="16" t="s">
        <v>294</v>
      </c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6"/>
        <v>0</v>
      </c>
      <c r="U7" s="21">
        <f t="shared" si="7"/>
        <v>9</v>
      </c>
      <c r="V7" s="19">
        <f t="shared" si="8"/>
        <v>0.98819999999999997</v>
      </c>
      <c r="X7" s="29"/>
    </row>
    <row r="8" spans="1:24">
      <c r="A8" s="26" t="s">
        <v>13</v>
      </c>
      <c r="B8" s="26" t="s">
        <v>61</v>
      </c>
      <c r="C8" s="30">
        <v>12.2</v>
      </c>
      <c r="D8" s="27">
        <v>9.3000000000000007</v>
      </c>
      <c r="E8" s="28">
        <v>52</v>
      </c>
      <c r="F8" s="16">
        <f t="shared" si="0"/>
        <v>5.8999199999999998</v>
      </c>
      <c r="G8" s="17"/>
      <c r="H8" s="18">
        <v>29</v>
      </c>
      <c r="I8" s="19">
        <f t="shared" si="1"/>
        <v>3.29034</v>
      </c>
      <c r="J8" s="16"/>
      <c r="K8" s="18">
        <v>23</v>
      </c>
      <c r="L8" s="19">
        <f t="shared" si="2"/>
        <v>2.6095800000000002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52</v>
      </c>
      <c r="T8" s="19">
        <f t="shared" si="6"/>
        <v>5.8999199999999998</v>
      </c>
      <c r="U8" s="21">
        <f t="shared" si="7"/>
        <v>0</v>
      </c>
      <c r="V8" s="19">
        <f t="shared" si="8"/>
        <v>0</v>
      </c>
      <c r="X8" s="29"/>
    </row>
    <row r="9" spans="1:24">
      <c r="A9" s="26" t="s">
        <v>13</v>
      </c>
      <c r="B9" s="26" t="s">
        <v>61</v>
      </c>
      <c r="C9" s="30">
        <v>12.2</v>
      </c>
      <c r="D9" s="27">
        <v>9.5</v>
      </c>
      <c r="E9" s="28">
        <v>26</v>
      </c>
      <c r="F9" s="16">
        <f t="shared" si="0"/>
        <v>3.0133999999999999</v>
      </c>
      <c r="G9" s="17"/>
      <c r="H9" s="18">
        <v>14</v>
      </c>
      <c r="I9" s="19">
        <f t="shared" si="1"/>
        <v>1.6225999999999998</v>
      </c>
      <c r="J9" s="16"/>
      <c r="K9" s="18">
        <v>21</v>
      </c>
      <c r="L9" s="19">
        <f t="shared" si="2"/>
        <v>2.4338999999999995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35</v>
      </c>
      <c r="T9" s="19">
        <f t="shared" si="6"/>
        <v>4.0564999999999998</v>
      </c>
      <c r="U9" s="21">
        <f t="shared" si="7"/>
        <v>-9</v>
      </c>
      <c r="V9" s="19">
        <f t="shared" si="8"/>
        <v>-1.0430999999999999</v>
      </c>
      <c r="X9" s="29"/>
    </row>
    <row r="10" spans="1:24">
      <c r="A10" s="26" t="s">
        <v>13</v>
      </c>
      <c r="B10" s="26" t="s">
        <v>61</v>
      </c>
      <c r="C10" s="30">
        <v>12.2</v>
      </c>
      <c r="D10" s="27">
        <v>11.5</v>
      </c>
      <c r="E10" s="28">
        <v>34</v>
      </c>
      <c r="F10" s="16">
        <f t="shared" si="0"/>
        <v>4.7702</v>
      </c>
      <c r="G10" s="17"/>
      <c r="H10" s="18"/>
      <c r="I10" s="19">
        <f t="shared" si="1"/>
        <v>0</v>
      </c>
      <c r="J10" s="16"/>
      <c r="K10" s="18">
        <f>12+18</f>
        <v>30</v>
      </c>
      <c r="L10" s="19">
        <f t="shared" si="2"/>
        <v>4.2089999999999987</v>
      </c>
      <c r="M10" s="16"/>
      <c r="N10" s="18">
        <v>1</v>
      </c>
      <c r="O10" s="19">
        <f t="shared" si="3"/>
        <v>0.14029999999999998</v>
      </c>
      <c r="P10" s="16"/>
      <c r="Q10" s="18"/>
      <c r="R10" s="19">
        <f t="shared" si="4"/>
        <v>0</v>
      </c>
      <c r="S10" s="20">
        <f t="shared" si="5"/>
        <v>31</v>
      </c>
      <c r="T10" s="19">
        <f t="shared" si="6"/>
        <v>4.3492999999999986</v>
      </c>
      <c r="U10" s="21">
        <f t="shared" si="7"/>
        <v>3</v>
      </c>
      <c r="V10" s="19">
        <f t="shared" si="8"/>
        <v>0.42090000000000138</v>
      </c>
      <c r="X10" s="29"/>
    </row>
    <row r="11" spans="1:24">
      <c r="A11" s="26" t="s">
        <v>13</v>
      </c>
      <c r="B11" s="26" t="s">
        <v>61</v>
      </c>
      <c r="C11" s="30">
        <v>12.2</v>
      </c>
      <c r="D11" s="27">
        <v>12</v>
      </c>
      <c r="E11" s="28">
        <v>35</v>
      </c>
      <c r="F11" s="16">
        <f t="shared" ref="F11:F14" si="9">(C11*D11*E11/1000)</f>
        <v>5.1239999999999988</v>
      </c>
      <c r="G11" s="17"/>
      <c r="H11" s="18"/>
      <c r="I11" s="19">
        <f t="shared" ref="I11:I14" si="10">(C11*D11*H11/1000)</f>
        <v>0</v>
      </c>
      <c r="J11" s="16"/>
      <c r="K11" s="18">
        <v>32</v>
      </c>
      <c r="L11" s="19">
        <f t="shared" ref="L11:L14" si="11">(C11*D11*K11/1000)</f>
        <v>4.6847999999999992</v>
      </c>
      <c r="M11" s="16"/>
      <c r="N11" s="18"/>
      <c r="O11" s="19">
        <f t="shared" ref="O11:O14" si="12">(C11*D11*N11/1000)</f>
        <v>0</v>
      </c>
      <c r="P11" s="16"/>
      <c r="Q11" s="18"/>
      <c r="R11" s="19">
        <f t="shared" ref="R11:R14" si="13">(C11*D11*Q11/1000)</f>
        <v>0</v>
      </c>
      <c r="S11" s="20">
        <f t="shared" ref="S11:S14" si="14">+H11+K11+Q11+N11</f>
        <v>32</v>
      </c>
      <c r="T11" s="19">
        <f t="shared" ref="T11:T14" si="15">+I11+L11+R11+O11</f>
        <v>4.6847999999999992</v>
      </c>
      <c r="U11" s="21">
        <f t="shared" ref="U11:U14" si="16">E11-S11</f>
        <v>3</v>
      </c>
      <c r="V11" s="19">
        <f t="shared" ref="V11:V14" si="17">F11-T11</f>
        <v>0.43919999999999959</v>
      </c>
      <c r="X11" s="29"/>
    </row>
    <row r="12" spans="1:24">
      <c r="A12" s="26" t="s">
        <v>13</v>
      </c>
      <c r="B12" s="26" t="s">
        <v>61</v>
      </c>
      <c r="C12" s="30">
        <v>12.2</v>
      </c>
      <c r="D12" s="27">
        <v>8.5</v>
      </c>
      <c r="E12" s="28"/>
      <c r="F12" s="16">
        <f t="shared" si="9"/>
        <v>0</v>
      </c>
      <c r="G12" s="17"/>
      <c r="H12" s="18"/>
      <c r="I12" s="19">
        <f t="shared" si="10"/>
        <v>0</v>
      </c>
      <c r="J12" s="16"/>
      <c r="K12" s="18"/>
      <c r="L12" s="19">
        <f t="shared" si="11"/>
        <v>0</v>
      </c>
      <c r="M12" s="16"/>
      <c r="N12" s="18">
        <v>4</v>
      </c>
      <c r="O12" s="19">
        <f t="shared" si="12"/>
        <v>0.41479999999999995</v>
      </c>
      <c r="P12" s="16"/>
      <c r="Q12" s="18"/>
      <c r="R12" s="19">
        <f t="shared" si="13"/>
        <v>0</v>
      </c>
      <c r="S12" s="20">
        <f t="shared" si="14"/>
        <v>4</v>
      </c>
      <c r="T12" s="19">
        <f t="shared" si="15"/>
        <v>0.41479999999999995</v>
      </c>
      <c r="U12" s="21">
        <f t="shared" si="16"/>
        <v>-4</v>
      </c>
      <c r="V12" s="19">
        <f t="shared" si="17"/>
        <v>-0.41479999999999995</v>
      </c>
      <c r="X12" s="29"/>
    </row>
    <row r="13" spans="1:24">
      <c r="A13" s="26" t="s">
        <v>13</v>
      </c>
      <c r="B13" s="26" t="s">
        <v>61</v>
      </c>
      <c r="C13" s="30">
        <v>12.2</v>
      </c>
      <c r="D13" s="27">
        <v>6</v>
      </c>
      <c r="E13" s="28"/>
      <c r="F13" s="16">
        <f t="shared" si="9"/>
        <v>0</v>
      </c>
      <c r="G13" s="17"/>
      <c r="H13" s="18"/>
      <c r="I13" s="19">
        <f t="shared" si="10"/>
        <v>0</v>
      </c>
      <c r="J13" s="16"/>
      <c r="K13" s="18"/>
      <c r="L13" s="19">
        <f t="shared" si="11"/>
        <v>0</v>
      </c>
      <c r="M13" s="16"/>
      <c r="N13" s="18">
        <v>1</v>
      </c>
      <c r="O13" s="19">
        <f t="shared" si="12"/>
        <v>7.3199999999999987E-2</v>
      </c>
      <c r="P13" s="16"/>
      <c r="Q13" s="18"/>
      <c r="R13" s="19">
        <f t="shared" si="13"/>
        <v>0</v>
      </c>
      <c r="S13" s="20">
        <f t="shared" si="14"/>
        <v>1</v>
      </c>
      <c r="T13" s="19">
        <f t="shared" si="15"/>
        <v>7.3199999999999987E-2</v>
      </c>
      <c r="U13" s="21">
        <f t="shared" si="16"/>
        <v>-1</v>
      </c>
      <c r="V13" s="19">
        <f t="shared" si="17"/>
        <v>-7.3199999999999987E-2</v>
      </c>
      <c r="X13" s="29"/>
    </row>
    <row r="14" spans="1:24">
      <c r="A14" s="26" t="s">
        <v>13</v>
      </c>
      <c r="B14" s="26" t="s">
        <v>61</v>
      </c>
      <c r="C14" s="30">
        <v>12.2</v>
      </c>
      <c r="D14" s="27">
        <v>6.7</v>
      </c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/>
      <c r="L14" s="19">
        <f t="shared" si="11"/>
        <v>0</v>
      </c>
      <c r="M14" s="16"/>
      <c r="N14" s="18">
        <v>1</v>
      </c>
      <c r="O14" s="19">
        <f t="shared" si="12"/>
        <v>8.1739999999999993E-2</v>
      </c>
      <c r="P14" s="16"/>
      <c r="Q14" s="18"/>
      <c r="R14" s="19">
        <f t="shared" si="13"/>
        <v>0</v>
      </c>
      <c r="S14" s="20">
        <f t="shared" si="14"/>
        <v>1</v>
      </c>
      <c r="T14" s="19">
        <f t="shared" si="15"/>
        <v>8.1739999999999993E-2</v>
      </c>
      <c r="U14" s="21">
        <f t="shared" si="16"/>
        <v>-1</v>
      </c>
      <c r="V14" s="19">
        <f t="shared" si="17"/>
        <v>-8.1739999999999993E-2</v>
      </c>
      <c r="X14" s="29"/>
    </row>
    <row r="15" spans="1:24">
      <c r="A15" s="26" t="s">
        <v>13</v>
      </c>
      <c r="B15" s="26" t="s">
        <v>61</v>
      </c>
      <c r="C15" s="30">
        <v>12.2</v>
      </c>
      <c r="D15" s="27">
        <v>6.3</v>
      </c>
      <c r="E15" s="28"/>
      <c r="F15" s="16">
        <f t="shared" si="0"/>
        <v>0</v>
      </c>
      <c r="G15" s="17"/>
      <c r="H15" s="18"/>
      <c r="I15" s="19">
        <f t="shared" si="1"/>
        <v>0</v>
      </c>
      <c r="J15" s="16"/>
      <c r="K15" s="18"/>
      <c r="L15" s="19">
        <f t="shared" si="2"/>
        <v>0</v>
      </c>
      <c r="M15" s="16"/>
      <c r="N15" s="18">
        <v>1</v>
      </c>
      <c r="O15" s="19">
        <f t="shared" si="3"/>
        <v>7.6859999999999998E-2</v>
      </c>
      <c r="P15" s="16"/>
      <c r="Q15" s="18"/>
      <c r="R15" s="19">
        <f t="shared" si="4"/>
        <v>0</v>
      </c>
      <c r="S15" s="20">
        <f t="shared" si="5"/>
        <v>1</v>
      </c>
      <c r="T15" s="19">
        <f t="shared" si="6"/>
        <v>7.6859999999999998E-2</v>
      </c>
      <c r="U15" s="21">
        <f t="shared" si="7"/>
        <v>-1</v>
      </c>
      <c r="V15" s="19">
        <f t="shared" si="8"/>
        <v>-7.6859999999999998E-2</v>
      </c>
      <c r="X15" s="29"/>
    </row>
    <row r="16" spans="1:24">
      <c r="A16" s="36"/>
      <c r="B16" s="36"/>
      <c r="C16" s="37"/>
      <c r="D16" s="38"/>
      <c r="E16" s="31">
        <f>SUM(E6:E15)</f>
        <v>213</v>
      </c>
      <c r="F16" s="38">
        <f t="shared" ref="F16" si="18">SUM(F6:F15)</f>
        <v>24.593979999999998</v>
      </c>
      <c r="G16" s="17"/>
      <c r="H16" s="31">
        <f>SUM(H6:H15)</f>
        <v>88</v>
      </c>
      <c r="I16" s="38">
        <f t="shared" ref="I16" si="19">SUM(I6:I15)</f>
        <v>8.701039999999999</v>
      </c>
      <c r="J16" s="16"/>
      <c r="K16" s="31">
        <f>SUM(K6:K15)</f>
        <v>120</v>
      </c>
      <c r="L16" s="38">
        <f t="shared" ref="L16" si="20">SUM(L6:L15)</f>
        <v>15.115799999999997</v>
      </c>
      <c r="M16" s="16"/>
      <c r="N16" s="31">
        <f>SUM(N6:N15)</f>
        <v>8</v>
      </c>
      <c r="O16" s="38">
        <f t="shared" ref="O16" si="21">SUM(O6:O15)</f>
        <v>0.78689999999999993</v>
      </c>
      <c r="P16" s="16"/>
      <c r="Q16" s="31">
        <f>SUM(Q6:Q15)</f>
        <v>0</v>
      </c>
      <c r="R16" s="38">
        <f t="shared" ref="R16" si="22">SUM(R6:R15)</f>
        <v>0</v>
      </c>
      <c r="S16" s="31">
        <f>SUM(S6:S15)</f>
        <v>216</v>
      </c>
      <c r="T16" s="38">
        <f t="shared" ref="T16" si="23">SUM(T6:T15)</f>
        <v>24.603739999999998</v>
      </c>
      <c r="U16" s="31">
        <f>SUM(U6:U15)</f>
        <v>-3</v>
      </c>
      <c r="V16" s="38">
        <f t="shared" ref="V16" si="24">SUM(V6:V15)</f>
        <v>-9.7599999999996301E-3</v>
      </c>
      <c r="X16" s="29"/>
    </row>
    <row r="17" spans="1:24">
      <c r="A17" s="26" t="s">
        <v>13</v>
      </c>
      <c r="B17" s="26" t="s">
        <v>18</v>
      </c>
      <c r="C17" s="30">
        <v>16.600000000000001</v>
      </c>
      <c r="D17" s="27">
        <v>6.2</v>
      </c>
      <c r="E17" s="28">
        <v>14</v>
      </c>
      <c r="F17" s="16">
        <f t="shared" ref="F17:F24" si="25">(C17*D17*E17/1000)</f>
        <v>1.4408800000000002</v>
      </c>
      <c r="G17" s="17" t="s">
        <v>325</v>
      </c>
      <c r="H17" s="18">
        <v>7</v>
      </c>
      <c r="I17" s="19">
        <f t="shared" ref="I17:I24" si="26">(C17*D17*H17/1000)</f>
        <v>0.72044000000000008</v>
      </c>
      <c r="J17" s="17" t="s">
        <v>295</v>
      </c>
      <c r="K17" s="18"/>
      <c r="L17" s="19">
        <f t="shared" ref="L17:L24" si="27">(C17*D17*K17/1000)</f>
        <v>0</v>
      </c>
      <c r="M17" s="17" t="s">
        <v>295</v>
      </c>
      <c r="N17" s="18"/>
      <c r="O17" s="19">
        <f t="shared" ref="O17:O24" si="28">(C17*D17*N17/1000)</f>
        <v>0</v>
      </c>
      <c r="P17" s="16" t="s">
        <v>93</v>
      </c>
      <c r="Q17" s="18">
        <v>10</v>
      </c>
      <c r="R17" s="19">
        <f t="shared" ref="R17:R24" si="29">(C17*D17*Q17/1000)</f>
        <v>1.0292000000000003</v>
      </c>
      <c r="S17" s="20">
        <f t="shared" ref="S17:S24" si="30">+H17+K17+Q17+N17</f>
        <v>17</v>
      </c>
      <c r="T17" s="19">
        <f t="shared" ref="T17:T24" si="31">+I17+L17+R17+O17</f>
        <v>1.7496400000000003</v>
      </c>
      <c r="U17" s="21">
        <f t="shared" ref="U17:U24" si="32">E17-S17</f>
        <v>-3</v>
      </c>
      <c r="V17" s="19">
        <f t="shared" ref="V17:V24" si="33">F17-T17</f>
        <v>-0.30876000000000015</v>
      </c>
      <c r="X17" s="29"/>
    </row>
    <row r="18" spans="1:24">
      <c r="A18" s="26" t="s">
        <v>13</v>
      </c>
      <c r="B18" s="26" t="s">
        <v>18</v>
      </c>
      <c r="C18" s="30">
        <v>16.600000000000001</v>
      </c>
      <c r="D18" s="27">
        <v>7</v>
      </c>
      <c r="E18" s="28">
        <v>64</v>
      </c>
      <c r="F18" s="16">
        <f t="shared" si="25"/>
        <v>7.4368000000000007</v>
      </c>
      <c r="G18" s="17" t="s">
        <v>399</v>
      </c>
      <c r="H18" s="18">
        <v>37</v>
      </c>
      <c r="I18" s="19">
        <f t="shared" si="26"/>
        <v>4.2994000000000003</v>
      </c>
      <c r="J18" s="17" t="s">
        <v>399</v>
      </c>
      <c r="K18" s="18">
        <f>8+19</f>
        <v>27</v>
      </c>
      <c r="L18" s="19">
        <f t="shared" si="27"/>
        <v>3.1374000000000004</v>
      </c>
      <c r="M18" s="17" t="s">
        <v>401</v>
      </c>
      <c r="N18" s="18"/>
      <c r="O18" s="19">
        <f t="shared" si="28"/>
        <v>0</v>
      </c>
      <c r="P18" s="16" t="s">
        <v>409</v>
      </c>
      <c r="Q18" s="18">
        <v>8</v>
      </c>
      <c r="R18" s="19">
        <f t="shared" si="29"/>
        <v>0.92960000000000009</v>
      </c>
      <c r="S18" s="20">
        <f t="shared" si="30"/>
        <v>72</v>
      </c>
      <c r="T18" s="19">
        <f t="shared" si="31"/>
        <v>8.3664000000000005</v>
      </c>
      <c r="U18" s="21">
        <f t="shared" si="32"/>
        <v>-8</v>
      </c>
      <c r="V18" s="19">
        <f t="shared" si="33"/>
        <v>-0.92959999999999976</v>
      </c>
      <c r="X18" s="29"/>
    </row>
    <row r="19" spans="1:24">
      <c r="A19" s="26" t="s">
        <v>13</v>
      </c>
      <c r="B19" s="26" t="s">
        <v>18</v>
      </c>
      <c r="C19" s="30">
        <v>16.600000000000001</v>
      </c>
      <c r="D19" s="27">
        <v>7.8</v>
      </c>
      <c r="E19" s="28">
        <v>17</v>
      </c>
      <c r="F19" s="16">
        <f t="shared" si="25"/>
        <v>2.2011600000000002</v>
      </c>
      <c r="G19" s="17"/>
      <c r="H19" s="18"/>
      <c r="I19" s="19">
        <f t="shared" si="26"/>
        <v>0</v>
      </c>
      <c r="J19" s="16"/>
      <c r="K19" s="18">
        <v>12</v>
      </c>
      <c r="L19" s="19">
        <f t="shared" si="27"/>
        <v>1.5537600000000003</v>
      </c>
      <c r="M19" s="16"/>
      <c r="N19" s="18"/>
      <c r="O19" s="19">
        <f t="shared" si="28"/>
        <v>0</v>
      </c>
      <c r="P19" s="16"/>
      <c r="Q19" s="18"/>
      <c r="R19" s="19">
        <f t="shared" si="29"/>
        <v>0</v>
      </c>
      <c r="S19" s="20">
        <f t="shared" si="30"/>
        <v>12</v>
      </c>
      <c r="T19" s="19">
        <f t="shared" si="31"/>
        <v>1.5537600000000003</v>
      </c>
      <c r="U19" s="21">
        <f t="shared" si="32"/>
        <v>5</v>
      </c>
      <c r="V19" s="19">
        <f t="shared" si="33"/>
        <v>0.64739999999999998</v>
      </c>
      <c r="X19" s="29"/>
    </row>
    <row r="20" spans="1:24">
      <c r="A20" s="26" t="s">
        <v>13</v>
      </c>
      <c r="B20" s="26" t="s">
        <v>18</v>
      </c>
      <c r="C20" s="30">
        <v>16.600000000000001</v>
      </c>
      <c r="D20" s="27">
        <v>8</v>
      </c>
      <c r="E20" s="28">
        <v>64</v>
      </c>
      <c r="F20" s="16">
        <f t="shared" si="25"/>
        <v>8.4992000000000001</v>
      </c>
      <c r="G20" s="17"/>
      <c r="H20" s="18">
        <v>41</v>
      </c>
      <c r="I20" s="19">
        <f t="shared" si="26"/>
        <v>5.4447999999999999</v>
      </c>
      <c r="J20" s="16"/>
      <c r="K20" s="18">
        <v>21</v>
      </c>
      <c r="L20" s="19">
        <f t="shared" si="27"/>
        <v>2.7888000000000002</v>
      </c>
      <c r="M20" s="16"/>
      <c r="N20" s="18"/>
      <c r="O20" s="19">
        <f t="shared" si="28"/>
        <v>0</v>
      </c>
      <c r="P20" s="16"/>
      <c r="Q20" s="18">
        <v>3</v>
      </c>
      <c r="R20" s="19">
        <f t="shared" si="29"/>
        <v>0.39840000000000003</v>
      </c>
      <c r="S20" s="20">
        <f t="shared" si="30"/>
        <v>65</v>
      </c>
      <c r="T20" s="19">
        <f t="shared" si="31"/>
        <v>8.6319999999999997</v>
      </c>
      <c r="U20" s="21">
        <f t="shared" si="32"/>
        <v>-1</v>
      </c>
      <c r="V20" s="19">
        <f t="shared" si="33"/>
        <v>-0.13279999999999959</v>
      </c>
      <c r="X20" s="29"/>
    </row>
    <row r="21" spans="1:24">
      <c r="A21" s="26" t="s">
        <v>13</v>
      </c>
      <c r="B21" s="26" t="s">
        <v>18</v>
      </c>
      <c r="C21" s="30">
        <v>16.600000000000001</v>
      </c>
      <c r="D21" s="27">
        <v>10.4</v>
      </c>
      <c r="E21" s="28">
        <v>8</v>
      </c>
      <c r="F21" s="16">
        <f t="shared" si="25"/>
        <v>1.3811200000000001</v>
      </c>
      <c r="G21" s="17"/>
      <c r="H21" s="18"/>
      <c r="I21" s="19">
        <f t="shared" si="26"/>
        <v>0</v>
      </c>
      <c r="J21" s="16"/>
      <c r="K21" s="18">
        <v>1</v>
      </c>
      <c r="L21" s="19">
        <f t="shared" si="27"/>
        <v>0.17264000000000002</v>
      </c>
      <c r="M21" s="16"/>
      <c r="N21" s="18"/>
      <c r="O21" s="19">
        <f t="shared" si="28"/>
        <v>0</v>
      </c>
      <c r="P21" s="16"/>
      <c r="Q21" s="18"/>
      <c r="R21" s="19">
        <f t="shared" si="29"/>
        <v>0</v>
      </c>
      <c r="S21" s="20">
        <f t="shared" si="30"/>
        <v>1</v>
      </c>
      <c r="T21" s="19">
        <f t="shared" si="31"/>
        <v>0.17264000000000002</v>
      </c>
      <c r="U21" s="21">
        <f t="shared" si="32"/>
        <v>7</v>
      </c>
      <c r="V21" s="19">
        <f t="shared" si="33"/>
        <v>1.2084800000000002</v>
      </c>
      <c r="X21" s="29"/>
    </row>
    <row r="22" spans="1:24">
      <c r="A22" s="26" t="s">
        <v>13</v>
      </c>
      <c r="B22" s="26" t="s">
        <v>18</v>
      </c>
      <c r="C22" s="30">
        <v>16.600000000000001</v>
      </c>
      <c r="D22" s="27">
        <v>10.5</v>
      </c>
      <c r="E22" s="28">
        <v>28</v>
      </c>
      <c r="F22" s="16">
        <f t="shared" si="25"/>
        <v>4.8804000000000007</v>
      </c>
      <c r="G22" s="17"/>
      <c r="H22" s="18">
        <v>15</v>
      </c>
      <c r="I22" s="19">
        <f t="shared" si="26"/>
        <v>2.6145</v>
      </c>
      <c r="J22" s="16"/>
      <c r="K22" s="18">
        <v>11</v>
      </c>
      <c r="L22" s="19">
        <f t="shared" si="27"/>
        <v>1.9173000000000002</v>
      </c>
      <c r="M22" s="16"/>
      <c r="N22" s="18"/>
      <c r="O22" s="19">
        <f t="shared" si="28"/>
        <v>0</v>
      </c>
      <c r="P22" s="16"/>
      <c r="Q22" s="18">
        <v>4</v>
      </c>
      <c r="R22" s="19">
        <f t="shared" si="29"/>
        <v>0.69720000000000004</v>
      </c>
      <c r="S22" s="20">
        <f t="shared" si="30"/>
        <v>30</v>
      </c>
      <c r="T22" s="19">
        <f t="shared" si="31"/>
        <v>5.229000000000001</v>
      </c>
      <c r="U22" s="21">
        <f t="shared" si="32"/>
        <v>-2</v>
      </c>
      <c r="V22" s="19">
        <f t="shared" si="33"/>
        <v>-0.34860000000000024</v>
      </c>
      <c r="X22" s="29"/>
    </row>
    <row r="23" spans="1:24">
      <c r="A23" s="26" t="s">
        <v>13</v>
      </c>
      <c r="B23" s="26" t="s">
        <v>18</v>
      </c>
      <c r="C23" s="30">
        <v>16.600000000000001</v>
      </c>
      <c r="D23" s="27">
        <v>11</v>
      </c>
      <c r="E23" s="28">
        <v>64</v>
      </c>
      <c r="F23" s="16">
        <f t="shared" si="25"/>
        <v>11.686400000000001</v>
      </c>
      <c r="G23" s="17"/>
      <c r="H23" s="18">
        <v>31</v>
      </c>
      <c r="I23" s="19">
        <f t="shared" si="26"/>
        <v>5.6606000000000005</v>
      </c>
      <c r="J23" s="16"/>
      <c r="K23" s="18"/>
      <c r="L23" s="19">
        <f t="shared" si="27"/>
        <v>0</v>
      </c>
      <c r="M23" s="16"/>
      <c r="N23" s="18">
        <v>18</v>
      </c>
      <c r="O23" s="19">
        <f t="shared" si="28"/>
        <v>3.2868000000000004</v>
      </c>
      <c r="P23" s="16"/>
      <c r="Q23" s="18">
        <v>16</v>
      </c>
      <c r="R23" s="19">
        <f t="shared" si="29"/>
        <v>2.9216000000000002</v>
      </c>
      <c r="S23" s="20">
        <f t="shared" si="30"/>
        <v>65</v>
      </c>
      <c r="T23" s="19">
        <f t="shared" si="31"/>
        <v>11.869</v>
      </c>
      <c r="U23" s="21">
        <f t="shared" si="32"/>
        <v>-1</v>
      </c>
      <c r="V23" s="19">
        <f t="shared" si="33"/>
        <v>-0.18259999999999899</v>
      </c>
      <c r="X23" s="29"/>
    </row>
    <row r="24" spans="1:24">
      <c r="A24" s="26" t="s">
        <v>13</v>
      </c>
      <c r="B24" s="26" t="s">
        <v>18</v>
      </c>
      <c r="C24" s="30">
        <v>16.600000000000001</v>
      </c>
      <c r="D24" s="27">
        <v>12</v>
      </c>
      <c r="E24" s="28">
        <v>34</v>
      </c>
      <c r="F24" s="16">
        <f t="shared" si="25"/>
        <v>6.7728000000000002</v>
      </c>
      <c r="G24" s="17"/>
      <c r="H24" s="18"/>
      <c r="I24" s="19">
        <f t="shared" si="26"/>
        <v>0</v>
      </c>
      <c r="J24" s="16"/>
      <c r="K24" s="18"/>
      <c r="L24" s="19">
        <f t="shared" si="27"/>
        <v>0</v>
      </c>
      <c r="M24" s="16"/>
      <c r="N24" s="18">
        <f>3+29</f>
        <v>32</v>
      </c>
      <c r="O24" s="19">
        <f t="shared" si="28"/>
        <v>6.3744000000000005</v>
      </c>
      <c r="P24" s="16"/>
      <c r="Q24" s="18">
        <v>2</v>
      </c>
      <c r="R24" s="19">
        <f t="shared" si="29"/>
        <v>0.39840000000000003</v>
      </c>
      <c r="S24" s="20">
        <f t="shared" si="30"/>
        <v>34</v>
      </c>
      <c r="T24" s="19">
        <f t="shared" si="31"/>
        <v>6.7728000000000002</v>
      </c>
      <c r="U24" s="21">
        <f t="shared" si="32"/>
        <v>0</v>
      </c>
      <c r="V24" s="19">
        <f t="shared" si="33"/>
        <v>0</v>
      </c>
      <c r="X24" s="29"/>
    </row>
    <row r="25" spans="1:24">
      <c r="A25" s="36"/>
      <c r="B25" s="36"/>
      <c r="C25" s="37"/>
      <c r="D25" s="38"/>
      <c r="E25" s="31">
        <f>SUM(E17:E24)</f>
        <v>293</v>
      </c>
      <c r="F25" s="38">
        <f t="shared" ref="F25" si="34">SUM(F17:F24)</f>
        <v>44.298760000000001</v>
      </c>
      <c r="G25" s="17"/>
      <c r="H25" s="31">
        <f>SUM(H17:H24)</f>
        <v>131</v>
      </c>
      <c r="I25" s="38">
        <f t="shared" ref="I25" si="35">SUM(I17:I24)</f>
        <v>18.739739999999998</v>
      </c>
      <c r="J25" s="16"/>
      <c r="K25" s="31">
        <f>SUM(K17:K24)</f>
        <v>72</v>
      </c>
      <c r="L25" s="38">
        <f t="shared" ref="L25" si="36">SUM(L17:L24)</f>
        <v>9.5699000000000023</v>
      </c>
      <c r="M25" s="16"/>
      <c r="N25" s="31">
        <f>SUM(N17:N24)</f>
        <v>50</v>
      </c>
      <c r="O25" s="38">
        <f t="shared" ref="O25" si="37">SUM(O17:O24)</f>
        <v>9.6612000000000009</v>
      </c>
      <c r="P25" s="16"/>
      <c r="Q25" s="31">
        <f>SUM(Q17:Q24)</f>
        <v>43</v>
      </c>
      <c r="R25" s="38">
        <f t="shared" ref="R25" si="38">SUM(R17:R24)</f>
        <v>6.3744000000000005</v>
      </c>
      <c r="S25" s="31">
        <f>SUM(S17:S24)</f>
        <v>296</v>
      </c>
      <c r="T25" s="38">
        <f t="shared" ref="T25" si="39">SUM(T17:T24)</f>
        <v>44.345240000000004</v>
      </c>
      <c r="U25" s="31">
        <f>SUM(U17:U24)</f>
        <v>-3</v>
      </c>
      <c r="V25" s="38">
        <f t="shared" ref="V25" si="40">SUM(V17:V24)</f>
        <v>-4.6479999999998522E-2</v>
      </c>
      <c r="X25" s="29"/>
    </row>
    <row r="26" spans="1:24">
      <c r="A26" s="26" t="s">
        <v>13</v>
      </c>
      <c r="B26" s="26" t="s">
        <v>25</v>
      </c>
      <c r="C26" s="30">
        <v>13.4</v>
      </c>
      <c r="D26" s="27">
        <v>6.9</v>
      </c>
      <c r="E26" s="28">
        <v>46</v>
      </c>
      <c r="F26" s="16">
        <f t="shared" ref="F26:F40" si="41">(C26*D26*E26/1000)</f>
        <v>4.2531600000000012</v>
      </c>
      <c r="G26" s="17" t="s">
        <v>93</v>
      </c>
      <c r="H26" s="18"/>
      <c r="I26" s="19">
        <f t="shared" ref="I26:I40" si="42">(C26*D26*H26/1000)</f>
        <v>0</v>
      </c>
      <c r="J26" s="16" t="s">
        <v>114</v>
      </c>
      <c r="K26" s="18">
        <v>15</v>
      </c>
      <c r="L26" s="19">
        <f t="shared" ref="L26:L40" si="43">(C26*D26*K26/1000)</f>
        <v>1.3869</v>
      </c>
      <c r="M26" s="16" t="s">
        <v>89</v>
      </c>
      <c r="N26" s="18">
        <v>24</v>
      </c>
      <c r="O26" s="19">
        <f t="shared" ref="O26:O40" si="44">(C26*D26*N26/1000)</f>
        <v>2.2190400000000001</v>
      </c>
      <c r="P26" s="16" t="s">
        <v>93</v>
      </c>
      <c r="Q26" s="18">
        <v>3</v>
      </c>
      <c r="R26" s="19">
        <f t="shared" ref="R26:R40" si="45">(C26*D26*Q26/1000)</f>
        <v>0.27738000000000002</v>
      </c>
      <c r="S26" s="20">
        <f t="shared" ref="S26:S40" si="46">+H26+K26+Q26+N26</f>
        <v>42</v>
      </c>
      <c r="T26" s="19">
        <f t="shared" ref="T26:T40" si="47">+I26+L26+R26+O26</f>
        <v>3.8833200000000003</v>
      </c>
      <c r="U26" s="21">
        <f t="shared" ref="U26:U40" si="48">E26-S26</f>
        <v>4</v>
      </c>
      <c r="V26" s="19">
        <f t="shared" ref="V26:V40" si="49">F26-T26</f>
        <v>0.36984000000000083</v>
      </c>
      <c r="X26" s="29"/>
    </row>
    <row r="27" spans="1:24">
      <c r="A27" s="26" t="s">
        <v>13</v>
      </c>
      <c r="B27" s="26" t="s">
        <v>25</v>
      </c>
      <c r="C27" s="30">
        <v>13.4</v>
      </c>
      <c r="D27" s="27">
        <v>7.6</v>
      </c>
      <c r="E27" s="28">
        <v>80</v>
      </c>
      <c r="F27" s="16">
        <f t="shared" si="41"/>
        <v>8.1472000000000016</v>
      </c>
      <c r="G27" s="17" t="s">
        <v>401</v>
      </c>
      <c r="H27" s="18">
        <v>30</v>
      </c>
      <c r="I27" s="19">
        <f t="shared" si="42"/>
        <v>3.0552000000000001</v>
      </c>
      <c r="J27" s="16" t="s">
        <v>409</v>
      </c>
      <c r="K27" s="18">
        <v>31</v>
      </c>
      <c r="L27" s="19">
        <f t="shared" si="43"/>
        <v>3.1570399999999998</v>
      </c>
      <c r="M27" s="16" t="s">
        <v>409</v>
      </c>
      <c r="N27" s="18"/>
      <c r="O27" s="19">
        <f t="shared" si="44"/>
        <v>0</v>
      </c>
      <c r="P27" s="16" t="s">
        <v>415</v>
      </c>
      <c r="Q27" s="18">
        <f>19</f>
        <v>19</v>
      </c>
      <c r="R27" s="19">
        <f t="shared" si="45"/>
        <v>1.93496</v>
      </c>
      <c r="S27" s="20">
        <f t="shared" si="46"/>
        <v>80</v>
      </c>
      <c r="T27" s="19">
        <f t="shared" si="47"/>
        <v>8.1471999999999998</v>
      </c>
      <c r="U27" s="21">
        <f t="shared" si="48"/>
        <v>0</v>
      </c>
      <c r="V27" s="19">
        <f t="shared" si="49"/>
        <v>0</v>
      </c>
      <c r="X27" s="29"/>
    </row>
    <row r="28" spans="1:24">
      <c r="A28" s="26" t="s">
        <v>13</v>
      </c>
      <c r="B28" s="26" t="s">
        <v>25</v>
      </c>
      <c r="C28" s="30">
        <v>13.4</v>
      </c>
      <c r="D28" s="27">
        <v>8.4</v>
      </c>
      <c r="E28" s="28">
        <v>60</v>
      </c>
      <c r="F28" s="16">
        <f t="shared" si="41"/>
        <v>6.7536000000000005</v>
      </c>
      <c r="G28" s="17"/>
      <c r="H28" s="18">
        <v>8</v>
      </c>
      <c r="I28" s="19">
        <f t="shared" si="42"/>
        <v>0.90048000000000006</v>
      </c>
      <c r="J28" s="16"/>
      <c r="K28" s="18">
        <v>24</v>
      </c>
      <c r="L28" s="19">
        <f t="shared" si="43"/>
        <v>2.7014399999999998</v>
      </c>
      <c r="M28" s="16"/>
      <c r="N28" s="18"/>
      <c r="O28" s="19">
        <f t="shared" si="44"/>
        <v>0</v>
      </c>
      <c r="P28" s="16"/>
      <c r="Q28" s="18">
        <v>9</v>
      </c>
      <c r="R28" s="19">
        <f t="shared" si="45"/>
        <v>1.0130399999999999</v>
      </c>
      <c r="S28" s="20">
        <f t="shared" si="46"/>
        <v>41</v>
      </c>
      <c r="T28" s="19">
        <f t="shared" si="47"/>
        <v>4.61496</v>
      </c>
      <c r="U28" s="21">
        <f t="shared" si="48"/>
        <v>19</v>
      </c>
      <c r="V28" s="19">
        <f t="shared" si="49"/>
        <v>2.1386400000000005</v>
      </c>
      <c r="X28" s="29"/>
    </row>
    <row r="29" spans="1:24">
      <c r="A29" s="26" t="s">
        <v>13</v>
      </c>
      <c r="B29" s="26" t="s">
        <v>25</v>
      </c>
      <c r="C29" s="30">
        <v>13.4</v>
      </c>
      <c r="D29" s="27">
        <v>9.1999999999999993</v>
      </c>
      <c r="E29" s="28">
        <v>26</v>
      </c>
      <c r="F29" s="16">
        <f t="shared" si="41"/>
        <v>3.2052799999999997</v>
      </c>
      <c r="G29" s="17"/>
      <c r="H29" s="18">
        <v>5</v>
      </c>
      <c r="I29" s="19">
        <f t="shared" si="42"/>
        <v>0.61639999999999995</v>
      </c>
      <c r="J29" s="16"/>
      <c r="K29" s="18">
        <v>21</v>
      </c>
      <c r="L29" s="19">
        <f t="shared" si="43"/>
        <v>2.5888799999999996</v>
      </c>
      <c r="M29" s="16"/>
      <c r="N29" s="18"/>
      <c r="O29" s="19">
        <f t="shared" si="44"/>
        <v>0</v>
      </c>
      <c r="P29" s="16"/>
      <c r="Q29" s="18">
        <v>5</v>
      </c>
      <c r="R29" s="19">
        <f t="shared" si="45"/>
        <v>0.61639999999999995</v>
      </c>
      <c r="S29" s="20">
        <f t="shared" si="46"/>
        <v>31</v>
      </c>
      <c r="T29" s="19">
        <f t="shared" si="47"/>
        <v>3.8216799999999997</v>
      </c>
      <c r="U29" s="21">
        <f t="shared" si="48"/>
        <v>-5</v>
      </c>
      <c r="V29" s="19">
        <f t="shared" si="49"/>
        <v>-0.61640000000000006</v>
      </c>
      <c r="X29" s="29"/>
    </row>
    <row r="30" spans="1:24">
      <c r="A30" s="26" t="s">
        <v>13</v>
      </c>
      <c r="B30" s="26" t="s">
        <v>25</v>
      </c>
      <c r="C30" s="30">
        <v>13.4</v>
      </c>
      <c r="D30" s="27">
        <v>10.3</v>
      </c>
      <c r="E30" s="28">
        <v>37</v>
      </c>
      <c r="F30" s="16">
        <f t="shared" si="41"/>
        <v>5.1067400000000003</v>
      </c>
      <c r="G30" s="17"/>
      <c r="H30" s="18">
        <v>28</v>
      </c>
      <c r="I30" s="19">
        <f t="shared" si="42"/>
        <v>3.8645600000000004</v>
      </c>
      <c r="J30" s="16"/>
      <c r="K30" s="18">
        <f>3+5</f>
        <v>8</v>
      </c>
      <c r="L30" s="19">
        <f t="shared" si="43"/>
        <v>1.10416</v>
      </c>
      <c r="M30" s="16"/>
      <c r="N30" s="18"/>
      <c r="O30" s="19">
        <f t="shared" si="44"/>
        <v>0</v>
      </c>
      <c r="P30" s="16"/>
      <c r="Q30" s="18"/>
      <c r="R30" s="19">
        <f t="shared" si="45"/>
        <v>0</v>
      </c>
      <c r="S30" s="20">
        <f t="shared" si="46"/>
        <v>36</v>
      </c>
      <c r="T30" s="19">
        <f t="shared" si="47"/>
        <v>4.9687200000000002</v>
      </c>
      <c r="U30" s="21">
        <f t="shared" si="48"/>
        <v>1</v>
      </c>
      <c r="V30" s="19">
        <f t="shared" si="49"/>
        <v>0.13802000000000003</v>
      </c>
      <c r="X30" s="29"/>
    </row>
    <row r="31" spans="1:24">
      <c r="A31" s="26" t="s">
        <v>13</v>
      </c>
      <c r="B31" s="26" t="s">
        <v>25</v>
      </c>
      <c r="C31" s="30">
        <v>13.4</v>
      </c>
      <c r="D31" s="27">
        <v>10.8</v>
      </c>
      <c r="E31" s="28">
        <v>44</v>
      </c>
      <c r="F31" s="16">
        <f t="shared" si="41"/>
        <v>6.3676800000000009</v>
      </c>
      <c r="G31" s="17"/>
      <c r="H31" s="18"/>
      <c r="I31" s="19">
        <f t="shared" si="42"/>
        <v>0</v>
      </c>
      <c r="J31" s="16"/>
      <c r="K31" s="18">
        <v>31</v>
      </c>
      <c r="L31" s="19">
        <f t="shared" si="43"/>
        <v>4.486320000000001</v>
      </c>
      <c r="M31" s="16"/>
      <c r="N31" s="18"/>
      <c r="O31" s="19">
        <f t="shared" si="44"/>
        <v>0</v>
      </c>
      <c r="P31" s="16"/>
      <c r="Q31" s="18">
        <v>1</v>
      </c>
      <c r="R31" s="19">
        <f t="shared" si="45"/>
        <v>0.14472000000000002</v>
      </c>
      <c r="S31" s="20">
        <f t="shared" si="46"/>
        <v>32</v>
      </c>
      <c r="T31" s="19">
        <f t="shared" si="47"/>
        <v>4.6310400000000014</v>
      </c>
      <c r="U31" s="21">
        <f t="shared" si="48"/>
        <v>12</v>
      </c>
      <c r="V31" s="19">
        <f t="shared" si="49"/>
        <v>1.7366399999999995</v>
      </c>
      <c r="X31" s="29"/>
    </row>
    <row r="32" spans="1:24">
      <c r="A32" s="26" t="s">
        <v>13</v>
      </c>
      <c r="B32" s="26" t="s">
        <v>25</v>
      </c>
      <c r="C32" s="30">
        <v>13.4</v>
      </c>
      <c r="D32" s="27">
        <v>11.5</v>
      </c>
      <c r="E32" s="28">
        <v>44</v>
      </c>
      <c r="F32" s="16">
        <f t="shared" si="41"/>
        <v>6.7803999999999993</v>
      </c>
      <c r="G32" s="17"/>
      <c r="H32" s="18"/>
      <c r="I32" s="19">
        <f t="shared" si="42"/>
        <v>0</v>
      </c>
      <c r="J32" s="16"/>
      <c r="K32" s="18">
        <v>35</v>
      </c>
      <c r="L32" s="19">
        <f t="shared" si="43"/>
        <v>5.3935000000000004</v>
      </c>
      <c r="M32" s="16"/>
      <c r="N32" s="18">
        <v>6</v>
      </c>
      <c r="O32" s="19">
        <f t="shared" si="44"/>
        <v>0.92459999999999987</v>
      </c>
      <c r="P32" s="16"/>
      <c r="Q32" s="18">
        <v>1</v>
      </c>
      <c r="R32" s="19">
        <f t="shared" si="45"/>
        <v>0.15409999999999999</v>
      </c>
      <c r="S32" s="20">
        <f t="shared" si="46"/>
        <v>42</v>
      </c>
      <c r="T32" s="19">
        <f t="shared" si="47"/>
        <v>6.4722</v>
      </c>
      <c r="U32" s="21">
        <f t="shared" si="48"/>
        <v>2</v>
      </c>
      <c r="V32" s="19">
        <f t="shared" si="49"/>
        <v>0.30819999999999936</v>
      </c>
      <c r="X32" s="29"/>
    </row>
    <row r="33" spans="1:24">
      <c r="A33" s="26" t="s">
        <v>13</v>
      </c>
      <c r="B33" s="26" t="s">
        <v>25</v>
      </c>
      <c r="C33" s="30">
        <v>13.4</v>
      </c>
      <c r="D33" s="27">
        <v>12</v>
      </c>
      <c r="E33" s="28">
        <v>80</v>
      </c>
      <c r="F33" s="16">
        <f t="shared" ref="F33:F39" si="50">(C33*D33*E33/1000)</f>
        <v>12.864000000000001</v>
      </c>
      <c r="G33" s="17"/>
      <c r="H33" s="18"/>
      <c r="I33" s="19">
        <f t="shared" ref="I33:I39" si="51">(C33*D33*H33/1000)</f>
        <v>0</v>
      </c>
      <c r="J33" s="16"/>
      <c r="K33" s="18">
        <v>74</v>
      </c>
      <c r="L33" s="19">
        <f t="shared" ref="L33:L39" si="52">(C33*D33*K33/1000)</f>
        <v>11.8992</v>
      </c>
      <c r="M33" s="16"/>
      <c r="N33" s="18"/>
      <c r="O33" s="19">
        <f t="shared" ref="O33:O39" si="53">(C33*D33*N33/1000)</f>
        <v>0</v>
      </c>
      <c r="P33" s="16"/>
      <c r="Q33" s="18">
        <v>6</v>
      </c>
      <c r="R33" s="19">
        <f t="shared" ref="R33:R39" si="54">(C33*D33*Q33/1000)</f>
        <v>0.9648000000000001</v>
      </c>
      <c r="S33" s="20">
        <f t="shared" ref="S33:S39" si="55">+H33+K33+Q33+N33</f>
        <v>80</v>
      </c>
      <c r="T33" s="19">
        <f t="shared" ref="T33:T39" si="56">+I33+L33+R33+O33</f>
        <v>12.864000000000001</v>
      </c>
      <c r="U33" s="21">
        <f t="shared" ref="U33:U39" si="57">E33-S33</f>
        <v>0</v>
      </c>
      <c r="V33" s="19">
        <f t="shared" ref="V33:V39" si="58">F33-T33</f>
        <v>0</v>
      </c>
      <c r="X33" s="29"/>
    </row>
    <row r="34" spans="1:24">
      <c r="A34" s="26" t="s">
        <v>13</v>
      </c>
      <c r="B34" s="26" t="s">
        <v>25</v>
      </c>
      <c r="C34" s="30">
        <v>13.4</v>
      </c>
      <c r="D34" s="27">
        <v>11.8</v>
      </c>
      <c r="E34" s="28"/>
      <c r="F34" s="16">
        <f t="shared" si="50"/>
        <v>0</v>
      </c>
      <c r="G34" s="17"/>
      <c r="H34" s="18"/>
      <c r="I34" s="19">
        <f t="shared" si="51"/>
        <v>0</v>
      </c>
      <c r="J34" s="16"/>
      <c r="K34" s="18"/>
      <c r="L34" s="19">
        <f t="shared" si="52"/>
        <v>0</v>
      </c>
      <c r="M34" s="16"/>
      <c r="N34" s="18">
        <v>11</v>
      </c>
      <c r="O34" s="19">
        <f t="shared" si="53"/>
        <v>1.7393200000000002</v>
      </c>
      <c r="P34" s="16"/>
      <c r="Q34" s="18"/>
      <c r="R34" s="19">
        <f t="shared" si="54"/>
        <v>0</v>
      </c>
      <c r="S34" s="20">
        <f t="shared" si="55"/>
        <v>11</v>
      </c>
      <c r="T34" s="19">
        <f t="shared" si="56"/>
        <v>1.7393200000000002</v>
      </c>
      <c r="U34" s="21">
        <f t="shared" si="57"/>
        <v>-11</v>
      </c>
      <c r="V34" s="19">
        <f t="shared" si="58"/>
        <v>-1.7393200000000002</v>
      </c>
      <c r="X34" s="29"/>
    </row>
    <row r="35" spans="1:24">
      <c r="A35" s="26" t="s">
        <v>13</v>
      </c>
      <c r="B35" s="26" t="s">
        <v>25</v>
      </c>
      <c r="C35" s="30">
        <v>13.4</v>
      </c>
      <c r="D35" s="27">
        <v>9.8000000000000007</v>
      </c>
      <c r="E35" s="28"/>
      <c r="F35" s="16">
        <f t="shared" si="50"/>
        <v>0</v>
      </c>
      <c r="G35" s="17"/>
      <c r="H35" s="18"/>
      <c r="I35" s="19">
        <f t="shared" si="51"/>
        <v>0</v>
      </c>
      <c r="J35" s="16"/>
      <c r="K35" s="18"/>
      <c r="L35" s="19">
        <f t="shared" si="52"/>
        <v>0</v>
      </c>
      <c r="M35" s="16"/>
      <c r="N35" s="18"/>
      <c r="O35" s="19">
        <f t="shared" si="53"/>
        <v>0</v>
      </c>
      <c r="P35" s="16"/>
      <c r="Q35" s="18">
        <v>11</v>
      </c>
      <c r="R35" s="19">
        <f t="shared" si="54"/>
        <v>1.4445200000000002</v>
      </c>
      <c r="S35" s="20">
        <f t="shared" si="55"/>
        <v>11</v>
      </c>
      <c r="T35" s="19">
        <f t="shared" si="56"/>
        <v>1.4445200000000002</v>
      </c>
      <c r="U35" s="21">
        <f t="shared" si="57"/>
        <v>-11</v>
      </c>
      <c r="V35" s="19">
        <f t="shared" si="58"/>
        <v>-1.4445200000000002</v>
      </c>
      <c r="X35" s="29"/>
    </row>
    <row r="36" spans="1:24">
      <c r="A36" s="26" t="s">
        <v>13</v>
      </c>
      <c r="B36" s="26" t="s">
        <v>25</v>
      </c>
      <c r="C36" s="30">
        <v>13.4</v>
      </c>
      <c r="D36" s="27">
        <v>9.6</v>
      </c>
      <c r="E36" s="28"/>
      <c r="F36" s="16">
        <f t="shared" si="50"/>
        <v>0</v>
      </c>
      <c r="G36" s="17"/>
      <c r="H36" s="18"/>
      <c r="I36" s="19">
        <f t="shared" si="51"/>
        <v>0</v>
      </c>
      <c r="J36" s="16"/>
      <c r="K36" s="18"/>
      <c r="L36" s="19">
        <f t="shared" si="52"/>
        <v>0</v>
      </c>
      <c r="M36" s="16"/>
      <c r="N36" s="18"/>
      <c r="O36" s="19">
        <f t="shared" si="53"/>
        <v>0</v>
      </c>
      <c r="P36" s="16"/>
      <c r="Q36" s="18">
        <v>2</v>
      </c>
      <c r="R36" s="19">
        <f t="shared" si="54"/>
        <v>0.25727999999999995</v>
      </c>
      <c r="S36" s="20">
        <f t="shared" si="55"/>
        <v>2</v>
      </c>
      <c r="T36" s="19">
        <f t="shared" si="56"/>
        <v>0.25727999999999995</v>
      </c>
      <c r="U36" s="21">
        <f t="shared" si="57"/>
        <v>-2</v>
      </c>
      <c r="V36" s="19">
        <f t="shared" si="58"/>
        <v>-0.25727999999999995</v>
      </c>
      <c r="X36" s="29"/>
    </row>
    <row r="37" spans="1:24">
      <c r="A37" s="26" t="s">
        <v>13</v>
      </c>
      <c r="B37" s="26" t="s">
        <v>25</v>
      </c>
      <c r="C37" s="30">
        <v>13.4</v>
      </c>
      <c r="D37" s="27">
        <v>11.3</v>
      </c>
      <c r="E37" s="28"/>
      <c r="F37" s="16">
        <f t="shared" si="50"/>
        <v>0</v>
      </c>
      <c r="G37" s="17"/>
      <c r="H37" s="18"/>
      <c r="I37" s="19">
        <f t="shared" si="51"/>
        <v>0</v>
      </c>
      <c r="J37" s="16"/>
      <c r="K37" s="18"/>
      <c r="L37" s="19">
        <f t="shared" si="52"/>
        <v>0</v>
      </c>
      <c r="M37" s="16"/>
      <c r="N37" s="18"/>
      <c r="O37" s="19">
        <f t="shared" si="53"/>
        <v>0</v>
      </c>
      <c r="P37" s="16"/>
      <c r="Q37" s="18">
        <v>2</v>
      </c>
      <c r="R37" s="19">
        <f t="shared" si="54"/>
        <v>0.30284000000000005</v>
      </c>
      <c r="S37" s="20">
        <f t="shared" si="55"/>
        <v>2</v>
      </c>
      <c r="T37" s="19">
        <f t="shared" si="56"/>
        <v>0.30284000000000005</v>
      </c>
      <c r="U37" s="21">
        <f t="shared" si="57"/>
        <v>-2</v>
      </c>
      <c r="V37" s="19">
        <f t="shared" si="58"/>
        <v>-0.30284000000000005</v>
      </c>
      <c r="X37" s="29"/>
    </row>
    <row r="38" spans="1:24">
      <c r="A38" s="26" t="s">
        <v>13</v>
      </c>
      <c r="B38" s="26" t="s">
        <v>25</v>
      </c>
      <c r="C38" s="30">
        <v>13.4</v>
      </c>
      <c r="D38" s="27">
        <v>8.6999999999999993</v>
      </c>
      <c r="E38" s="28"/>
      <c r="F38" s="16">
        <f t="shared" si="50"/>
        <v>0</v>
      </c>
      <c r="G38" s="17"/>
      <c r="H38" s="18"/>
      <c r="I38" s="19">
        <f t="shared" si="51"/>
        <v>0</v>
      </c>
      <c r="J38" s="16"/>
      <c r="K38" s="18"/>
      <c r="L38" s="19">
        <f t="shared" si="52"/>
        <v>0</v>
      </c>
      <c r="M38" s="16"/>
      <c r="N38" s="18"/>
      <c r="O38" s="19">
        <f t="shared" si="53"/>
        <v>0</v>
      </c>
      <c r="P38" s="16"/>
      <c r="Q38" s="18">
        <v>1</v>
      </c>
      <c r="R38" s="19">
        <f t="shared" si="54"/>
        <v>0.11658</v>
      </c>
      <c r="S38" s="20">
        <f t="shared" si="55"/>
        <v>1</v>
      </c>
      <c r="T38" s="19">
        <f t="shared" si="56"/>
        <v>0.11658</v>
      </c>
      <c r="U38" s="21">
        <f t="shared" si="57"/>
        <v>-1</v>
      </c>
      <c r="V38" s="19">
        <f t="shared" si="58"/>
        <v>-0.11658</v>
      </c>
      <c r="X38" s="29"/>
    </row>
    <row r="39" spans="1:24">
      <c r="A39" s="26" t="s">
        <v>13</v>
      </c>
      <c r="B39" s="26" t="s">
        <v>25</v>
      </c>
      <c r="C39" s="30">
        <v>13.4</v>
      </c>
      <c r="D39" s="27">
        <v>10</v>
      </c>
      <c r="E39" s="28"/>
      <c r="F39" s="16">
        <f t="shared" si="50"/>
        <v>0</v>
      </c>
      <c r="G39" s="17"/>
      <c r="H39" s="18"/>
      <c r="I39" s="19">
        <f t="shared" si="51"/>
        <v>0</v>
      </c>
      <c r="J39" s="16"/>
      <c r="K39" s="18"/>
      <c r="L39" s="19">
        <f t="shared" si="52"/>
        <v>0</v>
      </c>
      <c r="M39" s="16"/>
      <c r="N39" s="18"/>
      <c r="O39" s="19">
        <f t="shared" si="53"/>
        <v>0</v>
      </c>
      <c r="P39" s="16"/>
      <c r="Q39" s="18">
        <v>2</v>
      </c>
      <c r="R39" s="19">
        <f t="shared" si="54"/>
        <v>0.26800000000000002</v>
      </c>
      <c r="S39" s="20">
        <f t="shared" si="55"/>
        <v>2</v>
      </c>
      <c r="T39" s="19">
        <f t="shared" si="56"/>
        <v>0.26800000000000002</v>
      </c>
      <c r="U39" s="21">
        <f t="shared" si="57"/>
        <v>-2</v>
      </c>
      <c r="V39" s="19">
        <f t="shared" si="58"/>
        <v>-0.26800000000000002</v>
      </c>
      <c r="X39" s="29"/>
    </row>
    <row r="40" spans="1:24">
      <c r="A40" s="26" t="s">
        <v>13</v>
      </c>
      <c r="B40" s="26" t="s">
        <v>25</v>
      </c>
      <c r="C40" s="30">
        <v>13.4</v>
      </c>
      <c r="D40" s="27">
        <v>11.7</v>
      </c>
      <c r="E40" s="28"/>
      <c r="F40" s="16">
        <f t="shared" si="41"/>
        <v>0</v>
      </c>
      <c r="G40" s="17"/>
      <c r="H40" s="18"/>
      <c r="I40" s="19">
        <f t="shared" si="42"/>
        <v>0</v>
      </c>
      <c r="J40" s="16"/>
      <c r="K40" s="18"/>
      <c r="L40" s="19">
        <f t="shared" si="43"/>
        <v>0</v>
      </c>
      <c r="M40" s="16"/>
      <c r="N40" s="18"/>
      <c r="O40" s="19">
        <f t="shared" si="44"/>
        <v>0</v>
      </c>
      <c r="P40" s="16"/>
      <c r="Q40" s="18">
        <v>1</v>
      </c>
      <c r="R40" s="19">
        <f t="shared" si="45"/>
        <v>0.15678</v>
      </c>
      <c r="S40" s="20">
        <f t="shared" si="46"/>
        <v>1</v>
      </c>
      <c r="T40" s="19">
        <f t="shared" si="47"/>
        <v>0.15678</v>
      </c>
      <c r="U40" s="21">
        <f t="shared" si="48"/>
        <v>-1</v>
      </c>
      <c r="V40" s="19">
        <f t="shared" si="49"/>
        <v>-0.15678</v>
      </c>
      <c r="X40" s="29"/>
    </row>
    <row r="41" spans="1:24">
      <c r="A41" s="36"/>
      <c r="B41" s="36"/>
      <c r="C41" s="37"/>
      <c r="D41" s="38"/>
      <c r="E41" s="31">
        <f>SUM(E26:E40)</f>
        <v>417</v>
      </c>
      <c r="F41" s="38">
        <f t="shared" ref="F41" si="59">SUM(F26:F40)</f>
        <v>53.478059999999999</v>
      </c>
      <c r="G41" s="17"/>
      <c r="H41" s="31">
        <f>SUM(H26:H40)</f>
        <v>71</v>
      </c>
      <c r="I41" s="38">
        <f t="shared" ref="I41" si="60">SUM(I26:I40)</f>
        <v>8.4366400000000006</v>
      </c>
      <c r="J41" s="16"/>
      <c r="K41" s="31">
        <f>SUM(K26:K40)</f>
        <v>239</v>
      </c>
      <c r="L41" s="38">
        <f t="shared" ref="L41" si="61">SUM(L26:L40)</f>
        <v>32.717440000000003</v>
      </c>
      <c r="M41" s="16"/>
      <c r="N41" s="31">
        <f>SUM(N26:N40)</f>
        <v>41</v>
      </c>
      <c r="O41" s="38">
        <f t="shared" ref="O41" si="62">SUM(O26:O40)</f>
        <v>4.8829600000000006</v>
      </c>
      <c r="P41" s="16"/>
      <c r="Q41" s="31">
        <f>SUM(Q26:Q40)</f>
        <v>63</v>
      </c>
      <c r="R41" s="38">
        <f t="shared" ref="R41" si="63">SUM(R26:R40)</f>
        <v>7.6513999999999998</v>
      </c>
      <c r="S41" s="31">
        <f>SUM(S26:S40)</f>
        <v>414</v>
      </c>
      <c r="T41" s="38">
        <f t="shared" ref="T41" si="64">SUM(T26:T40)</f>
        <v>53.68844</v>
      </c>
      <c r="U41" s="31">
        <f>SUM(U26:U40)</f>
        <v>3</v>
      </c>
      <c r="V41" s="38">
        <f t="shared" ref="V41" si="65">SUM(V26:V40)</f>
        <v>-0.21038000000000071</v>
      </c>
      <c r="X41" s="29"/>
    </row>
    <row r="42" spans="1:24">
      <c r="A42" s="26" t="s">
        <v>13</v>
      </c>
      <c r="B42" s="26" t="s">
        <v>47</v>
      </c>
      <c r="C42" s="30">
        <v>18.2</v>
      </c>
      <c r="D42" s="27">
        <v>6.1</v>
      </c>
      <c r="E42" s="28">
        <v>34</v>
      </c>
      <c r="F42" s="16">
        <f t="shared" ref="F42:F57" si="66">(C42*D42*E42/1000)</f>
        <v>3.77468</v>
      </c>
      <c r="G42" s="17" t="s">
        <v>88</v>
      </c>
      <c r="H42" s="18">
        <v>19</v>
      </c>
      <c r="I42" s="19">
        <f t="shared" ref="I42:I57" si="67">(C42*D42*H42/1000)</f>
        <v>2.1093800000000003</v>
      </c>
      <c r="J42" s="16" t="s">
        <v>288</v>
      </c>
      <c r="K42" s="18"/>
      <c r="L42" s="19">
        <f t="shared" ref="L42:L57" si="68">(C42*D42*K42/1000)</f>
        <v>0</v>
      </c>
      <c r="M42" s="16" t="s">
        <v>64</v>
      </c>
      <c r="N42" s="18"/>
      <c r="O42" s="19">
        <f t="shared" ref="O42:O57" si="69">(C42*D42*N42/1000)</f>
        <v>0</v>
      </c>
      <c r="P42" s="16" t="s">
        <v>93</v>
      </c>
      <c r="Q42" s="18">
        <v>7</v>
      </c>
      <c r="R42" s="19">
        <f t="shared" ref="R42:R57" si="70">(C42*D42*Q42/1000)</f>
        <v>0.77713999999999994</v>
      </c>
      <c r="S42" s="20">
        <f t="shared" ref="S42:S57" si="71">+H42+K42+Q42+N42</f>
        <v>26</v>
      </c>
      <c r="T42" s="19">
        <f t="shared" ref="T42:T57" si="72">+I42+L42+R42+O42</f>
        <v>2.88652</v>
      </c>
      <c r="U42" s="21">
        <f t="shared" ref="U42:U57" si="73">E42-S42</f>
        <v>8</v>
      </c>
      <c r="V42" s="19">
        <f t="shared" ref="V42:V57" si="74">F42-T42</f>
        <v>0.88816000000000006</v>
      </c>
      <c r="X42" s="29"/>
    </row>
    <row r="43" spans="1:24">
      <c r="A43" s="26" t="s">
        <v>13</v>
      </c>
      <c r="B43" s="26" t="s">
        <v>47</v>
      </c>
      <c r="C43" s="30">
        <v>18.2</v>
      </c>
      <c r="D43" s="27">
        <v>8.4</v>
      </c>
      <c r="E43" s="28">
        <v>29</v>
      </c>
      <c r="F43" s="16">
        <f t="shared" si="66"/>
        <v>4.4335199999999997</v>
      </c>
      <c r="G43" s="17" t="s">
        <v>326</v>
      </c>
      <c r="H43" s="18">
        <v>15</v>
      </c>
      <c r="I43" s="19">
        <f t="shared" si="67"/>
        <v>2.2931999999999997</v>
      </c>
      <c r="J43" s="16" t="s">
        <v>327</v>
      </c>
      <c r="K43" s="18">
        <v>14</v>
      </c>
      <c r="L43" s="19">
        <f t="shared" si="68"/>
        <v>2.1403199999999996</v>
      </c>
      <c r="M43" s="16" t="s">
        <v>341</v>
      </c>
      <c r="N43" s="18"/>
      <c r="O43" s="19">
        <f t="shared" si="69"/>
        <v>0</v>
      </c>
      <c r="P43" s="16" t="s">
        <v>356</v>
      </c>
      <c r="Q43" s="18"/>
      <c r="R43" s="19">
        <f t="shared" si="70"/>
        <v>0</v>
      </c>
      <c r="S43" s="20">
        <f t="shared" si="71"/>
        <v>29</v>
      </c>
      <c r="T43" s="19">
        <f t="shared" si="72"/>
        <v>4.4335199999999997</v>
      </c>
      <c r="U43" s="21">
        <f t="shared" si="73"/>
        <v>0</v>
      </c>
      <c r="V43" s="19">
        <f t="shared" si="74"/>
        <v>0</v>
      </c>
      <c r="X43" s="29"/>
    </row>
    <row r="44" spans="1:24">
      <c r="A44" s="26" t="s">
        <v>13</v>
      </c>
      <c r="B44" s="26" t="s">
        <v>47</v>
      </c>
      <c r="C44" s="30">
        <v>18.2</v>
      </c>
      <c r="D44" s="27">
        <v>9.5</v>
      </c>
      <c r="E44" s="28">
        <v>28</v>
      </c>
      <c r="F44" s="16">
        <f t="shared" si="66"/>
        <v>4.8411999999999997</v>
      </c>
      <c r="G44" s="17"/>
      <c r="H44" s="18">
        <v>13</v>
      </c>
      <c r="I44" s="19">
        <f t="shared" si="67"/>
        <v>2.2477000000000005</v>
      </c>
      <c r="J44" s="16"/>
      <c r="K44" s="18">
        <v>13</v>
      </c>
      <c r="L44" s="19">
        <f t="shared" si="68"/>
        <v>2.2477000000000005</v>
      </c>
      <c r="M44" s="16"/>
      <c r="N44" s="18"/>
      <c r="O44" s="19">
        <f t="shared" si="69"/>
        <v>0</v>
      </c>
      <c r="P44" s="16"/>
      <c r="Q44" s="18"/>
      <c r="R44" s="19">
        <f t="shared" si="70"/>
        <v>0</v>
      </c>
      <c r="S44" s="20">
        <f t="shared" si="71"/>
        <v>26</v>
      </c>
      <c r="T44" s="19">
        <f t="shared" si="72"/>
        <v>4.495400000000001</v>
      </c>
      <c r="U44" s="21">
        <f t="shared" si="73"/>
        <v>2</v>
      </c>
      <c r="V44" s="19">
        <f t="shared" si="74"/>
        <v>0.34579999999999878</v>
      </c>
      <c r="X44" s="29"/>
    </row>
    <row r="45" spans="1:24">
      <c r="A45" s="26" t="s">
        <v>13</v>
      </c>
      <c r="B45" s="26" t="s">
        <v>47</v>
      </c>
      <c r="C45" s="30">
        <v>18.2</v>
      </c>
      <c r="D45" s="27">
        <v>10</v>
      </c>
      <c r="E45" s="28">
        <v>26</v>
      </c>
      <c r="F45" s="16">
        <f t="shared" si="66"/>
        <v>4.7320000000000002</v>
      </c>
      <c r="G45" s="17"/>
      <c r="H45" s="18">
        <v>26</v>
      </c>
      <c r="I45" s="19">
        <f t="shared" si="67"/>
        <v>4.7320000000000002</v>
      </c>
      <c r="J45" s="16"/>
      <c r="K45" s="18"/>
      <c r="L45" s="19">
        <f t="shared" si="68"/>
        <v>0</v>
      </c>
      <c r="M45" s="16"/>
      <c r="N45" s="18"/>
      <c r="O45" s="19">
        <f t="shared" si="69"/>
        <v>0</v>
      </c>
      <c r="P45" s="16"/>
      <c r="Q45" s="18"/>
      <c r="R45" s="19">
        <f t="shared" si="70"/>
        <v>0</v>
      </c>
      <c r="S45" s="20">
        <f t="shared" si="71"/>
        <v>26</v>
      </c>
      <c r="T45" s="19">
        <f t="shared" si="72"/>
        <v>4.7320000000000002</v>
      </c>
      <c r="U45" s="21">
        <f t="shared" si="73"/>
        <v>0</v>
      </c>
      <c r="V45" s="19">
        <f t="shared" si="74"/>
        <v>0</v>
      </c>
      <c r="X45" s="29"/>
    </row>
    <row r="46" spans="1:24">
      <c r="A46" s="26" t="s">
        <v>13</v>
      </c>
      <c r="B46" s="26" t="s">
        <v>47</v>
      </c>
      <c r="C46" s="30">
        <v>18.2</v>
      </c>
      <c r="D46" s="27">
        <v>10.5</v>
      </c>
      <c r="E46" s="28">
        <v>56</v>
      </c>
      <c r="F46" s="16">
        <f t="shared" si="66"/>
        <v>10.701600000000001</v>
      </c>
      <c r="G46" s="17"/>
      <c r="H46" s="18">
        <v>10</v>
      </c>
      <c r="I46" s="19">
        <f t="shared" si="67"/>
        <v>1.911</v>
      </c>
      <c r="J46" s="16"/>
      <c r="K46" s="18">
        <v>37</v>
      </c>
      <c r="L46" s="19">
        <f t="shared" si="68"/>
        <v>7.0706999999999995</v>
      </c>
      <c r="M46" s="16"/>
      <c r="N46" s="18"/>
      <c r="O46" s="19">
        <f t="shared" si="69"/>
        <v>0</v>
      </c>
      <c r="P46" s="16"/>
      <c r="Q46" s="18">
        <v>1</v>
      </c>
      <c r="R46" s="19">
        <f t="shared" si="70"/>
        <v>0.19109999999999999</v>
      </c>
      <c r="S46" s="20">
        <f t="shared" si="71"/>
        <v>48</v>
      </c>
      <c r="T46" s="19">
        <f t="shared" si="72"/>
        <v>9.1728000000000005</v>
      </c>
      <c r="U46" s="21">
        <f t="shared" si="73"/>
        <v>8</v>
      </c>
      <c r="V46" s="19">
        <f t="shared" si="74"/>
        <v>1.5288000000000004</v>
      </c>
      <c r="X46" s="29"/>
    </row>
    <row r="47" spans="1:24">
      <c r="A47" s="26" t="s">
        <v>13</v>
      </c>
      <c r="B47" s="26" t="s">
        <v>47</v>
      </c>
      <c r="C47" s="30">
        <v>18.2</v>
      </c>
      <c r="D47" s="27">
        <v>11.9</v>
      </c>
      <c r="E47" s="28">
        <v>24</v>
      </c>
      <c r="F47" s="16">
        <f t="shared" ref="F47:F56" si="75">(C47*D47*E47/1000)</f>
        <v>5.1979199999999999</v>
      </c>
      <c r="G47" s="17"/>
      <c r="H47" s="18">
        <v>9</v>
      </c>
      <c r="I47" s="19">
        <f t="shared" ref="I47:I56" si="76">(C47*D47*H47/1000)</f>
        <v>1.9492199999999997</v>
      </c>
      <c r="J47" s="16"/>
      <c r="K47" s="18">
        <v>2</v>
      </c>
      <c r="L47" s="19">
        <f t="shared" ref="L47:L56" si="77">(C47*D47*K47/1000)</f>
        <v>0.43315999999999999</v>
      </c>
      <c r="M47" s="16"/>
      <c r="N47" s="18"/>
      <c r="O47" s="19">
        <f t="shared" ref="O47:O56" si="78">(C47*D47*N47/1000)</f>
        <v>0</v>
      </c>
      <c r="P47" s="16"/>
      <c r="Q47" s="18"/>
      <c r="R47" s="19">
        <f t="shared" ref="R47:R56" si="79">(C47*D47*Q47/1000)</f>
        <v>0</v>
      </c>
      <c r="S47" s="20">
        <f t="shared" ref="S47:S56" si="80">+H47+K47+Q47+N47</f>
        <v>11</v>
      </c>
      <c r="T47" s="19">
        <f t="shared" ref="T47:T56" si="81">+I47+L47+R47+O47</f>
        <v>2.3823799999999995</v>
      </c>
      <c r="U47" s="21">
        <f t="shared" ref="U47:U56" si="82">E47-S47</f>
        <v>13</v>
      </c>
      <c r="V47" s="19">
        <f t="shared" ref="V47:V56" si="83">F47-T47</f>
        <v>2.8155400000000004</v>
      </c>
      <c r="X47" s="29"/>
    </row>
    <row r="48" spans="1:24">
      <c r="A48" s="26" t="s">
        <v>13</v>
      </c>
      <c r="B48" s="26" t="s">
        <v>47</v>
      </c>
      <c r="C48" s="30">
        <v>18.2</v>
      </c>
      <c r="D48" s="27">
        <v>12</v>
      </c>
      <c r="E48" s="28"/>
      <c r="F48" s="16">
        <f t="shared" si="75"/>
        <v>0</v>
      </c>
      <c r="G48" s="17"/>
      <c r="H48" s="18"/>
      <c r="I48" s="19">
        <f t="shared" si="76"/>
        <v>0</v>
      </c>
      <c r="J48" s="16"/>
      <c r="K48" s="18">
        <v>10</v>
      </c>
      <c r="L48" s="19">
        <f t="shared" si="77"/>
        <v>2.1840000000000002</v>
      </c>
      <c r="M48" s="16"/>
      <c r="N48" s="18"/>
      <c r="O48" s="19">
        <f t="shared" si="78"/>
        <v>0</v>
      </c>
      <c r="P48" s="16"/>
      <c r="Q48" s="18">
        <v>3</v>
      </c>
      <c r="R48" s="19">
        <f t="shared" si="79"/>
        <v>0.65519999999999989</v>
      </c>
      <c r="S48" s="20">
        <f t="shared" si="80"/>
        <v>13</v>
      </c>
      <c r="T48" s="19">
        <f t="shared" si="81"/>
        <v>2.8391999999999999</v>
      </c>
      <c r="U48" s="21">
        <f t="shared" si="82"/>
        <v>-13</v>
      </c>
      <c r="V48" s="19">
        <f t="shared" si="83"/>
        <v>-2.8391999999999999</v>
      </c>
      <c r="X48" s="29"/>
    </row>
    <row r="49" spans="1:24">
      <c r="A49" s="26" t="s">
        <v>13</v>
      </c>
      <c r="B49" s="26" t="s">
        <v>47</v>
      </c>
      <c r="C49" s="30">
        <v>18.2</v>
      </c>
      <c r="D49" s="27">
        <v>11.5</v>
      </c>
      <c r="E49" s="28"/>
      <c r="F49" s="16">
        <f t="shared" si="75"/>
        <v>0</v>
      </c>
      <c r="G49" s="17"/>
      <c r="H49" s="18"/>
      <c r="I49" s="19">
        <f t="shared" si="76"/>
        <v>0</v>
      </c>
      <c r="J49" s="16"/>
      <c r="K49" s="18">
        <v>1</v>
      </c>
      <c r="L49" s="19">
        <f t="shared" si="77"/>
        <v>0.20929999999999999</v>
      </c>
      <c r="M49" s="16"/>
      <c r="N49" s="18">
        <v>1</v>
      </c>
      <c r="O49" s="19">
        <f t="shared" si="78"/>
        <v>0.20929999999999999</v>
      </c>
      <c r="P49" s="16"/>
      <c r="Q49" s="18"/>
      <c r="R49" s="19">
        <f t="shared" si="79"/>
        <v>0</v>
      </c>
      <c r="S49" s="20">
        <f t="shared" si="80"/>
        <v>2</v>
      </c>
      <c r="T49" s="19">
        <f t="shared" si="81"/>
        <v>0.41859999999999997</v>
      </c>
      <c r="U49" s="21">
        <f t="shared" si="82"/>
        <v>-2</v>
      </c>
      <c r="V49" s="19">
        <f t="shared" si="83"/>
        <v>-0.41859999999999997</v>
      </c>
      <c r="X49" s="29"/>
    </row>
    <row r="50" spans="1:24">
      <c r="A50" s="26" t="s">
        <v>13</v>
      </c>
      <c r="B50" s="26" t="s">
        <v>47</v>
      </c>
      <c r="C50" s="30">
        <v>18.2</v>
      </c>
      <c r="D50" s="27">
        <v>7.9</v>
      </c>
      <c r="E50" s="28"/>
      <c r="F50" s="16">
        <f t="shared" si="75"/>
        <v>0</v>
      </c>
      <c r="G50" s="17"/>
      <c r="H50" s="18"/>
      <c r="I50" s="19">
        <f t="shared" si="76"/>
        <v>0</v>
      </c>
      <c r="J50" s="16"/>
      <c r="K50" s="18"/>
      <c r="L50" s="19">
        <f t="shared" si="77"/>
        <v>0</v>
      </c>
      <c r="M50" s="16"/>
      <c r="N50" s="18">
        <v>5</v>
      </c>
      <c r="O50" s="19">
        <f t="shared" si="78"/>
        <v>0.71889999999999998</v>
      </c>
      <c r="P50" s="16"/>
      <c r="Q50" s="18"/>
      <c r="R50" s="19">
        <f t="shared" si="79"/>
        <v>0</v>
      </c>
      <c r="S50" s="20">
        <f t="shared" si="80"/>
        <v>5</v>
      </c>
      <c r="T50" s="19">
        <f t="shared" si="81"/>
        <v>0.71889999999999998</v>
      </c>
      <c r="U50" s="21">
        <f t="shared" si="82"/>
        <v>-5</v>
      </c>
      <c r="V50" s="19">
        <f t="shared" si="83"/>
        <v>-0.71889999999999998</v>
      </c>
      <c r="X50" s="29"/>
    </row>
    <row r="51" spans="1:24">
      <c r="A51" s="26" t="s">
        <v>13</v>
      </c>
      <c r="B51" s="26" t="s">
        <v>47</v>
      </c>
      <c r="C51" s="30">
        <v>18.2</v>
      </c>
      <c r="D51" s="27">
        <v>11.6</v>
      </c>
      <c r="E51" s="28"/>
      <c r="F51" s="16">
        <f t="shared" si="75"/>
        <v>0</v>
      </c>
      <c r="G51" s="17"/>
      <c r="H51" s="18"/>
      <c r="I51" s="19">
        <f t="shared" si="76"/>
        <v>0</v>
      </c>
      <c r="J51" s="16"/>
      <c r="K51" s="18"/>
      <c r="L51" s="19">
        <f t="shared" si="77"/>
        <v>0</v>
      </c>
      <c r="M51" s="16"/>
      <c r="N51" s="18">
        <v>2</v>
      </c>
      <c r="O51" s="19">
        <f t="shared" si="78"/>
        <v>0.42223999999999995</v>
      </c>
      <c r="P51" s="16"/>
      <c r="Q51" s="18"/>
      <c r="R51" s="19">
        <f t="shared" si="79"/>
        <v>0</v>
      </c>
      <c r="S51" s="20">
        <f t="shared" si="80"/>
        <v>2</v>
      </c>
      <c r="T51" s="19">
        <f t="shared" si="81"/>
        <v>0.42223999999999995</v>
      </c>
      <c r="U51" s="21">
        <f t="shared" si="82"/>
        <v>-2</v>
      </c>
      <c r="V51" s="19">
        <f t="shared" si="83"/>
        <v>-0.42223999999999995</v>
      </c>
      <c r="X51" s="29"/>
    </row>
    <row r="52" spans="1:24">
      <c r="A52" s="26" t="s">
        <v>13</v>
      </c>
      <c r="B52" s="26" t="s">
        <v>47</v>
      </c>
      <c r="C52" s="30">
        <v>18.2</v>
      </c>
      <c r="D52" s="27">
        <v>11.7</v>
      </c>
      <c r="E52" s="28"/>
      <c r="F52" s="16">
        <f t="shared" si="75"/>
        <v>0</v>
      </c>
      <c r="G52" s="17"/>
      <c r="H52" s="18"/>
      <c r="I52" s="19">
        <f t="shared" si="76"/>
        <v>0</v>
      </c>
      <c r="J52" s="16"/>
      <c r="K52" s="18"/>
      <c r="L52" s="19">
        <f t="shared" si="77"/>
        <v>0</v>
      </c>
      <c r="M52" s="16"/>
      <c r="N52" s="18">
        <v>1</v>
      </c>
      <c r="O52" s="19">
        <f t="shared" si="78"/>
        <v>0.21293999999999996</v>
      </c>
      <c r="P52" s="16"/>
      <c r="Q52" s="18"/>
      <c r="R52" s="19">
        <f t="shared" si="79"/>
        <v>0</v>
      </c>
      <c r="S52" s="20">
        <f t="shared" si="80"/>
        <v>1</v>
      </c>
      <c r="T52" s="19">
        <f t="shared" si="81"/>
        <v>0.21293999999999996</v>
      </c>
      <c r="U52" s="21">
        <f t="shared" si="82"/>
        <v>-1</v>
      </c>
      <c r="V52" s="19">
        <f t="shared" si="83"/>
        <v>-0.21293999999999996</v>
      </c>
      <c r="X52" s="29"/>
    </row>
    <row r="53" spans="1:24">
      <c r="A53" s="26" t="s">
        <v>13</v>
      </c>
      <c r="B53" s="26" t="s">
        <v>47</v>
      </c>
      <c r="C53" s="30">
        <v>18.2</v>
      </c>
      <c r="D53" s="27">
        <v>11.3</v>
      </c>
      <c r="E53" s="28"/>
      <c r="F53" s="16">
        <f t="shared" si="75"/>
        <v>0</v>
      </c>
      <c r="G53" s="17"/>
      <c r="H53" s="18"/>
      <c r="I53" s="19">
        <f t="shared" si="76"/>
        <v>0</v>
      </c>
      <c r="J53" s="16"/>
      <c r="K53" s="18"/>
      <c r="L53" s="19">
        <f t="shared" si="77"/>
        <v>0</v>
      </c>
      <c r="M53" s="16"/>
      <c r="N53" s="18">
        <v>1</v>
      </c>
      <c r="O53" s="19">
        <f t="shared" si="78"/>
        <v>0.20566000000000001</v>
      </c>
      <c r="P53" s="16"/>
      <c r="Q53" s="18"/>
      <c r="R53" s="19">
        <f t="shared" si="79"/>
        <v>0</v>
      </c>
      <c r="S53" s="20">
        <f t="shared" si="80"/>
        <v>1</v>
      </c>
      <c r="T53" s="19">
        <f t="shared" si="81"/>
        <v>0.20566000000000001</v>
      </c>
      <c r="U53" s="21">
        <f t="shared" si="82"/>
        <v>-1</v>
      </c>
      <c r="V53" s="19">
        <f t="shared" si="83"/>
        <v>-0.20566000000000001</v>
      </c>
      <c r="X53" s="29"/>
    </row>
    <row r="54" spans="1:24">
      <c r="A54" s="26" t="s">
        <v>13</v>
      </c>
      <c r="B54" s="26" t="s">
        <v>47</v>
      </c>
      <c r="C54" s="30">
        <v>18.2</v>
      </c>
      <c r="D54" s="27">
        <v>9.9</v>
      </c>
      <c r="E54" s="28"/>
      <c r="F54" s="16">
        <f t="shared" si="75"/>
        <v>0</v>
      </c>
      <c r="G54" s="17"/>
      <c r="H54" s="18"/>
      <c r="I54" s="19">
        <f t="shared" si="76"/>
        <v>0</v>
      </c>
      <c r="J54" s="16"/>
      <c r="K54" s="18"/>
      <c r="L54" s="19">
        <f t="shared" si="77"/>
        <v>0</v>
      </c>
      <c r="M54" s="16"/>
      <c r="N54" s="18">
        <v>1</v>
      </c>
      <c r="O54" s="19">
        <f t="shared" si="78"/>
        <v>0.18018000000000001</v>
      </c>
      <c r="P54" s="16"/>
      <c r="Q54" s="18"/>
      <c r="R54" s="19">
        <f t="shared" si="79"/>
        <v>0</v>
      </c>
      <c r="S54" s="20">
        <f t="shared" si="80"/>
        <v>1</v>
      </c>
      <c r="T54" s="19">
        <f t="shared" si="81"/>
        <v>0.18018000000000001</v>
      </c>
      <c r="U54" s="21">
        <f t="shared" si="82"/>
        <v>-1</v>
      </c>
      <c r="V54" s="19">
        <f t="shared" si="83"/>
        <v>-0.18018000000000001</v>
      </c>
      <c r="X54" s="29"/>
    </row>
    <row r="55" spans="1:24">
      <c r="A55" s="26" t="s">
        <v>13</v>
      </c>
      <c r="B55" s="26" t="s">
        <v>47</v>
      </c>
      <c r="C55" s="30">
        <v>18.2</v>
      </c>
      <c r="D55" s="27">
        <v>9.5</v>
      </c>
      <c r="E55" s="28"/>
      <c r="F55" s="16">
        <f t="shared" si="75"/>
        <v>0</v>
      </c>
      <c r="G55" s="17"/>
      <c r="H55" s="18"/>
      <c r="I55" s="19">
        <f t="shared" si="76"/>
        <v>0</v>
      </c>
      <c r="J55" s="16"/>
      <c r="K55" s="18"/>
      <c r="L55" s="19">
        <f t="shared" si="77"/>
        <v>0</v>
      </c>
      <c r="M55" s="16"/>
      <c r="N55" s="18">
        <v>1</v>
      </c>
      <c r="O55" s="19">
        <f t="shared" si="78"/>
        <v>0.1729</v>
      </c>
      <c r="P55" s="16"/>
      <c r="Q55" s="18"/>
      <c r="R55" s="19">
        <f t="shared" si="79"/>
        <v>0</v>
      </c>
      <c r="S55" s="20">
        <f t="shared" si="80"/>
        <v>1</v>
      </c>
      <c r="T55" s="19">
        <f t="shared" si="81"/>
        <v>0.1729</v>
      </c>
      <c r="U55" s="21">
        <f t="shared" si="82"/>
        <v>-1</v>
      </c>
      <c r="V55" s="19">
        <f t="shared" si="83"/>
        <v>-0.1729</v>
      </c>
      <c r="X55" s="29"/>
    </row>
    <row r="56" spans="1:24">
      <c r="A56" s="26" t="s">
        <v>13</v>
      </c>
      <c r="B56" s="26" t="s">
        <v>47</v>
      </c>
      <c r="C56" s="30">
        <v>18.2</v>
      </c>
      <c r="D56" s="27">
        <v>7.9</v>
      </c>
      <c r="E56" s="28"/>
      <c r="F56" s="16">
        <f t="shared" si="75"/>
        <v>0</v>
      </c>
      <c r="G56" s="17"/>
      <c r="H56" s="18"/>
      <c r="I56" s="19">
        <f t="shared" si="76"/>
        <v>0</v>
      </c>
      <c r="J56" s="16"/>
      <c r="K56" s="18"/>
      <c r="L56" s="19">
        <f t="shared" si="77"/>
        <v>0</v>
      </c>
      <c r="M56" s="16"/>
      <c r="N56" s="18">
        <v>1</v>
      </c>
      <c r="O56" s="19">
        <f t="shared" si="78"/>
        <v>0.14377999999999999</v>
      </c>
      <c r="P56" s="16"/>
      <c r="Q56" s="18"/>
      <c r="R56" s="19">
        <f t="shared" si="79"/>
        <v>0</v>
      </c>
      <c r="S56" s="20">
        <f t="shared" si="80"/>
        <v>1</v>
      </c>
      <c r="T56" s="19">
        <f t="shared" si="81"/>
        <v>0.14377999999999999</v>
      </c>
      <c r="U56" s="21">
        <f t="shared" si="82"/>
        <v>-1</v>
      </c>
      <c r="V56" s="19">
        <f t="shared" si="83"/>
        <v>-0.14377999999999999</v>
      </c>
      <c r="X56" s="29"/>
    </row>
    <row r="57" spans="1:24">
      <c r="A57" s="26" t="s">
        <v>13</v>
      </c>
      <c r="B57" s="26" t="s">
        <v>47</v>
      </c>
      <c r="C57" s="30">
        <v>18.2</v>
      </c>
      <c r="D57" s="27">
        <v>8.6999999999999993</v>
      </c>
      <c r="E57" s="28"/>
      <c r="F57" s="16">
        <f t="shared" si="66"/>
        <v>0</v>
      </c>
      <c r="G57" s="17"/>
      <c r="H57" s="18"/>
      <c r="I57" s="19">
        <f t="shared" si="67"/>
        <v>0</v>
      </c>
      <c r="J57" s="16"/>
      <c r="K57" s="18"/>
      <c r="L57" s="19">
        <f t="shared" si="68"/>
        <v>0</v>
      </c>
      <c r="M57" s="16"/>
      <c r="N57" s="18"/>
      <c r="O57" s="19">
        <f t="shared" si="69"/>
        <v>0</v>
      </c>
      <c r="P57" s="16"/>
      <c r="Q57" s="18">
        <v>2</v>
      </c>
      <c r="R57" s="19">
        <f t="shared" si="70"/>
        <v>0.31667999999999996</v>
      </c>
      <c r="S57" s="20">
        <f t="shared" si="71"/>
        <v>2</v>
      </c>
      <c r="T57" s="19">
        <f t="shared" si="72"/>
        <v>0.31667999999999996</v>
      </c>
      <c r="U57" s="21">
        <f t="shared" si="73"/>
        <v>-2</v>
      </c>
      <c r="V57" s="19">
        <f t="shared" si="74"/>
        <v>-0.31667999999999996</v>
      </c>
      <c r="X57" s="29"/>
    </row>
    <row r="58" spans="1:24">
      <c r="A58" s="36"/>
      <c r="B58" s="36"/>
      <c r="C58" s="37"/>
      <c r="D58" s="38"/>
      <c r="E58" s="31">
        <f>SUM(E42:E57)</f>
        <v>197</v>
      </c>
      <c r="F58" s="38">
        <f t="shared" ref="F58" si="84">SUM(F42:F57)</f>
        <v>33.68092</v>
      </c>
      <c r="G58" s="17"/>
      <c r="H58" s="31">
        <f>SUM(H42:H57)</f>
        <v>92</v>
      </c>
      <c r="I58" s="38">
        <f t="shared" ref="I58" si="85">SUM(I42:I57)</f>
        <v>15.242500000000001</v>
      </c>
      <c r="J58" s="16"/>
      <c r="K58" s="31">
        <f>SUM(K42:K57)</f>
        <v>77</v>
      </c>
      <c r="L58" s="38">
        <f t="shared" ref="L58" si="86">SUM(L42:L57)</f>
        <v>14.285180000000002</v>
      </c>
      <c r="M58" s="16"/>
      <c r="N58" s="31">
        <f>SUM(N42:N57)</f>
        <v>13</v>
      </c>
      <c r="O58" s="38">
        <f t="shared" ref="O58" si="87">SUM(O42:O57)</f>
        <v>2.2658999999999998</v>
      </c>
      <c r="P58" s="16"/>
      <c r="Q58" s="31">
        <f>SUM(Q42:Q57)</f>
        <v>13</v>
      </c>
      <c r="R58" s="38">
        <f t="shared" ref="R58" si="88">SUM(R42:R57)</f>
        <v>1.9401199999999998</v>
      </c>
      <c r="S58" s="31">
        <f>SUM(S42:S57)</f>
        <v>195</v>
      </c>
      <c r="T58" s="38">
        <f t="shared" ref="T58" si="89">SUM(T42:T57)</f>
        <v>33.733700000000006</v>
      </c>
      <c r="U58" s="31">
        <f>SUM(U42:U57)</f>
        <v>2</v>
      </c>
      <c r="V58" s="38">
        <f t="shared" ref="V58" si="90">SUM(V42:V57)</f>
        <v>-5.2780000000000271E-2</v>
      </c>
      <c r="X58" s="29"/>
    </row>
    <row r="59" spans="1:24">
      <c r="A59" s="26" t="s">
        <v>13</v>
      </c>
      <c r="B59" s="26" t="s">
        <v>49</v>
      </c>
      <c r="C59" s="30">
        <v>14.7</v>
      </c>
      <c r="D59" s="27">
        <v>8.1999999999999993</v>
      </c>
      <c r="E59" s="28">
        <v>117</v>
      </c>
      <c r="F59" s="16">
        <f t="shared" ref="F59:F67" si="91">(C59*D59*E59/1000)</f>
        <v>14.103179999999996</v>
      </c>
      <c r="G59" s="17" t="s">
        <v>88</v>
      </c>
      <c r="H59" s="18">
        <v>23</v>
      </c>
      <c r="I59" s="19">
        <f t="shared" ref="I59:I67" si="92">(C59*D59*H59/1000)</f>
        <v>2.7724199999999994</v>
      </c>
      <c r="J59" s="16" t="s">
        <v>89</v>
      </c>
      <c r="K59" s="18">
        <v>65</v>
      </c>
      <c r="L59" s="19">
        <f t="shared" ref="L59:L67" si="93">(C59*D59*K59/1000)</f>
        <v>7.8350999999999988</v>
      </c>
      <c r="M59" s="16" t="s">
        <v>64</v>
      </c>
      <c r="N59" s="18">
        <v>20</v>
      </c>
      <c r="O59" s="19">
        <f t="shared" ref="O59:O67" si="94">(C59*D59*N59/1000)</f>
        <v>2.4107999999999996</v>
      </c>
      <c r="P59" s="16"/>
      <c r="Q59" s="18"/>
      <c r="R59" s="19">
        <f t="shared" ref="R59:R67" si="95">(C59*D59*Q59/1000)</f>
        <v>0</v>
      </c>
      <c r="S59" s="20">
        <f t="shared" ref="S59:S67" si="96">+H59+K59+Q59+N59</f>
        <v>108</v>
      </c>
      <c r="T59" s="19">
        <f t="shared" ref="T59:T67" si="97">+I59+L59+R59+O59</f>
        <v>13.018319999999997</v>
      </c>
      <c r="U59" s="21">
        <f t="shared" ref="U59:U67" si="98">E59-S59</f>
        <v>9</v>
      </c>
      <c r="V59" s="19">
        <f t="shared" ref="V59:V67" si="99">F59-T59</f>
        <v>1.084859999999999</v>
      </c>
      <c r="X59" s="29"/>
    </row>
    <row r="60" spans="1:24">
      <c r="A60" s="26" t="s">
        <v>13</v>
      </c>
      <c r="B60" s="26" t="s">
        <v>49</v>
      </c>
      <c r="C60" s="30">
        <v>14.7</v>
      </c>
      <c r="D60" s="27">
        <v>8.3000000000000007</v>
      </c>
      <c r="E60" s="28">
        <v>28</v>
      </c>
      <c r="F60" s="16">
        <f t="shared" si="91"/>
        <v>3.41628</v>
      </c>
      <c r="G60" s="17" t="s">
        <v>326</v>
      </c>
      <c r="H60" s="18">
        <v>23</v>
      </c>
      <c r="I60" s="19">
        <f t="shared" si="92"/>
        <v>2.8062300000000002</v>
      </c>
      <c r="J60" s="16" t="s">
        <v>327</v>
      </c>
      <c r="K60" s="18"/>
      <c r="L60" s="19">
        <f t="shared" si="93"/>
        <v>0</v>
      </c>
      <c r="M60" s="16" t="s">
        <v>341</v>
      </c>
      <c r="N60" s="18"/>
      <c r="O60" s="19">
        <f t="shared" si="94"/>
        <v>0</v>
      </c>
      <c r="P60" s="16"/>
      <c r="Q60" s="18"/>
      <c r="R60" s="19">
        <f t="shared" si="95"/>
        <v>0</v>
      </c>
      <c r="S60" s="20">
        <f t="shared" si="96"/>
        <v>23</v>
      </c>
      <c r="T60" s="19">
        <f t="shared" si="97"/>
        <v>2.8062300000000002</v>
      </c>
      <c r="U60" s="21">
        <f t="shared" si="98"/>
        <v>5</v>
      </c>
      <c r="V60" s="19">
        <f t="shared" si="99"/>
        <v>0.61004999999999976</v>
      </c>
      <c r="X60" s="29"/>
    </row>
    <row r="61" spans="1:24">
      <c r="A61" s="26" t="s">
        <v>13</v>
      </c>
      <c r="B61" s="26" t="s">
        <v>49</v>
      </c>
      <c r="C61" s="30">
        <v>14.7</v>
      </c>
      <c r="D61" s="27">
        <v>9.1999999999999993</v>
      </c>
      <c r="E61" s="28">
        <v>3</v>
      </c>
      <c r="F61" s="16">
        <f t="shared" si="91"/>
        <v>0.40571999999999991</v>
      </c>
      <c r="G61" s="17"/>
      <c r="H61" s="18"/>
      <c r="I61" s="19">
        <f t="shared" si="92"/>
        <v>0</v>
      </c>
      <c r="J61" s="16"/>
      <c r="K61" s="18"/>
      <c r="L61" s="19">
        <f t="shared" si="93"/>
        <v>0</v>
      </c>
      <c r="M61" s="16"/>
      <c r="N61" s="18"/>
      <c r="O61" s="19">
        <f t="shared" si="94"/>
        <v>0</v>
      </c>
      <c r="P61" s="16"/>
      <c r="Q61" s="18"/>
      <c r="R61" s="19">
        <f t="shared" si="95"/>
        <v>0</v>
      </c>
      <c r="S61" s="20">
        <f t="shared" si="96"/>
        <v>0</v>
      </c>
      <c r="T61" s="19">
        <f t="shared" si="97"/>
        <v>0</v>
      </c>
      <c r="U61" s="21">
        <f t="shared" si="98"/>
        <v>3</v>
      </c>
      <c r="V61" s="19">
        <f t="shared" si="99"/>
        <v>0.40571999999999991</v>
      </c>
      <c r="X61" s="29"/>
    </row>
    <row r="62" spans="1:24">
      <c r="A62" s="26" t="s">
        <v>13</v>
      </c>
      <c r="B62" s="26" t="s">
        <v>49</v>
      </c>
      <c r="C62" s="30">
        <v>14.7</v>
      </c>
      <c r="D62" s="27">
        <v>11.5</v>
      </c>
      <c r="E62" s="28">
        <v>10</v>
      </c>
      <c r="F62" s="16">
        <f t="shared" ref="F62:F66" si="100">(C62*D62*E62/1000)</f>
        <v>1.6904999999999997</v>
      </c>
      <c r="G62" s="17"/>
      <c r="H62" s="18">
        <v>5</v>
      </c>
      <c r="I62" s="19">
        <f t="shared" ref="I62:I66" si="101">(C62*D62*H62/1000)</f>
        <v>0.84524999999999983</v>
      </c>
      <c r="J62" s="16"/>
      <c r="K62" s="18"/>
      <c r="L62" s="19">
        <f t="shared" ref="L62:L66" si="102">(C62*D62*K62/1000)</f>
        <v>0</v>
      </c>
      <c r="M62" s="16"/>
      <c r="N62" s="18">
        <v>5</v>
      </c>
      <c r="O62" s="19">
        <f t="shared" ref="O62:O66" si="103">(C62*D62*N62/1000)</f>
        <v>0.84524999999999983</v>
      </c>
      <c r="P62" s="16"/>
      <c r="Q62" s="18"/>
      <c r="R62" s="19">
        <f t="shared" ref="R62:R66" si="104">(C62*D62*Q62/1000)</f>
        <v>0</v>
      </c>
      <c r="S62" s="20">
        <f t="shared" ref="S62:S66" si="105">+H62+K62+Q62+N62</f>
        <v>10</v>
      </c>
      <c r="T62" s="19">
        <f t="shared" ref="T62:T66" si="106">+I62+L62+R62+O62</f>
        <v>1.6904999999999997</v>
      </c>
      <c r="U62" s="21">
        <f t="shared" ref="U62:U66" si="107">E62-S62</f>
        <v>0</v>
      </c>
      <c r="V62" s="19">
        <f t="shared" ref="V62:V66" si="108">F62-T62</f>
        <v>0</v>
      </c>
      <c r="X62" s="29"/>
    </row>
    <row r="63" spans="1:24">
      <c r="A63" s="26" t="s">
        <v>13</v>
      </c>
      <c r="B63" s="26" t="s">
        <v>49</v>
      </c>
      <c r="C63" s="30">
        <v>14.7</v>
      </c>
      <c r="D63" s="27">
        <v>11.7</v>
      </c>
      <c r="E63" s="28"/>
      <c r="F63" s="16">
        <f t="shared" si="100"/>
        <v>0</v>
      </c>
      <c r="G63" s="17"/>
      <c r="H63" s="18"/>
      <c r="I63" s="19">
        <f t="shared" si="101"/>
        <v>0</v>
      </c>
      <c r="J63" s="16"/>
      <c r="K63" s="18"/>
      <c r="L63" s="19">
        <f t="shared" si="102"/>
        <v>0</v>
      </c>
      <c r="M63" s="16"/>
      <c r="N63" s="18">
        <v>8</v>
      </c>
      <c r="O63" s="19">
        <f t="shared" si="103"/>
        <v>1.3759199999999998</v>
      </c>
      <c r="P63" s="16"/>
      <c r="Q63" s="18"/>
      <c r="R63" s="19">
        <f t="shared" si="104"/>
        <v>0</v>
      </c>
      <c r="S63" s="20">
        <f t="shared" si="105"/>
        <v>8</v>
      </c>
      <c r="T63" s="19">
        <f t="shared" si="106"/>
        <v>1.3759199999999998</v>
      </c>
      <c r="U63" s="21">
        <f t="shared" si="107"/>
        <v>-8</v>
      </c>
      <c r="V63" s="19">
        <f t="shared" si="108"/>
        <v>-1.3759199999999998</v>
      </c>
      <c r="X63" s="29"/>
    </row>
    <row r="64" spans="1:24">
      <c r="A64" s="26" t="s">
        <v>13</v>
      </c>
      <c r="B64" s="26" t="s">
        <v>49</v>
      </c>
      <c r="C64" s="30">
        <v>14.7</v>
      </c>
      <c r="D64" s="27">
        <v>11.35</v>
      </c>
      <c r="E64" s="28"/>
      <c r="F64" s="16">
        <f t="shared" si="100"/>
        <v>0</v>
      </c>
      <c r="G64" s="17"/>
      <c r="H64" s="18"/>
      <c r="I64" s="19">
        <f t="shared" si="101"/>
        <v>0</v>
      </c>
      <c r="J64" s="16"/>
      <c r="K64" s="18"/>
      <c r="L64" s="19">
        <f t="shared" si="102"/>
        <v>0</v>
      </c>
      <c r="M64" s="16"/>
      <c r="N64" s="18">
        <v>2</v>
      </c>
      <c r="O64" s="19">
        <f t="shared" si="103"/>
        <v>0.33368999999999999</v>
      </c>
      <c r="P64" s="16"/>
      <c r="Q64" s="18"/>
      <c r="R64" s="19">
        <f t="shared" si="104"/>
        <v>0</v>
      </c>
      <c r="S64" s="20">
        <f t="shared" si="105"/>
        <v>2</v>
      </c>
      <c r="T64" s="19">
        <f t="shared" si="106"/>
        <v>0.33368999999999999</v>
      </c>
      <c r="U64" s="21">
        <f t="shared" si="107"/>
        <v>-2</v>
      </c>
      <c r="V64" s="19">
        <f t="shared" si="108"/>
        <v>-0.33368999999999999</v>
      </c>
      <c r="X64" s="29"/>
    </row>
    <row r="65" spans="1:24">
      <c r="A65" s="26" t="s">
        <v>13</v>
      </c>
      <c r="B65" s="26" t="s">
        <v>49</v>
      </c>
      <c r="C65" s="30">
        <v>14.7</v>
      </c>
      <c r="D65" s="27">
        <v>11</v>
      </c>
      <c r="E65" s="28"/>
      <c r="F65" s="16">
        <f t="shared" si="100"/>
        <v>0</v>
      </c>
      <c r="G65" s="17"/>
      <c r="H65" s="18"/>
      <c r="I65" s="19">
        <f t="shared" si="101"/>
        <v>0</v>
      </c>
      <c r="J65" s="16"/>
      <c r="K65" s="18"/>
      <c r="L65" s="19">
        <f t="shared" si="102"/>
        <v>0</v>
      </c>
      <c r="M65" s="16"/>
      <c r="N65" s="18">
        <v>1</v>
      </c>
      <c r="O65" s="19">
        <f t="shared" si="103"/>
        <v>0.16169999999999998</v>
      </c>
      <c r="P65" s="16"/>
      <c r="Q65" s="18"/>
      <c r="R65" s="19">
        <f t="shared" si="104"/>
        <v>0</v>
      </c>
      <c r="S65" s="20">
        <f t="shared" si="105"/>
        <v>1</v>
      </c>
      <c r="T65" s="19">
        <f t="shared" si="106"/>
        <v>0.16169999999999998</v>
      </c>
      <c r="U65" s="21">
        <f t="shared" si="107"/>
        <v>-1</v>
      </c>
      <c r="V65" s="19">
        <f t="shared" si="108"/>
        <v>-0.16169999999999998</v>
      </c>
      <c r="X65" s="29"/>
    </row>
    <row r="66" spans="1:24">
      <c r="A66" s="26" t="s">
        <v>13</v>
      </c>
      <c r="B66" s="26" t="s">
        <v>49</v>
      </c>
      <c r="C66" s="30">
        <v>14.7</v>
      </c>
      <c r="D66" s="27">
        <v>10.199999999999999</v>
      </c>
      <c r="E66" s="28"/>
      <c r="F66" s="16">
        <f t="shared" si="100"/>
        <v>0</v>
      </c>
      <c r="G66" s="17"/>
      <c r="H66" s="18"/>
      <c r="I66" s="19">
        <f t="shared" si="101"/>
        <v>0</v>
      </c>
      <c r="J66" s="16"/>
      <c r="K66" s="18"/>
      <c r="L66" s="19">
        <f t="shared" si="102"/>
        <v>0</v>
      </c>
      <c r="M66" s="16"/>
      <c r="N66" s="18">
        <v>1</v>
      </c>
      <c r="O66" s="19">
        <f t="shared" si="103"/>
        <v>0.14993999999999996</v>
      </c>
      <c r="P66" s="16"/>
      <c r="Q66" s="18"/>
      <c r="R66" s="19">
        <f t="shared" si="104"/>
        <v>0</v>
      </c>
      <c r="S66" s="20">
        <f t="shared" si="105"/>
        <v>1</v>
      </c>
      <c r="T66" s="19">
        <f t="shared" si="106"/>
        <v>0.14993999999999996</v>
      </c>
      <c r="U66" s="21">
        <f t="shared" si="107"/>
        <v>-1</v>
      </c>
      <c r="V66" s="19">
        <f t="shared" si="108"/>
        <v>-0.14993999999999996</v>
      </c>
      <c r="X66" s="29"/>
    </row>
    <row r="67" spans="1:24">
      <c r="A67" s="26" t="s">
        <v>13</v>
      </c>
      <c r="B67" s="26" t="s">
        <v>49</v>
      </c>
      <c r="C67" s="30">
        <v>14.7</v>
      </c>
      <c r="D67" s="27">
        <v>11</v>
      </c>
      <c r="E67" s="28"/>
      <c r="F67" s="16">
        <f t="shared" si="91"/>
        <v>0</v>
      </c>
      <c r="G67" s="17"/>
      <c r="H67" s="18"/>
      <c r="I67" s="19">
        <f t="shared" si="92"/>
        <v>0</v>
      </c>
      <c r="J67" s="16"/>
      <c r="K67" s="18"/>
      <c r="L67" s="19">
        <f t="shared" si="93"/>
        <v>0</v>
      </c>
      <c r="M67" s="16"/>
      <c r="N67" s="18">
        <v>1</v>
      </c>
      <c r="O67" s="19">
        <f t="shared" si="94"/>
        <v>0.16169999999999998</v>
      </c>
      <c r="P67" s="16"/>
      <c r="Q67" s="18"/>
      <c r="R67" s="19">
        <f t="shared" si="95"/>
        <v>0</v>
      </c>
      <c r="S67" s="20">
        <f t="shared" si="96"/>
        <v>1</v>
      </c>
      <c r="T67" s="19">
        <f t="shared" si="97"/>
        <v>0.16169999999999998</v>
      </c>
      <c r="U67" s="21">
        <f t="shared" si="98"/>
        <v>-1</v>
      </c>
      <c r="V67" s="19">
        <f t="shared" si="99"/>
        <v>-0.16169999999999998</v>
      </c>
      <c r="X67" s="29"/>
    </row>
    <row r="68" spans="1:24">
      <c r="A68" s="36"/>
      <c r="B68" s="36"/>
      <c r="C68" s="37"/>
      <c r="D68" s="38"/>
      <c r="E68" s="31">
        <f>SUM(E59:E67)</f>
        <v>158</v>
      </c>
      <c r="F68" s="38">
        <f>SUM(F59:F67)</f>
        <v>19.615679999999994</v>
      </c>
      <c r="G68" s="17"/>
      <c r="H68" s="31">
        <f>SUM(H59:H67)</f>
        <v>51</v>
      </c>
      <c r="I68" s="38">
        <f>SUM(I59:I67)</f>
        <v>6.4238999999999997</v>
      </c>
      <c r="J68" s="16"/>
      <c r="K68" s="31">
        <f>SUM(K59:K67)</f>
        <v>65</v>
      </c>
      <c r="L68" s="38">
        <f>SUM(L59:L67)</f>
        <v>7.8350999999999988</v>
      </c>
      <c r="M68" s="16"/>
      <c r="N68" s="31">
        <f>SUM(N59:N67)</f>
        <v>38</v>
      </c>
      <c r="O68" s="38">
        <f>SUM(O59:O67)</f>
        <v>5.4389999999999983</v>
      </c>
      <c r="P68" s="16"/>
      <c r="Q68" s="31">
        <f>SUM(Q59:Q67)</f>
        <v>0</v>
      </c>
      <c r="R68" s="38">
        <f t="shared" ref="R68" si="109">SUM(R59:R67)</f>
        <v>0</v>
      </c>
      <c r="S68" s="31">
        <f>SUM(S59:S67)</f>
        <v>154</v>
      </c>
      <c r="T68" s="38">
        <f t="shared" ref="T68" si="110">SUM(T59:T67)</f>
        <v>19.698</v>
      </c>
      <c r="U68" s="31">
        <f>SUM(U59:U67)</f>
        <v>4</v>
      </c>
      <c r="V68" s="38">
        <f t="shared" ref="V68" si="111">SUM(V59:V67)</f>
        <v>-8.2320000000000837E-2</v>
      </c>
      <c r="X68" s="29"/>
    </row>
    <row r="69" spans="1:24">
      <c r="A69" s="26" t="s">
        <v>13</v>
      </c>
      <c r="B69" s="26" t="s">
        <v>51</v>
      </c>
      <c r="C69" s="30">
        <v>19.8</v>
      </c>
      <c r="D69" s="27">
        <v>7.2</v>
      </c>
      <c r="E69" s="28">
        <v>10</v>
      </c>
      <c r="F69" s="16">
        <f t="shared" ref="F69:F79" si="112">(C69*D69*E69/1000)</f>
        <v>1.4256</v>
      </c>
      <c r="G69" s="17" t="s">
        <v>93</v>
      </c>
      <c r="H69" s="18">
        <v>12</v>
      </c>
      <c r="I69" s="19">
        <f t="shared" ref="I69:I79" si="113">(C69*D69*H69/1000)</f>
        <v>1.71072</v>
      </c>
      <c r="J69" s="16"/>
      <c r="K69" s="18"/>
      <c r="L69" s="19">
        <f t="shared" ref="L69:L79" si="114">(C69*D69*K69/1000)</f>
        <v>0</v>
      </c>
      <c r="M69" s="16"/>
      <c r="N69" s="18"/>
      <c r="O69" s="19">
        <f t="shared" ref="O69:O79" si="115">(C69*D69*N69/1000)</f>
        <v>0</v>
      </c>
      <c r="P69" s="16"/>
      <c r="Q69" s="18"/>
      <c r="R69" s="19">
        <f t="shared" ref="R69:R79" si="116">(C69*D69*Q69/1000)</f>
        <v>0</v>
      </c>
      <c r="S69" s="20">
        <f t="shared" ref="S69:S79" si="117">+H69+K69+Q69+N69</f>
        <v>12</v>
      </c>
      <c r="T69" s="19">
        <f t="shared" ref="T69:T79" si="118">+I69+L69+R69+O69</f>
        <v>1.71072</v>
      </c>
      <c r="U69" s="21">
        <f t="shared" ref="U69:U79" si="119">E69-S69</f>
        <v>-2</v>
      </c>
      <c r="V69" s="19">
        <f t="shared" ref="V69:V79" si="120">F69-T69</f>
        <v>-0.28512000000000004</v>
      </c>
      <c r="X69" s="29"/>
    </row>
    <row r="70" spans="1:24">
      <c r="A70" s="26" t="s">
        <v>13</v>
      </c>
      <c r="B70" s="26" t="s">
        <v>51</v>
      </c>
      <c r="C70" s="30">
        <v>19.8</v>
      </c>
      <c r="D70" s="27">
        <v>11.7</v>
      </c>
      <c r="E70" s="28">
        <v>26</v>
      </c>
      <c r="F70" s="16">
        <f t="shared" si="112"/>
        <v>6.0231599999999998</v>
      </c>
      <c r="G70" s="17" t="s">
        <v>347</v>
      </c>
      <c r="H70" s="18"/>
      <c r="I70" s="19">
        <f t="shared" si="113"/>
        <v>0</v>
      </c>
      <c r="J70" s="16"/>
      <c r="K70" s="18"/>
      <c r="L70" s="19">
        <f t="shared" si="114"/>
        <v>0</v>
      </c>
      <c r="M70" s="16"/>
      <c r="N70" s="18"/>
      <c r="O70" s="19">
        <f t="shared" si="115"/>
        <v>0</v>
      </c>
      <c r="P70" s="16"/>
      <c r="Q70" s="18"/>
      <c r="R70" s="19">
        <f t="shared" si="116"/>
        <v>0</v>
      </c>
      <c r="S70" s="20">
        <f t="shared" si="117"/>
        <v>0</v>
      </c>
      <c r="T70" s="19">
        <f t="shared" si="118"/>
        <v>0</v>
      </c>
      <c r="U70" s="21">
        <f t="shared" si="119"/>
        <v>26</v>
      </c>
      <c r="V70" s="19">
        <f t="shared" si="120"/>
        <v>6.0231599999999998</v>
      </c>
      <c r="X70" s="29"/>
    </row>
    <row r="71" spans="1:24">
      <c r="A71" s="26" t="s">
        <v>13</v>
      </c>
      <c r="B71" s="26" t="s">
        <v>51</v>
      </c>
      <c r="C71" s="30">
        <v>19.8</v>
      </c>
      <c r="D71" s="27">
        <v>11.8</v>
      </c>
      <c r="E71" s="28">
        <v>30</v>
      </c>
      <c r="F71" s="16">
        <f t="shared" ref="F71:F78" si="121">(C71*D71*E71/1000)</f>
        <v>7.0092000000000008</v>
      </c>
      <c r="G71" s="17"/>
      <c r="H71" s="18">
        <v>4</v>
      </c>
      <c r="I71" s="19">
        <f t="shared" ref="I71:I78" si="122">(C71*D71*H71/1000)</f>
        <v>0.93456000000000006</v>
      </c>
      <c r="J71" s="16"/>
      <c r="K71" s="18"/>
      <c r="L71" s="19">
        <f t="shared" ref="L71:L78" si="123">(C71*D71*K71/1000)</f>
        <v>0</v>
      </c>
      <c r="M71" s="16"/>
      <c r="N71" s="18"/>
      <c r="O71" s="19">
        <f t="shared" ref="O71:O78" si="124">(C71*D71*N71/1000)</f>
        <v>0</v>
      </c>
      <c r="P71" s="16"/>
      <c r="Q71" s="18"/>
      <c r="R71" s="19">
        <f t="shared" ref="R71:R78" si="125">(C71*D71*Q71/1000)</f>
        <v>0</v>
      </c>
      <c r="S71" s="20">
        <f t="shared" ref="S71:S78" si="126">+H71+K71+Q71+N71</f>
        <v>4</v>
      </c>
      <c r="T71" s="19">
        <f t="shared" ref="T71:T78" si="127">+I71+L71+R71+O71</f>
        <v>0.93456000000000006</v>
      </c>
      <c r="U71" s="21">
        <f t="shared" ref="U71:U78" si="128">E71-S71</f>
        <v>26</v>
      </c>
      <c r="V71" s="19">
        <f t="shared" ref="V71:V78" si="129">F71-T71</f>
        <v>6.0746400000000005</v>
      </c>
      <c r="X71" s="29"/>
    </row>
    <row r="72" spans="1:24">
      <c r="A72" s="26" t="s">
        <v>13</v>
      </c>
      <c r="B72" s="26" t="s">
        <v>51</v>
      </c>
      <c r="C72" s="30">
        <v>19.8</v>
      </c>
      <c r="D72" s="27">
        <v>7.65</v>
      </c>
      <c r="E72" s="28"/>
      <c r="F72" s="16">
        <f t="shared" si="121"/>
        <v>0</v>
      </c>
      <c r="G72" s="17"/>
      <c r="H72" s="18">
        <v>26</v>
      </c>
      <c r="I72" s="19">
        <f t="shared" si="122"/>
        <v>3.9382199999999998</v>
      </c>
      <c r="J72" s="16"/>
      <c r="K72" s="18"/>
      <c r="L72" s="19">
        <f t="shared" si="123"/>
        <v>0</v>
      </c>
      <c r="M72" s="16"/>
      <c r="N72" s="18"/>
      <c r="O72" s="19">
        <f t="shared" si="124"/>
        <v>0</v>
      </c>
      <c r="P72" s="16"/>
      <c r="Q72" s="18"/>
      <c r="R72" s="19">
        <f t="shared" si="125"/>
        <v>0</v>
      </c>
      <c r="S72" s="20">
        <f t="shared" si="126"/>
        <v>26</v>
      </c>
      <c r="T72" s="19">
        <f t="shared" si="127"/>
        <v>3.9382199999999998</v>
      </c>
      <c r="U72" s="21">
        <f t="shared" si="128"/>
        <v>-26</v>
      </c>
      <c r="V72" s="19">
        <f t="shared" si="129"/>
        <v>-3.9382199999999998</v>
      </c>
      <c r="X72" s="29"/>
    </row>
    <row r="73" spans="1:24">
      <c r="A73" s="26" t="s">
        <v>13</v>
      </c>
      <c r="B73" s="26" t="s">
        <v>51</v>
      </c>
      <c r="C73" s="30">
        <v>19.8</v>
      </c>
      <c r="D73" s="27">
        <v>8.5</v>
      </c>
      <c r="E73" s="28"/>
      <c r="F73" s="16">
        <f t="shared" si="121"/>
        <v>0</v>
      </c>
      <c r="G73" s="17"/>
      <c r="H73" s="18">
        <v>27</v>
      </c>
      <c r="I73" s="19">
        <f t="shared" si="122"/>
        <v>4.5441000000000003</v>
      </c>
      <c r="J73" s="16"/>
      <c r="K73" s="18"/>
      <c r="L73" s="19">
        <f t="shared" si="123"/>
        <v>0</v>
      </c>
      <c r="M73" s="16"/>
      <c r="N73" s="18"/>
      <c r="O73" s="19">
        <f t="shared" si="124"/>
        <v>0</v>
      </c>
      <c r="P73" s="16"/>
      <c r="Q73" s="18"/>
      <c r="R73" s="19">
        <f t="shared" si="125"/>
        <v>0</v>
      </c>
      <c r="S73" s="20">
        <f t="shared" si="126"/>
        <v>27</v>
      </c>
      <c r="T73" s="19">
        <f t="shared" si="127"/>
        <v>4.5441000000000003</v>
      </c>
      <c r="U73" s="21">
        <f t="shared" si="128"/>
        <v>-27</v>
      </c>
      <c r="V73" s="19">
        <f t="shared" si="129"/>
        <v>-4.5441000000000003</v>
      </c>
      <c r="X73" s="29"/>
    </row>
    <row r="74" spans="1:24">
      <c r="A74" s="26" t="s">
        <v>13</v>
      </c>
      <c r="B74" s="26" t="s">
        <v>51</v>
      </c>
      <c r="C74" s="30">
        <v>19.8</v>
      </c>
      <c r="D74" s="27">
        <v>7.57</v>
      </c>
      <c r="E74" s="28"/>
      <c r="F74" s="16">
        <f t="shared" si="121"/>
        <v>0</v>
      </c>
      <c r="G74" s="17"/>
      <c r="H74" s="18">
        <v>20</v>
      </c>
      <c r="I74" s="19">
        <f t="shared" si="122"/>
        <v>2.9977200000000002</v>
      </c>
      <c r="J74" s="16"/>
      <c r="K74" s="18"/>
      <c r="L74" s="19">
        <f t="shared" si="123"/>
        <v>0</v>
      </c>
      <c r="M74" s="16"/>
      <c r="N74" s="18"/>
      <c r="O74" s="19">
        <f t="shared" si="124"/>
        <v>0</v>
      </c>
      <c r="P74" s="16"/>
      <c r="Q74" s="18"/>
      <c r="R74" s="19">
        <f t="shared" si="125"/>
        <v>0</v>
      </c>
      <c r="S74" s="20">
        <f t="shared" si="126"/>
        <v>20</v>
      </c>
      <c r="T74" s="19">
        <f t="shared" si="127"/>
        <v>2.9977200000000002</v>
      </c>
      <c r="U74" s="21">
        <f t="shared" si="128"/>
        <v>-20</v>
      </c>
      <c r="V74" s="19">
        <f t="shared" si="129"/>
        <v>-2.9977200000000002</v>
      </c>
      <c r="X74" s="29"/>
    </row>
    <row r="75" spans="1:24">
      <c r="A75" s="26" t="s">
        <v>13</v>
      </c>
      <c r="B75" s="26" t="s">
        <v>51</v>
      </c>
      <c r="C75" s="30">
        <v>19.8</v>
      </c>
      <c r="D75" s="27">
        <v>7</v>
      </c>
      <c r="E75" s="28"/>
      <c r="F75" s="16">
        <f t="shared" si="121"/>
        <v>0</v>
      </c>
      <c r="G75" s="17"/>
      <c r="H75" s="18">
        <v>1</v>
      </c>
      <c r="I75" s="19">
        <f t="shared" si="122"/>
        <v>0.1386</v>
      </c>
      <c r="J75" s="16"/>
      <c r="K75" s="18"/>
      <c r="L75" s="19">
        <f t="shared" si="123"/>
        <v>0</v>
      </c>
      <c r="M75" s="16"/>
      <c r="N75" s="18"/>
      <c r="O75" s="19">
        <f t="shared" si="124"/>
        <v>0</v>
      </c>
      <c r="P75" s="16"/>
      <c r="Q75" s="18"/>
      <c r="R75" s="19">
        <f t="shared" si="125"/>
        <v>0</v>
      </c>
      <c r="S75" s="20">
        <f t="shared" si="126"/>
        <v>1</v>
      </c>
      <c r="T75" s="19">
        <f t="shared" si="127"/>
        <v>0.1386</v>
      </c>
      <c r="U75" s="21">
        <f t="shared" si="128"/>
        <v>-1</v>
      </c>
      <c r="V75" s="19">
        <f t="shared" si="129"/>
        <v>-0.1386</v>
      </c>
      <c r="X75" s="29"/>
    </row>
    <row r="76" spans="1:24">
      <c r="A76" s="26" t="s">
        <v>13</v>
      </c>
      <c r="B76" s="26" t="s">
        <v>51</v>
      </c>
      <c r="C76" s="30">
        <v>19.8</v>
      </c>
      <c r="D76" s="27">
        <v>9.5</v>
      </c>
      <c r="E76" s="28"/>
      <c r="F76" s="16">
        <f t="shared" si="121"/>
        <v>0</v>
      </c>
      <c r="G76" s="17"/>
      <c r="H76" s="18">
        <v>1</v>
      </c>
      <c r="I76" s="19">
        <f t="shared" si="122"/>
        <v>0.18809999999999999</v>
      </c>
      <c r="J76" s="16"/>
      <c r="K76" s="18"/>
      <c r="L76" s="19">
        <f t="shared" si="123"/>
        <v>0</v>
      </c>
      <c r="M76" s="16"/>
      <c r="N76" s="18"/>
      <c r="O76" s="19">
        <f t="shared" si="124"/>
        <v>0</v>
      </c>
      <c r="P76" s="16"/>
      <c r="Q76" s="18"/>
      <c r="R76" s="19">
        <f t="shared" si="125"/>
        <v>0</v>
      </c>
      <c r="S76" s="20">
        <f t="shared" si="126"/>
        <v>1</v>
      </c>
      <c r="T76" s="19">
        <f t="shared" si="127"/>
        <v>0.18809999999999999</v>
      </c>
      <c r="U76" s="21">
        <f t="shared" si="128"/>
        <v>-1</v>
      </c>
      <c r="V76" s="19">
        <f t="shared" si="129"/>
        <v>-0.18809999999999999</v>
      </c>
      <c r="X76" s="29"/>
    </row>
    <row r="77" spans="1:24">
      <c r="A77" s="26" t="s">
        <v>13</v>
      </c>
      <c r="B77" s="26" t="s">
        <v>51</v>
      </c>
      <c r="C77" s="30">
        <v>19.8</v>
      </c>
      <c r="D77" s="27">
        <v>7.7</v>
      </c>
      <c r="E77" s="28"/>
      <c r="F77" s="16">
        <f t="shared" si="121"/>
        <v>0</v>
      </c>
      <c r="G77" s="17"/>
      <c r="H77" s="18">
        <v>2</v>
      </c>
      <c r="I77" s="19">
        <f t="shared" si="122"/>
        <v>0.30492000000000002</v>
      </c>
      <c r="J77" s="16"/>
      <c r="K77" s="18"/>
      <c r="L77" s="19">
        <f t="shared" si="123"/>
        <v>0</v>
      </c>
      <c r="M77" s="16"/>
      <c r="N77" s="18"/>
      <c r="O77" s="19">
        <f t="shared" si="124"/>
        <v>0</v>
      </c>
      <c r="P77" s="16"/>
      <c r="Q77" s="18"/>
      <c r="R77" s="19">
        <f t="shared" si="125"/>
        <v>0</v>
      </c>
      <c r="S77" s="20">
        <f t="shared" si="126"/>
        <v>2</v>
      </c>
      <c r="T77" s="19">
        <f t="shared" si="127"/>
        <v>0.30492000000000002</v>
      </c>
      <c r="U77" s="21">
        <f t="shared" si="128"/>
        <v>-2</v>
      </c>
      <c r="V77" s="19">
        <f t="shared" si="129"/>
        <v>-0.30492000000000002</v>
      </c>
      <c r="X77" s="29"/>
    </row>
    <row r="78" spans="1:24">
      <c r="A78" s="26" t="s">
        <v>13</v>
      </c>
      <c r="B78" s="26" t="s">
        <v>51</v>
      </c>
      <c r="C78" s="30">
        <v>19.8</v>
      </c>
      <c r="D78" s="27"/>
      <c r="E78" s="28"/>
      <c r="F78" s="16">
        <f t="shared" si="121"/>
        <v>0</v>
      </c>
      <c r="G78" s="17"/>
      <c r="H78" s="18"/>
      <c r="I78" s="19">
        <f t="shared" si="122"/>
        <v>0</v>
      </c>
      <c r="J78" s="16"/>
      <c r="K78" s="18"/>
      <c r="L78" s="19">
        <f t="shared" si="123"/>
        <v>0</v>
      </c>
      <c r="M78" s="16"/>
      <c r="N78" s="18"/>
      <c r="O78" s="19">
        <f t="shared" si="124"/>
        <v>0</v>
      </c>
      <c r="P78" s="16"/>
      <c r="Q78" s="18"/>
      <c r="R78" s="19">
        <f t="shared" si="125"/>
        <v>0</v>
      </c>
      <c r="S78" s="20">
        <f t="shared" si="126"/>
        <v>0</v>
      </c>
      <c r="T78" s="19">
        <f t="shared" si="127"/>
        <v>0</v>
      </c>
      <c r="U78" s="21">
        <f t="shared" si="128"/>
        <v>0</v>
      </c>
      <c r="V78" s="19">
        <f t="shared" si="129"/>
        <v>0</v>
      </c>
      <c r="X78" s="29"/>
    </row>
    <row r="79" spans="1:24">
      <c r="A79" s="26" t="s">
        <v>13</v>
      </c>
      <c r="B79" s="26" t="s">
        <v>51</v>
      </c>
      <c r="C79" s="30">
        <v>19.8</v>
      </c>
      <c r="D79" s="27"/>
      <c r="E79" s="28"/>
      <c r="F79" s="16">
        <f t="shared" si="112"/>
        <v>0</v>
      </c>
      <c r="G79" s="17"/>
      <c r="H79" s="18"/>
      <c r="I79" s="19">
        <f t="shared" si="113"/>
        <v>0</v>
      </c>
      <c r="J79" s="16"/>
      <c r="K79" s="18"/>
      <c r="L79" s="19">
        <f t="shared" si="114"/>
        <v>0</v>
      </c>
      <c r="M79" s="16"/>
      <c r="N79" s="18"/>
      <c r="O79" s="19">
        <f t="shared" si="115"/>
        <v>0</v>
      </c>
      <c r="P79" s="16"/>
      <c r="Q79" s="18"/>
      <c r="R79" s="19">
        <f t="shared" si="116"/>
        <v>0</v>
      </c>
      <c r="S79" s="20">
        <f t="shared" si="117"/>
        <v>0</v>
      </c>
      <c r="T79" s="19">
        <f t="shared" si="118"/>
        <v>0</v>
      </c>
      <c r="U79" s="21">
        <f t="shared" si="119"/>
        <v>0</v>
      </c>
      <c r="V79" s="19">
        <f t="shared" si="120"/>
        <v>0</v>
      </c>
      <c r="X79" s="29"/>
    </row>
    <row r="80" spans="1:24">
      <c r="A80" s="36"/>
      <c r="B80" s="36"/>
      <c r="C80" s="37"/>
      <c r="D80" s="38"/>
      <c r="E80" s="31">
        <f>SUM(E69:E79)</f>
        <v>66</v>
      </c>
      <c r="F80" s="38">
        <f t="shared" ref="F80" si="130">SUM(F69:F79)</f>
        <v>14.45796</v>
      </c>
      <c r="G80" s="17"/>
      <c r="H80" s="31">
        <f>SUM(H69:H79)</f>
        <v>93</v>
      </c>
      <c r="I80" s="38">
        <f t="shared" ref="I80" si="131">SUM(I69:I79)</f>
        <v>14.756940000000002</v>
      </c>
      <c r="J80" s="16"/>
      <c r="K80" s="31">
        <f>SUM(K69:K79)</f>
        <v>0</v>
      </c>
      <c r="L80" s="38">
        <f t="shared" ref="L80" si="132">SUM(L69:L79)</f>
        <v>0</v>
      </c>
      <c r="M80" s="16"/>
      <c r="N80" s="31">
        <f>SUM(N69:N79)</f>
        <v>0</v>
      </c>
      <c r="O80" s="38">
        <f t="shared" ref="O80" si="133">SUM(O69:O79)</f>
        <v>0</v>
      </c>
      <c r="P80" s="16"/>
      <c r="Q80" s="31">
        <f>SUM(Q69:Q79)</f>
        <v>0</v>
      </c>
      <c r="R80" s="38">
        <f t="shared" ref="R80" si="134">SUM(R69:R79)</f>
        <v>0</v>
      </c>
      <c r="S80" s="31">
        <f>SUM(S69:S79)</f>
        <v>93</v>
      </c>
      <c r="T80" s="38">
        <f t="shared" ref="T80" si="135">SUM(T69:T79)</f>
        <v>14.756940000000002</v>
      </c>
      <c r="U80" s="31">
        <f>SUM(U69:U79)</f>
        <v>-27</v>
      </c>
      <c r="V80" s="38">
        <f t="shared" ref="V80" si="136">SUM(V69:V79)</f>
        <v>-0.29897999999999952</v>
      </c>
      <c r="X80" s="29"/>
    </row>
    <row r="81" spans="1:24">
      <c r="A81" s="26" t="s">
        <v>13</v>
      </c>
      <c r="B81" s="26" t="s">
        <v>53</v>
      </c>
      <c r="C81" s="30">
        <v>23.6</v>
      </c>
      <c r="D81" s="27">
        <v>7.8</v>
      </c>
      <c r="E81" s="28">
        <v>26</v>
      </c>
      <c r="F81" s="16">
        <f t="shared" ref="F81:F99" si="137">(C81*D81*E81/1000)</f>
        <v>4.7860800000000001</v>
      </c>
      <c r="G81" s="17" t="s">
        <v>93</v>
      </c>
      <c r="H81" s="18">
        <f>12+9</f>
        <v>21</v>
      </c>
      <c r="I81" s="19">
        <f t="shared" ref="I81:I99" si="138">(C81*D81*H81/1000)</f>
        <v>3.8656800000000002</v>
      </c>
      <c r="J81" s="16" t="s">
        <v>89</v>
      </c>
      <c r="K81" s="18"/>
      <c r="L81" s="19">
        <f t="shared" ref="L81:L99" si="139">(C81*D81*K81/1000)</f>
        <v>0</v>
      </c>
      <c r="M81" s="16" t="s">
        <v>392</v>
      </c>
      <c r="N81" s="18">
        <v>1</v>
      </c>
      <c r="O81" s="19">
        <f t="shared" ref="O81:O99" si="140">(C81*D81*N81/1000)</f>
        <v>0.18408000000000002</v>
      </c>
      <c r="P81" s="16"/>
      <c r="Q81" s="18"/>
      <c r="R81" s="19">
        <f t="shared" ref="R81:R99" si="141">(C81*D81*Q81/1000)</f>
        <v>0</v>
      </c>
      <c r="S81" s="20">
        <f t="shared" ref="S81:S99" si="142">+H81+K81+Q81+N81</f>
        <v>22</v>
      </c>
      <c r="T81" s="19">
        <f t="shared" ref="T81:T99" si="143">+I81+L81+R81+O81</f>
        <v>4.04976</v>
      </c>
      <c r="U81" s="21">
        <f t="shared" ref="U81:U99" si="144">E81-S81</f>
        <v>4</v>
      </c>
      <c r="V81" s="19">
        <f t="shared" ref="V81:V99" si="145">F81-T81</f>
        <v>0.73632000000000009</v>
      </c>
      <c r="X81" s="29"/>
    </row>
    <row r="82" spans="1:24">
      <c r="A82" s="26" t="s">
        <v>13</v>
      </c>
      <c r="B82" s="26" t="s">
        <v>53</v>
      </c>
      <c r="C82" s="30">
        <v>23.6</v>
      </c>
      <c r="D82" s="27">
        <v>8</v>
      </c>
      <c r="E82" s="28">
        <v>35</v>
      </c>
      <c r="F82" s="16">
        <f t="shared" si="137"/>
        <v>6.6079999999999997</v>
      </c>
      <c r="G82" s="17" t="s">
        <v>328</v>
      </c>
      <c r="H82" s="18">
        <v>27</v>
      </c>
      <c r="I82" s="19">
        <f t="shared" si="138"/>
        <v>5.0976000000000008</v>
      </c>
      <c r="J82" s="16" t="s">
        <v>341</v>
      </c>
      <c r="K82" s="18"/>
      <c r="L82" s="19">
        <f t="shared" si="139"/>
        <v>0</v>
      </c>
      <c r="M82" s="16" t="s">
        <v>393</v>
      </c>
      <c r="N82" s="18"/>
      <c r="O82" s="19">
        <f t="shared" si="140"/>
        <v>0</v>
      </c>
      <c r="P82" s="16"/>
      <c r="Q82" s="18"/>
      <c r="R82" s="19">
        <f t="shared" si="141"/>
        <v>0</v>
      </c>
      <c r="S82" s="20">
        <f t="shared" si="142"/>
        <v>27</v>
      </c>
      <c r="T82" s="19">
        <f t="shared" si="143"/>
        <v>5.0976000000000008</v>
      </c>
      <c r="U82" s="21">
        <f t="shared" si="144"/>
        <v>8</v>
      </c>
      <c r="V82" s="19">
        <f t="shared" si="145"/>
        <v>1.5103999999999989</v>
      </c>
      <c r="X82" s="29"/>
    </row>
    <row r="83" spans="1:24">
      <c r="A83" s="26" t="s">
        <v>13</v>
      </c>
      <c r="B83" s="26" t="s">
        <v>53</v>
      </c>
      <c r="C83" s="30">
        <v>23.6</v>
      </c>
      <c r="D83" s="27">
        <v>9.5</v>
      </c>
      <c r="E83" s="28">
        <v>37</v>
      </c>
      <c r="F83" s="16">
        <f t="shared" si="137"/>
        <v>8.2954000000000008</v>
      </c>
      <c r="G83" s="17"/>
      <c r="H83" s="18">
        <v>30</v>
      </c>
      <c r="I83" s="19">
        <f t="shared" si="138"/>
        <v>6.7260000000000009</v>
      </c>
      <c r="J83" s="16"/>
      <c r="K83" s="18"/>
      <c r="L83" s="19">
        <f t="shared" si="139"/>
        <v>0</v>
      </c>
      <c r="M83" s="16"/>
      <c r="N83" s="18">
        <v>2</v>
      </c>
      <c r="O83" s="19">
        <f t="shared" si="140"/>
        <v>0.44840000000000002</v>
      </c>
      <c r="P83" s="16"/>
      <c r="Q83" s="18"/>
      <c r="R83" s="19">
        <f t="shared" si="141"/>
        <v>0</v>
      </c>
      <c r="S83" s="20">
        <f t="shared" si="142"/>
        <v>32</v>
      </c>
      <c r="T83" s="19">
        <f t="shared" si="143"/>
        <v>7.1744000000000012</v>
      </c>
      <c r="U83" s="21">
        <f t="shared" si="144"/>
        <v>5</v>
      </c>
      <c r="V83" s="19">
        <f t="shared" si="145"/>
        <v>1.1209999999999996</v>
      </c>
      <c r="X83" s="29"/>
    </row>
    <row r="84" spans="1:24">
      <c r="A84" s="26" t="s">
        <v>13</v>
      </c>
      <c r="B84" s="26" t="s">
        <v>53</v>
      </c>
      <c r="C84" s="30">
        <v>23.6</v>
      </c>
      <c r="D84" s="27">
        <v>10.9</v>
      </c>
      <c r="E84" s="28">
        <v>14</v>
      </c>
      <c r="F84" s="16">
        <f t="shared" si="137"/>
        <v>3.6013600000000001</v>
      </c>
      <c r="G84" s="17"/>
      <c r="H84" s="18">
        <v>14</v>
      </c>
      <c r="I84" s="19">
        <f t="shared" si="138"/>
        <v>3.6013600000000001</v>
      </c>
      <c r="J84" s="16"/>
      <c r="K84" s="18"/>
      <c r="L84" s="19">
        <f t="shared" si="139"/>
        <v>0</v>
      </c>
      <c r="M84" s="16"/>
      <c r="N84" s="18"/>
      <c r="O84" s="19">
        <f t="shared" si="140"/>
        <v>0</v>
      </c>
      <c r="P84" s="16"/>
      <c r="Q84" s="18"/>
      <c r="R84" s="19">
        <f t="shared" si="141"/>
        <v>0</v>
      </c>
      <c r="S84" s="20">
        <f t="shared" si="142"/>
        <v>14</v>
      </c>
      <c r="T84" s="19">
        <f t="shared" si="143"/>
        <v>3.6013600000000001</v>
      </c>
      <c r="U84" s="21">
        <f t="shared" si="144"/>
        <v>0</v>
      </c>
      <c r="V84" s="19">
        <f t="shared" si="145"/>
        <v>0</v>
      </c>
      <c r="X84" s="29"/>
    </row>
    <row r="85" spans="1:24">
      <c r="A85" s="26" t="s">
        <v>13</v>
      </c>
      <c r="B85" s="26" t="s">
        <v>53</v>
      </c>
      <c r="C85" s="30">
        <v>23.6</v>
      </c>
      <c r="D85" s="27">
        <v>11.6</v>
      </c>
      <c r="E85" s="28">
        <v>22</v>
      </c>
      <c r="F85" s="16">
        <f t="shared" ref="F85:F98" si="146">(C85*D85*E85/1000)</f>
        <v>6.0227199999999996</v>
      </c>
      <c r="G85" s="17"/>
      <c r="H85" s="18"/>
      <c r="I85" s="19">
        <f t="shared" ref="I85:I98" si="147">(C85*D85*H85/1000)</f>
        <v>0</v>
      </c>
      <c r="J85" s="16"/>
      <c r="K85" s="18">
        <v>22</v>
      </c>
      <c r="L85" s="19">
        <f t="shared" ref="L85:L98" si="148">(C85*D85*K85/1000)</f>
        <v>6.0227199999999996</v>
      </c>
      <c r="M85" s="16"/>
      <c r="N85" s="18"/>
      <c r="O85" s="19">
        <f t="shared" ref="O85:O98" si="149">(C85*D85*N85/1000)</f>
        <v>0</v>
      </c>
      <c r="P85" s="16"/>
      <c r="Q85" s="18"/>
      <c r="R85" s="19">
        <f t="shared" ref="R85:R98" si="150">(C85*D85*Q85/1000)</f>
        <v>0</v>
      </c>
      <c r="S85" s="20">
        <f t="shared" ref="S85:S98" si="151">+H85+K85+Q85+N85</f>
        <v>22</v>
      </c>
      <c r="T85" s="19">
        <f t="shared" ref="T85:T98" si="152">+I85+L85+R85+O85</f>
        <v>6.0227199999999996</v>
      </c>
      <c r="U85" s="21">
        <f t="shared" ref="U85:U98" si="153">E85-S85</f>
        <v>0</v>
      </c>
      <c r="V85" s="19">
        <f t="shared" ref="V85:V98" si="154">F85-T85</f>
        <v>0</v>
      </c>
      <c r="X85" s="29"/>
    </row>
    <row r="86" spans="1:24">
      <c r="A86" s="26" t="s">
        <v>13</v>
      </c>
      <c r="B86" s="26" t="s">
        <v>53</v>
      </c>
      <c r="C86" s="30">
        <v>23.6</v>
      </c>
      <c r="D86" s="27">
        <v>10.5</v>
      </c>
      <c r="E86" s="28"/>
      <c r="F86" s="16">
        <f t="shared" ref="F86:F87" si="155">(C86*D86*E86/1000)</f>
        <v>0</v>
      </c>
      <c r="G86" s="17"/>
      <c r="H86" s="18">
        <v>1</v>
      </c>
      <c r="I86" s="19">
        <f t="shared" ref="I86:I87" si="156">(C86*D86*H86/1000)</f>
        <v>0.24780000000000002</v>
      </c>
      <c r="J86" s="16"/>
      <c r="K86" s="18"/>
      <c r="L86" s="19">
        <f t="shared" ref="L86:L87" si="157">(C86*D86*K86/1000)</f>
        <v>0</v>
      </c>
      <c r="M86" s="16"/>
      <c r="N86" s="18"/>
      <c r="O86" s="19">
        <f t="shared" ref="O86:O87" si="158">(C86*D86*N86/1000)</f>
        <v>0</v>
      </c>
      <c r="P86" s="16"/>
      <c r="Q86" s="18"/>
      <c r="R86" s="19">
        <f t="shared" ref="R86:R87" si="159">(C86*D86*Q86/1000)</f>
        <v>0</v>
      </c>
      <c r="S86" s="20">
        <f t="shared" ref="S86:S87" si="160">+H86+K86+Q86+N86</f>
        <v>1</v>
      </c>
      <c r="T86" s="19">
        <f t="shared" ref="T86:T87" si="161">+I86+L86+R86+O86</f>
        <v>0.24780000000000002</v>
      </c>
      <c r="U86" s="21">
        <f t="shared" ref="U86:U87" si="162">E86-S86</f>
        <v>-1</v>
      </c>
      <c r="V86" s="19">
        <f t="shared" ref="V86:V87" si="163">F86-T86</f>
        <v>-0.24780000000000002</v>
      </c>
      <c r="X86" s="29"/>
    </row>
    <row r="87" spans="1:24">
      <c r="A87" s="26" t="s">
        <v>13</v>
      </c>
      <c r="B87" s="26" t="s">
        <v>53</v>
      </c>
      <c r="C87" s="30">
        <v>23.6</v>
      </c>
      <c r="D87" s="27">
        <v>10</v>
      </c>
      <c r="E87" s="28"/>
      <c r="F87" s="16">
        <f t="shared" si="155"/>
        <v>0</v>
      </c>
      <c r="G87" s="17"/>
      <c r="H87" s="18">
        <v>1</v>
      </c>
      <c r="I87" s="19">
        <f t="shared" si="156"/>
        <v>0.23599999999999999</v>
      </c>
      <c r="J87" s="16"/>
      <c r="K87" s="18"/>
      <c r="L87" s="19">
        <f t="shared" si="157"/>
        <v>0</v>
      </c>
      <c r="M87" s="16"/>
      <c r="N87" s="18"/>
      <c r="O87" s="19">
        <f t="shared" si="158"/>
        <v>0</v>
      </c>
      <c r="P87" s="16"/>
      <c r="Q87" s="18"/>
      <c r="R87" s="19">
        <f t="shared" si="159"/>
        <v>0</v>
      </c>
      <c r="S87" s="20">
        <f t="shared" si="160"/>
        <v>1</v>
      </c>
      <c r="T87" s="19">
        <f t="shared" si="161"/>
        <v>0.23599999999999999</v>
      </c>
      <c r="U87" s="21">
        <f t="shared" si="162"/>
        <v>-1</v>
      </c>
      <c r="V87" s="19">
        <f t="shared" si="163"/>
        <v>-0.23599999999999999</v>
      </c>
      <c r="X87" s="29"/>
    </row>
    <row r="88" spans="1:24">
      <c r="A88" s="26" t="s">
        <v>13</v>
      </c>
      <c r="B88" s="26" t="s">
        <v>53</v>
      </c>
      <c r="C88" s="30">
        <v>23.6</v>
      </c>
      <c r="D88" s="27">
        <v>9.1</v>
      </c>
      <c r="E88" s="28"/>
      <c r="F88" s="16">
        <f t="shared" si="146"/>
        <v>0</v>
      </c>
      <c r="G88" s="17"/>
      <c r="H88" s="18">
        <v>2</v>
      </c>
      <c r="I88" s="19">
        <f t="shared" si="147"/>
        <v>0.42951999999999996</v>
      </c>
      <c r="J88" s="16"/>
      <c r="K88" s="18"/>
      <c r="L88" s="19">
        <f t="shared" si="148"/>
        <v>0</v>
      </c>
      <c r="M88" s="16"/>
      <c r="N88" s="18">
        <v>1</v>
      </c>
      <c r="O88" s="19">
        <f t="shared" si="149"/>
        <v>0.21475999999999998</v>
      </c>
      <c r="P88" s="16"/>
      <c r="Q88" s="18"/>
      <c r="R88" s="19">
        <f t="shared" si="150"/>
        <v>0</v>
      </c>
      <c r="S88" s="20">
        <f t="shared" si="151"/>
        <v>3</v>
      </c>
      <c r="T88" s="19">
        <f t="shared" si="152"/>
        <v>0.64427999999999996</v>
      </c>
      <c r="U88" s="21">
        <f t="shared" si="153"/>
        <v>-3</v>
      </c>
      <c r="V88" s="19">
        <f t="shared" si="154"/>
        <v>-0.64427999999999996</v>
      </c>
      <c r="X88" s="29"/>
    </row>
    <row r="89" spans="1:24">
      <c r="A89" s="26" t="s">
        <v>13</v>
      </c>
      <c r="B89" s="26" t="s">
        <v>53</v>
      </c>
      <c r="C89" s="30">
        <v>23.6</v>
      </c>
      <c r="D89" s="27">
        <v>8.6999999999999993</v>
      </c>
      <c r="E89" s="28"/>
      <c r="F89" s="16">
        <f t="shared" si="146"/>
        <v>0</v>
      </c>
      <c r="G89" s="17"/>
      <c r="H89" s="18">
        <v>1</v>
      </c>
      <c r="I89" s="19">
        <f t="shared" si="147"/>
        <v>0.20532</v>
      </c>
      <c r="J89" s="16"/>
      <c r="K89" s="18"/>
      <c r="L89" s="19">
        <f t="shared" si="148"/>
        <v>0</v>
      </c>
      <c r="M89" s="16"/>
      <c r="N89" s="18"/>
      <c r="O89" s="19">
        <f t="shared" si="149"/>
        <v>0</v>
      </c>
      <c r="P89" s="16"/>
      <c r="Q89" s="18"/>
      <c r="R89" s="19">
        <f t="shared" si="150"/>
        <v>0</v>
      </c>
      <c r="S89" s="20">
        <f t="shared" si="151"/>
        <v>1</v>
      </c>
      <c r="T89" s="19">
        <f t="shared" si="152"/>
        <v>0.20532</v>
      </c>
      <c r="U89" s="21">
        <f t="shared" si="153"/>
        <v>-1</v>
      </c>
      <c r="V89" s="19">
        <f t="shared" si="154"/>
        <v>-0.20532</v>
      </c>
      <c r="X89" s="29"/>
    </row>
    <row r="90" spans="1:24">
      <c r="A90" s="26" t="s">
        <v>13</v>
      </c>
      <c r="B90" s="26" t="s">
        <v>53</v>
      </c>
      <c r="C90" s="30">
        <v>23.6</v>
      </c>
      <c r="D90" s="27">
        <v>7.7</v>
      </c>
      <c r="E90" s="28"/>
      <c r="F90" s="16">
        <f t="shared" si="146"/>
        <v>0</v>
      </c>
      <c r="G90" s="17"/>
      <c r="H90" s="18">
        <v>2</v>
      </c>
      <c r="I90" s="19">
        <f t="shared" si="147"/>
        <v>0.36344000000000004</v>
      </c>
      <c r="J90" s="16"/>
      <c r="K90" s="18"/>
      <c r="L90" s="19">
        <f t="shared" si="148"/>
        <v>0</v>
      </c>
      <c r="M90" s="16"/>
      <c r="N90" s="18"/>
      <c r="O90" s="19">
        <f t="shared" si="149"/>
        <v>0</v>
      </c>
      <c r="P90" s="16"/>
      <c r="Q90" s="18"/>
      <c r="R90" s="19">
        <f t="shared" si="150"/>
        <v>0</v>
      </c>
      <c r="S90" s="20">
        <f t="shared" si="151"/>
        <v>2</v>
      </c>
      <c r="T90" s="19">
        <f t="shared" si="152"/>
        <v>0.36344000000000004</v>
      </c>
      <c r="U90" s="21">
        <f t="shared" si="153"/>
        <v>-2</v>
      </c>
      <c r="V90" s="19">
        <f t="shared" si="154"/>
        <v>-0.36344000000000004</v>
      </c>
      <c r="X90" s="29"/>
    </row>
    <row r="91" spans="1:24">
      <c r="A91" s="26" t="s">
        <v>13</v>
      </c>
      <c r="B91" s="26" t="s">
        <v>53</v>
      </c>
      <c r="C91" s="30">
        <v>23.6</v>
      </c>
      <c r="D91" s="27">
        <v>7.5</v>
      </c>
      <c r="E91" s="28"/>
      <c r="F91" s="16">
        <f t="shared" si="146"/>
        <v>0</v>
      </c>
      <c r="G91" s="17"/>
      <c r="H91" s="18">
        <v>1</v>
      </c>
      <c r="I91" s="19">
        <f t="shared" si="147"/>
        <v>0.17699999999999999</v>
      </c>
      <c r="J91" s="16"/>
      <c r="K91" s="18"/>
      <c r="L91" s="19">
        <f t="shared" si="148"/>
        <v>0</v>
      </c>
      <c r="M91" s="16"/>
      <c r="N91" s="18"/>
      <c r="O91" s="19">
        <f t="shared" si="149"/>
        <v>0</v>
      </c>
      <c r="P91" s="16"/>
      <c r="Q91" s="18"/>
      <c r="R91" s="19">
        <f t="shared" si="150"/>
        <v>0</v>
      </c>
      <c r="S91" s="20">
        <f t="shared" si="151"/>
        <v>1</v>
      </c>
      <c r="T91" s="19">
        <f t="shared" si="152"/>
        <v>0.17699999999999999</v>
      </c>
      <c r="U91" s="21">
        <f t="shared" si="153"/>
        <v>-1</v>
      </c>
      <c r="V91" s="19">
        <f t="shared" si="154"/>
        <v>-0.17699999999999999</v>
      </c>
      <c r="X91" s="29"/>
    </row>
    <row r="92" spans="1:24">
      <c r="A92" s="26" t="s">
        <v>13</v>
      </c>
      <c r="B92" s="26" t="s">
        <v>53</v>
      </c>
      <c r="C92" s="30">
        <v>23.6</v>
      </c>
      <c r="D92" s="27">
        <v>7.6</v>
      </c>
      <c r="E92" s="28"/>
      <c r="F92" s="16">
        <f t="shared" si="146"/>
        <v>0</v>
      </c>
      <c r="G92" s="17"/>
      <c r="H92" s="18"/>
      <c r="I92" s="19">
        <f t="shared" si="147"/>
        <v>0</v>
      </c>
      <c r="J92" s="16"/>
      <c r="K92" s="18"/>
      <c r="L92" s="19">
        <f t="shared" si="148"/>
        <v>0</v>
      </c>
      <c r="M92" s="16"/>
      <c r="N92" s="18">
        <v>3</v>
      </c>
      <c r="O92" s="19">
        <f t="shared" si="149"/>
        <v>0.53808</v>
      </c>
      <c r="P92" s="16"/>
      <c r="Q92" s="18"/>
      <c r="R92" s="19">
        <f t="shared" si="150"/>
        <v>0</v>
      </c>
      <c r="S92" s="20">
        <f t="shared" si="151"/>
        <v>3</v>
      </c>
      <c r="T92" s="19">
        <f t="shared" si="152"/>
        <v>0.53808</v>
      </c>
      <c r="U92" s="21">
        <f t="shared" si="153"/>
        <v>-3</v>
      </c>
      <c r="V92" s="19">
        <f t="shared" si="154"/>
        <v>-0.53808</v>
      </c>
      <c r="X92" s="29"/>
    </row>
    <row r="93" spans="1:24">
      <c r="A93" s="26" t="s">
        <v>13</v>
      </c>
      <c r="B93" s="26" t="s">
        <v>53</v>
      </c>
      <c r="C93" s="30">
        <v>23.6</v>
      </c>
      <c r="D93" s="27">
        <v>8.5</v>
      </c>
      <c r="E93" s="28"/>
      <c r="F93" s="16">
        <f t="shared" si="146"/>
        <v>0</v>
      </c>
      <c r="G93" s="17"/>
      <c r="H93" s="18"/>
      <c r="I93" s="19">
        <f t="shared" si="147"/>
        <v>0</v>
      </c>
      <c r="J93" s="16"/>
      <c r="K93" s="18"/>
      <c r="L93" s="19">
        <f t="shared" si="148"/>
        <v>0</v>
      </c>
      <c r="M93" s="16"/>
      <c r="N93" s="18">
        <v>3</v>
      </c>
      <c r="O93" s="19">
        <f t="shared" si="149"/>
        <v>0.60180000000000011</v>
      </c>
      <c r="P93" s="16"/>
      <c r="Q93" s="18"/>
      <c r="R93" s="19">
        <f t="shared" si="150"/>
        <v>0</v>
      </c>
      <c r="S93" s="20">
        <f t="shared" si="151"/>
        <v>3</v>
      </c>
      <c r="T93" s="19">
        <f t="shared" si="152"/>
        <v>0.60180000000000011</v>
      </c>
      <c r="U93" s="21">
        <f t="shared" si="153"/>
        <v>-3</v>
      </c>
      <c r="V93" s="19">
        <f t="shared" si="154"/>
        <v>-0.60180000000000011</v>
      </c>
      <c r="X93" s="29"/>
    </row>
    <row r="94" spans="1:24">
      <c r="A94" s="26" t="s">
        <v>13</v>
      </c>
      <c r="B94" s="26" t="s">
        <v>53</v>
      </c>
      <c r="C94" s="30">
        <v>23.6</v>
      </c>
      <c r="D94" s="27">
        <v>6</v>
      </c>
      <c r="E94" s="28"/>
      <c r="F94" s="16">
        <f t="shared" si="146"/>
        <v>0</v>
      </c>
      <c r="G94" s="17"/>
      <c r="H94" s="18"/>
      <c r="I94" s="19">
        <f t="shared" si="147"/>
        <v>0</v>
      </c>
      <c r="J94" s="16"/>
      <c r="K94" s="18"/>
      <c r="L94" s="19">
        <f t="shared" si="148"/>
        <v>0</v>
      </c>
      <c r="M94" s="16"/>
      <c r="N94" s="18">
        <v>1</v>
      </c>
      <c r="O94" s="19">
        <f t="shared" si="149"/>
        <v>0.14160000000000003</v>
      </c>
      <c r="P94" s="16"/>
      <c r="Q94" s="18"/>
      <c r="R94" s="19">
        <f t="shared" si="150"/>
        <v>0</v>
      </c>
      <c r="S94" s="20">
        <f t="shared" si="151"/>
        <v>1</v>
      </c>
      <c r="T94" s="19">
        <f t="shared" si="152"/>
        <v>0.14160000000000003</v>
      </c>
      <c r="U94" s="21">
        <f t="shared" si="153"/>
        <v>-1</v>
      </c>
      <c r="V94" s="19">
        <f t="shared" si="154"/>
        <v>-0.14160000000000003</v>
      </c>
      <c r="X94" s="29"/>
    </row>
    <row r="95" spans="1:24">
      <c r="A95" s="26" t="s">
        <v>13</v>
      </c>
      <c r="B95" s="26" t="s">
        <v>53</v>
      </c>
      <c r="C95" s="30">
        <v>23.6</v>
      </c>
      <c r="D95" s="27">
        <v>6.1</v>
      </c>
      <c r="E95" s="28"/>
      <c r="F95" s="16">
        <f t="shared" si="146"/>
        <v>0</v>
      </c>
      <c r="G95" s="17"/>
      <c r="H95" s="18"/>
      <c r="I95" s="19">
        <f t="shared" si="147"/>
        <v>0</v>
      </c>
      <c r="J95" s="16"/>
      <c r="K95" s="18"/>
      <c r="L95" s="19">
        <f t="shared" si="148"/>
        <v>0</v>
      </c>
      <c r="M95" s="16"/>
      <c r="N95" s="18">
        <v>1</v>
      </c>
      <c r="O95" s="19">
        <f t="shared" si="149"/>
        <v>0.14396</v>
      </c>
      <c r="P95" s="16"/>
      <c r="Q95" s="18"/>
      <c r="R95" s="19">
        <f t="shared" si="150"/>
        <v>0</v>
      </c>
      <c r="S95" s="20">
        <f t="shared" si="151"/>
        <v>1</v>
      </c>
      <c r="T95" s="19">
        <f t="shared" si="152"/>
        <v>0.14396</v>
      </c>
      <c r="U95" s="21">
        <f t="shared" si="153"/>
        <v>-1</v>
      </c>
      <c r="V95" s="19">
        <f t="shared" si="154"/>
        <v>-0.14396</v>
      </c>
      <c r="X95" s="29"/>
    </row>
    <row r="96" spans="1:24">
      <c r="A96" s="26" t="s">
        <v>13</v>
      </c>
      <c r="B96" s="26" t="s">
        <v>53</v>
      </c>
      <c r="C96" s="30">
        <v>23.6</v>
      </c>
      <c r="D96" s="27">
        <v>7.9</v>
      </c>
      <c r="E96" s="28"/>
      <c r="F96" s="16">
        <f t="shared" si="146"/>
        <v>0</v>
      </c>
      <c r="G96" s="17"/>
      <c r="H96" s="18"/>
      <c r="I96" s="19">
        <f t="shared" si="147"/>
        <v>0</v>
      </c>
      <c r="J96" s="16"/>
      <c r="K96" s="18"/>
      <c r="L96" s="19">
        <f t="shared" si="148"/>
        <v>0</v>
      </c>
      <c r="M96" s="16"/>
      <c r="N96" s="18">
        <v>1</v>
      </c>
      <c r="O96" s="19">
        <f t="shared" si="149"/>
        <v>0.18644000000000002</v>
      </c>
      <c r="P96" s="16"/>
      <c r="Q96" s="18"/>
      <c r="R96" s="19">
        <f t="shared" si="150"/>
        <v>0</v>
      </c>
      <c r="S96" s="20">
        <f t="shared" si="151"/>
        <v>1</v>
      </c>
      <c r="T96" s="19">
        <f t="shared" si="152"/>
        <v>0.18644000000000002</v>
      </c>
      <c r="U96" s="21">
        <f t="shared" si="153"/>
        <v>-1</v>
      </c>
      <c r="V96" s="19">
        <f t="shared" si="154"/>
        <v>-0.18644000000000002</v>
      </c>
      <c r="X96" s="29"/>
    </row>
    <row r="97" spans="1:24">
      <c r="A97" s="26" t="s">
        <v>13</v>
      </c>
      <c r="B97" s="26" t="s">
        <v>53</v>
      </c>
      <c r="C97" s="30">
        <v>23.6</v>
      </c>
      <c r="D97" s="27"/>
      <c r="E97" s="28"/>
      <c r="F97" s="16">
        <f t="shared" si="146"/>
        <v>0</v>
      </c>
      <c r="G97" s="17"/>
      <c r="H97" s="18"/>
      <c r="I97" s="19">
        <f t="shared" si="147"/>
        <v>0</v>
      </c>
      <c r="J97" s="16"/>
      <c r="K97" s="18"/>
      <c r="L97" s="19">
        <f t="shared" si="148"/>
        <v>0</v>
      </c>
      <c r="M97" s="16"/>
      <c r="N97" s="18"/>
      <c r="O97" s="19">
        <f t="shared" si="149"/>
        <v>0</v>
      </c>
      <c r="P97" s="16"/>
      <c r="Q97" s="18"/>
      <c r="R97" s="19">
        <f t="shared" si="150"/>
        <v>0</v>
      </c>
      <c r="S97" s="20">
        <f t="shared" si="151"/>
        <v>0</v>
      </c>
      <c r="T97" s="19">
        <f t="shared" si="152"/>
        <v>0</v>
      </c>
      <c r="U97" s="21">
        <f t="shared" si="153"/>
        <v>0</v>
      </c>
      <c r="V97" s="19">
        <f t="shared" si="154"/>
        <v>0</v>
      </c>
      <c r="X97" s="29"/>
    </row>
    <row r="98" spans="1:24">
      <c r="A98" s="26" t="s">
        <v>13</v>
      </c>
      <c r="B98" s="26" t="s">
        <v>53</v>
      </c>
      <c r="C98" s="30">
        <v>23.6</v>
      </c>
      <c r="D98" s="27"/>
      <c r="E98" s="28"/>
      <c r="F98" s="16">
        <f t="shared" si="146"/>
        <v>0</v>
      </c>
      <c r="G98" s="17"/>
      <c r="H98" s="18"/>
      <c r="I98" s="19">
        <f t="shared" si="147"/>
        <v>0</v>
      </c>
      <c r="J98" s="16"/>
      <c r="K98" s="18"/>
      <c r="L98" s="19">
        <f t="shared" si="148"/>
        <v>0</v>
      </c>
      <c r="M98" s="16"/>
      <c r="N98" s="18"/>
      <c r="O98" s="19">
        <f t="shared" si="149"/>
        <v>0</v>
      </c>
      <c r="P98" s="16"/>
      <c r="Q98" s="18"/>
      <c r="R98" s="19">
        <f t="shared" si="150"/>
        <v>0</v>
      </c>
      <c r="S98" s="20">
        <f t="shared" si="151"/>
        <v>0</v>
      </c>
      <c r="T98" s="19">
        <f t="shared" si="152"/>
        <v>0</v>
      </c>
      <c r="U98" s="21">
        <f t="shared" si="153"/>
        <v>0</v>
      </c>
      <c r="V98" s="19">
        <f t="shared" si="154"/>
        <v>0</v>
      </c>
      <c r="X98" s="29"/>
    </row>
    <row r="99" spans="1:24">
      <c r="A99" s="26" t="s">
        <v>13</v>
      </c>
      <c r="B99" s="26" t="s">
        <v>53</v>
      </c>
      <c r="C99" s="30">
        <v>23.6</v>
      </c>
      <c r="D99" s="27"/>
      <c r="E99" s="28"/>
      <c r="F99" s="16">
        <f t="shared" si="137"/>
        <v>0</v>
      </c>
      <c r="G99" s="17"/>
      <c r="H99" s="18"/>
      <c r="I99" s="19">
        <f t="shared" si="138"/>
        <v>0</v>
      </c>
      <c r="J99" s="16"/>
      <c r="K99" s="18"/>
      <c r="L99" s="19">
        <f t="shared" si="139"/>
        <v>0</v>
      </c>
      <c r="M99" s="16"/>
      <c r="N99" s="18"/>
      <c r="O99" s="19">
        <f t="shared" si="140"/>
        <v>0</v>
      </c>
      <c r="P99" s="16"/>
      <c r="Q99" s="18"/>
      <c r="R99" s="19">
        <f t="shared" si="141"/>
        <v>0</v>
      </c>
      <c r="S99" s="20">
        <f t="shared" si="142"/>
        <v>0</v>
      </c>
      <c r="T99" s="19">
        <f t="shared" si="143"/>
        <v>0</v>
      </c>
      <c r="U99" s="21">
        <f t="shared" si="144"/>
        <v>0</v>
      </c>
      <c r="V99" s="19">
        <f t="shared" si="145"/>
        <v>0</v>
      </c>
      <c r="X99" s="29"/>
    </row>
    <row r="100" spans="1:24">
      <c r="A100" s="36"/>
      <c r="B100" s="36"/>
      <c r="C100" s="37"/>
      <c r="D100" s="38"/>
      <c r="E100" s="31">
        <f>SUM(E81:E99)</f>
        <v>134</v>
      </c>
      <c r="F100" s="38">
        <f t="shared" ref="F100" si="164">SUM(F81:F99)</f>
        <v>29.313559999999999</v>
      </c>
      <c r="G100" s="17"/>
      <c r="H100" s="31">
        <f>SUM(H81:H99)</f>
        <v>100</v>
      </c>
      <c r="I100" s="38">
        <f t="shared" ref="I100" si="165">SUM(I81:I99)</f>
        <v>20.949720000000006</v>
      </c>
      <c r="J100" s="16"/>
      <c r="K100" s="31">
        <f>SUM(K81:K99)</f>
        <v>22</v>
      </c>
      <c r="L100" s="38">
        <f t="shared" ref="L100" si="166">SUM(L81:L99)</f>
        <v>6.0227199999999996</v>
      </c>
      <c r="M100" s="16"/>
      <c r="N100" s="31">
        <f>SUM(N81:N99)</f>
        <v>13</v>
      </c>
      <c r="O100" s="38">
        <f t="shared" ref="O100" si="167">SUM(O81:O99)</f>
        <v>2.4591200000000004</v>
      </c>
      <c r="P100" s="16"/>
      <c r="Q100" s="31">
        <f>SUM(Q81:Q99)</f>
        <v>0</v>
      </c>
      <c r="R100" s="38">
        <f t="shared" ref="R100" si="168">SUM(R81:R99)</f>
        <v>0</v>
      </c>
      <c r="S100" s="31">
        <f>SUM(S81:S99)</f>
        <v>135</v>
      </c>
      <c r="T100" s="38">
        <f t="shared" ref="T100" si="169">SUM(T81:T99)</f>
        <v>29.431560000000005</v>
      </c>
      <c r="U100" s="31">
        <f>SUM(U81:U99)</f>
        <v>-1</v>
      </c>
      <c r="V100" s="38">
        <f t="shared" ref="V100" si="170">SUM(V81:V99)</f>
        <v>-0.11800000000000141</v>
      </c>
      <c r="X100" s="29"/>
    </row>
    <row r="101" spans="1:24">
      <c r="A101" s="26" t="s">
        <v>13</v>
      </c>
      <c r="B101" s="26" t="s">
        <v>125</v>
      </c>
      <c r="C101" s="30">
        <v>27.3</v>
      </c>
      <c r="D101" s="27">
        <v>10.8</v>
      </c>
      <c r="E101" s="28">
        <v>56</v>
      </c>
      <c r="F101" s="16">
        <f t="shared" ref="F101:F104" si="171">(C101*D101*E101/1000)</f>
        <v>16.511040000000001</v>
      </c>
      <c r="G101" s="16" t="s">
        <v>295</v>
      </c>
      <c r="H101" s="18">
        <v>22</v>
      </c>
      <c r="I101" s="19">
        <f t="shared" ref="I101:I104" si="172">(C101*D101*H101/1000)</f>
        <v>6.4864800000000002</v>
      </c>
      <c r="J101" s="17" t="s">
        <v>318</v>
      </c>
      <c r="K101" s="18">
        <v>15</v>
      </c>
      <c r="L101" s="19">
        <f t="shared" ref="L101:L104" si="173">(C101*D101*K101/1000)</f>
        <v>4.4226000000000001</v>
      </c>
      <c r="M101" s="16" t="s">
        <v>86</v>
      </c>
      <c r="N101" s="18"/>
      <c r="O101" s="19">
        <f t="shared" ref="O101:O104" si="174">(C101*D101*N101/1000)</f>
        <v>0</v>
      </c>
      <c r="P101" s="16"/>
      <c r="Q101" s="18"/>
      <c r="R101" s="19">
        <f t="shared" ref="R101:R104" si="175">(C101*D101*Q101/1000)</f>
        <v>0</v>
      </c>
      <c r="S101" s="20">
        <f t="shared" ref="S101:S104" si="176">+H101+K101+Q101+N101</f>
        <v>37</v>
      </c>
      <c r="T101" s="19">
        <f t="shared" ref="T101:T104" si="177">+I101+L101+R101+O101</f>
        <v>10.909079999999999</v>
      </c>
      <c r="U101" s="21">
        <f t="shared" ref="U101:U104" si="178">E101-S101</f>
        <v>19</v>
      </c>
      <c r="V101" s="19">
        <f t="shared" ref="V101:V104" si="179">F101-T101</f>
        <v>5.6019600000000018</v>
      </c>
      <c r="X101" s="29"/>
    </row>
    <row r="102" spans="1:24">
      <c r="A102" s="26" t="s">
        <v>13</v>
      </c>
      <c r="B102" s="26" t="s">
        <v>125</v>
      </c>
      <c r="C102" s="30">
        <v>27.3</v>
      </c>
      <c r="D102" s="27">
        <v>11.7</v>
      </c>
      <c r="E102" s="28">
        <v>6</v>
      </c>
      <c r="F102" s="16">
        <f t="shared" ref="F102:F103" si="180">(C102*D102*E102/1000)</f>
        <v>1.9164599999999998</v>
      </c>
      <c r="G102" s="16" t="s">
        <v>343</v>
      </c>
      <c r="H102" s="18">
        <v>6</v>
      </c>
      <c r="I102" s="19">
        <f t="shared" ref="I102:I103" si="181">(C102*D102*H102/1000)</f>
        <v>1.9164599999999998</v>
      </c>
      <c r="J102" s="17" t="s">
        <v>344</v>
      </c>
      <c r="K102" s="18">
        <v>8</v>
      </c>
      <c r="L102" s="19">
        <f t="shared" ref="L102:L103" si="182">(C102*D102*K102/1000)</f>
        <v>2.5552799999999998</v>
      </c>
      <c r="M102" s="16" t="s">
        <v>394</v>
      </c>
      <c r="N102" s="18">
        <v>9</v>
      </c>
      <c r="O102" s="19">
        <f t="shared" ref="O102:O103" si="183">(C102*D102*N102/1000)</f>
        <v>2.8746899999999997</v>
      </c>
      <c r="P102" s="16"/>
      <c r="Q102" s="18"/>
      <c r="R102" s="19">
        <f t="shared" ref="R102:R103" si="184">(C102*D102*Q102/1000)</f>
        <v>0</v>
      </c>
      <c r="S102" s="20">
        <f t="shared" ref="S102:S103" si="185">+H102+K102+Q102+N102</f>
        <v>23</v>
      </c>
      <c r="T102" s="19">
        <f t="shared" ref="T102:T103" si="186">+I102+L102+R102+O102</f>
        <v>7.3464299999999998</v>
      </c>
      <c r="U102" s="21">
        <f t="shared" ref="U102:U103" si="187">E102-S102</f>
        <v>-17</v>
      </c>
      <c r="V102" s="19">
        <f t="shared" ref="V102:V103" si="188">F102-T102</f>
        <v>-5.42997</v>
      </c>
      <c r="X102" s="29"/>
    </row>
    <row r="103" spans="1:24">
      <c r="A103" s="26" t="s">
        <v>13</v>
      </c>
      <c r="B103" s="26" t="s">
        <v>125</v>
      </c>
      <c r="C103" s="30">
        <v>27.3</v>
      </c>
      <c r="D103" s="27">
        <v>10.9</v>
      </c>
      <c r="E103" s="28"/>
      <c r="F103" s="16">
        <f t="shared" si="180"/>
        <v>0</v>
      </c>
      <c r="G103" s="16"/>
      <c r="H103" s="18"/>
      <c r="I103" s="19">
        <f t="shared" si="181"/>
        <v>0</v>
      </c>
      <c r="J103" s="17"/>
      <c r="K103" s="18"/>
      <c r="L103" s="19">
        <f t="shared" si="182"/>
        <v>0</v>
      </c>
      <c r="M103" s="16"/>
      <c r="N103" s="18">
        <v>1</v>
      </c>
      <c r="O103" s="19">
        <f t="shared" si="183"/>
        <v>0.29757</v>
      </c>
      <c r="P103" s="16"/>
      <c r="Q103" s="18"/>
      <c r="R103" s="19">
        <f t="shared" si="184"/>
        <v>0</v>
      </c>
      <c r="S103" s="20">
        <f t="shared" si="185"/>
        <v>1</v>
      </c>
      <c r="T103" s="19">
        <f t="shared" si="186"/>
        <v>0.29757</v>
      </c>
      <c r="U103" s="21">
        <f t="shared" si="187"/>
        <v>-1</v>
      </c>
      <c r="V103" s="19">
        <f t="shared" si="188"/>
        <v>-0.29757</v>
      </c>
      <c r="X103" s="29"/>
    </row>
    <row r="104" spans="1:24">
      <c r="A104" s="26" t="s">
        <v>13</v>
      </c>
      <c r="B104" s="26" t="s">
        <v>125</v>
      </c>
      <c r="C104" s="30">
        <v>27.3</v>
      </c>
      <c r="D104" s="27">
        <v>8.9</v>
      </c>
      <c r="E104" s="28"/>
      <c r="F104" s="16">
        <f t="shared" si="171"/>
        <v>0</v>
      </c>
      <c r="G104" s="16"/>
      <c r="H104" s="18"/>
      <c r="I104" s="19">
        <f t="shared" si="172"/>
        <v>0</v>
      </c>
      <c r="J104" s="17"/>
      <c r="K104" s="18"/>
      <c r="L104" s="19">
        <f t="shared" si="173"/>
        <v>0</v>
      </c>
      <c r="M104" s="16"/>
      <c r="N104" s="18">
        <v>1</v>
      </c>
      <c r="O104" s="19">
        <f t="shared" si="174"/>
        <v>0.24297000000000002</v>
      </c>
      <c r="P104" s="16"/>
      <c r="Q104" s="18"/>
      <c r="R104" s="19">
        <f t="shared" si="175"/>
        <v>0</v>
      </c>
      <c r="S104" s="20">
        <f t="shared" si="176"/>
        <v>1</v>
      </c>
      <c r="T104" s="19">
        <f t="shared" si="177"/>
        <v>0.24297000000000002</v>
      </c>
      <c r="U104" s="21">
        <f t="shared" si="178"/>
        <v>-1</v>
      </c>
      <c r="V104" s="19">
        <f t="shared" si="179"/>
        <v>-0.24297000000000002</v>
      </c>
      <c r="X104" s="29"/>
    </row>
    <row r="105" spans="1:24">
      <c r="A105" s="36"/>
      <c r="B105" s="36"/>
      <c r="C105" s="37"/>
      <c r="D105" s="38"/>
      <c r="E105" s="31">
        <f>SUM(E101:E104)</f>
        <v>62</v>
      </c>
      <c r="F105" s="38">
        <f>SUM(F101:F104)</f>
        <v>18.427500000000002</v>
      </c>
      <c r="G105" s="17"/>
      <c r="H105" s="31">
        <f>SUM(H101:H104)</f>
        <v>28</v>
      </c>
      <c r="I105" s="38">
        <f>SUM(I101:I104)</f>
        <v>8.402940000000001</v>
      </c>
      <c r="J105" s="16"/>
      <c r="K105" s="31">
        <f>SUM(K101:K104)</f>
        <v>23</v>
      </c>
      <c r="L105" s="38">
        <f>SUM(L101:L104)</f>
        <v>6.9778799999999999</v>
      </c>
      <c r="M105" s="16"/>
      <c r="N105" s="31">
        <f>SUM(N101:N104)</f>
        <v>11</v>
      </c>
      <c r="O105" s="38">
        <f>SUM(O101:O104)</f>
        <v>3.4152299999999998</v>
      </c>
      <c r="P105" s="16"/>
      <c r="Q105" s="31">
        <f t="shared" ref="Q105:V105" si="189">SUM(Q101:Q104)</f>
        <v>0</v>
      </c>
      <c r="R105" s="38">
        <f t="shared" si="189"/>
        <v>0</v>
      </c>
      <c r="S105" s="31">
        <f t="shared" si="189"/>
        <v>62</v>
      </c>
      <c r="T105" s="38">
        <f t="shared" si="189"/>
        <v>18.796050000000001</v>
      </c>
      <c r="U105" s="31">
        <f t="shared" si="189"/>
        <v>0</v>
      </c>
      <c r="V105" s="38">
        <f t="shared" si="189"/>
        <v>-0.36854999999999816</v>
      </c>
      <c r="X105" s="29"/>
    </row>
    <row r="106" spans="1:24">
      <c r="A106" s="26" t="s">
        <v>13</v>
      </c>
      <c r="B106" s="26" t="s">
        <v>126</v>
      </c>
      <c r="C106" s="30">
        <v>33.799999999999997</v>
      </c>
      <c r="D106" s="27">
        <v>8.1999999999999993</v>
      </c>
      <c r="E106" s="28">
        <v>26</v>
      </c>
      <c r="F106" s="16">
        <f t="shared" ref="F106:F112" si="190">(C106*D106*E106/1000)</f>
        <v>7.2061599999999988</v>
      </c>
      <c r="G106" s="17" t="s">
        <v>89</v>
      </c>
      <c r="H106" s="18">
        <v>11</v>
      </c>
      <c r="I106" s="19">
        <f t="shared" ref="I106:I112" si="191">(C106*D106*H106/1000)</f>
        <v>3.0487599999999997</v>
      </c>
      <c r="J106" s="17" t="s">
        <v>111</v>
      </c>
      <c r="K106" s="18">
        <v>12</v>
      </c>
      <c r="L106" s="19">
        <f t="shared" ref="L106:L112" si="192">(C106*D106*K106/1000)</f>
        <v>3.3259199999999995</v>
      </c>
      <c r="M106" s="17" t="s">
        <v>325</v>
      </c>
      <c r="N106" s="18"/>
      <c r="O106" s="19">
        <f t="shared" ref="O106:O112" si="193">(C106*D106*N106/1000)</f>
        <v>0</v>
      </c>
      <c r="P106" s="16" t="s">
        <v>93</v>
      </c>
      <c r="Q106" s="18">
        <v>7</v>
      </c>
      <c r="R106" s="19">
        <f t="shared" ref="R106:R112" si="194">(C106*D106*Q106/1000)</f>
        <v>1.9401199999999998</v>
      </c>
      <c r="S106" s="20">
        <f t="shared" ref="S106:S112" si="195">+H106+K106+Q106+N106</f>
        <v>30</v>
      </c>
      <c r="T106" s="19">
        <f t="shared" ref="T106:T112" si="196">+I106+L106+R106+O106</f>
        <v>8.3148</v>
      </c>
      <c r="U106" s="21">
        <f t="shared" ref="U106:U112" si="197">E106-S106</f>
        <v>-4</v>
      </c>
      <c r="V106" s="19">
        <f t="shared" ref="V106:V112" si="198">F106-T106</f>
        <v>-1.1086400000000012</v>
      </c>
      <c r="X106" s="29"/>
    </row>
    <row r="107" spans="1:24">
      <c r="A107" s="26" t="s">
        <v>13</v>
      </c>
      <c r="B107" s="26" t="s">
        <v>126</v>
      </c>
      <c r="C107" s="30">
        <v>33.799999999999997</v>
      </c>
      <c r="D107" s="27">
        <v>9.8000000000000007</v>
      </c>
      <c r="E107" s="28">
        <v>18</v>
      </c>
      <c r="F107" s="16">
        <f t="shared" si="190"/>
        <v>5.9623200000000001</v>
      </c>
      <c r="G107" s="17" t="s">
        <v>321</v>
      </c>
      <c r="H107" s="18">
        <v>7</v>
      </c>
      <c r="I107" s="19">
        <f t="shared" si="191"/>
        <v>2.3186800000000001</v>
      </c>
      <c r="J107" s="17" t="s">
        <v>321</v>
      </c>
      <c r="K107" s="18"/>
      <c r="L107" s="19">
        <f t="shared" si="192"/>
        <v>0</v>
      </c>
      <c r="M107" s="17" t="s">
        <v>326</v>
      </c>
      <c r="N107" s="18">
        <v>6</v>
      </c>
      <c r="O107" s="19">
        <f t="shared" si="193"/>
        <v>1.9874400000000001</v>
      </c>
      <c r="P107" s="16" t="s">
        <v>348</v>
      </c>
      <c r="Q107" s="18"/>
      <c r="R107" s="19">
        <f t="shared" si="194"/>
        <v>0</v>
      </c>
      <c r="S107" s="20">
        <f t="shared" si="195"/>
        <v>13</v>
      </c>
      <c r="T107" s="19">
        <f t="shared" si="196"/>
        <v>4.3061199999999999</v>
      </c>
      <c r="U107" s="21">
        <f t="shared" si="197"/>
        <v>5</v>
      </c>
      <c r="V107" s="19">
        <f t="shared" si="198"/>
        <v>1.6562000000000001</v>
      </c>
      <c r="X107" s="29"/>
    </row>
    <row r="108" spans="1:24">
      <c r="A108" s="26" t="s">
        <v>13</v>
      </c>
      <c r="B108" s="26" t="s">
        <v>126</v>
      </c>
      <c r="C108" s="30">
        <v>33.799999999999997</v>
      </c>
      <c r="D108" s="27">
        <v>11.1</v>
      </c>
      <c r="E108" s="28">
        <v>26</v>
      </c>
      <c r="F108" s="16">
        <f t="shared" ref="F108:F111" si="199">(C108*D108*E108/1000)</f>
        <v>9.7546799999999987</v>
      </c>
      <c r="G108" s="17"/>
      <c r="H108" s="18">
        <v>5</v>
      </c>
      <c r="I108" s="19">
        <f t="shared" ref="I108:I111" si="200">(C108*D108*H108/1000)</f>
        <v>1.8758999999999997</v>
      </c>
      <c r="J108" s="16"/>
      <c r="K108" s="18">
        <v>6</v>
      </c>
      <c r="L108" s="19">
        <f t="shared" ref="L108:L111" si="201">(C108*D108*K108/1000)</f>
        <v>2.25108</v>
      </c>
      <c r="M108" s="16"/>
      <c r="N108" s="18">
        <v>6</v>
      </c>
      <c r="O108" s="19">
        <f t="shared" ref="O108:O111" si="202">(C108*D108*N108/1000)</f>
        <v>2.25108</v>
      </c>
      <c r="P108" s="16"/>
      <c r="Q108" s="18">
        <v>1</v>
      </c>
      <c r="R108" s="19">
        <f t="shared" ref="R108:R111" si="203">(C108*D108*Q108/1000)</f>
        <v>0.37517999999999996</v>
      </c>
      <c r="S108" s="20">
        <f t="shared" ref="S108:S111" si="204">+H108+K108+Q108+N108</f>
        <v>18</v>
      </c>
      <c r="T108" s="19">
        <f t="shared" ref="T108:T111" si="205">+I108+L108+R108+O108</f>
        <v>6.7532399999999999</v>
      </c>
      <c r="U108" s="21">
        <f t="shared" ref="U108:U111" si="206">E108-S108</f>
        <v>8</v>
      </c>
      <c r="V108" s="19">
        <f t="shared" ref="V108:V111" si="207">F108-T108</f>
        <v>3.0014399999999988</v>
      </c>
      <c r="X108" s="29"/>
    </row>
    <row r="109" spans="1:24">
      <c r="A109" s="26" t="s">
        <v>13</v>
      </c>
      <c r="B109" s="26" t="s">
        <v>126</v>
      </c>
      <c r="C109" s="30">
        <v>33.799999999999997</v>
      </c>
      <c r="D109" s="27">
        <v>11.3</v>
      </c>
      <c r="E109" s="28"/>
      <c r="F109" s="16">
        <f t="shared" si="199"/>
        <v>0</v>
      </c>
      <c r="G109" s="17"/>
      <c r="H109" s="18"/>
      <c r="I109" s="19">
        <f t="shared" si="200"/>
        <v>0</v>
      </c>
      <c r="J109" s="16"/>
      <c r="K109" s="18"/>
      <c r="L109" s="19">
        <f t="shared" si="201"/>
        <v>0</v>
      </c>
      <c r="M109" s="16"/>
      <c r="N109" s="18"/>
      <c r="O109" s="19">
        <f t="shared" si="202"/>
        <v>0</v>
      </c>
      <c r="P109" s="16"/>
      <c r="Q109" s="18">
        <v>2</v>
      </c>
      <c r="R109" s="19">
        <f t="shared" si="203"/>
        <v>0.76388</v>
      </c>
      <c r="S109" s="20">
        <f t="shared" si="204"/>
        <v>2</v>
      </c>
      <c r="T109" s="19">
        <f t="shared" si="205"/>
        <v>0.76388</v>
      </c>
      <c r="U109" s="21">
        <f t="shared" si="206"/>
        <v>-2</v>
      </c>
      <c r="V109" s="19">
        <f t="shared" si="207"/>
        <v>-0.76388</v>
      </c>
      <c r="X109" s="29"/>
    </row>
    <row r="110" spans="1:24">
      <c r="A110" s="26" t="s">
        <v>13</v>
      </c>
      <c r="B110" s="26" t="s">
        <v>126</v>
      </c>
      <c r="C110" s="30">
        <v>33.799999999999997</v>
      </c>
      <c r="D110" s="27">
        <v>11.4</v>
      </c>
      <c r="E110" s="28"/>
      <c r="F110" s="16">
        <f t="shared" si="199"/>
        <v>0</v>
      </c>
      <c r="G110" s="17"/>
      <c r="H110" s="18"/>
      <c r="I110" s="19">
        <f t="shared" si="200"/>
        <v>0</v>
      </c>
      <c r="J110" s="16"/>
      <c r="K110" s="18"/>
      <c r="L110" s="19">
        <f t="shared" si="201"/>
        <v>0</v>
      </c>
      <c r="M110" s="16"/>
      <c r="N110" s="18"/>
      <c r="O110" s="19">
        <f t="shared" si="202"/>
        <v>0</v>
      </c>
      <c r="P110" s="16"/>
      <c r="Q110" s="18">
        <v>2</v>
      </c>
      <c r="R110" s="19">
        <f t="shared" si="203"/>
        <v>0.77063999999999999</v>
      </c>
      <c r="S110" s="20">
        <f t="shared" si="204"/>
        <v>2</v>
      </c>
      <c r="T110" s="19">
        <f t="shared" si="205"/>
        <v>0.77063999999999999</v>
      </c>
      <c r="U110" s="21">
        <f t="shared" si="206"/>
        <v>-2</v>
      </c>
      <c r="V110" s="19">
        <f t="shared" si="207"/>
        <v>-0.77063999999999999</v>
      </c>
      <c r="X110" s="29"/>
    </row>
    <row r="111" spans="1:24">
      <c r="A111" s="26" t="s">
        <v>13</v>
      </c>
      <c r="B111" s="26" t="s">
        <v>126</v>
      </c>
      <c r="C111" s="30">
        <v>33.799999999999997</v>
      </c>
      <c r="D111" s="27">
        <v>11.2</v>
      </c>
      <c r="E111" s="28"/>
      <c r="F111" s="16">
        <f t="shared" si="199"/>
        <v>0</v>
      </c>
      <c r="G111" s="17"/>
      <c r="H111" s="18"/>
      <c r="I111" s="19">
        <f t="shared" si="200"/>
        <v>0</v>
      </c>
      <c r="J111" s="16"/>
      <c r="K111" s="18"/>
      <c r="L111" s="19">
        <f t="shared" si="201"/>
        <v>0</v>
      </c>
      <c r="M111" s="16"/>
      <c r="N111" s="18"/>
      <c r="O111" s="19">
        <f t="shared" si="202"/>
        <v>0</v>
      </c>
      <c r="P111" s="16"/>
      <c r="Q111" s="18">
        <v>6</v>
      </c>
      <c r="R111" s="19">
        <f t="shared" si="203"/>
        <v>2.2713599999999996</v>
      </c>
      <c r="S111" s="20">
        <f t="shared" si="204"/>
        <v>6</v>
      </c>
      <c r="T111" s="19">
        <f t="shared" si="205"/>
        <v>2.2713599999999996</v>
      </c>
      <c r="U111" s="21">
        <f t="shared" si="206"/>
        <v>-6</v>
      </c>
      <c r="V111" s="19">
        <f t="shared" si="207"/>
        <v>-2.2713599999999996</v>
      </c>
      <c r="X111" s="29"/>
    </row>
    <row r="112" spans="1:24">
      <c r="A112" s="26" t="s">
        <v>13</v>
      </c>
      <c r="B112" s="26" t="s">
        <v>126</v>
      </c>
      <c r="C112" s="30">
        <v>33.799999999999997</v>
      </c>
      <c r="D112" s="27"/>
      <c r="E112" s="28"/>
      <c r="F112" s="16">
        <f t="shared" si="190"/>
        <v>0</v>
      </c>
      <c r="G112" s="17"/>
      <c r="H112" s="18"/>
      <c r="I112" s="19">
        <f t="shared" si="191"/>
        <v>0</v>
      </c>
      <c r="J112" s="16"/>
      <c r="K112" s="18"/>
      <c r="L112" s="19">
        <f t="shared" si="192"/>
        <v>0</v>
      </c>
      <c r="M112" s="16"/>
      <c r="N112" s="18"/>
      <c r="O112" s="19">
        <f t="shared" si="193"/>
        <v>0</v>
      </c>
      <c r="P112" s="16"/>
      <c r="Q112" s="18"/>
      <c r="R112" s="19">
        <f t="shared" si="194"/>
        <v>0</v>
      </c>
      <c r="S112" s="20">
        <f t="shared" si="195"/>
        <v>0</v>
      </c>
      <c r="T112" s="19">
        <f t="shared" si="196"/>
        <v>0</v>
      </c>
      <c r="U112" s="21">
        <f t="shared" si="197"/>
        <v>0</v>
      </c>
      <c r="V112" s="19">
        <f t="shared" si="198"/>
        <v>0</v>
      </c>
      <c r="X112" s="29"/>
    </row>
    <row r="113" spans="1:24">
      <c r="A113" s="36"/>
      <c r="B113" s="36"/>
      <c r="C113" s="37"/>
      <c r="D113" s="38"/>
      <c r="E113" s="31">
        <f>SUM(E106:E112)</f>
        <v>70</v>
      </c>
      <c r="F113" s="38">
        <f t="shared" ref="F113" si="208">SUM(F106:F112)</f>
        <v>22.923159999999996</v>
      </c>
      <c r="G113" s="17"/>
      <c r="H113" s="31">
        <f>SUM(H106:H112)</f>
        <v>23</v>
      </c>
      <c r="I113" s="38">
        <f t="shared" ref="I113" si="209">SUM(I106:I112)</f>
        <v>7.2433399999999999</v>
      </c>
      <c r="J113" s="16"/>
      <c r="K113" s="31">
        <f>SUM(K106:K112)</f>
        <v>18</v>
      </c>
      <c r="L113" s="38">
        <f t="shared" ref="L113" si="210">SUM(L106:L112)</f>
        <v>5.577</v>
      </c>
      <c r="M113" s="16"/>
      <c r="N113" s="31">
        <f>SUM(N106:N112)</f>
        <v>12</v>
      </c>
      <c r="O113" s="38">
        <f t="shared" ref="O113" si="211">SUM(O106:O112)</f>
        <v>4.2385200000000003</v>
      </c>
      <c r="P113" s="16"/>
      <c r="Q113" s="31">
        <f>SUM(Q106:Q112)</f>
        <v>18</v>
      </c>
      <c r="R113" s="38">
        <f t="shared" ref="R113" si="212">SUM(R106:R112)</f>
        <v>6.121179999999999</v>
      </c>
      <c r="S113" s="31">
        <f>SUM(S106:S112)</f>
        <v>71</v>
      </c>
      <c r="T113" s="38">
        <f t="shared" ref="T113" si="213">SUM(T106:T112)</f>
        <v>23.180039999999998</v>
      </c>
      <c r="U113" s="31">
        <f>SUM(U106:U112)</f>
        <v>-1</v>
      </c>
      <c r="V113" s="38">
        <f t="shared" ref="V113" si="214">SUM(V106:V112)</f>
        <v>-0.25688000000000155</v>
      </c>
      <c r="X113" s="29"/>
    </row>
    <row r="114" spans="1:24">
      <c r="A114" s="26" t="s">
        <v>13</v>
      </c>
      <c r="B114" s="26" t="s">
        <v>128</v>
      </c>
      <c r="C114" s="30">
        <v>40.1</v>
      </c>
      <c r="D114" s="27">
        <v>6.6</v>
      </c>
      <c r="E114" s="28">
        <v>28</v>
      </c>
      <c r="F114" s="16">
        <f t="shared" ref="F114:F115" si="215">(C114*D114*E114/1000)</f>
        <v>7.4104799999999997</v>
      </c>
      <c r="G114" s="16" t="s">
        <v>89</v>
      </c>
      <c r="H114" s="18">
        <v>6</v>
      </c>
      <c r="I114" s="19">
        <f t="shared" ref="I114:I115" si="216">(C114*D114*H114/1000)</f>
        <v>1.5879599999999998</v>
      </c>
      <c r="J114" s="16" t="s">
        <v>111</v>
      </c>
      <c r="K114" s="18">
        <v>12</v>
      </c>
      <c r="L114" s="19">
        <f t="shared" ref="L114:L115" si="217">(C114*D114*K114/1000)</f>
        <v>3.1759199999999996</v>
      </c>
      <c r="M114" s="16" t="s">
        <v>89</v>
      </c>
      <c r="N114" s="18">
        <v>10</v>
      </c>
      <c r="O114" s="19">
        <f t="shared" ref="O114:O115" si="218">(C114*D114*N114/1000)</f>
        <v>2.6465999999999994</v>
      </c>
      <c r="P114" s="16"/>
      <c r="Q114" s="18"/>
      <c r="R114" s="19">
        <f t="shared" ref="R114:R115" si="219">(C114*D114*Q114/1000)</f>
        <v>0</v>
      </c>
      <c r="S114" s="20">
        <f t="shared" ref="S114:S115" si="220">+H114+K114+Q114+N114</f>
        <v>28</v>
      </c>
      <c r="T114" s="19">
        <f t="shared" ref="T114:T115" si="221">+I114+L114+R114+O114</f>
        <v>7.4104799999999988</v>
      </c>
      <c r="U114" s="21">
        <f t="shared" ref="U114:U115" si="222">E114-S114</f>
        <v>0</v>
      </c>
      <c r="V114" s="19">
        <f t="shared" ref="V114:V115" si="223">F114-T114</f>
        <v>0</v>
      </c>
      <c r="X114" s="29"/>
    </row>
    <row r="115" spans="1:24">
      <c r="A115" s="26" t="s">
        <v>13</v>
      </c>
      <c r="B115" s="26" t="s">
        <v>128</v>
      </c>
      <c r="C115" s="30">
        <v>40.1</v>
      </c>
      <c r="D115" s="27">
        <v>10.3</v>
      </c>
      <c r="E115" s="28">
        <v>6</v>
      </c>
      <c r="F115" s="16">
        <f t="shared" si="215"/>
        <v>2.4781800000000005</v>
      </c>
      <c r="G115" s="16" t="s">
        <v>319</v>
      </c>
      <c r="H115" s="18"/>
      <c r="I115" s="19">
        <f t="shared" si="216"/>
        <v>0</v>
      </c>
      <c r="J115" s="16" t="s">
        <v>319</v>
      </c>
      <c r="K115" s="18"/>
      <c r="L115" s="19">
        <f t="shared" si="217"/>
        <v>0</v>
      </c>
      <c r="M115" s="16" t="s">
        <v>320</v>
      </c>
      <c r="N115" s="18">
        <v>6</v>
      </c>
      <c r="O115" s="19">
        <f t="shared" si="218"/>
        <v>2.4781800000000005</v>
      </c>
      <c r="P115" s="16"/>
      <c r="Q115" s="18"/>
      <c r="R115" s="19">
        <f t="shared" si="219"/>
        <v>0</v>
      </c>
      <c r="S115" s="20">
        <f t="shared" si="220"/>
        <v>6</v>
      </c>
      <c r="T115" s="19">
        <f t="shared" si="221"/>
        <v>2.4781800000000005</v>
      </c>
      <c r="U115" s="21">
        <f t="shared" si="222"/>
        <v>0</v>
      </c>
      <c r="V115" s="19">
        <f t="shared" si="223"/>
        <v>0</v>
      </c>
      <c r="X115" s="29"/>
    </row>
    <row r="116" spans="1:24" ht="15.75" customHeight="1">
      <c r="A116" s="36"/>
      <c r="B116" s="36"/>
      <c r="C116" s="37"/>
      <c r="D116" s="38"/>
      <c r="E116" s="31">
        <f>SUM(E114:E115)</f>
        <v>34</v>
      </c>
      <c r="F116" s="38">
        <f t="shared" ref="F116" si="224">SUM(F114:F115)</f>
        <v>9.8886599999999998</v>
      </c>
      <c r="G116" s="17"/>
      <c r="H116" s="31">
        <f>SUM(H114:H115)</f>
        <v>6</v>
      </c>
      <c r="I116" s="38">
        <f t="shared" ref="I116" si="225">SUM(I114:I115)</f>
        <v>1.5879599999999998</v>
      </c>
      <c r="J116" s="16"/>
      <c r="K116" s="31">
        <f>SUM(K114:K115)</f>
        <v>12</v>
      </c>
      <c r="L116" s="38">
        <f t="shared" ref="L116" si="226">SUM(L114:L115)</f>
        <v>3.1759199999999996</v>
      </c>
      <c r="M116" s="16"/>
      <c r="N116" s="31">
        <f>SUM(N114:N115)</f>
        <v>16</v>
      </c>
      <c r="O116" s="38">
        <f>SUM(O114:O115)</f>
        <v>5.1247799999999994</v>
      </c>
      <c r="P116" s="16"/>
      <c r="Q116" s="31">
        <f>SUM(Q114:Q115)</f>
        <v>0</v>
      </c>
      <c r="R116" s="38">
        <f t="shared" ref="R116" si="227">SUM(R114:R115)</f>
        <v>0</v>
      </c>
      <c r="S116" s="31">
        <f>SUM(S114:S115)</f>
        <v>34</v>
      </c>
      <c r="T116" s="38">
        <f t="shared" ref="T116" si="228">SUM(T114:T115)</f>
        <v>9.8886599999999998</v>
      </c>
      <c r="U116" s="31">
        <f>SUM(U114:U115)</f>
        <v>0</v>
      </c>
      <c r="V116" s="38">
        <f t="shared" ref="V116" si="229">SUM(V114:V115)</f>
        <v>0</v>
      </c>
      <c r="X116" s="29"/>
    </row>
    <row r="117" spans="1:24" ht="15.75" customHeight="1">
      <c r="A117" s="26" t="s">
        <v>13</v>
      </c>
      <c r="B117" s="26" t="s">
        <v>58</v>
      </c>
      <c r="C117" s="30">
        <v>7.34</v>
      </c>
      <c r="D117" s="27">
        <v>9.35</v>
      </c>
      <c r="E117" s="28">
        <v>13</v>
      </c>
      <c r="F117" s="16">
        <f t="shared" ref="F117:F121" si="230">(C117*D117*E117/1000)</f>
        <v>0.89217699999999989</v>
      </c>
      <c r="G117" s="17" t="s">
        <v>111</v>
      </c>
      <c r="H117" s="18"/>
      <c r="I117" s="19">
        <f t="shared" ref="I117:I121" si="231">(C117*D117*H117/1000)</f>
        <v>0</v>
      </c>
      <c r="J117" s="16" t="s">
        <v>89</v>
      </c>
      <c r="K117" s="18">
        <v>4</v>
      </c>
      <c r="L117" s="19">
        <f t="shared" ref="L117:L121" si="232">(C117*D117*K117/1000)</f>
        <v>0.27451599999999998</v>
      </c>
      <c r="M117" s="16" t="s">
        <v>93</v>
      </c>
      <c r="N117" s="18">
        <v>9</v>
      </c>
      <c r="O117" s="19">
        <f t="shared" ref="O117:O121" si="233">(C117*D117*N117/1000)</f>
        <v>0.6176609999999999</v>
      </c>
      <c r="P117" s="16"/>
      <c r="Q117" s="18"/>
      <c r="R117" s="19">
        <f t="shared" ref="R117:R121" si="234">(C117*D117*Q117/1000)</f>
        <v>0</v>
      </c>
      <c r="S117" s="20">
        <f t="shared" ref="S117:S121" si="235">+H117+K117+Q117+N117</f>
        <v>13</v>
      </c>
      <c r="T117" s="19">
        <f t="shared" ref="T117:T121" si="236">+I117+L117+R117+O117</f>
        <v>0.89217699999999989</v>
      </c>
      <c r="U117" s="21">
        <f t="shared" ref="U117:U121" si="237">E117-S117</f>
        <v>0</v>
      </c>
      <c r="V117" s="19">
        <f t="shared" ref="V117:V121" si="238">F117-T117</f>
        <v>0</v>
      </c>
      <c r="X117" s="29"/>
    </row>
    <row r="118" spans="1:24" ht="15.75" customHeight="1">
      <c r="A118" s="26" t="s">
        <v>13</v>
      </c>
      <c r="B118" s="26" t="s">
        <v>58</v>
      </c>
      <c r="C118" s="30">
        <v>7.34</v>
      </c>
      <c r="D118" s="27">
        <v>10</v>
      </c>
      <c r="E118" s="28">
        <v>49</v>
      </c>
      <c r="F118" s="16">
        <f t="shared" si="230"/>
        <v>3.5966000000000005</v>
      </c>
      <c r="G118" s="17" t="s">
        <v>351</v>
      </c>
      <c r="H118" s="18"/>
      <c r="I118" s="19">
        <f t="shared" si="231"/>
        <v>0</v>
      </c>
      <c r="J118" s="16" t="s">
        <v>351</v>
      </c>
      <c r="K118" s="18">
        <v>26</v>
      </c>
      <c r="L118" s="19">
        <f t="shared" si="232"/>
        <v>1.9084000000000001</v>
      </c>
      <c r="M118" s="16" t="s">
        <v>352</v>
      </c>
      <c r="N118" s="18">
        <v>23</v>
      </c>
      <c r="O118" s="19">
        <f t="shared" si="233"/>
        <v>1.6882000000000001</v>
      </c>
      <c r="P118" s="16"/>
      <c r="Q118" s="18"/>
      <c r="R118" s="19">
        <f t="shared" si="234"/>
        <v>0</v>
      </c>
      <c r="S118" s="20">
        <f t="shared" si="235"/>
        <v>49</v>
      </c>
      <c r="T118" s="19">
        <f t="shared" si="236"/>
        <v>3.5966000000000005</v>
      </c>
      <c r="U118" s="21">
        <f t="shared" si="237"/>
        <v>0</v>
      </c>
      <c r="V118" s="19">
        <f t="shared" si="238"/>
        <v>0</v>
      </c>
      <c r="X118" s="29"/>
    </row>
    <row r="119" spans="1:24" ht="15.75" customHeight="1">
      <c r="A119" s="26" t="s">
        <v>13</v>
      </c>
      <c r="B119" s="26" t="s">
        <v>58</v>
      </c>
      <c r="C119" s="30">
        <v>7.34</v>
      </c>
      <c r="D119" s="27">
        <v>11</v>
      </c>
      <c r="E119" s="28">
        <v>58</v>
      </c>
      <c r="F119" s="16">
        <f t="shared" si="230"/>
        <v>4.6829200000000002</v>
      </c>
      <c r="G119" s="17"/>
      <c r="H119" s="18">
        <v>19</v>
      </c>
      <c r="I119" s="19">
        <f t="shared" si="231"/>
        <v>1.53406</v>
      </c>
      <c r="J119" s="16"/>
      <c r="K119" s="18">
        <v>39</v>
      </c>
      <c r="L119" s="19">
        <f t="shared" si="232"/>
        <v>3.1488599999999995</v>
      </c>
      <c r="M119" s="16"/>
      <c r="N119" s="18"/>
      <c r="O119" s="19">
        <f t="shared" si="233"/>
        <v>0</v>
      </c>
      <c r="P119" s="16"/>
      <c r="Q119" s="18"/>
      <c r="R119" s="19">
        <f t="shared" si="234"/>
        <v>0</v>
      </c>
      <c r="S119" s="20">
        <f t="shared" si="235"/>
        <v>58</v>
      </c>
      <c r="T119" s="19">
        <f t="shared" si="236"/>
        <v>4.6829199999999993</v>
      </c>
      <c r="U119" s="21">
        <f t="shared" si="237"/>
        <v>0</v>
      </c>
      <c r="V119" s="19">
        <f t="shared" si="238"/>
        <v>0</v>
      </c>
      <c r="X119" s="29"/>
    </row>
    <row r="120" spans="1:24" ht="15.75" customHeight="1">
      <c r="A120" s="26" t="s">
        <v>13</v>
      </c>
      <c r="B120" s="26" t="s">
        <v>58</v>
      </c>
      <c r="C120" s="30">
        <v>7.34</v>
      </c>
      <c r="D120" s="27">
        <v>11.5</v>
      </c>
      <c r="E120" s="28">
        <v>16</v>
      </c>
      <c r="F120" s="16">
        <f t="shared" si="230"/>
        <v>1.35056</v>
      </c>
      <c r="G120" s="17"/>
      <c r="H120" s="18"/>
      <c r="I120" s="19">
        <f t="shared" si="231"/>
        <v>0</v>
      </c>
      <c r="J120" s="16"/>
      <c r="K120" s="18">
        <v>16</v>
      </c>
      <c r="L120" s="19">
        <f t="shared" si="232"/>
        <v>1.35056</v>
      </c>
      <c r="M120" s="16"/>
      <c r="N120" s="18"/>
      <c r="O120" s="19">
        <f t="shared" si="233"/>
        <v>0</v>
      </c>
      <c r="P120" s="16"/>
      <c r="Q120" s="18"/>
      <c r="R120" s="19">
        <f t="shared" si="234"/>
        <v>0</v>
      </c>
      <c r="S120" s="20">
        <f t="shared" si="235"/>
        <v>16</v>
      </c>
      <c r="T120" s="19">
        <f t="shared" si="236"/>
        <v>1.35056</v>
      </c>
      <c r="U120" s="21">
        <f t="shared" si="237"/>
        <v>0</v>
      </c>
      <c r="V120" s="19">
        <f t="shared" si="238"/>
        <v>0</v>
      </c>
      <c r="X120" s="29"/>
    </row>
    <row r="121" spans="1:24" ht="15.75" customHeight="1">
      <c r="A121" s="26" t="s">
        <v>13</v>
      </c>
      <c r="B121" s="26" t="s">
        <v>58</v>
      </c>
      <c r="C121" s="30">
        <v>7.34</v>
      </c>
      <c r="D121" s="27">
        <v>12</v>
      </c>
      <c r="E121" s="28">
        <v>85</v>
      </c>
      <c r="F121" s="16">
        <f t="shared" si="230"/>
        <v>7.4868000000000006</v>
      </c>
      <c r="G121" s="17"/>
      <c r="H121" s="18"/>
      <c r="I121" s="19">
        <f t="shared" si="231"/>
        <v>0</v>
      </c>
      <c r="J121" s="16"/>
      <c r="K121" s="18">
        <v>85</v>
      </c>
      <c r="L121" s="19">
        <f t="shared" si="232"/>
        <v>7.4868000000000006</v>
      </c>
      <c r="M121" s="16"/>
      <c r="N121" s="18"/>
      <c r="O121" s="19">
        <f t="shared" si="233"/>
        <v>0</v>
      </c>
      <c r="P121" s="16"/>
      <c r="Q121" s="18"/>
      <c r="R121" s="19">
        <f t="shared" si="234"/>
        <v>0</v>
      </c>
      <c r="S121" s="20">
        <f t="shared" si="235"/>
        <v>85</v>
      </c>
      <c r="T121" s="19">
        <f t="shared" si="236"/>
        <v>7.4868000000000006</v>
      </c>
      <c r="U121" s="21">
        <f t="shared" si="237"/>
        <v>0</v>
      </c>
      <c r="V121" s="19">
        <f t="shared" si="238"/>
        <v>0</v>
      </c>
      <c r="X121" s="29"/>
    </row>
    <row r="122" spans="1:24" ht="15.75" customHeight="1">
      <c r="A122" s="36"/>
      <c r="B122" s="36"/>
      <c r="C122" s="37"/>
      <c r="D122" s="38"/>
      <c r="E122" s="31">
        <f t="shared" ref="E122:F122" si="239">SUM(E117:E121)</f>
        <v>221</v>
      </c>
      <c r="F122" s="38">
        <f t="shared" si="239"/>
        <v>18.009057000000002</v>
      </c>
      <c r="G122" s="17"/>
      <c r="H122" s="31">
        <f t="shared" ref="H122" si="240">SUM(H117:H121)</f>
        <v>19</v>
      </c>
      <c r="I122" s="38">
        <f t="shared" ref="I122" si="241">SUM(I117:I121)</f>
        <v>1.53406</v>
      </c>
      <c r="J122" s="16"/>
      <c r="K122" s="31">
        <f t="shared" ref="K122" si="242">SUM(K117:K121)</f>
        <v>170</v>
      </c>
      <c r="L122" s="38">
        <f t="shared" ref="L122" si="243">SUM(L117:L121)</f>
        <v>14.169136</v>
      </c>
      <c r="M122" s="16"/>
      <c r="N122" s="31">
        <f t="shared" ref="N122" si="244">SUM(N117:N121)</f>
        <v>32</v>
      </c>
      <c r="O122" s="38">
        <f t="shared" ref="O122" si="245">SUM(O117:O121)</f>
        <v>2.3058610000000002</v>
      </c>
      <c r="P122" s="16"/>
      <c r="Q122" s="31">
        <f t="shared" ref="Q122" si="246">SUM(Q117:Q121)</f>
        <v>0</v>
      </c>
      <c r="R122" s="38">
        <f t="shared" ref="R122" si="247">SUM(R117:R121)</f>
        <v>0</v>
      </c>
      <c r="S122" s="31">
        <f t="shared" ref="S122" si="248">SUM(S117:S121)</f>
        <v>221</v>
      </c>
      <c r="T122" s="38">
        <f t="shared" ref="T122" si="249">SUM(T117:T121)</f>
        <v>18.009056999999999</v>
      </c>
      <c r="U122" s="31">
        <f t="shared" ref="U122" si="250">SUM(U117:U121)</f>
        <v>0</v>
      </c>
      <c r="V122" s="38">
        <f t="shared" ref="V122" si="251">SUM(V117:V121)</f>
        <v>0</v>
      </c>
      <c r="X122" s="29"/>
    </row>
    <row r="123" spans="1:24" ht="15.75" customHeight="1">
      <c r="A123" s="26" t="s">
        <v>13</v>
      </c>
      <c r="B123" s="26" t="s">
        <v>26</v>
      </c>
      <c r="C123" s="30">
        <v>8.3000000000000007</v>
      </c>
      <c r="D123" s="27">
        <v>10.3</v>
      </c>
      <c r="E123" s="28">
        <v>31</v>
      </c>
      <c r="F123" s="16">
        <f t="shared" ref="F123:F133" si="252">(C123*D123*E123/1000)</f>
        <v>2.6501900000000007</v>
      </c>
      <c r="G123" s="17" t="s">
        <v>93</v>
      </c>
      <c r="H123" s="18">
        <v>26</v>
      </c>
      <c r="I123" s="19">
        <f t="shared" ref="I123:I133" si="253">(C123*D123*H123/1000)</f>
        <v>2.2227400000000004</v>
      </c>
      <c r="J123" s="16" t="s">
        <v>86</v>
      </c>
      <c r="K123" s="18"/>
      <c r="L123" s="19">
        <f t="shared" ref="L123:L133" si="254">(C123*D123*K123/1000)</f>
        <v>0</v>
      </c>
      <c r="M123" s="16" t="s">
        <v>86</v>
      </c>
      <c r="N123" s="18"/>
      <c r="O123" s="19">
        <f t="shared" ref="O123:O133" si="255">(C123*D123*N123/1000)</f>
        <v>0</v>
      </c>
      <c r="P123" s="16"/>
      <c r="Q123" s="18"/>
      <c r="R123" s="19">
        <f t="shared" ref="R123:R133" si="256">(C123*D123*Q123/1000)</f>
        <v>0</v>
      </c>
      <c r="S123" s="20">
        <f t="shared" ref="S123:S133" si="257">+H123+K123+Q123+N123</f>
        <v>26</v>
      </c>
      <c r="T123" s="19">
        <f t="shared" ref="T123:T133" si="258">+I123+L123+R123+O123</f>
        <v>2.2227400000000004</v>
      </c>
      <c r="U123" s="21">
        <f t="shared" ref="U123:U133" si="259">E123-S123</f>
        <v>5</v>
      </c>
      <c r="V123" s="19">
        <f t="shared" ref="V123:V133" si="260">F123-T123</f>
        <v>0.42745000000000033</v>
      </c>
      <c r="X123" s="29"/>
    </row>
    <row r="124" spans="1:24" ht="15.75" customHeight="1">
      <c r="A124" s="26" t="s">
        <v>13</v>
      </c>
      <c r="B124" s="26" t="s">
        <v>26</v>
      </c>
      <c r="C124" s="30">
        <v>8.3000000000000007</v>
      </c>
      <c r="D124" s="27">
        <v>10.5</v>
      </c>
      <c r="E124" s="28">
        <v>14</v>
      </c>
      <c r="F124" s="16">
        <f t="shared" si="252"/>
        <v>1.2201000000000002</v>
      </c>
      <c r="G124" s="17" t="s">
        <v>354</v>
      </c>
      <c r="H124" s="18">
        <v>1</v>
      </c>
      <c r="I124" s="19">
        <f t="shared" si="253"/>
        <v>8.7150000000000005E-2</v>
      </c>
      <c r="J124" s="16" t="s">
        <v>354</v>
      </c>
      <c r="K124" s="18"/>
      <c r="L124" s="19">
        <f t="shared" si="254"/>
        <v>0</v>
      </c>
      <c r="M124" s="16" t="s">
        <v>394</v>
      </c>
      <c r="N124" s="18">
        <v>1</v>
      </c>
      <c r="O124" s="19">
        <f t="shared" si="255"/>
        <v>8.7150000000000005E-2</v>
      </c>
      <c r="P124" s="16"/>
      <c r="Q124" s="18"/>
      <c r="R124" s="19">
        <f t="shared" si="256"/>
        <v>0</v>
      </c>
      <c r="S124" s="20">
        <f t="shared" si="257"/>
        <v>2</v>
      </c>
      <c r="T124" s="19">
        <f t="shared" si="258"/>
        <v>0.17430000000000001</v>
      </c>
      <c r="U124" s="21">
        <f t="shared" si="259"/>
        <v>12</v>
      </c>
      <c r="V124" s="19">
        <f t="shared" si="260"/>
        <v>1.0458000000000003</v>
      </c>
      <c r="X124" s="29"/>
    </row>
    <row r="125" spans="1:24" ht="15.75" customHeight="1">
      <c r="A125" s="26" t="s">
        <v>13</v>
      </c>
      <c r="B125" s="26" t="s">
        <v>26</v>
      </c>
      <c r="C125" s="30">
        <v>8.3000000000000007</v>
      </c>
      <c r="D125" s="27">
        <v>11</v>
      </c>
      <c r="E125" s="28">
        <v>50</v>
      </c>
      <c r="F125" s="16">
        <f t="shared" si="252"/>
        <v>4.5650000000000013</v>
      </c>
      <c r="G125" s="17"/>
      <c r="H125" s="18">
        <v>37</v>
      </c>
      <c r="I125" s="19">
        <f t="shared" si="253"/>
        <v>3.3781000000000003</v>
      </c>
      <c r="J125" s="16"/>
      <c r="K125" s="18">
        <v>13</v>
      </c>
      <c r="L125" s="19">
        <f t="shared" si="254"/>
        <v>1.1869000000000001</v>
      </c>
      <c r="M125" s="16"/>
      <c r="N125" s="18"/>
      <c r="O125" s="19">
        <f t="shared" si="255"/>
        <v>0</v>
      </c>
      <c r="P125" s="16"/>
      <c r="Q125" s="18"/>
      <c r="R125" s="19">
        <f t="shared" si="256"/>
        <v>0</v>
      </c>
      <c r="S125" s="20">
        <f t="shared" si="257"/>
        <v>50</v>
      </c>
      <c r="T125" s="19">
        <f t="shared" si="258"/>
        <v>4.5650000000000004</v>
      </c>
      <c r="U125" s="21">
        <f t="shared" si="259"/>
        <v>0</v>
      </c>
      <c r="V125" s="19">
        <f t="shared" si="260"/>
        <v>0</v>
      </c>
      <c r="X125" s="29"/>
    </row>
    <row r="126" spans="1:24" ht="15.75" customHeight="1">
      <c r="A126" s="26" t="s">
        <v>13</v>
      </c>
      <c r="B126" s="26" t="s">
        <v>26</v>
      </c>
      <c r="C126" s="30">
        <v>8.3000000000000007</v>
      </c>
      <c r="D126" s="27">
        <v>11.5</v>
      </c>
      <c r="E126" s="28">
        <v>13</v>
      </c>
      <c r="F126" s="16">
        <f t="shared" si="252"/>
        <v>1.2408500000000002</v>
      </c>
      <c r="G126" s="17"/>
      <c r="H126" s="18">
        <v>13</v>
      </c>
      <c r="I126" s="19">
        <f t="shared" si="253"/>
        <v>1.2408500000000002</v>
      </c>
      <c r="J126" s="16"/>
      <c r="K126" s="18"/>
      <c r="L126" s="19">
        <f t="shared" si="254"/>
        <v>0</v>
      </c>
      <c r="M126" s="16"/>
      <c r="N126" s="18"/>
      <c r="O126" s="19">
        <f t="shared" si="255"/>
        <v>0</v>
      </c>
      <c r="P126" s="16"/>
      <c r="Q126" s="18"/>
      <c r="R126" s="19">
        <f t="shared" si="256"/>
        <v>0</v>
      </c>
      <c r="S126" s="20">
        <f t="shared" si="257"/>
        <v>13</v>
      </c>
      <c r="T126" s="19">
        <f t="shared" si="258"/>
        <v>1.2408500000000002</v>
      </c>
      <c r="U126" s="21">
        <f t="shared" si="259"/>
        <v>0</v>
      </c>
      <c r="V126" s="19">
        <f t="shared" si="260"/>
        <v>0</v>
      </c>
      <c r="X126" s="29"/>
    </row>
    <row r="127" spans="1:24" ht="15.75" customHeight="1">
      <c r="A127" s="26" t="s">
        <v>13</v>
      </c>
      <c r="B127" s="26" t="s">
        <v>26</v>
      </c>
      <c r="C127" s="30">
        <v>8.3000000000000007</v>
      </c>
      <c r="D127" s="27">
        <v>12</v>
      </c>
      <c r="E127" s="28">
        <v>40</v>
      </c>
      <c r="F127" s="16">
        <f t="shared" ref="F127:F132" si="261">(C127*D127*E127/1000)</f>
        <v>3.9840000000000004</v>
      </c>
      <c r="G127" s="17"/>
      <c r="H127" s="18">
        <v>40</v>
      </c>
      <c r="I127" s="19">
        <f t="shared" ref="I127:I132" si="262">(C127*D127*H127/1000)</f>
        <v>3.9840000000000004</v>
      </c>
      <c r="J127" s="16"/>
      <c r="K127" s="18"/>
      <c r="L127" s="19">
        <f t="shared" ref="L127:L132" si="263">(C127*D127*K127/1000)</f>
        <v>0</v>
      </c>
      <c r="M127" s="16"/>
      <c r="N127" s="18">
        <v>7</v>
      </c>
      <c r="O127" s="19">
        <f t="shared" ref="O127:O132" si="264">(C127*D127*N127/1000)</f>
        <v>0.69720000000000004</v>
      </c>
      <c r="P127" s="16"/>
      <c r="Q127" s="18"/>
      <c r="R127" s="19">
        <f t="shared" ref="R127:R132" si="265">(C127*D127*Q127/1000)</f>
        <v>0</v>
      </c>
      <c r="S127" s="20">
        <f t="shared" ref="S127:S132" si="266">+H127+K127+Q127+N127</f>
        <v>47</v>
      </c>
      <c r="T127" s="19">
        <f t="shared" ref="T127:T132" si="267">+I127+L127+R127+O127</f>
        <v>4.6812000000000005</v>
      </c>
      <c r="U127" s="21">
        <f t="shared" ref="U127:U132" si="268">E127-S127</f>
        <v>-7</v>
      </c>
      <c r="V127" s="19">
        <f t="shared" ref="V127:V132" si="269">F127-T127</f>
        <v>-0.69720000000000004</v>
      </c>
      <c r="X127" s="29"/>
    </row>
    <row r="128" spans="1:24" ht="15.75" customHeight="1">
      <c r="A128" s="26" t="s">
        <v>13</v>
      </c>
      <c r="B128" s="26" t="s">
        <v>26</v>
      </c>
      <c r="C128" s="30">
        <v>8.3000000000000007</v>
      </c>
      <c r="D128" s="27">
        <v>10.8</v>
      </c>
      <c r="E128" s="28"/>
      <c r="F128" s="16">
        <f t="shared" si="261"/>
        <v>0</v>
      </c>
      <c r="G128" s="17"/>
      <c r="H128" s="18">
        <v>1</v>
      </c>
      <c r="I128" s="19">
        <f t="shared" si="262"/>
        <v>8.9640000000000011E-2</v>
      </c>
      <c r="J128" s="16"/>
      <c r="K128" s="18"/>
      <c r="L128" s="19">
        <f t="shared" si="263"/>
        <v>0</v>
      </c>
      <c r="M128" s="16"/>
      <c r="N128" s="18"/>
      <c r="O128" s="19">
        <f t="shared" si="264"/>
        <v>0</v>
      </c>
      <c r="P128" s="16"/>
      <c r="Q128" s="18"/>
      <c r="R128" s="19">
        <f t="shared" si="265"/>
        <v>0</v>
      </c>
      <c r="S128" s="20">
        <f t="shared" si="266"/>
        <v>1</v>
      </c>
      <c r="T128" s="19">
        <f t="shared" si="267"/>
        <v>8.9640000000000011E-2</v>
      </c>
      <c r="U128" s="21">
        <f t="shared" si="268"/>
        <v>-1</v>
      </c>
      <c r="V128" s="19">
        <f t="shared" si="269"/>
        <v>-8.9640000000000011E-2</v>
      </c>
      <c r="X128" s="29"/>
    </row>
    <row r="129" spans="1:24" ht="15.75" customHeight="1">
      <c r="A129" s="26" t="s">
        <v>13</v>
      </c>
      <c r="B129" s="26" t="s">
        <v>26</v>
      </c>
      <c r="C129" s="30">
        <v>8.3000000000000007</v>
      </c>
      <c r="D129" s="27">
        <v>11.3</v>
      </c>
      <c r="E129" s="28"/>
      <c r="F129" s="16">
        <f t="shared" si="261"/>
        <v>0</v>
      </c>
      <c r="G129" s="17"/>
      <c r="H129" s="18"/>
      <c r="I129" s="19">
        <f t="shared" si="262"/>
        <v>0</v>
      </c>
      <c r="J129" s="16"/>
      <c r="K129" s="18"/>
      <c r="L129" s="19">
        <f t="shared" si="263"/>
        <v>0</v>
      </c>
      <c r="M129" s="16"/>
      <c r="N129" s="18">
        <v>2</v>
      </c>
      <c r="O129" s="19">
        <f t="shared" si="264"/>
        <v>0.18758000000000005</v>
      </c>
      <c r="P129" s="16"/>
      <c r="Q129" s="18"/>
      <c r="R129" s="19">
        <f t="shared" si="265"/>
        <v>0</v>
      </c>
      <c r="S129" s="20">
        <f t="shared" si="266"/>
        <v>2</v>
      </c>
      <c r="T129" s="19">
        <f t="shared" si="267"/>
        <v>0.18758000000000005</v>
      </c>
      <c r="U129" s="21">
        <f t="shared" si="268"/>
        <v>-2</v>
      </c>
      <c r="V129" s="19">
        <f t="shared" si="269"/>
        <v>-0.18758000000000005</v>
      </c>
      <c r="X129" s="29"/>
    </row>
    <row r="130" spans="1:24" ht="15.75" customHeight="1">
      <c r="A130" s="26" t="s">
        <v>13</v>
      </c>
      <c r="B130" s="26" t="s">
        <v>26</v>
      </c>
      <c r="C130" s="30">
        <v>8.3000000000000007</v>
      </c>
      <c r="D130" s="27">
        <v>9.5</v>
      </c>
      <c r="E130" s="28"/>
      <c r="F130" s="16">
        <f t="shared" si="261"/>
        <v>0</v>
      </c>
      <c r="G130" s="17"/>
      <c r="H130" s="18"/>
      <c r="I130" s="19">
        <f t="shared" si="262"/>
        <v>0</v>
      </c>
      <c r="J130" s="16"/>
      <c r="K130" s="18"/>
      <c r="L130" s="19">
        <f t="shared" si="263"/>
        <v>0</v>
      </c>
      <c r="M130" s="16"/>
      <c r="N130" s="18">
        <v>5</v>
      </c>
      <c r="O130" s="19">
        <f t="shared" si="264"/>
        <v>0.39425000000000004</v>
      </c>
      <c r="P130" s="16"/>
      <c r="Q130" s="18"/>
      <c r="R130" s="19">
        <f t="shared" si="265"/>
        <v>0</v>
      </c>
      <c r="S130" s="20">
        <f t="shared" si="266"/>
        <v>5</v>
      </c>
      <c r="T130" s="19">
        <f t="shared" si="267"/>
        <v>0.39425000000000004</v>
      </c>
      <c r="U130" s="21">
        <f t="shared" si="268"/>
        <v>-5</v>
      </c>
      <c r="V130" s="19">
        <f t="shared" si="269"/>
        <v>-0.39425000000000004</v>
      </c>
      <c r="X130" s="29"/>
    </row>
    <row r="131" spans="1:24" ht="15.75" customHeight="1">
      <c r="A131" s="26" t="s">
        <v>13</v>
      </c>
      <c r="B131" s="26" t="s">
        <v>26</v>
      </c>
      <c r="C131" s="30">
        <v>8.3000000000000007</v>
      </c>
      <c r="D131" s="27">
        <v>8.9</v>
      </c>
      <c r="E131" s="28"/>
      <c r="F131" s="16">
        <f t="shared" si="261"/>
        <v>0</v>
      </c>
      <c r="G131" s="17"/>
      <c r="H131" s="18"/>
      <c r="I131" s="19">
        <f t="shared" si="262"/>
        <v>0</v>
      </c>
      <c r="J131" s="16"/>
      <c r="K131" s="18"/>
      <c r="L131" s="19">
        <f t="shared" si="263"/>
        <v>0</v>
      </c>
      <c r="M131" s="16"/>
      <c r="N131" s="18">
        <v>2</v>
      </c>
      <c r="O131" s="19">
        <f t="shared" si="264"/>
        <v>0.14774000000000001</v>
      </c>
      <c r="P131" s="16"/>
      <c r="Q131" s="18"/>
      <c r="R131" s="19">
        <f t="shared" si="265"/>
        <v>0</v>
      </c>
      <c r="S131" s="20">
        <f t="shared" si="266"/>
        <v>2</v>
      </c>
      <c r="T131" s="19">
        <f t="shared" si="267"/>
        <v>0.14774000000000001</v>
      </c>
      <c r="U131" s="21">
        <f t="shared" si="268"/>
        <v>-2</v>
      </c>
      <c r="V131" s="19">
        <f t="shared" si="269"/>
        <v>-0.14774000000000001</v>
      </c>
      <c r="X131" s="29"/>
    </row>
    <row r="132" spans="1:24" ht="15.75" customHeight="1">
      <c r="A132" s="26" t="s">
        <v>13</v>
      </c>
      <c r="B132" s="26" t="s">
        <v>26</v>
      </c>
      <c r="C132" s="30">
        <v>8.3000000000000007</v>
      </c>
      <c r="D132" s="27">
        <v>7.8</v>
      </c>
      <c r="E132" s="28"/>
      <c r="F132" s="16">
        <f t="shared" si="261"/>
        <v>0</v>
      </c>
      <c r="G132" s="17"/>
      <c r="H132" s="18"/>
      <c r="I132" s="19">
        <f t="shared" si="262"/>
        <v>0</v>
      </c>
      <c r="J132" s="16"/>
      <c r="K132" s="18"/>
      <c r="L132" s="19">
        <f t="shared" si="263"/>
        <v>0</v>
      </c>
      <c r="M132" s="16"/>
      <c r="N132" s="18">
        <v>1</v>
      </c>
      <c r="O132" s="19">
        <f t="shared" si="264"/>
        <v>6.4740000000000006E-2</v>
      </c>
      <c r="P132" s="16"/>
      <c r="Q132" s="18"/>
      <c r="R132" s="19">
        <f t="shared" si="265"/>
        <v>0</v>
      </c>
      <c r="S132" s="20">
        <f t="shared" si="266"/>
        <v>1</v>
      </c>
      <c r="T132" s="19">
        <f t="shared" si="267"/>
        <v>6.4740000000000006E-2</v>
      </c>
      <c r="U132" s="21">
        <f t="shared" si="268"/>
        <v>-1</v>
      </c>
      <c r="V132" s="19">
        <f t="shared" si="269"/>
        <v>-6.4740000000000006E-2</v>
      </c>
      <c r="X132" s="29"/>
    </row>
    <row r="133" spans="1:24" ht="15.75" customHeight="1">
      <c r="A133" s="26" t="s">
        <v>13</v>
      </c>
      <c r="B133" s="26" t="s">
        <v>26</v>
      </c>
      <c r="C133" s="30">
        <v>8.3000000000000007</v>
      </c>
      <c r="D133" s="27">
        <v>6.6</v>
      </c>
      <c r="E133" s="28"/>
      <c r="F133" s="16">
        <f t="shared" si="252"/>
        <v>0</v>
      </c>
      <c r="G133" s="17"/>
      <c r="H133" s="18"/>
      <c r="I133" s="19">
        <f t="shared" si="253"/>
        <v>0</v>
      </c>
      <c r="J133" s="16"/>
      <c r="K133" s="18"/>
      <c r="L133" s="19">
        <f t="shared" si="254"/>
        <v>0</v>
      </c>
      <c r="M133" s="16"/>
      <c r="N133" s="18">
        <v>1</v>
      </c>
      <c r="O133" s="19">
        <f t="shared" si="255"/>
        <v>5.4780000000000002E-2</v>
      </c>
      <c r="P133" s="16"/>
      <c r="Q133" s="18"/>
      <c r="R133" s="19">
        <f t="shared" si="256"/>
        <v>0</v>
      </c>
      <c r="S133" s="20">
        <f t="shared" si="257"/>
        <v>1</v>
      </c>
      <c r="T133" s="19">
        <f t="shared" si="258"/>
        <v>5.4780000000000002E-2</v>
      </c>
      <c r="U133" s="21">
        <f t="shared" si="259"/>
        <v>-1</v>
      </c>
      <c r="V133" s="19">
        <f t="shared" si="260"/>
        <v>-5.4780000000000002E-2</v>
      </c>
      <c r="X133" s="29"/>
    </row>
    <row r="134" spans="1:24" ht="15.75" customHeight="1">
      <c r="A134" s="36"/>
      <c r="B134" s="36"/>
      <c r="C134" s="37"/>
      <c r="D134" s="38"/>
      <c r="E134" s="31">
        <f t="shared" ref="E134:F134" si="270">SUM(E123:E133)</f>
        <v>148</v>
      </c>
      <c r="F134" s="38">
        <f t="shared" si="270"/>
        <v>13.660140000000002</v>
      </c>
      <c r="G134" s="17"/>
      <c r="H134" s="31">
        <f t="shared" ref="H134" si="271">SUM(H123:H133)</f>
        <v>118</v>
      </c>
      <c r="I134" s="38">
        <f t="shared" ref="I134" si="272">SUM(I123:I133)</f>
        <v>11.00248</v>
      </c>
      <c r="J134" s="16"/>
      <c r="K134" s="31">
        <f t="shared" ref="K134" si="273">SUM(K123:K133)</f>
        <v>13</v>
      </c>
      <c r="L134" s="38">
        <f t="shared" ref="L134" si="274">SUM(L123:L133)</f>
        <v>1.1869000000000001</v>
      </c>
      <c r="M134" s="16"/>
      <c r="N134" s="31">
        <f t="shared" ref="N134" si="275">SUM(N123:N133)</f>
        <v>19</v>
      </c>
      <c r="O134" s="38">
        <f t="shared" ref="O134" si="276">SUM(O123:O133)</f>
        <v>1.6334400000000002</v>
      </c>
      <c r="P134" s="16"/>
      <c r="Q134" s="31">
        <f t="shared" ref="Q134" si="277">SUM(Q123:Q133)</f>
        <v>0</v>
      </c>
      <c r="R134" s="38">
        <f t="shared" ref="R134" si="278">SUM(R123:R133)</f>
        <v>0</v>
      </c>
      <c r="S134" s="31">
        <f t="shared" ref="S134" si="279">SUM(S123:S133)</f>
        <v>150</v>
      </c>
      <c r="T134" s="38">
        <f t="shared" ref="T134" si="280">SUM(T123:T133)</f>
        <v>13.822820000000002</v>
      </c>
      <c r="U134" s="31">
        <f t="shared" ref="U134" si="281">SUM(U123:U133)</f>
        <v>-2</v>
      </c>
      <c r="V134" s="38">
        <f t="shared" ref="V134" si="282">SUM(V123:V133)</f>
        <v>-0.16267999999999963</v>
      </c>
      <c r="X134" s="29"/>
    </row>
    <row r="135" spans="1:24" ht="15.75" customHeight="1">
      <c r="A135" s="26" t="s">
        <v>13</v>
      </c>
      <c r="B135" s="26" t="s">
        <v>37</v>
      </c>
      <c r="C135" s="30">
        <v>9.61</v>
      </c>
      <c r="D135" s="27">
        <v>10</v>
      </c>
      <c r="E135" s="28">
        <v>3</v>
      </c>
      <c r="F135" s="16">
        <f t="shared" ref="F135:F138" si="283">(C135*D135*E135/1000)</f>
        <v>0.28829999999999995</v>
      </c>
      <c r="G135" s="16" t="s">
        <v>93</v>
      </c>
      <c r="H135" s="18"/>
      <c r="I135" s="19">
        <f t="shared" ref="I135:I138" si="284">(C135*D135*H135/1000)</f>
        <v>0</v>
      </c>
      <c r="J135" s="16" t="s">
        <v>86</v>
      </c>
      <c r="K135" s="18"/>
      <c r="L135" s="19">
        <f t="shared" ref="L135:L138" si="285">(C135*D135*K135/1000)</f>
        <v>0</v>
      </c>
      <c r="M135" s="16"/>
      <c r="N135" s="18"/>
      <c r="O135" s="19">
        <f t="shared" ref="O135:O138" si="286">(C135*D135*N135/1000)</f>
        <v>0</v>
      </c>
      <c r="P135" s="16"/>
      <c r="Q135" s="18"/>
      <c r="R135" s="19">
        <f t="shared" ref="R135:R138" si="287">(C135*D135*Q135/1000)</f>
        <v>0</v>
      </c>
      <c r="S135" s="20">
        <f t="shared" ref="S135:S138" si="288">+H135+K135+Q135+N135</f>
        <v>0</v>
      </c>
      <c r="T135" s="19">
        <f t="shared" ref="T135:T138" si="289">+I135+L135+R135+O135</f>
        <v>0</v>
      </c>
      <c r="U135" s="21">
        <f t="shared" ref="U135:U138" si="290">E135-S135</f>
        <v>3</v>
      </c>
      <c r="V135" s="19">
        <f t="shared" ref="V135:V138" si="291">F135-T135</f>
        <v>0.28829999999999995</v>
      </c>
      <c r="X135" s="29"/>
    </row>
    <row r="136" spans="1:24" ht="15.75" customHeight="1">
      <c r="A136" s="26" t="s">
        <v>13</v>
      </c>
      <c r="B136" s="26" t="s">
        <v>37</v>
      </c>
      <c r="C136" s="30">
        <v>9.61</v>
      </c>
      <c r="D136" s="27">
        <v>10.7</v>
      </c>
      <c r="E136" s="28">
        <v>12</v>
      </c>
      <c r="F136" s="16">
        <f t="shared" si="283"/>
        <v>1.2339239999999998</v>
      </c>
      <c r="G136" s="16" t="s">
        <v>353</v>
      </c>
      <c r="H136" s="18">
        <v>12</v>
      </c>
      <c r="I136" s="19">
        <f t="shared" si="284"/>
        <v>1.2339239999999998</v>
      </c>
      <c r="J136" s="16" t="s">
        <v>354</v>
      </c>
      <c r="K136" s="18"/>
      <c r="L136" s="19">
        <f t="shared" si="285"/>
        <v>0</v>
      </c>
      <c r="M136" s="16"/>
      <c r="N136" s="18"/>
      <c r="O136" s="19">
        <f t="shared" si="286"/>
        <v>0</v>
      </c>
      <c r="P136" s="16"/>
      <c r="Q136" s="18"/>
      <c r="R136" s="19">
        <f t="shared" si="287"/>
        <v>0</v>
      </c>
      <c r="S136" s="20">
        <f t="shared" si="288"/>
        <v>12</v>
      </c>
      <c r="T136" s="19">
        <f t="shared" si="289"/>
        <v>1.2339239999999998</v>
      </c>
      <c r="U136" s="21">
        <f t="shared" si="290"/>
        <v>0</v>
      </c>
      <c r="V136" s="19">
        <f t="shared" si="291"/>
        <v>0</v>
      </c>
      <c r="X136" s="29"/>
    </row>
    <row r="137" spans="1:24" ht="15.75" customHeight="1">
      <c r="A137" s="26" t="s">
        <v>13</v>
      </c>
      <c r="B137" s="26" t="s">
        <v>37</v>
      </c>
      <c r="C137" s="30">
        <v>9.61</v>
      </c>
      <c r="D137" s="27">
        <v>11.5</v>
      </c>
      <c r="E137" s="28">
        <v>73</v>
      </c>
      <c r="F137" s="16">
        <f t="shared" si="283"/>
        <v>8.067594999999999</v>
      </c>
      <c r="G137" s="17"/>
      <c r="H137" s="18">
        <v>52</v>
      </c>
      <c r="I137" s="19">
        <f t="shared" si="284"/>
        <v>5.7467799999999984</v>
      </c>
      <c r="J137" s="16"/>
      <c r="K137" s="18">
        <v>24</v>
      </c>
      <c r="L137" s="19">
        <f t="shared" si="285"/>
        <v>2.6523599999999998</v>
      </c>
      <c r="M137" s="16"/>
      <c r="N137" s="18"/>
      <c r="O137" s="19">
        <f t="shared" si="286"/>
        <v>0</v>
      </c>
      <c r="P137" s="16"/>
      <c r="Q137" s="18"/>
      <c r="R137" s="19">
        <f t="shared" si="287"/>
        <v>0</v>
      </c>
      <c r="S137" s="20">
        <f t="shared" si="288"/>
        <v>76</v>
      </c>
      <c r="T137" s="19">
        <f t="shared" si="289"/>
        <v>8.3991399999999992</v>
      </c>
      <c r="U137" s="21">
        <f t="shared" si="290"/>
        <v>-3</v>
      </c>
      <c r="V137" s="19">
        <f t="shared" si="291"/>
        <v>-0.3315450000000002</v>
      </c>
      <c r="X137" s="29"/>
    </row>
    <row r="138" spans="1:24" ht="15.75" customHeight="1">
      <c r="A138" s="26" t="s">
        <v>13</v>
      </c>
      <c r="B138" s="26" t="s">
        <v>37</v>
      </c>
      <c r="C138" s="30">
        <v>9.61</v>
      </c>
      <c r="D138" s="27">
        <v>12</v>
      </c>
      <c r="E138" s="28">
        <v>13</v>
      </c>
      <c r="F138" s="16">
        <f t="shared" si="283"/>
        <v>1.4991599999999998</v>
      </c>
      <c r="G138" s="17"/>
      <c r="H138" s="18">
        <v>13</v>
      </c>
      <c r="I138" s="19">
        <f t="shared" si="284"/>
        <v>1.4991599999999998</v>
      </c>
      <c r="J138" s="16"/>
      <c r="K138" s="18"/>
      <c r="L138" s="19">
        <f t="shared" si="285"/>
        <v>0</v>
      </c>
      <c r="M138" s="16"/>
      <c r="N138" s="18"/>
      <c r="O138" s="19">
        <f t="shared" si="286"/>
        <v>0</v>
      </c>
      <c r="P138" s="16"/>
      <c r="Q138" s="18"/>
      <c r="R138" s="19">
        <f t="shared" si="287"/>
        <v>0</v>
      </c>
      <c r="S138" s="20">
        <f t="shared" si="288"/>
        <v>13</v>
      </c>
      <c r="T138" s="19">
        <f t="shared" si="289"/>
        <v>1.4991599999999998</v>
      </c>
      <c r="U138" s="21">
        <f t="shared" si="290"/>
        <v>0</v>
      </c>
      <c r="V138" s="19">
        <f t="shared" si="291"/>
        <v>0</v>
      </c>
      <c r="X138" s="29"/>
    </row>
    <row r="139" spans="1:24" ht="15.75" customHeight="1">
      <c r="A139" s="36"/>
      <c r="B139" s="36"/>
      <c r="C139" s="37"/>
      <c r="D139" s="38"/>
      <c r="E139" s="31">
        <f t="shared" ref="E139:F139" si="292">SUM(E135:E138)</f>
        <v>101</v>
      </c>
      <c r="F139" s="38">
        <f t="shared" si="292"/>
        <v>11.088978999999998</v>
      </c>
      <c r="G139" s="17"/>
      <c r="H139" s="31">
        <f t="shared" ref="H139" si="293">SUM(H135:H138)</f>
        <v>77</v>
      </c>
      <c r="I139" s="38">
        <f t="shared" ref="I139" si="294">SUM(I135:I138)</f>
        <v>8.4798639999999992</v>
      </c>
      <c r="J139" s="16"/>
      <c r="K139" s="31">
        <f t="shared" ref="K139" si="295">SUM(K135:K138)</f>
        <v>24</v>
      </c>
      <c r="L139" s="38">
        <f t="shared" ref="L139" si="296">SUM(L135:L138)</f>
        <v>2.6523599999999998</v>
      </c>
      <c r="M139" s="16"/>
      <c r="N139" s="31">
        <f t="shared" ref="N139" si="297">SUM(N135:N138)</f>
        <v>0</v>
      </c>
      <c r="O139" s="38">
        <f t="shared" ref="O139" si="298">SUM(O135:O138)</f>
        <v>0</v>
      </c>
      <c r="P139" s="16"/>
      <c r="Q139" s="31">
        <f t="shared" ref="Q139" si="299">SUM(Q135:Q138)</f>
        <v>0</v>
      </c>
      <c r="R139" s="38">
        <f t="shared" ref="R139" si="300">SUM(R135:R138)</f>
        <v>0</v>
      </c>
      <c r="S139" s="31">
        <f t="shared" ref="S139" si="301">SUM(S135:S138)</f>
        <v>101</v>
      </c>
      <c r="T139" s="38">
        <f t="shared" ref="T139" si="302">SUM(T135:T138)</f>
        <v>11.132223999999999</v>
      </c>
      <c r="U139" s="31">
        <f t="shared" ref="U139" si="303">SUM(U135:U138)</f>
        <v>0</v>
      </c>
      <c r="V139" s="38">
        <f t="shared" ref="V139" si="304">SUM(V135:V138)</f>
        <v>-4.3245000000000255E-2</v>
      </c>
      <c r="X139" s="29"/>
    </row>
    <row r="140" spans="1:24" ht="15.75" customHeight="1">
      <c r="A140" s="26" t="s">
        <v>14</v>
      </c>
      <c r="B140" s="26" t="s">
        <v>45</v>
      </c>
      <c r="C140" s="30">
        <v>9.26</v>
      </c>
      <c r="D140" s="27">
        <v>6.9</v>
      </c>
      <c r="E140" s="28">
        <v>56</v>
      </c>
      <c r="F140" s="16">
        <f>(C140*D140*E140/1000)</f>
        <v>3.5780639999999999</v>
      </c>
      <c r="G140" s="17" t="s">
        <v>93</v>
      </c>
      <c r="H140" s="18">
        <v>28</v>
      </c>
      <c r="I140" s="19">
        <f>(C140*D140*H140/1000)</f>
        <v>1.789032</v>
      </c>
      <c r="J140" s="17" t="s">
        <v>295</v>
      </c>
      <c r="K140" s="18"/>
      <c r="L140" s="19">
        <f>(C140*D140*K140/1000)</f>
        <v>0</v>
      </c>
      <c r="M140" s="16"/>
      <c r="N140" s="18"/>
      <c r="O140" s="19">
        <f>(C140*D140*N140/1000)</f>
        <v>0</v>
      </c>
      <c r="P140" s="16"/>
      <c r="Q140" s="18"/>
      <c r="R140" s="19">
        <f>(C140*D140*Q140/1000)</f>
        <v>0</v>
      </c>
      <c r="S140" s="20">
        <f>+H140+K140+Q140+N140</f>
        <v>28</v>
      </c>
      <c r="T140" s="19">
        <f>+I140+L140+R140+O140</f>
        <v>1.789032</v>
      </c>
      <c r="U140" s="21">
        <f>E140-S140</f>
        <v>28</v>
      </c>
      <c r="V140" s="19">
        <f>F140-T140</f>
        <v>1.789032</v>
      </c>
      <c r="X140" s="29"/>
    </row>
    <row r="141" spans="1:24" ht="15.75" customHeight="1">
      <c r="A141" s="26" t="s">
        <v>14</v>
      </c>
      <c r="B141" s="26" t="s">
        <v>45</v>
      </c>
      <c r="C141" s="30">
        <v>9.26</v>
      </c>
      <c r="D141" s="27">
        <v>10</v>
      </c>
      <c r="E141" s="28"/>
      <c r="F141" s="16">
        <f t="shared" ref="F141:F144" si="305">(C141*D141*E141/1000)</f>
        <v>0</v>
      </c>
      <c r="G141" s="17" t="s">
        <v>290</v>
      </c>
      <c r="H141" s="18"/>
      <c r="I141" s="19">
        <f t="shared" ref="I141:I144" si="306">(C141*D141*H141/1000)</f>
        <v>0</v>
      </c>
      <c r="J141" s="17" t="s">
        <v>324</v>
      </c>
      <c r="K141" s="18">
        <v>18</v>
      </c>
      <c r="L141" s="19">
        <f t="shared" ref="L141:L144" si="307">(C141*D141*K141/1000)</f>
        <v>1.6668000000000001</v>
      </c>
      <c r="M141" s="16"/>
      <c r="N141" s="18"/>
      <c r="O141" s="19">
        <f t="shared" ref="O141:O144" si="308">(C141*D141*N141/1000)</f>
        <v>0</v>
      </c>
      <c r="P141" s="16"/>
      <c r="Q141" s="18"/>
      <c r="R141" s="19">
        <f t="shared" ref="R141:R144" si="309">(C141*D141*Q141/1000)</f>
        <v>0</v>
      </c>
      <c r="S141" s="20">
        <f t="shared" ref="S141:S144" si="310">+H141+K141+Q141+N141</f>
        <v>18</v>
      </c>
      <c r="T141" s="19">
        <f t="shared" ref="T141:T144" si="311">+I141+L141+R141+O141</f>
        <v>1.6668000000000001</v>
      </c>
      <c r="U141" s="21">
        <f t="shared" ref="U141:U144" si="312">E141-S141</f>
        <v>-18</v>
      </c>
      <c r="V141" s="19">
        <f t="shared" ref="V141:V144" si="313">F141-T141</f>
        <v>-1.6668000000000001</v>
      </c>
      <c r="X141" s="29"/>
    </row>
    <row r="142" spans="1:24" ht="15.75" customHeight="1">
      <c r="A142" s="26" t="s">
        <v>14</v>
      </c>
      <c r="B142" s="26" t="s">
        <v>45</v>
      </c>
      <c r="C142" s="30">
        <v>9.26</v>
      </c>
      <c r="D142" s="27">
        <v>10.5</v>
      </c>
      <c r="E142" s="28"/>
      <c r="F142" s="16">
        <f t="shared" ref="F142" si="314">(C142*D142*E142/1000)</f>
        <v>0</v>
      </c>
      <c r="G142" s="17"/>
      <c r="H142" s="18"/>
      <c r="I142" s="19">
        <f t="shared" ref="I142" si="315">(C142*D142*H142/1000)</f>
        <v>0</v>
      </c>
      <c r="J142" s="17"/>
      <c r="K142" s="18">
        <v>1</v>
      </c>
      <c r="L142" s="19">
        <f t="shared" ref="L142" si="316">(C142*D142*K142/1000)</f>
        <v>9.7230000000000011E-2</v>
      </c>
      <c r="M142" s="16"/>
      <c r="N142" s="18"/>
      <c r="O142" s="19">
        <f t="shared" ref="O142" si="317">(C142*D142*N142/1000)</f>
        <v>0</v>
      </c>
      <c r="P142" s="16"/>
      <c r="Q142" s="18"/>
      <c r="R142" s="19">
        <f t="shared" ref="R142" si="318">(C142*D142*Q142/1000)</f>
        <v>0</v>
      </c>
      <c r="S142" s="20">
        <f t="shared" ref="S142" si="319">+H142+K142+Q142+N142</f>
        <v>1</v>
      </c>
      <c r="T142" s="19">
        <f t="shared" ref="T142" si="320">+I142+L142+R142+O142</f>
        <v>9.7230000000000011E-2</v>
      </c>
      <c r="U142" s="21">
        <f t="shared" ref="U142" si="321">E142-S142</f>
        <v>-1</v>
      </c>
      <c r="V142" s="19">
        <f t="shared" ref="V142" si="322">F142-T142</f>
        <v>-9.7230000000000011E-2</v>
      </c>
      <c r="X142" s="29"/>
    </row>
    <row r="143" spans="1:24" ht="15.75" customHeight="1">
      <c r="A143" s="26" t="s">
        <v>14</v>
      </c>
      <c r="B143" s="26" t="s">
        <v>45</v>
      </c>
      <c r="C143" s="30">
        <v>9.26</v>
      </c>
      <c r="D143" s="27">
        <v>12</v>
      </c>
      <c r="E143" s="28"/>
      <c r="F143" s="16">
        <f t="shared" si="305"/>
        <v>0</v>
      </c>
      <c r="G143" s="17"/>
      <c r="H143" s="18"/>
      <c r="I143" s="19">
        <f t="shared" si="306"/>
        <v>0</v>
      </c>
      <c r="J143" s="17"/>
      <c r="K143" s="18">
        <v>2</v>
      </c>
      <c r="L143" s="19">
        <f t="shared" si="307"/>
        <v>0.22224000000000002</v>
      </c>
      <c r="M143" s="16"/>
      <c r="N143" s="18"/>
      <c r="O143" s="19">
        <f t="shared" si="308"/>
        <v>0</v>
      </c>
      <c r="P143" s="16"/>
      <c r="Q143" s="18"/>
      <c r="R143" s="19">
        <f t="shared" si="309"/>
        <v>0</v>
      </c>
      <c r="S143" s="20">
        <f t="shared" si="310"/>
        <v>2</v>
      </c>
      <c r="T143" s="19">
        <f t="shared" si="311"/>
        <v>0.22224000000000002</v>
      </c>
      <c r="U143" s="21">
        <f t="shared" si="312"/>
        <v>-2</v>
      </c>
      <c r="V143" s="19">
        <f t="shared" si="313"/>
        <v>-0.22224000000000002</v>
      </c>
      <c r="X143" s="29"/>
    </row>
    <row r="144" spans="1:24" ht="15.75" customHeight="1">
      <c r="A144" s="26" t="s">
        <v>14</v>
      </c>
      <c r="B144" s="26" t="s">
        <v>45</v>
      </c>
      <c r="C144" s="30">
        <v>9.26</v>
      </c>
      <c r="D144" s="27"/>
      <c r="E144" s="28"/>
      <c r="F144" s="16">
        <f t="shared" si="305"/>
        <v>0</v>
      </c>
      <c r="G144" s="17"/>
      <c r="H144" s="18"/>
      <c r="I144" s="19">
        <f t="shared" si="306"/>
        <v>0</v>
      </c>
      <c r="J144" s="17"/>
      <c r="K144" s="18"/>
      <c r="L144" s="19">
        <f t="shared" si="307"/>
        <v>0</v>
      </c>
      <c r="M144" s="16"/>
      <c r="N144" s="18"/>
      <c r="O144" s="19">
        <f t="shared" si="308"/>
        <v>0</v>
      </c>
      <c r="P144" s="16"/>
      <c r="Q144" s="18"/>
      <c r="R144" s="19">
        <f t="shared" si="309"/>
        <v>0</v>
      </c>
      <c r="S144" s="20">
        <f t="shared" si="310"/>
        <v>0</v>
      </c>
      <c r="T144" s="19">
        <f t="shared" si="311"/>
        <v>0</v>
      </c>
      <c r="U144" s="21">
        <f t="shared" si="312"/>
        <v>0</v>
      </c>
      <c r="V144" s="19">
        <f t="shared" si="313"/>
        <v>0</v>
      </c>
      <c r="X144" s="29"/>
    </row>
    <row r="145" spans="1:24" ht="15.75" customHeight="1">
      <c r="A145" s="36"/>
      <c r="B145" s="36"/>
      <c r="C145" s="37"/>
      <c r="D145" s="38"/>
      <c r="E145" s="31">
        <f t="shared" ref="E145:F145" si="323">SUM(E140:E144)</f>
        <v>56</v>
      </c>
      <c r="F145" s="38">
        <f t="shared" si="323"/>
        <v>3.5780639999999999</v>
      </c>
      <c r="G145" s="17"/>
      <c r="H145" s="31">
        <f t="shared" ref="H145" si="324">SUM(H140:H144)</f>
        <v>28</v>
      </c>
      <c r="I145" s="38">
        <f t="shared" ref="I145" si="325">SUM(I140:I144)</f>
        <v>1.789032</v>
      </c>
      <c r="J145" s="17"/>
      <c r="K145" s="31">
        <f t="shared" ref="K145" si="326">SUM(K140:K144)</f>
        <v>21</v>
      </c>
      <c r="L145" s="38">
        <f t="shared" ref="L145" si="327">SUM(L140:L144)</f>
        <v>1.98627</v>
      </c>
      <c r="M145" s="16"/>
      <c r="N145" s="31">
        <f t="shared" ref="N145" si="328">SUM(N140:N144)</f>
        <v>0</v>
      </c>
      <c r="O145" s="38">
        <f t="shared" ref="O145" si="329">SUM(O140:O144)</f>
        <v>0</v>
      </c>
      <c r="P145" s="16"/>
      <c r="Q145" s="31">
        <f t="shared" ref="Q145" si="330">SUM(Q140:Q144)</f>
        <v>0</v>
      </c>
      <c r="R145" s="38">
        <f t="shared" ref="R145" si="331">SUM(R140:R144)</f>
        <v>0</v>
      </c>
      <c r="S145" s="31">
        <f t="shared" ref="S145" si="332">SUM(S140:S144)</f>
        <v>49</v>
      </c>
      <c r="T145" s="38">
        <f t="shared" ref="T145" si="333">SUM(T140:T144)</f>
        <v>3.7753020000000004</v>
      </c>
      <c r="U145" s="31">
        <f t="shared" ref="U145" si="334">SUM(U140:U144)</f>
        <v>7</v>
      </c>
      <c r="V145" s="38">
        <f t="shared" ref="V145" si="335">SUM(V140:V144)</f>
        <v>-0.19723800000000014</v>
      </c>
      <c r="X145" s="29"/>
    </row>
    <row r="146" spans="1:24" ht="15.75" customHeight="1">
      <c r="A146" s="26" t="s">
        <v>14</v>
      </c>
      <c r="B146" s="26" t="s">
        <v>61</v>
      </c>
      <c r="C146" s="30">
        <v>12.2</v>
      </c>
      <c r="D146" s="27">
        <v>9.5</v>
      </c>
      <c r="E146" s="28">
        <v>17</v>
      </c>
      <c r="F146" s="16">
        <f>(C146*D146*E146/1000)</f>
        <v>1.9702999999999999</v>
      </c>
      <c r="G146" s="17" t="s">
        <v>93</v>
      </c>
      <c r="H146" s="18">
        <v>17</v>
      </c>
      <c r="I146" s="19">
        <f>(C146*D146*H146/1000)</f>
        <v>1.9702999999999999</v>
      </c>
      <c r="J146" s="16"/>
      <c r="K146" s="18"/>
      <c r="L146" s="19">
        <f>(C146*D146*K146/1000)</f>
        <v>0</v>
      </c>
      <c r="M146" s="16"/>
      <c r="N146" s="18"/>
      <c r="O146" s="19">
        <f>(C146*D146*N146/1000)</f>
        <v>0</v>
      </c>
      <c r="P146" s="16"/>
      <c r="Q146" s="18"/>
      <c r="R146" s="19">
        <f>(C146*D146*Q146/1000)</f>
        <v>0</v>
      </c>
      <c r="S146" s="20">
        <f>+H146+K146+Q146+N146</f>
        <v>17</v>
      </c>
      <c r="T146" s="19">
        <f>+I146+L146+R146+O146</f>
        <v>1.9702999999999999</v>
      </c>
      <c r="U146" s="21">
        <f>E146-S146</f>
        <v>0</v>
      </c>
      <c r="V146" s="19">
        <f>F146-T146</f>
        <v>0</v>
      </c>
      <c r="X146" s="29"/>
    </row>
    <row r="147" spans="1:24" ht="15.75" customHeight="1">
      <c r="A147" s="36"/>
      <c r="B147" s="36"/>
      <c r="C147" s="37"/>
      <c r="D147" s="38"/>
      <c r="E147" s="31">
        <f t="shared" ref="E147:F147" si="336">SUM(E146)</f>
        <v>17</v>
      </c>
      <c r="F147" s="38">
        <f t="shared" si="336"/>
        <v>1.9702999999999999</v>
      </c>
      <c r="G147" s="17" t="s">
        <v>290</v>
      </c>
      <c r="H147" s="31">
        <f t="shared" ref="H147" si="337">SUM(H146)</f>
        <v>17</v>
      </c>
      <c r="I147" s="38">
        <f t="shared" ref="I147" si="338">SUM(I146)</f>
        <v>1.9702999999999999</v>
      </c>
      <c r="J147" s="16"/>
      <c r="K147" s="31">
        <f t="shared" ref="K147" si="339">SUM(K146)</f>
        <v>0</v>
      </c>
      <c r="L147" s="38">
        <f t="shared" ref="L147" si="340">SUM(L146)</f>
        <v>0</v>
      </c>
      <c r="M147" s="16"/>
      <c r="N147" s="31">
        <f t="shared" ref="N147" si="341">SUM(N146)</f>
        <v>0</v>
      </c>
      <c r="O147" s="38">
        <f t="shared" ref="O147" si="342">SUM(O146)</f>
        <v>0</v>
      </c>
      <c r="P147" s="16"/>
      <c r="Q147" s="31">
        <f t="shared" ref="Q147" si="343">SUM(Q146)</f>
        <v>0</v>
      </c>
      <c r="R147" s="38">
        <f t="shared" ref="R147" si="344">SUM(R146)</f>
        <v>0</v>
      </c>
      <c r="S147" s="31">
        <f t="shared" ref="S147" si="345">SUM(S146)</f>
        <v>17</v>
      </c>
      <c r="T147" s="38">
        <f t="shared" ref="T147" si="346">SUM(T146)</f>
        <v>1.9702999999999999</v>
      </c>
      <c r="U147" s="31">
        <f t="shared" ref="U147" si="347">SUM(U146)</f>
        <v>0</v>
      </c>
      <c r="V147" s="38">
        <f t="shared" ref="V147" si="348">SUM(V146)</f>
        <v>0</v>
      </c>
      <c r="X147" s="29"/>
    </row>
    <row r="148" spans="1:24" ht="15.75" customHeight="1">
      <c r="A148" s="26" t="s">
        <v>14</v>
      </c>
      <c r="B148" s="26" t="s">
        <v>18</v>
      </c>
      <c r="C148" s="30">
        <v>16.600000000000001</v>
      </c>
      <c r="D148" s="27">
        <v>8.5</v>
      </c>
      <c r="E148" s="28">
        <v>56</v>
      </c>
      <c r="F148" s="16">
        <f>(C148*D148*E148/1000)</f>
        <v>7.9016000000000011</v>
      </c>
      <c r="G148" s="17" t="s">
        <v>298</v>
      </c>
      <c r="H148" s="18">
        <v>56</v>
      </c>
      <c r="I148" s="19">
        <f>(C148*D148*H148/1000)</f>
        <v>7.9016000000000011</v>
      </c>
      <c r="J148" s="16"/>
      <c r="K148" s="18"/>
      <c r="L148" s="19">
        <f>(C148*D148*K148/1000)</f>
        <v>0</v>
      </c>
      <c r="M148" s="16"/>
      <c r="N148" s="18"/>
      <c r="O148" s="19">
        <f>(C148*D148*N148/1000)</f>
        <v>0</v>
      </c>
      <c r="P148" s="16"/>
      <c r="Q148" s="18"/>
      <c r="R148" s="19">
        <f>(C148*D148*Q148/1000)</f>
        <v>0</v>
      </c>
      <c r="S148" s="20">
        <f>+H148+K148+Q148+N148</f>
        <v>56</v>
      </c>
      <c r="T148" s="19">
        <f>+I148+L148+R148+O148</f>
        <v>7.9016000000000011</v>
      </c>
      <c r="U148" s="21">
        <f>E148-S148</f>
        <v>0</v>
      </c>
      <c r="V148" s="19">
        <f>F148-T148</f>
        <v>0</v>
      </c>
      <c r="X148" s="29"/>
    </row>
    <row r="149" spans="1:24" ht="15.75" customHeight="1">
      <c r="A149" s="36"/>
      <c r="B149" s="36"/>
      <c r="C149" s="37"/>
      <c r="D149" s="38"/>
      <c r="E149" s="31">
        <f t="shared" ref="E149:F149" si="349">SUM(E148)</f>
        <v>56</v>
      </c>
      <c r="F149" s="38">
        <f t="shared" si="349"/>
        <v>7.9016000000000011</v>
      </c>
      <c r="G149" s="17" t="s">
        <v>297</v>
      </c>
      <c r="H149" s="31">
        <f t="shared" ref="H149" si="350">SUM(H148)</f>
        <v>56</v>
      </c>
      <c r="I149" s="38">
        <f t="shared" ref="I149" si="351">SUM(I148)</f>
        <v>7.9016000000000011</v>
      </c>
      <c r="J149" s="16"/>
      <c r="K149" s="31">
        <f t="shared" ref="K149" si="352">SUM(K148)</f>
        <v>0</v>
      </c>
      <c r="L149" s="38">
        <f t="shared" ref="L149" si="353">SUM(L148)</f>
        <v>0</v>
      </c>
      <c r="M149" s="16"/>
      <c r="N149" s="31">
        <f t="shared" ref="N149" si="354">SUM(N148)</f>
        <v>0</v>
      </c>
      <c r="O149" s="38">
        <f t="shared" ref="O149" si="355">SUM(O148)</f>
        <v>0</v>
      </c>
      <c r="P149" s="16"/>
      <c r="Q149" s="31">
        <f t="shared" ref="Q149" si="356">SUM(Q148)</f>
        <v>0</v>
      </c>
      <c r="R149" s="38">
        <f t="shared" ref="R149" si="357">SUM(R148)</f>
        <v>0</v>
      </c>
      <c r="S149" s="31">
        <f t="shared" ref="S149" si="358">SUM(S148)</f>
        <v>56</v>
      </c>
      <c r="T149" s="38">
        <f t="shared" ref="T149" si="359">SUM(T148)</f>
        <v>7.9016000000000011</v>
      </c>
      <c r="U149" s="31">
        <f t="shared" ref="U149" si="360">SUM(U148)</f>
        <v>0</v>
      </c>
      <c r="V149" s="38">
        <f t="shared" ref="V149" si="361">SUM(V148)</f>
        <v>0</v>
      </c>
      <c r="X149" s="29"/>
    </row>
    <row r="150" spans="1:24" ht="15.75" customHeight="1">
      <c r="A150" s="26" t="s">
        <v>14</v>
      </c>
      <c r="B150" s="26" t="s">
        <v>25</v>
      </c>
      <c r="C150" s="30">
        <v>13.4</v>
      </c>
      <c r="D150" s="27">
        <v>6.8</v>
      </c>
      <c r="E150" s="28">
        <v>10</v>
      </c>
      <c r="F150" s="16">
        <f>(C150*D150*E150/1000)</f>
        <v>0.91120000000000001</v>
      </c>
      <c r="G150" s="17" t="s">
        <v>298</v>
      </c>
      <c r="H150" s="18"/>
      <c r="I150" s="19">
        <f>(C150*D150*H150/1000)</f>
        <v>0</v>
      </c>
      <c r="J150" s="16"/>
      <c r="K150" s="18"/>
      <c r="L150" s="19">
        <f>(C150*D150*K150/1000)</f>
        <v>0</v>
      </c>
      <c r="M150" s="16"/>
      <c r="N150" s="18"/>
      <c r="O150" s="19">
        <f>(C150*D150*N150/1000)</f>
        <v>0</v>
      </c>
      <c r="P150" s="16"/>
      <c r="Q150" s="18"/>
      <c r="R150" s="19">
        <f>(C150*D150*Q150/1000)</f>
        <v>0</v>
      </c>
      <c r="S150" s="20">
        <f t="shared" ref="S150:S155" si="362">+H150+K150+Q150+N150</f>
        <v>0</v>
      </c>
      <c r="T150" s="19">
        <f t="shared" ref="T150:T155" si="363">+I150+L150+R150+O150</f>
        <v>0</v>
      </c>
      <c r="U150" s="21">
        <f t="shared" ref="U150:U155" si="364">E150-S150</f>
        <v>10</v>
      </c>
      <c r="V150" s="19">
        <f t="shared" ref="V150:V155" si="365">F150-T150</f>
        <v>0.91120000000000001</v>
      </c>
      <c r="X150" s="29"/>
    </row>
    <row r="151" spans="1:24" ht="15.75" customHeight="1">
      <c r="A151" s="26" t="s">
        <v>14</v>
      </c>
      <c r="B151" s="26" t="s">
        <v>25</v>
      </c>
      <c r="C151" s="30">
        <v>13.4</v>
      </c>
      <c r="D151" s="27">
        <v>9</v>
      </c>
      <c r="E151" s="28">
        <v>9</v>
      </c>
      <c r="F151" s="16">
        <f>(C151*D151*E151/1000)</f>
        <v>1.0854000000000001</v>
      </c>
      <c r="G151" s="17" t="s">
        <v>297</v>
      </c>
      <c r="H151" s="18">
        <v>14</v>
      </c>
      <c r="I151" s="19">
        <f>(C151*D151*H151/1000)</f>
        <v>1.6884000000000001</v>
      </c>
      <c r="J151" s="16"/>
      <c r="K151" s="18"/>
      <c r="L151" s="19">
        <f>(C151*D151*K151/1000)</f>
        <v>0</v>
      </c>
      <c r="M151" s="16"/>
      <c r="N151" s="18"/>
      <c r="O151" s="19">
        <f>(C151*D151*N151/1000)</f>
        <v>0</v>
      </c>
      <c r="P151" s="16"/>
      <c r="Q151" s="18"/>
      <c r="R151" s="19">
        <f>(C151*D151*Q151/1000)</f>
        <v>0</v>
      </c>
      <c r="S151" s="20">
        <f t="shared" si="362"/>
        <v>14</v>
      </c>
      <c r="T151" s="19">
        <f t="shared" si="363"/>
        <v>1.6884000000000001</v>
      </c>
      <c r="U151" s="21">
        <f t="shared" si="364"/>
        <v>-5</v>
      </c>
      <c r="V151" s="19">
        <f t="shared" si="365"/>
        <v>-0.60299999999999998</v>
      </c>
      <c r="X151" s="29"/>
    </row>
    <row r="152" spans="1:24" ht="15.75" customHeight="1">
      <c r="A152" s="26" t="s">
        <v>14</v>
      </c>
      <c r="B152" s="26" t="s">
        <v>25</v>
      </c>
      <c r="C152" s="30">
        <v>13.4</v>
      </c>
      <c r="D152" s="27">
        <v>11.8</v>
      </c>
      <c r="E152" s="28">
        <v>7</v>
      </c>
      <c r="F152" s="16">
        <f t="shared" ref="F152:F154" si="366">(C152*D152*E152/1000)</f>
        <v>1.10684</v>
      </c>
      <c r="G152" s="17"/>
      <c r="H152" s="18">
        <v>7</v>
      </c>
      <c r="I152" s="19">
        <f t="shared" ref="I152:I154" si="367">(C152*D152*H152/1000)</f>
        <v>1.10684</v>
      </c>
      <c r="J152" s="16"/>
      <c r="K152" s="18"/>
      <c r="L152" s="19">
        <f t="shared" ref="L152:L154" si="368">(C152*D152*K152/1000)</f>
        <v>0</v>
      </c>
      <c r="M152" s="16"/>
      <c r="N152" s="18"/>
      <c r="O152" s="19">
        <f t="shared" ref="O152:O154" si="369">(C152*D152*N152/1000)</f>
        <v>0</v>
      </c>
      <c r="P152" s="16"/>
      <c r="Q152" s="18"/>
      <c r="R152" s="19">
        <f t="shared" ref="R152:R154" si="370">(C152*D152*Q152/1000)</f>
        <v>0</v>
      </c>
      <c r="S152" s="20">
        <f t="shared" ref="S152:S154" si="371">+H152+K152+Q152+N152</f>
        <v>7</v>
      </c>
      <c r="T152" s="19">
        <f t="shared" ref="T152:T154" si="372">+I152+L152+R152+O152</f>
        <v>1.10684</v>
      </c>
      <c r="U152" s="21">
        <f t="shared" ref="U152:U154" si="373">E152-S152</f>
        <v>0</v>
      </c>
      <c r="V152" s="19">
        <f t="shared" ref="V152:V154" si="374">F152-T152</f>
        <v>0</v>
      </c>
      <c r="X152" s="29"/>
    </row>
    <row r="153" spans="1:24" ht="15.75" customHeight="1">
      <c r="A153" s="26" t="s">
        <v>14</v>
      </c>
      <c r="B153" s="26" t="s">
        <v>25</v>
      </c>
      <c r="C153" s="30">
        <v>13.4</v>
      </c>
      <c r="D153" s="27">
        <v>11.1</v>
      </c>
      <c r="E153" s="28"/>
      <c r="F153" s="16">
        <f t="shared" si="366"/>
        <v>0</v>
      </c>
      <c r="G153" s="17"/>
      <c r="H153" s="18">
        <v>1</v>
      </c>
      <c r="I153" s="19">
        <f t="shared" si="367"/>
        <v>0.14874000000000001</v>
      </c>
      <c r="J153" s="16"/>
      <c r="K153" s="18"/>
      <c r="L153" s="19">
        <f t="shared" si="368"/>
        <v>0</v>
      </c>
      <c r="M153" s="16"/>
      <c r="N153" s="18"/>
      <c r="O153" s="19">
        <f t="shared" si="369"/>
        <v>0</v>
      </c>
      <c r="P153" s="16"/>
      <c r="Q153" s="18"/>
      <c r="R153" s="19">
        <f t="shared" si="370"/>
        <v>0</v>
      </c>
      <c r="S153" s="20">
        <f t="shared" si="371"/>
        <v>1</v>
      </c>
      <c r="T153" s="19">
        <f t="shared" si="372"/>
        <v>0.14874000000000001</v>
      </c>
      <c r="U153" s="21">
        <f t="shared" si="373"/>
        <v>-1</v>
      </c>
      <c r="V153" s="19">
        <f t="shared" si="374"/>
        <v>-0.14874000000000001</v>
      </c>
      <c r="X153" s="29"/>
    </row>
    <row r="154" spans="1:24" ht="15.75" customHeight="1">
      <c r="A154" s="26" t="s">
        <v>14</v>
      </c>
      <c r="B154" s="26" t="s">
        <v>25</v>
      </c>
      <c r="C154" s="30">
        <v>13.4</v>
      </c>
      <c r="D154" s="27">
        <v>8.3000000000000007</v>
      </c>
      <c r="E154" s="28"/>
      <c r="F154" s="16">
        <f t="shared" si="366"/>
        <v>0</v>
      </c>
      <c r="G154" s="17"/>
      <c r="H154" s="18">
        <v>1</v>
      </c>
      <c r="I154" s="19">
        <f t="shared" si="367"/>
        <v>0.11122000000000001</v>
      </c>
      <c r="J154" s="16"/>
      <c r="K154" s="18"/>
      <c r="L154" s="19">
        <f t="shared" si="368"/>
        <v>0</v>
      </c>
      <c r="M154" s="16"/>
      <c r="N154" s="18"/>
      <c r="O154" s="19">
        <f t="shared" si="369"/>
        <v>0</v>
      </c>
      <c r="P154" s="16"/>
      <c r="Q154" s="18"/>
      <c r="R154" s="19">
        <f t="shared" si="370"/>
        <v>0</v>
      </c>
      <c r="S154" s="20">
        <f t="shared" si="371"/>
        <v>1</v>
      </c>
      <c r="T154" s="19">
        <f t="shared" si="372"/>
        <v>0.11122000000000001</v>
      </c>
      <c r="U154" s="21">
        <f t="shared" si="373"/>
        <v>-1</v>
      </c>
      <c r="V154" s="19">
        <f t="shared" si="374"/>
        <v>-0.11122000000000001</v>
      </c>
      <c r="X154" s="29"/>
    </row>
    <row r="155" spans="1:24" ht="15.75" customHeight="1">
      <c r="A155" s="26" t="s">
        <v>14</v>
      </c>
      <c r="B155" s="26" t="s">
        <v>25</v>
      </c>
      <c r="C155" s="30">
        <v>13.4</v>
      </c>
      <c r="D155" s="27">
        <v>8.6</v>
      </c>
      <c r="E155" s="28"/>
      <c r="F155" s="16">
        <f>(C155*D155*E155/1000)</f>
        <v>0</v>
      </c>
      <c r="G155" s="17"/>
      <c r="H155" s="18">
        <v>1</v>
      </c>
      <c r="I155" s="19">
        <f>(C155*D155*H155/1000)</f>
        <v>0.11524</v>
      </c>
      <c r="J155" s="16"/>
      <c r="K155" s="18"/>
      <c r="L155" s="19">
        <f>(C155*D155*K155/1000)</f>
        <v>0</v>
      </c>
      <c r="M155" s="16"/>
      <c r="N155" s="18"/>
      <c r="O155" s="19">
        <f>(C155*D155*N155/1000)</f>
        <v>0</v>
      </c>
      <c r="P155" s="16"/>
      <c r="Q155" s="18"/>
      <c r="R155" s="19">
        <f>(C155*D155*Q155/1000)</f>
        <v>0</v>
      </c>
      <c r="S155" s="20">
        <f t="shared" si="362"/>
        <v>1</v>
      </c>
      <c r="T155" s="19">
        <f t="shared" si="363"/>
        <v>0.11524</v>
      </c>
      <c r="U155" s="21">
        <f t="shared" si="364"/>
        <v>-1</v>
      </c>
      <c r="V155" s="19">
        <f t="shared" si="365"/>
        <v>-0.11524</v>
      </c>
      <c r="X155" s="29"/>
    </row>
    <row r="156" spans="1:24" ht="15.75" customHeight="1">
      <c r="A156" s="36"/>
      <c r="B156" s="36"/>
      <c r="C156" s="37"/>
      <c r="D156" s="38"/>
      <c r="E156" s="31">
        <f t="shared" ref="E156:F156" si="375">SUM(E150:E155)</f>
        <v>26</v>
      </c>
      <c r="F156" s="38">
        <f t="shared" si="375"/>
        <v>3.10344</v>
      </c>
      <c r="G156" s="17"/>
      <c r="H156" s="31">
        <f t="shared" ref="H156" si="376">SUM(H150:H155)</f>
        <v>24</v>
      </c>
      <c r="I156" s="38">
        <f t="shared" ref="I156" si="377">SUM(I150:I155)</f>
        <v>3.1704400000000001</v>
      </c>
      <c r="J156" s="16"/>
      <c r="K156" s="31">
        <f t="shared" ref="K156" si="378">SUM(K150:K155)</f>
        <v>0</v>
      </c>
      <c r="L156" s="38">
        <f t="shared" ref="L156" si="379">SUM(L150:L155)</f>
        <v>0</v>
      </c>
      <c r="M156" s="16"/>
      <c r="N156" s="31">
        <f t="shared" ref="N156" si="380">SUM(N150:N155)</f>
        <v>0</v>
      </c>
      <c r="O156" s="38">
        <f t="shared" ref="O156" si="381">SUM(O150:O155)</f>
        <v>0</v>
      </c>
      <c r="P156" s="16"/>
      <c r="Q156" s="31">
        <f t="shared" ref="Q156" si="382">SUM(Q150:Q155)</f>
        <v>0</v>
      </c>
      <c r="R156" s="38">
        <f t="shared" ref="R156" si="383">SUM(R150:R155)</f>
        <v>0</v>
      </c>
      <c r="S156" s="31">
        <f t="shared" ref="S156" si="384">SUM(S150:S155)</f>
        <v>24</v>
      </c>
      <c r="T156" s="38">
        <f t="shared" ref="T156" si="385">SUM(T150:T155)</f>
        <v>3.1704400000000001</v>
      </c>
      <c r="U156" s="31">
        <f t="shared" ref="U156" si="386">SUM(U150:U155)</f>
        <v>2</v>
      </c>
      <c r="V156" s="38">
        <f t="shared" ref="V156" si="387">SUM(V150:V155)</f>
        <v>-6.699999999999999E-2</v>
      </c>
      <c r="X156" s="29"/>
    </row>
    <row r="157" spans="1:24" ht="15.75" customHeight="1">
      <c r="A157" s="26" t="s">
        <v>14</v>
      </c>
      <c r="B157" s="26" t="s">
        <v>47</v>
      </c>
      <c r="C157" s="30">
        <v>18.2</v>
      </c>
      <c r="D157" s="27">
        <v>7.5</v>
      </c>
      <c r="E157" s="28">
        <v>48</v>
      </c>
      <c r="F157" s="16">
        <f t="shared" ref="F157:F165" si="388">(C157*D157*E157/1000)</f>
        <v>6.5519999999999996</v>
      </c>
      <c r="G157" s="17" t="s">
        <v>301</v>
      </c>
      <c r="H157" s="18">
        <v>48</v>
      </c>
      <c r="I157" s="19">
        <f t="shared" ref="I157:I165" si="389">(C157*D157*H157/1000)</f>
        <v>6.5519999999999996</v>
      </c>
      <c r="J157" s="16" t="s">
        <v>295</v>
      </c>
      <c r="K157" s="18"/>
      <c r="L157" s="19">
        <f t="shared" ref="L157:L165" si="390">(C157*D157*K157/1000)</f>
        <v>0</v>
      </c>
      <c r="M157" s="16"/>
      <c r="N157" s="18"/>
      <c r="O157" s="19">
        <f t="shared" ref="O157:O165" si="391">(C157*D157*N157/1000)</f>
        <v>0</v>
      </c>
      <c r="P157" s="16"/>
      <c r="Q157" s="18"/>
      <c r="R157" s="19">
        <f t="shared" ref="R157:R165" si="392">(C157*D157*Q157/1000)</f>
        <v>0</v>
      </c>
      <c r="S157" s="20">
        <f t="shared" ref="S157:S165" si="393">+H157+K157+Q157+N157</f>
        <v>48</v>
      </c>
      <c r="T157" s="19">
        <f t="shared" ref="T157:T165" si="394">+I157+L157+R157+O157</f>
        <v>6.5519999999999996</v>
      </c>
      <c r="U157" s="21">
        <f t="shared" ref="U157:U165" si="395">E157-S157</f>
        <v>0</v>
      </c>
      <c r="V157" s="19">
        <f t="shared" ref="V157:V165" si="396">F157-T157</f>
        <v>0</v>
      </c>
      <c r="X157" s="29"/>
    </row>
    <row r="158" spans="1:24" ht="15.75" customHeight="1">
      <c r="A158" s="26" t="s">
        <v>14</v>
      </c>
      <c r="B158" s="26" t="s">
        <v>47</v>
      </c>
      <c r="C158" s="30">
        <v>18.2</v>
      </c>
      <c r="D158" s="27">
        <v>9.6</v>
      </c>
      <c r="E158" s="28">
        <v>24</v>
      </c>
      <c r="F158" s="16">
        <f t="shared" si="388"/>
        <v>4.1932799999999997</v>
      </c>
      <c r="G158" s="17" t="s">
        <v>302</v>
      </c>
      <c r="H158" s="18">
        <v>23</v>
      </c>
      <c r="I158" s="19">
        <f t="shared" si="389"/>
        <v>4.0185599999999999</v>
      </c>
      <c r="J158" s="16" t="s">
        <v>300</v>
      </c>
      <c r="K158" s="18"/>
      <c r="L158" s="19">
        <f t="shared" si="390"/>
        <v>0</v>
      </c>
      <c r="M158" s="16"/>
      <c r="N158" s="18"/>
      <c r="O158" s="19">
        <f t="shared" si="391"/>
        <v>0</v>
      </c>
      <c r="P158" s="16"/>
      <c r="Q158" s="18"/>
      <c r="R158" s="19">
        <f t="shared" si="392"/>
        <v>0</v>
      </c>
      <c r="S158" s="20">
        <f t="shared" si="393"/>
        <v>23</v>
      </c>
      <c r="T158" s="19">
        <f t="shared" si="394"/>
        <v>4.0185599999999999</v>
      </c>
      <c r="U158" s="21">
        <f t="shared" si="395"/>
        <v>1</v>
      </c>
      <c r="V158" s="19">
        <f t="shared" si="396"/>
        <v>0.17471999999999976</v>
      </c>
      <c r="X158" s="29"/>
    </row>
    <row r="159" spans="1:24" ht="15.75" customHeight="1">
      <c r="A159" s="26" t="s">
        <v>14</v>
      </c>
      <c r="B159" s="26" t="s">
        <v>47</v>
      </c>
      <c r="C159" s="30">
        <v>18.2</v>
      </c>
      <c r="D159" s="27">
        <v>11.4</v>
      </c>
      <c r="E159" s="28">
        <v>40</v>
      </c>
      <c r="F159" s="16">
        <f t="shared" ref="F159:F164" si="397">(C159*D159*E159/1000)</f>
        <v>8.299199999999999</v>
      </c>
      <c r="G159" s="17"/>
      <c r="H159" s="18">
        <v>18</v>
      </c>
      <c r="I159" s="19">
        <f t="shared" ref="I159:I164" si="398">(C159*D159*H159/1000)</f>
        <v>3.7346399999999997</v>
      </c>
      <c r="J159" s="16"/>
      <c r="K159" s="18">
        <v>12</v>
      </c>
      <c r="L159" s="19">
        <f t="shared" ref="L159:L164" si="399">(C159*D159*K159/1000)</f>
        <v>2.48976</v>
      </c>
      <c r="M159" s="16"/>
      <c r="N159" s="18"/>
      <c r="O159" s="19">
        <f t="shared" ref="O159:O164" si="400">(C159*D159*N159/1000)</f>
        <v>0</v>
      </c>
      <c r="P159" s="16"/>
      <c r="Q159" s="18"/>
      <c r="R159" s="19">
        <f t="shared" ref="R159:R164" si="401">(C159*D159*Q159/1000)</f>
        <v>0</v>
      </c>
      <c r="S159" s="20">
        <f t="shared" ref="S159:S164" si="402">+H159+K159+Q159+N159</f>
        <v>30</v>
      </c>
      <c r="T159" s="19">
        <f t="shared" ref="T159:T164" si="403">+I159+L159+R159+O159</f>
        <v>6.2243999999999993</v>
      </c>
      <c r="U159" s="21">
        <f t="shared" ref="U159:U164" si="404">E159-S159</f>
        <v>10</v>
      </c>
      <c r="V159" s="19">
        <f t="shared" ref="V159:V164" si="405">F159-T159</f>
        <v>2.0747999999999998</v>
      </c>
      <c r="X159" s="29"/>
    </row>
    <row r="160" spans="1:24" ht="15.75" customHeight="1">
      <c r="A160" s="26" t="s">
        <v>14</v>
      </c>
      <c r="B160" s="26" t="s">
        <v>47</v>
      </c>
      <c r="C160" s="30">
        <v>18.2</v>
      </c>
      <c r="D160" s="27">
        <v>11.6</v>
      </c>
      <c r="E160" s="28"/>
      <c r="F160" s="16">
        <f t="shared" si="397"/>
        <v>0</v>
      </c>
      <c r="G160" s="17"/>
      <c r="H160" s="18">
        <v>1</v>
      </c>
      <c r="I160" s="19">
        <f t="shared" si="398"/>
        <v>0.21111999999999997</v>
      </c>
      <c r="J160" s="16"/>
      <c r="K160" s="18"/>
      <c r="L160" s="19">
        <f t="shared" si="399"/>
        <v>0</v>
      </c>
      <c r="M160" s="16"/>
      <c r="N160" s="18"/>
      <c r="O160" s="19">
        <f t="shared" si="400"/>
        <v>0</v>
      </c>
      <c r="P160" s="16"/>
      <c r="Q160" s="18"/>
      <c r="R160" s="19">
        <f t="shared" si="401"/>
        <v>0</v>
      </c>
      <c r="S160" s="20">
        <f t="shared" si="402"/>
        <v>1</v>
      </c>
      <c r="T160" s="19">
        <f t="shared" si="403"/>
        <v>0.21111999999999997</v>
      </c>
      <c r="U160" s="21">
        <f t="shared" si="404"/>
        <v>-1</v>
      </c>
      <c r="V160" s="19">
        <f t="shared" si="405"/>
        <v>-0.21111999999999997</v>
      </c>
      <c r="X160" s="29"/>
    </row>
    <row r="161" spans="1:24" ht="15.75" customHeight="1">
      <c r="A161" s="26" t="s">
        <v>14</v>
      </c>
      <c r="B161" s="26" t="s">
        <v>47</v>
      </c>
      <c r="C161" s="30">
        <v>18.2</v>
      </c>
      <c r="D161" s="27">
        <v>11</v>
      </c>
      <c r="E161" s="28"/>
      <c r="F161" s="16">
        <f t="shared" si="397"/>
        <v>0</v>
      </c>
      <c r="G161" s="17"/>
      <c r="H161" s="18">
        <v>1</v>
      </c>
      <c r="I161" s="19">
        <f t="shared" si="398"/>
        <v>0.20019999999999999</v>
      </c>
      <c r="J161" s="16"/>
      <c r="K161" s="18"/>
      <c r="L161" s="19">
        <f t="shared" si="399"/>
        <v>0</v>
      </c>
      <c r="M161" s="16"/>
      <c r="N161" s="18"/>
      <c r="O161" s="19">
        <f t="shared" si="400"/>
        <v>0</v>
      </c>
      <c r="P161" s="16"/>
      <c r="Q161" s="18"/>
      <c r="R161" s="19">
        <f t="shared" si="401"/>
        <v>0</v>
      </c>
      <c r="S161" s="20">
        <f t="shared" si="402"/>
        <v>1</v>
      </c>
      <c r="T161" s="19">
        <f t="shared" si="403"/>
        <v>0.20019999999999999</v>
      </c>
      <c r="U161" s="21">
        <f t="shared" si="404"/>
        <v>-1</v>
      </c>
      <c r="V161" s="19">
        <f t="shared" si="405"/>
        <v>-0.20019999999999999</v>
      </c>
      <c r="X161" s="29"/>
    </row>
    <row r="162" spans="1:24" ht="15.75" customHeight="1">
      <c r="A162" s="26" t="s">
        <v>14</v>
      </c>
      <c r="B162" s="26" t="s">
        <v>47</v>
      </c>
      <c r="C162" s="30">
        <v>18.2</v>
      </c>
      <c r="D162" s="27">
        <v>9.1</v>
      </c>
      <c r="E162" s="28"/>
      <c r="F162" s="16">
        <f t="shared" si="397"/>
        <v>0</v>
      </c>
      <c r="G162" s="17"/>
      <c r="H162" s="18">
        <v>1</v>
      </c>
      <c r="I162" s="19">
        <f t="shared" si="398"/>
        <v>0.16561999999999999</v>
      </c>
      <c r="J162" s="16"/>
      <c r="K162" s="18"/>
      <c r="L162" s="19">
        <f t="shared" si="399"/>
        <v>0</v>
      </c>
      <c r="M162" s="16"/>
      <c r="N162" s="18"/>
      <c r="O162" s="19">
        <f t="shared" si="400"/>
        <v>0</v>
      </c>
      <c r="P162" s="16"/>
      <c r="Q162" s="18"/>
      <c r="R162" s="19">
        <f t="shared" si="401"/>
        <v>0</v>
      </c>
      <c r="S162" s="20">
        <f t="shared" si="402"/>
        <v>1</v>
      </c>
      <c r="T162" s="19">
        <f t="shared" si="403"/>
        <v>0.16561999999999999</v>
      </c>
      <c r="U162" s="21">
        <f t="shared" si="404"/>
        <v>-1</v>
      </c>
      <c r="V162" s="19">
        <f t="shared" si="405"/>
        <v>-0.16561999999999999</v>
      </c>
      <c r="X162" s="29"/>
    </row>
    <row r="163" spans="1:24" ht="15.75" customHeight="1">
      <c r="A163" s="26" t="s">
        <v>14</v>
      </c>
      <c r="B163" s="26" t="s">
        <v>47</v>
      </c>
      <c r="C163" s="30">
        <v>18.2</v>
      </c>
      <c r="D163" s="27">
        <v>10.7</v>
      </c>
      <c r="E163" s="28"/>
      <c r="F163" s="16">
        <f t="shared" si="397"/>
        <v>0</v>
      </c>
      <c r="G163" s="17"/>
      <c r="H163" s="18">
        <v>1</v>
      </c>
      <c r="I163" s="19">
        <f t="shared" si="398"/>
        <v>0.19473999999999997</v>
      </c>
      <c r="J163" s="16"/>
      <c r="K163" s="18"/>
      <c r="L163" s="19">
        <f t="shared" si="399"/>
        <v>0</v>
      </c>
      <c r="M163" s="16"/>
      <c r="N163" s="18"/>
      <c r="O163" s="19">
        <f t="shared" si="400"/>
        <v>0</v>
      </c>
      <c r="P163" s="16"/>
      <c r="Q163" s="18"/>
      <c r="R163" s="19">
        <f t="shared" si="401"/>
        <v>0</v>
      </c>
      <c r="S163" s="20">
        <f t="shared" si="402"/>
        <v>1</v>
      </c>
      <c r="T163" s="19">
        <f t="shared" si="403"/>
        <v>0.19473999999999997</v>
      </c>
      <c r="U163" s="21">
        <f t="shared" si="404"/>
        <v>-1</v>
      </c>
      <c r="V163" s="19">
        <f t="shared" si="405"/>
        <v>-0.19473999999999997</v>
      </c>
      <c r="X163" s="29"/>
    </row>
    <row r="164" spans="1:24" ht="15.75" customHeight="1">
      <c r="A164" s="26" t="s">
        <v>14</v>
      </c>
      <c r="B164" s="26" t="s">
        <v>47</v>
      </c>
      <c r="C164" s="30">
        <v>18.2</v>
      </c>
      <c r="D164" s="27">
        <v>9.5</v>
      </c>
      <c r="E164" s="28"/>
      <c r="F164" s="16">
        <f t="shared" si="397"/>
        <v>0</v>
      </c>
      <c r="G164" s="17"/>
      <c r="H164" s="18">
        <v>1</v>
      </c>
      <c r="I164" s="19">
        <f t="shared" si="398"/>
        <v>0.1729</v>
      </c>
      <c r="J164" s="16"/>
      <c r="K164" s="18"/>
      <c r="L164" s="19">
        <f t="shared" si="399"/>
        <v>0</v>
      </c>
      <c r="M164" s="16"/>
      <c r="N164" s="18"/>
      <c r="O164" s="19">
        <f t="shared" si="400"/>
        <v>0</v>
      </c>
      <c r="P164" s="16"/>
      <c r="Q164" s="18"/>
      <c r="R164" s="19">
        <f t="shared" si="401"/>
        <v>0</v>
      </c>
      <c r="S164" s="20">
        <f t="shared" si="402"/>
        <v>1</v>
      </c>
      <c r="T164" s="19">
        <f t="shared" si="403"/>
        <v>0.1729</v>
      </c>
      <c r="U164" s="21">
        <f t="shared" si="404"/>
        <v>-1</v>
      </c>
      <c r="V164" s="19">
        <f t="shared" si="405"/>
        <v>-0.1729</v>
      </c>
      <c r="X164" s="29"/>
    </row>
    <row r="165" spans="1:24" ht="15.75" customHeight="1">
      <c r="A165" s="26" t="s">
        <v>14</v>
      </c>
      <c r="B165" s="26" t="s">
        <v>47</v>
      </c>
      <c r="C165" s="30">
        <v>18.2</v>
      </c>
      <c r="D165" s="27">
        <v>12</v>
      </c>
      <c r="E165" s="28"/>
      <c r="F165" s="16">
        <f t="shared" si="388"/>
        <v>0</v>
      </c>
      <c r="G165" s="17"/>
      <c r="H165" s="18">
        <v>7</v>
      </c>
      <c r="I165" s="19">
        <f t="shared" si="389"/>
        <v>1.5287999999999997</v>
      </c>
      <c r="J165" s="16"/>
      <c r="K165" s="18"/>
      <c r="L165" s="19">
        <f t="shared" si="390"/>
        <v>0</v>
      </c>
      <c r="M165" s="16"/>
      <c r="N165" s="18"/>
      <c r="O165" s="19">
        <f t="shared" si="391"/>
        <v>0</v>
      </c>
      <c r="P165" s="16"/>
      <c r="Q165" s="18"/>
      <c r="R165" s="19">
        <f t="shared" si="392"/>
        <v>0</v>
      </c>
      <c r="S165" s="20">
        <f t="shared" si="393"/>
        <v>7</v>
      </c>
      <c r="T165" s="19">
        <f t="shared" si="394"/>
        <v>1.5287999999999997</v>
      </c>
      <c r="U165" s="21">
        <f t="shared" si="395"/>
        <v>-7</v>
      </c>
      <c r="V165" s="19">
        <f t="shared" si="396"/>
        <v>-1.5287999999999997</v>
      </c>
      <c r="X165" s="29"/>
    </row>
    <row r="166" spans="1:24" ht="15.75" customHeight="1">
      <c r="A166" s="36"/>
      <c r="B166" s="36"/>
      <c r="C166" s="37"/>
      <c r="D166" s="38"/>
      <c r="E166" s="31">
        <f>SUM(E157:E165)</f>
        <v>112</v>
      </c>
      <c r="F166" s="38">
        <f>SUM(F157:F165)</f>
        <v>19.04448</v>
      </c>
      <c r="G166" s="17"/>
      <c r="H166" s="31">
        <f>SUM(H157:H165)</f>
        <v>101</v>
      </c>
      <c r="I166" s="38">
        <f t="shared" ref="I166" si="406">SUM(I157:I165)</f>
        <v>16.778579999999998</v>
      </c>
      <c r="J166" s="16"/>
      <c r="K166" s="31">
        <f t="shared" ref="K166" si="407">SUM(K157:K165)</f>
        <v>12</v>
      </c>
      <c r="L166" s="38">
        <f t="shared" ref="L166" si="408">SUM(L157:L165)</f>
        <v>2.48976</v>
      </c>
      <c r="M166" s="16"/>
      <c r="N166" s="31">
        <f t="shared" ref="N166" si="409">SUM(N157:N165)</f>
        <v>0</v>
      </c>
      <c r="O166" s="38">
        <f t="shared" ref="O166" si="410">SUM(O157:O165)</f>
        <v>0</v>
      </c>
      <c r="P166" s="16"/>
      <c r="Q166" s="31">
        <f t="shared" ref="Q166" si="411">SUM(Q157:Q165)</f>
        <v>0</v>
      </c>
      <c r="R166" s="38">
        <f t="shared" ref="R166" si="412">SUM(R157:R165)</f>
        <v>0</v>
      </c>
      <c r="S166" s="31">
        <f t="shared" ref="S166" si="413">SUM(S157:S165)</f>
        <v>113</v>
      </c>
      <c r="T166" s="38">
        <f t="shared" ref="T166" si="414">SUM(T157:T165)</f>
        <v>19.268339999999998</v>
      </c>
      <c r="U166" s="31">
        <f t="shared" ref="U166" si="415">SUM(U157:U165)</f>
        <v>-1</v>
      </c>
      <c r="V166" s="38">
        <f t="shared" ref="V166" si="416">SUM(V157:V165)</f>
        <v>-0.22386000000000017</v>
      </c>
      <c r="X166" s="29"/>
    </row>
    <row r="167" spans="1:24" ht="15.75" customHeight="1">
      <c r="A167" s="26" t="s">
        <v>14</v>
      </c>
      <c r="B167" s="26" t="s">
        <v>49</v>
      </c>
      <c r="C167" s="30">
        <v>14.7</v>
      </c>
      <c r="D167" s="27">
        <v>6.9</v>
      </c>
      <c r="E167" s="28">
        <v>52</v>
      </c>
      <c r="F167" s="16">
        <f>(C167*D167*E167/1000)</f>
        <v>5.2743600000000006</v>
      </c>
      <c r="G167" s="17" t="s">
        <v>301</v>
      </c>
      <c r="H167" s="18">
        <f>9+25</f>
        <v>34</v>
      </c>
      <c r="I167" s="19">
        <f>(C167*D167*H167/1000)</f>
        <v>3.4486200000000005</v>
      </c>
      <c r="J167" s="17" t="s">
        <v>295</v>
      </c>
      <c r="K167" s="18"/>
      <c r="L167" s="19">
        <f>(C167*D167*K167/1000)</f>
        <v>0</v>
      </c>
      <c r="M167" s="16"/>
      <c r="N167" s="18"/>
      <c r="O167" s="19">
        <f>(C167*D167*N167/1000)</f>
        <v>0</v>
      </c>
      <c r="P167" s="16"/>
      <c r="Q167" s="18"/>
      <c r="R167" s="19">
        <f>(C167*D167*Q167/1000)</f>
        <v>0</v>
      </c>
      <c r="S167" s="20">
        <f>+H167+K167+Q167+N167</f>
        <v>34</v>
      </c>
      <c r="T167" s="19">
        <f>+I167+L167+R167+O167</f>
        <v>3.4486200000000005</v>
      </c>
      <c r="U167" s="21">
        <f>E167-S167</f>
        <v>18</v>
      </c>
      <c r="V167" s="19">
        <f>F167-T167</f>
        <v>1.8257400000000001</v>
      </c>
      <c r="X167" s="29"/>
    </row>
    <row r="168" spans="1:24" ht="15.75" customHeight="1">
      <c r="A168" s="26" t="s">
        <v>14</v>
      </c>
      <c r="B168" s="26" t="s">
        <v>49</v>
      </c>
      <c r="C168" s="30">
        <v>14.7</v>
      </c>
      <c r="D168" s="27">
        <v>8.5</v>
      </c>
      <c r="E168" s="28"/>
      <c r="F168" s="16">
        <f t="shared" ref="F168:F175" si="417">(C168*D168*E168/1000)</f>
        <v>0</v>
      </c>
      <c r="G168" s="17" t="s">
        <v>302</v>
      </c>
      <c r="H168" s="18">
        <v>2</v>
      </c>
      <c r="I168" s="19">
        <f t="shared" ref="I168:I175" si="418">(C168*D168*H168/1000)</f>
        <v>0.24989999999999998</v>
      </c>
      <c r="J168" s="17" t="s">
        <v>324</v>
      </c>
      <c r="K168" s="18">
        <v>2</v>
      </c>
      <c r="L168" s="19">
        <f t="shared" ref="L168:L175" si="419">(C168*D168*K168/1000)</f>
        <v>0.24989999999999998</v>
      </c>
      <c r="M168" s="16"/>
      <c r="N168" s="18"/>
      <c r="O168" s="19">
        <f t="shared" ref="O168:O175" si="420">(C168*D168*N168/1000)</f>
        <v>0</v>
      </c>
      <c r="P168" s="16"/>
      <c r="Q168" s="18"/>
      <c r="R168" s="19">
        <f t="shared" ref="R168:R175" si="421">(C168*D168*Q168/1000)</f>
        <v>0</v>
      </c>
      <c r="S168" s="20">
        <f t="shared" ref="S168:S175" si="422">+H168+K168+Q168+N168</f>
        <v>4</v>
      </c>
      <c r="T168" s="19">
        <f t="shared" ref="T168:T175" si="423">+I168+L168+R168+O168</f>
        <v>0.49979999999999997</v>
      </c>
      <c r="U168" s="21">
        <f t="shared" ref="U168:U175" si="424">E168-S168</f>
        <v>-4</v>
      </c>
      <c r="V168" s="19">
        <f t="shared" ref="V168:V175" si="425">F168-T168</f>
        <v>-0.49979999999999997</v>
      </c>
      <c r="X168" s="29"/>
    </row>
    <row r="169" spans="1:24" ht="15.75" customHeight="1">
      <c r="A169" s="26" t="s">
        <v>14</v>
      </c>
      <c r="B169" s="26" t="s">
        <v>49</v>
      </c>
      <c r="C169" s="30">
        <v>14.7</v>
      </c>
      <c r="D169" s="27">
        <v>8.9</v>
      </c>
      <c r="E169" s="28"/>
      <c r="F169" s="16">
        <f t="shared" si="417"/>
        <v>0</v>
      </c>
      <c r="G169" s="17"/>
      <c r="H169" s="18">
        <v>1</v>
      </c>
      <c r="I169" s="19">
        <f t="shared" si="418"/>
        <v>0.13083</v>
      </c>
      <c r="J169" s="16"/>
      <c r="K169" s="18"/>
      <c r="L169" s="19">
        <f t="shared" si="419"/>
        <v>0</v>
      </c>
      <c r="M169" s="16"/>
      <c r="N169" s="18"/>
      <c r="O169" s="19">
        <f t="shared" si="420"/>
        <v>0</v>
      </c>
      <c r="P169" s="16"/>
      <c r="Q169" s="18"/>
      <c r="R169" s="19">
        <f t="shared" si="421"/>
        <v>0</v>
      </c>
      <c r="S169" s="20">
        <f t="shared" si="422"/>
        <v>1</v>
      </c>
      <c r="T169" s="19">
        <f t="shared" si="423"/>
        <v>0.13083</v>
      </c>
      <c r="U169" s="21">
        <f t="shared" si="424"/>
        <v>-1</v>
      </c>
      <c r="V169" s="19">
        <f t="shared" si="425"/>
        <v>-0.13083</v>
      </c>
      <c r="X169" s="29"/>
    </row>
    <row r="170" spans="1:24" ht="15.75" customHeight="1">
      <c r="A170" s="26" t="s">
        <v>14</v>
      </c>
      <c r="B170" s="26" t="s">
        <v>49</v>
      </c>
      <c r="C170" s="30">
        <v>14.7</v>
      </c>
      <c r="D170" s="27">
        <v>6.7</v>
      </c>
      <c r="E170" s="28"/>
      <c r="F170" s="16">
        <f t="shared" si="417"/>
        <v>0</v>
      </c>
      <c r="G170" s="17"/>
      <c r="H170" s="18">
        <v>2</v>
      </c>
      <c r="I170" s="19">
        <f t="shared" si="418"/>
        <v>0.19697999999999999</v>
      </c>
      <c r="J170" s="16"/>
      <c r="K170" s="18"/>
      <c r="L170" s="19">
        <f t="shared" si="419"/>
        <v>0</v>
      </c>
      <c r="M170" s="16"/>
      <c r="N170" s="18"/>
      <c r="O170" s="19">
        <f t="shared" si="420"/>
        <v>0</v>
      </c>
      <c r="P170" s="16"/>
      <c r="Q170" s="18"/>
      <c r="R170" s="19">
        <f t="shared" si="421"/>
        <v>0</v>
      </c>
      <c r="S170" s="20">
        <f t="shared" si="422"/>
        <v>2</v>
      </c>
      <c r="T170" s="19">
        <f t="shared" si="423"/>
        <v>0.19697999999999999</v>
      </c>
      <c r="U170" s="21">
        <f t="shared" si="424"/>
        <v>-2</v>
      </c>
      <c r="V170" s="19">
        <f t="shared" si="425"/>
        <v>-0.19697999999999999</v>
      </c>
      <c r="X170" s="29"/>
    </row>
    <row r="171" spans="1:24" ht="15.75" customHeight="1">
      <c r="A171" s="26" t="s">
        <v>14</v>
      </c>
      <c r="B171" s="26" t="s">
        <v>49</v>
      </c>
      <c r="C171" s="30">
        <v>14.7</v>
      </c>
      <c r="D171" s="27">
        <v>6.5</v>
      </c>
      <c r="E171" s="28"/>
      <c r="F171" s="16">
        <f t="shared" ref="F171:F174" si="426">(C171*D171*E171/1000)</f>
        <v>0</v>
      </c>
      <c r="G171" s="17"/>
      <c r="H171" s="18">
        <v>3</v>
      </c>
      <c r="I171" s="19">
        <f t="shared" ref="I171:I174" si="427">(C171*D171*H171/1000)</f>
        <v>0.28664999999999996</v>
      </c>
      <c r="J171" s="16"/>
      <c r="K171" s="18"/>
      <c r="L171" s="19">
        <f t="shared" ref="L171:L174" si="428">(C171*D171*K171/1000)</f>
        <v>0</v>
      </c>
      <c r="M171" s="16"/>
      <c r="N171" s="18"/>
      <c r="O171" s="19">
        <f t="shared" ref="O171:O174" si="429">(C171*D171*N171/1000)</f>
        <v>0</v>
      </c>
      <c r="P171" s="16"/>
      <c r="Q171" s="18"/>
      <c r="R171" s="19">
        <f t="shared" ref="R171:R174" si="430">(C171*D171*Q171/1000)</f>
        <v>0</v>
      </c>
      <c r="S171" s="20">
        <f t="shared" ref="S171:S174" si="431">+H171+K171+Q171+N171</f>
        <v>3</v>
      </c>
      <c r="T171" s="19">
        <f t="shared" ref="T171:T174" si="432">+I171+L171+R171+O171</f>
        <v>0.28664999999999996</v>
      </c>
      <c r="U171" s="21">
        <f t="shared" ref="U171:U174" si="433">E171-S171</f>
        <v>-3</v>
      </c>
      <c r="V171" s="19">
        <f t="shared" ref="V171:V174" si="434">F171-T171</f>
        <v>-0.28664999999999996</v>
      </c>
      <c r="X171" s="29"/>
    </row>
    <row r="172" spans="1:24" ht="15.75" customHeight="1">
      <c r="A172" s="26" t="s">
        <v>14</v>
      </c>
      <c r="B172" s="26" t="s">
        <v>49</v>
      </c>
      <c r="C172" s="30">
        <v>14.7</v>
      </c>
      <c r="D172" s="27">
        <v>8.3000000000000007</v>
      </c>
      <c r="E172" s="28"/>
      <c r="F172" s="16">
        <f t="shared" si="426"/>
        <v>0</v>
      </c>
      <c r="G172" s="17"/>
      <c r="H172" s="18"/>
      <c r="I172" s="19">
        <f t="shared" si="427"/>
        <v>0</v>
      </c>
      <c r="J172" s="16"/>
      <c r="K172" s="18">
        <v>1</v>
      </c>
      <c r="L172" s="19">
        <f t="shared" si="428"/>
        <v>0.12201000000000001</v>
      </c>
      <c r="M172" s="16"/>
      <c r="N172" s="18"/>
      <c r="O172" s="19">
        <f t="shared" si="429"/>
        <v>0</v>
      </c>
      <c r="P172" s="16"/>
      <c r="Q172" s="18"/>
      <c r="R172" s="19">
        <f t="shared" si="430"/>
        <v>0</v>
      </c>
      <c r="S172" s="20">
        <f t="shared" si="431"/>
        <v>1</v>
      </c>
      <c r="T172" s="19">
        <f t="shared" si="432"/>
        <v>0.12201000000000001</v>
      </c>
      <c r="U172" s="21">
        <f t="shared" si="433"/>
        <v>-1</v>
      </c>
      <c r="V172" s="19">
        <f t="shared" si="434"/>
        <v>-0.12201000000000001</v>
      </c>
      <c r="X172" s="29"/>
    </row>
    <row r="173" spans="1:24" ht="15.75" customHeight="1">
      <c r="A173" s="26" t="s">
        <v>14</v>
      </c>
      <c r="B173" s="26" t="s">
        <v>49</v>
      </c>
      <c r="C173" s="30">
        <v>14.7</v>
      </c>
      <c r="D173" s="27">
        <v>8.6</v>
      </c>
      <c r="E173" s="28"/>
      <c r="F173" s="16">
        <f t="shared" si="426"/>
        <v>0</v>
      </c>
      <c r="G173" s="17"/>
      <c r="H173" s="18"/>
      <c r="I173" s="19">
        <f t="shared" si="427"/>
        <v>0</v>
      </c>
      <c r="J173" s="16"/>
      <c r="K173" s="18">
        <v>2</v>
      </c>
      <c r="L173" s="19">
        <f t="shared" si="428"/>
        <v>0.25283999999999995</v>
      </c>
      <c r="M173" s="16"/>
      <c r="N173" s="18"/>
      <c r="O173" s="19">
        <f t="shared" si="429"/>
        <v>0</v>
      </c>
      <c r="P173" s="16"/>
      <c r="Q173" s="18"/>
      <c r="R173" s="19">
        <f t="shared" si="430"/>
        <v>0</v>
      </c>
      <c r="S173" s="20">
        <f t="shared" si="431"/>
        <v>2</v>
      </c>
      <c r="T173" s="19">
        <f t="shared" si="432"/>
        <v>0.25283999999999995</v>
      </c>
      <c r="U173" s="21">
        <f t="shared" si="433"/>
        <v>-2</v>
      </c>
      <c r="V173" s="19">
        <f t="shared" si="434"/>
        <v>-0.25283999999999995</v>
      </c>
      <c r="X173" s="29"/>
    </row>
    <row r="174" spans="1:24" ht="15.75" customHeight="1">
      <c r="A174" s="26" t="s">
        <v>14</v>
      </c>
      <c r="B174" s="26" t="s">
        <v>49</v>
      </c>
      <c r="C174" s="30">
        <v>14.7</v>
      </c>
      <c r="D174" s="27">
        <v>8.75</v>
      </c>
      <c r="E174" s="28"/>
      <c r="F174" s="16">
        <f t="shared" si="426"/>
        <v>0</v>
      </c>
      <c r="G174" s="17"/>
      <c r="H174" s="18"/>
      <c r="I174" s="19">
        <f t="shared" si="427"/>
        <v>0</v>
      </c>
      <c r="J174" s="16"/>
      <c r="K174" s="18">
        <v>4</v>
      </c>
      <c r="L174" s="19">
        <f t="shared" si="428"/>
        <v>0.51449999999999996</v>
      </c>
      <c r="M174" s="16"/>
      <c r="N174" s="18"/>
      <c r="O174" s="19">
        <f t="shared" si="429"/>
        <v>0</v>
      </c>
      <c r="P174" s="16"/>
      <c r="Q174" s="18"/>
      <c r="R174" s="19">
        <f t="shared" si="430"/>
        <v>0</v>
      </c>
      <c r="S174" s="20">
        <f t="shared" si="431"/>
        <v>4</v>
      </c>
      <c r="T174" s="19">
        <f t="shared" si="432"/>
        <v>0.51449999999999996</v>
      </c>
      <c r="U174" s="21">
        <f t="shared" si="433"/>
        <v>-4</v>
      </c>
      <c r="V174" s="19">
        <f t="shared" si="434"/>
        <v>-0.51449999999999996</v>
      </c>
      <c r="X174" s="29"/>
    </row>
    <row r="175" spans="1:24" ht="15.75" customHeight="1">
      <c r="A175" s="26" t="s">
        <v>14</v>
      </c>
      <c r="B175" s="26" t="s">
        <v>49</v>
      </c>
      <c r="C175" s="30">
        <v>14.7</v>
      </c>
      <c r="D175" s="27">
        <v>8.8000000000000007</v>
      </c>
      <c r="E175" s="28"/>
      <c r="F175" s="16">
        <f t="shared" si="417"/>
        <v>0</v>
      </c>
      <c r="G175" s="17"/>
      <c r="H175" s="18"/>
      <c r="I175" s="19">
        <f t="shared" si="418"/>
        <v>0</v>
      </c>
      <c r="J175" s="16"/>
      <c r="K175" s="18">
        <v>2</v>
      </c>
      <c r="L175" s="19">
        <f t="shared" si="419"/>
        <v>0.25872000000000001</v>
      </c>
      <c r="M175" s="16"/>
      <c r="N175" s="18"/>
      <c r="O175" s="19">
        <f t="shared" si="420"/>
        <v>0</v>
      </c>
      <c r="P175" s="16"/>
      <c r="Q175" s="18"/>
      <c r="R175" s="19">
        <f t="shared" si="421"/>
        <v>0</v>
      </c>
      <c r="S175" s="20">
        <f t="shared" si="422"/>
        <v>2</v>
      </c>
      <c r="T175" s="19">
        <f t="shared" si="423"/>
        <v>0.25872000000000001</v>
      </c>
      <c r="U175" s="21">
        <f t="shared" si="424"/>
        <v>-2</v>
      </c>
      <c r="V175" s="19">
        <f t="shared" si="425"/>
        <v>-0.25872000000000001</v>
      </c>
      <c r="X175" s="29"/>
    </row>
    <row r="176" spans="1:24" ht="15.75" customHeight="1">
      <c r="A176" s="36"/>
      <c r="B176" s="36"/>
      <c r="C176" s="37"/>
      <c r="D176" s="38"/>
      <c r="E176" s="31">
        <f t="shared" ref="E176:F176" si="435">SUM(E167:E175)</f>
        <v>52</v>
      </c>
      <c r="F176" s="38">
        <f t="shared" si="435"/>
        <v>5.2743600000000006</v>
      </c>
      <c r="G176" s="17"/>
      <c r="H176" s="31">
        <f t="shared" ref="H176" si="436">SUM(H167:H175)</f>
        <v>42</v>
      </c>
      <c r="I176" s="38">
        <f t="shared" ref="I176" si="437">SUM(I167:I175)</f>
        <v>4.3129800000000005</v>
      </c>
      <c r="J176" s="16"/>
      <c r="K176" s="31">
        <f t="shared" ref="K176" si="438">SUM(K167:K175)</f>
        <v>11</v>
      </c>
      <c r="L176" s="38">
        <f t="shared" ref="L176" si="439">SUM(L167:L175)</f>
        <v>1.3979699999999999</v>
      </c>
      <c r="M176" s="16"/>
      <c r="N176" s="31">
        <f t="shared" ref="N176" si="440">SUM(N167:N175)</f>
        <v>0</v>
      </c>
      <c r="O176" s="38">
        <f t="shared" ref="O176" si="441">SUM(O167:O175)</f>
        <v>0</v>
      </c>
      <c r="P176" s="16"/>
      <c r="Q176" s="31">
        <f t="shared" ref="Q176" si="442">SUM(Q167:Q175)</f>
        <v>0</v>
      </c>
      <c r="R176" s="38">
        <f t="shared" ref="R176" si="443">SUM(R167:R175)</f>
        <v>0</v>
      </c>
      <c r="S176" s="31">
        <f t="shared" ref="S176" si="444">SUM(S167:S175)</f>
        <v>53</v>
      </c>
      <c r="T176" s="38">
        <f t="shared" ref="T176" si="445">SUM(T167:T175)</f>
        <v>5.7109500000000004</v>
      </c>
      <c r="U176" s="31">
        <f t="shared" ref="U176" si="446">SUM(U167:U175)</f>
        <v>-1</v>
      </c>
      <c r="V176" s="38">
        <f t="shared" ref="V176" si="447">SUM(V167:V175)</f>
        <v>-0.43658999999999976</v>
      </c>
      <c r="X176" s="29"/>
    </row>
    <row r="177" spans="1:24" ht="15.75" customHeight="1">
      <c r="A177" s="26" t="s">
        <v>14</v>
      </c>
      <c r="B177" s="26" t="s">
        <v>51</v>
      </c>
      <c r="C177" s="30">
        <v>19.8</v>
      </c>
      <c r="D177" s="27">
        <v>6.7</v>
      </c>
      <c r="E177" s="28">
        <v>28</v>
      </c>
      <c r="F177" s="16">
        <f t="shared" ref="F177:F182" si="448">(C177*D177*E177/1000)</f>
        <v>3.71448</v>
      </c>
      <c r="G177" s="17" t="s">
        <v>93</v>
      </c>
      <c r="H177" s="18">
        <v>23</v>
      </c>
      <c r="I177" s="19">
        <f t="shared" ref="I177:I182" si="449">(C177*D177*H177/1000)</f>
        <v>3.05118</v>
      </c>
      <c r="J177" s="16"/>
      <c r="K177" s="18"/>
      <c r="L177" s="19">
        <f t="shared" ref="L177:L182" si="450">(C177*D177*K177/1000)</f>
        <v>0</v>
      </c>
      <c r="M177" s="16"/>
      <c r="N177" s="18"/>
      <c r="O177" s="19">
        <f t="shared" ref="O177:O182" si="451">(C177*D177*N177/1000)</f>
        <v>0</v>
      </c>
      <c r="P177" s="16"/>
      <c r="Q177" s="18"/>
      <c r="R177" s="19">
        <f t="shared" ref="R177:R182" si="452">(C177*D177*Q177/1000)</f>
        <v>0</v>
      </c>
      <c r="S177" s="20">
        <f t="shared" ref="S177:S182" si="453">+H177+K177+Q177+N177</f>
        <v>23</v>
      </c>
      <c r="T177" s="19">
        <f t="shared" ref="T177:T182" si="454">+I177+L177+R177+O177</f>
        <v>3.05118</v>
      </c>
      <c r="U177" s="21">
        <f t="shared" ref="U177:U182" si="455">E177-S177</f>
        <v>5</v>
      </c>
      <c r="V177" s="19">
        <f t="shared" ref="V177:V182" si="456">F177-T177</f>
        <v>0.6633</v>
      </c>
      <c r="X177" s="29"/>
    </row>
    <row r="178" spans="1:24" ht="15.75" customHeight="1">
      <c r="A178" s="26" t="s">
        <v>14</v>
      </c>
      <c r="B178" s="26" t="s">
        <v>51</v>
      </c>
      <c r="C178" s="30">
        <v>19.8</v>
      </c>
      <c r="D178" s="27">
        <v>12</v>
      </c>
      <c r="E178" s="28">
        <v>56</v>
      </c>
      <c r="F178" s="16">
        <f t="shared" ref="F178:F181" si="457">(C178*D178*E178/1000)</f>
        <v>13.305600000000002</v>
      </c>
      <c r="G178" s="17" t="s">
        <v>347</v>
      </c>
      <c r="H178" s="18">
        <f>39+16</f>
        <v>55</v>
      </c>
      <c r="I178" s="19">
        <f t="shared" ref="I178:I181" si="458">(C178*D178*H178/1000)</f>
        <v>13.068000000000001</v>
      </c>
      <c r="J178" s="16"/>
      <c r="K178" s="18"/>
      <c r="L178" s="19">
        <f t="shared" ref="L178:L181" si="459">(C178*D178*K178/1000)</f>
        <v>0</v>
      </c>
      <c r="M178" s="16"/>
      <c r="N178" s="18"/>
      <c r="O178" s="19">
        <f t="shared" ref="O178:O181" si="460">(C178*D178*N178/1000)</f>
        <v>0</v>
      </c>
      <c r="P178" s="16"/>
      <c r="Q178" s="18"/>
      <c r="R178" s="19">
        <f t="shared" ref="R178:R181" si="461">(C178*D178*Q178/1000)</f>
        <v>0</v>
      </c>
      <c r="S178" s="20">
        <f t="shared" ref="S178:S181" si="462">+H178+K178+Q178+N178</f>
        <v>55</v>
      </c>
      <c r="T178" s="19">
        <f t="shared" ref="T178:T181" si="463">+I178+L178+R178+O178</f>
        <v>13.068000000000001</v>
      </c>
      <c r="U178" s="21">
        <f t="shared" ref="U178:U181" si="464">E178-S178</f>
        <v>1</v>
      </c>
      <c r="V178" s="19">
        <f t="shared" ref="V178:V181" si="465">F178-T178</f>
        <v>0.23760000000000048</v>
      </c>
      <c r="X178" s="29"/>
    </row>
    <row r="179" spans="1:24" ht="15.75" customHeight="1">
      <c r="A179" s="26" t="s">
        <v>14</v>
      </c>
      <c r="B179" s="26" t="s">
        <v>51</v>
      </c>
      <c r="C179" s="30">
        <v>19.8</v>
      </c>
      <c r="D179" s="27">
        <v>6.5</v>
      </c>
      <c r="E179" s="28"/>
      <c r="F179" s="16">
        <f t="shared" si="457"/>
        <v>0</v>
      </c>
      <c r="G179" s="17"/>
      <c r="H179" s="18">
        <v>1</v>
      </c>
      <c r="I179" s="19">
        <f t="shared" si="458"/>
        <v>0.12870000000000001</v>
      </c>
      <c r="J179" s="16"/>
      <c r="K179" s="18"/>
      <c r="L179" s="19">
        <f t="shared" si="459"/>
        <v>0</v>
      </c>
      <c r="M179" s="16"/>
      <c r="N179" s="18"/>
      <c r="O179" s="19">
        <f t="shared" si="460"/>
        <v>0</v>
      </c>
      <c r="P179" s="16"/>
      <c r="Q179" s="18"/>
      <c r="R179" s="19">
        <f t="shared" si="461"/>
        <v>0</v>
      </c>
      <c r="S179" s="20">
        <f t="shared" si="462"/>
        <v>1</v>
      </c>
      <c r="T179" s="19">
        <f t="shared" si="463"/>
        <v>0.12870000000000001</v>
      </c>
      <c r="U179" s="21">
        <f t="shared" si="464"/>
        <v>-1</v>
      </c>
      <c r="V179" s="19">
        <f t="shared" si="465"/>
        <v>-0.12870000000000001</v>
      </c>
      <c r="X179" s="29"/>
    </row>
    <row r="180" spans="1:24" ht="15.75" customHeight="1">
      <c r="A180" s="26" t="s">
        <v>14</v>
      </c>
      <c r="B180" s="26" t="s">
        <v>51</v>
      </c>
      <c r="C180" s="30">
        <v>19.8</v>
      </c>
      <c r="D180" s="27">
        <v>11.5</v>
      </c>
      <c r="E180" s="28"/>
      <c r="F180" s="16">
        <f t="shared" si="457"/>
        <v>0</v>
      </c>
      <c r="G180" s="17"/>
      <c r="H180" s="18">
        <v>2</v>
      </c>
      <c r="I180" s="19">
        <f t="shared" si="458"/>
        <v>0.45540000000000003</v>
      </c>
      <c r="J180" s="16"/>
      <c r="K180" s="18"/>
      <c r="L180" s="19">
        <f t="shared" si="459"/>
        <v>0</v>
      </c>
      <c r="M180" s="16"/>
      <c r="N180" s="18"/>
      <c r="O180" s="19">
        <f t="shared" si="460"/>
        <v>0</v>
      </c>
      <c r="P180" s="16"/>
      <c r="Q180" s="18"/>
      <c r="R180" s="19">
        <f t="shared" si="461"/>
        <v>0</v>
      </c>
      <c r="S180" s="20">
        <f t="shared" si="462"/>
        <v>2</v>
      </c>
      <c r="T180" s="19">
        <f t="shared" si="463"/>
        <v>0.45540000000000003</v>
      </c>
      <c r="U180" s="21">
        <f t="shared" si="464"/>
        <v>-2</v>
      </c>
      <c r="V180" s="19">
        <f t="shared" si="465"/>
        <v>-0.45540000000000003</v>
      </c>
      <c r="X180" s="29"/>
    </row>
    <row r="181" spans="1:24" ht="15.75" customHeight="1">
      <c r="A181" s="26" t="s">
        <v>14</v>
      </c>
      <c r="B181" s="26" t="s">
        <v>51</v>
      </c>
      <c r="C181" s="30">
        <v>19.8</v>
      </c>
      <c r="D181" s="27">
        <v>11.8</v>
      </c>
      <c r="E181" s="28"/>
      <c r="F181" s="16">
        <f t="shared" si="457"/>
        <v>0</v>
      </c>
      <c r="G181" s="17"/>
      <c r="H181" s="18">
        <v>2</v>
      </c>
      <c r="I181" s="19">
        <f t="shared" si="458"/>
        <v>0.46728000000000003</v>
      </c>
      <c r="J181" s="16"/>
      <c r="K181" s="18"/>
      <c r="L181" s="19">
        <f t="shared" si="459"/>
        <v>0</v>
      </c>
      <c r="M181" s="16"/>
      <c r="N181" s="18"/>
      <c r="O181" s="19">
        <f t="shared" si="460"/>
        <v>0</v>
      </c>
      <c r="P181" s="16"/>
      <c r="Q181" s="18"/>
      <c r="R181" s="19">
        <f t="shared" si="461"/>
        <v>0</v>
      </c>
      <c r="S181" s="20">
        <f t="shared" si="462"/>
        <v>2</v>
      </c>
      <c r="T181" s="19">
        <f t="shared" si="463"/>
        <v>0.46728000000000003</v>
      </c>
      <c r="U181" s="21">
        <f t="shared" si="464"/>
        <v>-2</v>
      </c>
      <c r="V181" s="19">
        <f t="shared" si="465"/>
        <v>-0.46728000000000003</v>
      </c>
      <c r="X181" s="29"/>
    </row>
    <row r="182" spans="1:24" ht="15.75" customHeight="1">
      <c r="A182" s="26" t="s">
        <v>14</v>
      </c>
      <c r="B182" s="26" t="s">
        <v>51</v>
      </c>
      <c r="C182" s="30">
        <v>19.8</v>
      </c>
      <c r="D182" s="27"/>
      <c r="E182" s="28"/>
      <c r="F182" s="16">
        <f t="shared" si="448"/>
        <v>0</v>
      </c>
      <c r="G182" s="17"/>
      <c r="H182" s="18"/>
      <c r="I182" s="19">
        <f t="shared" si="449"/>
        <v>0</v>
      </c>
      <c r="J182" s="16"/>
      <c r="K182" s="18"/>
      <c r="L182" s="19">
        <f t="shared" si="450"/>
        <v>0</v>
      </c>
      <c r="M182" s="16"/>
      <c r="N182" s="18"/>
      <c r="O182" s="19">
        <f t="shared" si="451"/>
        <v>0</v>
      </c>
      <c r="P182" s="16"/>
      <c r="Q182" s="18"/>
      <c r="R182" s="19">
        <f t="shared" si="452"/>
        <v>0</v>
      </c>
      <c r="S182" s="20">
        <f t="shared" si="453"/>
        <v>0</v>
      </c>
      <c r="T182" s="19">
        <f t="shared" si="454"/>
        <v>0</v>
      </c>
      <c r="U182" s="21">
        <f t="shared" si="455"/>
        <v>0</v>
      </c>
      <c r="V182" s="19">
        <f t="shared" si="456"/>
        <v>0</v>
      </c>
      <c r="X182" s="29"/>
    </row>
    <row r="183" spans="1:24" ht="15.75" customHeight="1">
      <c r="A183" s="36"/>
      <c r="B183" s="36"/>
      <c r="C183" s="37"/>
      <c r="D183" s="38"/>
      <c r="E183" s="31">
        <f t="shared" ref="E183:F183" si="466">SUM(E177:E182)</f>
        <v>84</v>
      </c>
      <c r="F183" s="38">
        <f t="shared" si="466"/>
        <v>17.02008</v>
      </c>
      <c r="G183" s="17"/>
      <c r="H183" s="31">
        <f t="shared" ref="H183" si="467">SUM(H177:H182)</f>
        <v>83</v>
      </c>
      <c r="I183" s="38">
        <f t="shared" ref="I183" si="468">SUM(I177:I182)</f>
        <v>17.170559999999998</v>
      </c>
      <c r="J183" s="16"/>
      <c r="K183" s="31">
        <f t="shared" ref="K183" si="469">SUM(K177:K182)</f>
        <v>0</v>
      </c>
      <c r="L183" s="38">
        <f t="shared" ref="L183" si="470">SUM(L177:L182)</f>
        <v>0</v>
      </c>
      <c r="M183" s="16"/>
      <c r="N183" s="31">
        <f t="shared" ref="N183" si="471">SUM(N177:N182)</f>
        <v>0</v>
      </c>
      <c r="O183" s="38">
        <f t="shared" ref="O183" si="472">SUM(O177:O182)</f>
        <v>0</v>
      </c>
      <c r="P183" s="16"/>
      <c r="Q183" s="31">
        <f t="shared" ref="Q183" si="473">SUM(Q177:Q182)</f>
        <v>0</v>
      </c>
      <c r="R183" s="38">
        <f t="shared" ref="R183" si="474">SUM(R177:R182)</f>
        <v>0</v>
      </c>
      <c r="S183" s="31">
        <f t="shared" ref="S183" si="475">SUM(S177:S182)</f>
        <v>83</v>
      </c>
      <c r="T183" s="38">
        <f t="shared" ref="T183" si="476">SUM(T177:T182)</f>
        <v>17.170559999999998</v>
      </c>
      <c r="U183" s="31">
        <f t="shared" ref="U183" si="477">SUM(U177:U182)</f>
        <v>1</v>
      </c>
      <c r="V183" s="38">
        <f t="shared" ref="V183" si="478">SUM(V177:V182)</f>
        <v>-0.15047999999999961</v>
      </c>
      <c r="X183" s="29"/>
    </row>
    <row r="184" spans="1:24">
      <c r="A184" s="33"/>
      <c r="B184" s="33"/>
      <c r="C184" s="34"/>
      <c r="D184" s="34"/>
      <c r="E184" s="54">
        <f>SUM(E183,E176,E166,E156,E149,E147,E145,E139,E134,E122,E116,E113,E105,E100,E80,E68,E58,E41,E25,E16,E203,E193)</f>
        <v>3006</v>
      </c>
      <c r="F184" s="55">
        <f>SUM(F183,F176,F166,F156,F149,F147,F145,F139,F134,F122,F116,F113,F105,F100,F80,F68,F58,F41,F25,F16,F203,F193)</f>
        <v>425.29864000000009</v>
      </c>
      <c r="G184" s="26"/>
      <c r="H184" s="54">
        <f>SUM(H183,H176,H166,H156,H149,H147,H145,H139,H134,H122,H116,H113,H105,H100,H80,H68,H58,H41,H25,H16,H203,H193)</f>
        <v>1248</v>
      </c>
      <c r="I184" s="55">
        <f>SUM(I183,I176,I166,I156,I149,I147,I145,I139,I134,I122,I116,I113,I105,I100,I80,I68,I58,I41,I25,I16,I203,I193)</f>
        <v>184.594616</v>
      </c>
      <c r="J184" s="26"/>
      <c r="K184" s="54">
        <f>SUM(K183,K176,K166,K156,K149,K147,K145,K139,K134,K122,K116,K113,K105,K100,K80,K68,K58,K41,K25,K16,K203,K193)</f>
        <v>899</v>
      </c>
      <c r="L184" s="55">
        <f>SUM(L183,L176,L166,L156,L149,L147,L145,L139,L134,L122,L116,L113,L105,L100,L80,L68,L58,L41,L25,L16,L203,L193)</f>
        <v>125.159336</v>
      </c>
      <c r="M184" s="26"/>
      <c r="N184" s="54">
        <f>SUM(N183,N176,N166,N156,N149,N147,N145,N139,N134,N122,N116,N113,N105,N100,N80,N68,N58,N41,N25,N16,N203,N193)</f>
        <v>253</v>
      </c>
      <c r="O184" s="55">
        <f>SUM(O183,O176,O166,O156,O149,O147,O145,O139,O134,O122,O116,O113,O105,O100,O80,O68,O58,O41,O25,O16,O203,O193)</f>
        <v>42.212911000000005</v>
      </c>
      <c r="P184" s="26"/>
      <c r="Q184" s="54">
        <f t="shared" ref="Q184:V184" si="479">SUM(Q183,Q176,Q166,Q156,Q149,Q147,Q145,Q139,Q134,Q122,Q116,Q113,Q105,Q100,Q80,Q68,Q58,Q41,Q25,Q16,Q203,Q193)</f>
        <v>137</v>
      </c>
      <c r="R184" s="55">
        <f t="shared" si="479"/>
        <v>22.0871</v>
      </c>
      <c r="S184" s="54">
        <f t="shared" si="479"/>
        <v>2537</v>
      </c>
      <c r="T184" s="55">
        <f t="shared" si="479"/>
        <v>374.05396300000007</v>
      </c>
      <c r="U184" s="54">
        <f t="shared" si="479"/>
        <v>469</v>
      </c>
      <c r="V184" s="55">
        <f t="shared" si="479"/>
        <v>51.244677000000003</v>
      </c>
    </row>
    <row r="189" spans="1:24" s="56" customFormat="1">
      <c r="A189" s="57" t="s">
        <v>13</v>
      </c>
      <c r="B189" s="57" t="s">
        <v>60</v>
      </c>
      <c r="C189" s="58">
        <v>15</v>
      </c>
      <c r="D189" s="59">
        <v>7.4</v>
      </c>
      <c r="E189" s="60">
        <v>21</v>
      </c>
      <c r="F189" s="61">
        <f t="shared" ref="F189:F192" si="480">(C189*D189*E189/1000)</f>
        <v>2.331</v>
      </c>
      <c r="G189" s="62"/>
      <c r="H189" s="63"/>
      <c r="I189" s="64">
        <f t="shared" ref="I189:I192" si="481">(C189*D189*H189/1000)</f>
        <v>0</v>
      </c>
      <c r="J189" s="61"/>
      <c r="K189" s="63"/>
      <c r="L189" s="64">
        <f t="shared" ref="L189:L192" si="482">(C189*D189*K189/1000)</f>
        <v>0</v>
      </c>
      <c r="M189" s="61"/>
      <c r="N189" s="63"/>
      <c r="O189" s="64">
        <f t="shared" ref="O189:O192" si="483">(C189*D189*N189/1000)</f>
        <v>0</v>
      </c>
      <c r="P189" s="61"/>
      <c r="Q189" s="63"/>
      <c r="R189" s="64">
        <f t="shared" ref="R189:R192" si="484">(C189*D189*Q189/1000)</f>
        <v>0</v>
      </c>
      <c r="S189" s="65">
        <f t="shared" ref="S189:T192" si="485">+H189+K189+Q189+N189</f>
        <v>0</v>
      </c>
      <c r="T189" s="64">
        <f t="shared" si="485"/>
        <v>0</v>
      </c>
      <c r="U189" s="42">
        <f t="shared" ref="U189:V192" si="486">E189-S189</f>
        <v>21</v>
      </c>
      <c r="V189" s="64">
        <f t="shared" si="486"/>
        <v>2.331</v>
      </c>
      <c r="X189" s="69"/>
    </row>
    <row r="190" spans="1:24" s="56" customFormat="1">
      <c r="A190" s="57" t="s">
        <v>13</v>
      </c>
      <c r="B190" s="57" t="s">
        <v>60</v>
      </c>
      <c r="C190" s="58">
        <v>15</v>
      </c>
      <c r="D190" s="59">
        <v>9.8000000000000007</v>
      </c>
      <c r="E190" s="60">
        <v>26</v>
      </c>
      <c r="F190" s="61">
        <f t="shared" si="480"/>
        <v>3.8220000000000001</v>
      </c>
      <c r="G190" s="62"/>
      <c r="H190" s="63"/>
      <c r="I190" s="64">
        <f t="shared" si="481"/>
        <v>0</v>
      </c>
      <c r="J190" s="61"/>
      <c r="K190" s="63"/>
      <c r="L190" s="64">
        <f t="shared" si="482"/>
        <v>0</v>
      </c>
      <c r="M190" s="61"/>
      <c r="N190" s="63"/>
      <c r="O190" s="64">
        <f t="shared" si="483"/>
        <v>0</v>
      </c>
      <c r="P190" s="61"/>
      <c r="Q190" s="63"/>
      <c r="R190" s="64">
        <f t="shared" si="484"/>
        <v>0</v>
      </c>
      <c r="S190" s="65">
        <f t="shared" si="485"/>
        <v>0</v>
      </c>
      <c r="T190" s="64">
        <f t="shared" si="485"/>
        <v>0</v>
      </c>
      <c r="U190" s="42">
        <f t="shared" si="486"/>
        <v>26</v>
      </c>
      <c r="V190" s="64">
        <f t="shared" si="486"/>
        <v>3.8220000000000001</v>
      </c>
      <c r="X190" s="69"/>
    </row>
    <row r="191" spans="1:24" s="56" customFormat="1">
      <c r="A191" s="57" t="s">
        <v>13</v>
      </c>
      <c r="B191" s="57" t="s">
        <v>60</v>
      </c>
      <c r="C191" s="58">
        <v>15</v>
      </c>
      <c r="D191" s="59">
        <v>11</v>
      </c>
      <c r="E191" s="60">
        <v>26</v>
      </c>
      <c r="F191" s="61">
        <f t="shared" si="480"/>
        <v>4.29</v>
      </c>
      <c r="G191" s="62"/>
      <c r="H191" s="63"/>
      <c r="I191" s="64">
        <f t="shared" si="481"/>
        <v>0</v>
      </c>
      <c r="J191" s="61"/>
      <c r="K191" s="63"/>
      <c r="L191" s="64">
        <f t="shared" si="482"/>
        <v>0</v>
      </c>
      <c r="M191" s="61"/>
      <c r="N191" s="63"/>
      <c r="O191" s="64">
        <f t="shared" si="483"/>
        <v>0</v>
      </c>
      <c r="P191" s="61"/>
      <c r="Q191" s="63"/>
      <c r="R191" s="64">
        <f t="shared" si="484"/>
        <v>0</v>
      </c>
      <c r="S191" s="65">
        <f t="shared" si="485"/>
        <v>0</v>
      </c>
      <c r="T191" s="64">
        <f t="shared" si="485"/>
        <v>0</v>
      </c>
      <c r="U191" s="42">
        <f t="shared" si="486"/>
        <v>26</v>
      </c>
      <c r="V191" s="64">
        <f t="shared" si="486"/>
        <v>4.29</v>
      </c>
      <c r="X191" s="69"/>
    </row>
    <row r="192" spans="1:24" s="56" customFormat="1">
      <c r="A192" s="57" t="s">
        <v>13</v>
      </c>
      <c r="B192" s="57" t="s">
        <v>60</v>
      </c>
      <c r="C192" s="58">
        <v>15</v>
      </c>
      <c r="D192" s="59">
        <v>12</v>
      </c>
      <c r="E192" s="60">
        <v>6</v>
      </c>
      <c r="F192" s="61">
        <f t="shared" si="480"/>
        <v>1.08</v>
      </c>
      <c r="G192" s="62"/>
      <c r="H192" s="63"/>
      <c r="I192" s="64">
        <f t="shared" si="481"/>
        <v>0</v>
      </c>
      <c r="J192" s="61"/>
      <c r="K192" s="63"/>
      <c r="L192" s="64">
        <f t="shared" si="482"/>
        <v>0</v>
      </c>
      <c r="M192" s="61"/>
      <c r="N192" s="63"/>
      <c r="O192" s="64">
        <f t="shared" si="483"/>
        <v>0</v>
      </c>
      <c r="P192" s="61"/>
      <c r="Q192" s="63"/>
      <c r="R192" s="64">
        <f t="shared" si="484"/>
        <v>0</v>
      </c>
      <c r="S192" s="65">
        <f t="shared" si="485"/>
        <v>0</v>
      </c>
      <c r="T192" s="64">
        <f t="shared" si="485"/>
        <v>0</v>
      </c>
      <c r="U192" s="42">
        <f t="shared" si="486"/>
        <v>6</v>
      </c>
      <c r="V192" s="64">
        <f t="shared" si="486"/>
        <v>1.08</v>
      </c>
      <c r="X192" s="69"/>
    </row>
    <row r="193" spans="1:24" s="56" customFormat="1">
      <c r="A193" s="41"/>
      <c r="B193" s="41"/>
      <c r="C193" s="66"/>
      <c r="D193" s="67"/>
      <c r="E193" s="68">
        <f>SUM(E189:E192)</f>
        <v>79</v>
      </c>
      <c r="F193" s="67">
        <f t="shared" ref="F193" si="487">SUM(F189:F192)</f>
        <v>11.523000000000001</v>
      </c>
      <c r="G193" s="62"/>
      <c r="H193" s="68">
        <f>SUM(H189:H192)</f>
        <v>0</v>
      </c>
      <c r="I193" s="67">
        <f t="shared" ref="I193" si="488">SUM(I189:I192)</f>
        <v>0</v>
      </c>
      <c r="J193" s="61"/>
      <c r="K193" s="68">
        <f>SUM(K189:K192)</f>
        <v>0</v>
      </c>
      <c r="L193" s="67">
        <f t="shared" ref="L193" si="489">SUM(L189:L192)</f>
        <v>0</v>
      </c>
      <c r="M193" s="61"/>
      <c r="N193" s="68">
        <f>SUM(N189:N192)</f>
        <v>0</v>
      </c>
      <c r="O193" s="67">
        <f t="shared" ref="O193" si="490">SUM(O189:O192)</f>
        <v>0</v>
      </c>
      <c r="P193" s="61"/>
      <c r="Q193" s="68">
        <f>SUM(Q189:Q192)</f>
        <v>0</v>
      </c>
      <c r="R193" s="67">
        <f t="shared" ref="R193" si="491">SUM(R189:R192)</f>
        <v>0</v>
      </c>
      <c r="S193" s="68">
        <f>SUM(S189:S192)</f>
        <v>0</v>
      </c>
      <c r="T193" s="67">
        <f t="shared" ref="T193" si="492">SUM(T189:T192)</f>
        <v>0</v>
      </c>
      <c r="U193" s="68">
        <f>SUM(U189:U192)</f>
        <v>79</v>
      </c>
      <c r="V193" s="67">
        <f t="shared" ref="V193" si="493">SUM(V189:V192)</f>
        <v>11.523000000000001</v>
      </c>
      <c r="X193" s="69"/>
    </row>
    <row r="194" spans="1:24" s="56" customFormat="1">
      <c r="A194" s="57" t="s">
        <v>13</v>
      </c>
      <c r="B194" s="57" t="s">
        <v>46</v>
      </c>
      <c r="C194" s="58">
        <v>10.7</v>
      </c>
      <c r="D194" s="59">
        <v>7.8</v>
      </c>
      <c r="E194" s="60">
        <v>27</v>
      </c>
      <c r="F194" s="61">
        <f t="shared" ref="F194:F202" si="494">(C194*D194*E194/1000)</f>
        <v>2.2534199999999998</v>
      </c>
      <c r="G194" s="62"/>
      <c r="H194" s="63"/>
      <c r="I194" s="64">
        <f t="shared" ref="I194:I202" si="495">(C194*D194*H194/1000)</f>
        <v>0</v>
      </c>
      <c r="J194" s="61"/>
      <c r="K194" s="63"/>
      <c r="L194" s="64">
        <f t="shared" ref="L194:L202" si="496">(C194*D194*K194/1000)</f>
        <v>0</v>
      </c>
      <c r="M194" s="61"/>
      <c r="N194" s="63"/>
      <c r="O194" s="64">
        <f t="shared" ref="O194:O202" si="497">(C194*D194*N194/1000)</f>
        <v>0</v>
      </c>
      <c r="P194" s="61"/>
      <c r="Q194" s="63"/>
      <c r="R194" s="64">
        <f t="shared" ref="R194:R202" si="498">(C194*D194*Q194/1000)</f>
        <v>0</v>
      </c>
      <c r="S194" s="65">
        <f t="shared" ref="S194:T200" si="499">+H194+K194+Q194+N194</f>
        <v>0</v>
      </c>
      <c r="T194" s="64">
        <f t="shared" si="499"/>
        <v>0</v>
      </c>
      <c r="U194" s="42">
        <f t="shared" ref="U194:V200" si="500">E194-S194</f>
        <v>27</v>
      </c>
      <c r="V194" s="64">
        <f t="shared" si="500"/>
        <v>2.2534199999999998</v>
      </c>
      <c r="X194" s="69"/>
    </row>
    <row r="195" spans="1:24" s="56" customFormat="1">
      <c r="A195" s="57" t="s">
        <v>13</v>
      </c>
      <c r="B195" s="57" t="s">
        <v>46</v>
      </c>
      <c r="C195" s="58">
        <v>10.7</v>
      </c>
      <c r="D195" s="59">
        <v>8.1</v>
      </c>
      <c r="E195" s="60">
        <v>56</v>
      </c>
      <c r="F195" s="61">
        <f t="shared" si="494"/>
        <v>4.8535199999999996</v>
      </c>
      <c r="G195" s="62"/>
      <c r="H195" s="63"/>
      <c r="I195" s="64">
        <f t="shared" si="495"/>
        <v>0</v>
      </c>
      <c r="J195" s="61"/>
      <c r="K195" s="63"/>
      <c r="L195" s="64">
        <f t="shared" si="496"/>
        <v>0</v>
      </c>
      <c r="M195" s="61"/>
      <c r="N195" s="63"/>
      <c r="O195" s="64">
        <f t="shared" si="497"/>
        <v>0</v>
      </c>
      <c r="P195" s="61"/>
      <c r="Q195" s="63"/>
      <c r="R195" s="64">
        <f t="shared" si="498"/>
        <v>0</v>
      </c>
      <c r="S195" s="65">
        <f t="shared" si="499"/>
        <v>0</v>
      </c>
      <c r="T195" s="64">
        <f t="shared" si="499"/>
        <v>0</v>
      </c>
      <c r="U195" s="42">
        <f t="shared" si="500"/>
        <v>56</v>
      </c>
      <c r="V195" s="64">
        <f t="shared" si="500"/>
        <v>4.8535199999999996</v>
      </c>
      <c r="X195" s="69"/>
    </row>
    <row r="196" spans="1:24" s="56" customFormat="1">
      <c r="A196" s="57" t="s">
        <v>13</v>
      </c>
      <c r="B196" s="57" t="s">
        <v>46</v>
      </c>
      <c r="C196" s="58">
        <v>10.7</v>
      </c>
      <c r="D196" s="59">
        <v>9.1</v>
      </c>
      <c r="E196" s="60">
        <v>52</v>
      </c>
      <c r="F196" s="61">
        <f t="shared" si="494"/>
        <v>5.0632399999999995</v>
      </c>
      <c r="G196" s="62"/>
      <c r="H196" s="63"/>
      <c r="I196" s="64">
        <f t="shared" si="495"/>
        <v>0</v>
      </c>
      <c r="J196" s="61"/>
      <c r="K196" s="63"/>
      <c r="L196" s="64">
        <f t="shared" si="496"/>
        <v>0</v>
      </c>
      <c r="M196" s="61"/>
      <c r="N196" s="63"/>
      <c r="O196" s="64">
        <f t="shared" si="497"/>
        <v>0</v>
      </c>
      <c r="P196" s="61"/>
      <c r="Q196" s="63"/>
      <c r="R196" s="64">
        <f t="shared" si="498"/>
        <v>0</v>
      </c>
      <c r="S196" s="65">
        <f t="shared" si="499"/>
        <v>0</v>
      </c>
      <c r="T196" s="64">
        <f t="shared" si="499"/>
        <v>0</v>
      </c>
      <c r="U196" s="42">
        <f t="shared" si="500"/>
        <v>52</v>
      </c>
      <c r="V196" s="64">
        <f t="shared" si="500"/>
        <v>5.0632399999999995</v>
      </c>
      <c r="X196" s="69"/>
    </row>
    <row r="197" spans="1:24" s="56" customFormat="1">
      <c r="A197" s="57" t="s">
        <v>13</v>
      </c>
      <c r="B197" s="57" t="s">
        <v>46</v>
      </c>
      <c r="C197" s="58">
        <v>10.7</v>
      </c>
      <c r="D197" s="59">
        <v>9.4</v>
      </c>
      <c r="E197" s="60">
        <v>86</v>
      </c>
      <c r="F197" s="61">
        <f t="shared" si="494"/>
        <v>8.6498799999999996</v>
      </c>
      <c r="G197" s="62"/>
      <c r="H197" s="63"/>
      <c r="I197" s="64">
        <f t="shared" si="495"/>
        <v>0</v>
      </c>
      <c r="J197" s="61"/>
      <c r="K197" s="63"/>
      <c r="L197" s="64">
        <f t="shared" si="496"/>
        <v>0</v>
      </c>
      <c r="M197" s="61"/>
      <c r="N197" s="63"/>
      <c r="O197" s="64">
        <f t="shared" si="497"/>
        <v>0</v>
      </c>
      <c r="P197" s="61"/>
      <c r="Q197" s="63"/>
      <c r="R197" s="64">
        <f t="shared" si="498"/>
        <v>0</v>
      </c>
      <c r="S197" s="65">
        <f t="shared" si="499"/>
        <v>0</v>
      </c>
      <c r="T197" s="64">
        <f t="shared" si="499"/>
        <v>0</v>
      </c>
      <c r="U197" s="42">
        <f t="shared" si="500"/>
        <v>86</v>
      </c>
      <c r="V197" s="64">
        <f t="shared" si="500"/>
        <v>8.6498799999999996</v>
      </c>
      <c r="X197" s="69"/>
    </row>
    <row r="198" spans="1:24" s="56" customFormat="1">
      <c r="A198" s="57" t="s">
        <v>13</v>
      </c>
      <c r="B198" s="57" t="s">
        <v>46</v>
      </c>
      <c r="C198" s="58">
        <v>10.7</v>
      </c>
      <c r="D198" s="59">
        <v>9.9</v>
      </c>
      <c r="E198" s="60">
        <v>35</v>
      </c>
      <c r="F198" s="61">
        <f t="shared" si="494"/>
        <v>3.7075499999999999</v>
      </c>
      <c r="G198" s="62"/>
      <c r="H198" s="63"/>
      <c r="I198" s="64">
        <f t="shared" si="495"/>
        <v>0</v>
      </c>
      <c r="J198" s="61"/>
      <c r="K198" s="63"/>
      <c r="L198" s="64">
        <f t="shared" si="496"/>
        <v>0</v>
      </c>
      <c r="M198" s="61"/>
      <c r="N198" s="63"/>
      <c r="O198" s="64">
        <f t="shared" si="497"/>
        <v>0</v>
      </c>
      <c r="P198" s="61"/>
      <c r="Q198" s="63"/>
      <c r="R198" s="64">
        <f t="shared" si="498"/>
        <v>0</v>
      </c>
      <c r="S198" s="65">
        <f t="shared" si="499"/>
        <v>0</v>
      </c>
      <c r="T198" s="64">
        <f t="shared" si="499"/>
        <v>0</v>
      </c>
      <c r="U198" s="42">
        <f t="shared" si="500"/>
        <v>35</v>
      </c>
      <c r="V198" s="64">
        <f t="shared" si="500"/>
        <v>3.7075499999999999</v>
      </c>
      <c r="X198" s="69"/>
    </row>
    <row r="199" spans="1:24" s="56" customFormat="1">
      <c r="A199" s="57" t="s">
        <v>13</v>
      </c>
      <c r="B199" s="57" t="s">
        <v>46</v>
      </c>
      <c r="C199" s="58">
        <v>10.7</v>
      </c>
      <c r="D199" s="59">
        <v>10.3</v>
      </c>
      <c r="E199" s="60">
        <v>64</v>
      </c>
      <c r="F199" s="61">
        <f t="shared" si="494"/>
        <v>7.0534399999999993</v>
      </c>
      <c r="G199" s="62"/>
      <c r="H199" s="63"/>
      <c r="I199" s="64">
        <f t="shared" si="495"/>
        <v>0</v>
      </c>
      <c r="J199" s="61"/>
      <c r="K199" s="63"/>
      <c r="L199" s="64">
        <f t="shared" si="496"/>
        <v>0</v>
      </c>
      <c r="M199" s="61"/>
      <c r="N199" s="63"/>
      <c r="O199" s="64">
        <f t="shared" si="497"/>
        <v>0</v>
      </c>
      <c r="P199" s="61"/>
      <c r="Q199" s="63"/>
      <c r="R199" s="64">
        <f t="shared" si="498"/>
        <v>0</v>
      </c>
      <c r="S199" s="65">
        <f t="shared" si="499"/>
        <v>0</v>
      </c>
      <c r="T199" s="64">
        <f t="shared" si="499"/>
        <v>0</v>
      </c>
      <c r="U199" s="42">
        <f t="shared" si="500"/>
        <v>64</v>
      </c>
      <c r="V199" s="64">
        <f t="shared" si="500"/>
        <v>7.0534399999999993</v>
      </c>
      <c r="X199" s="69"/>
    </row>
    <row r="200" spans="1:24" s="56" customFormat="1">
      <c r="A200" s="57" t="s">
        <v>13</v>
      </c>
      <c r="B200" s="57" t="s">
        <v>46</v>
      </c>
      <c r="C200" s="58">
        <v>10.7</v>
      </c>
      <c r="D200" s="59">
        <v>10.5</v>
      </c>
      <c r="E200" s="60">
        <v>7</v>
      </c>
      <c r="F200" s="61">
        <f t="shared" si="494"/>
        <v>0.78644999999999998</v>
      </c>
      <c r="G200" s="62"/>
      <c r="H200" s="63"/>
      <c r="I200" s="64">
        <f t="shared" si="495"/>
        <v>0</v>
      </c>
      <c r="J200" s="61"/>
      <c r="K200" s="63"/>
      <c r="L200" s="64">
        <f t="shared" si="496"/>
        <v>0</v>
      </c>
      <c r="M200" s="61"/>
      <c r="N200" s="63"/>
      <c r="O200" s="64">
        <f t="shared" si="497"/>
        <v>0</v>
      </c>
      <c r="P200" s="61"/>
      <c r="Q200" s="63"/>
      <c r="R200" s="64">
        <f t="shared" si="498"/>
        <v>0</v>
      </c>
      <c r="S200" s="65">
        <f t="shared" si="499"/>
        <v>0</v>
      </c>
      <c r="T200" s="64">
        <f t="shared" si="499"/>
        <v>0</v>
      </c>
      <c r="U200" s="42">
        <f t="shared" si="500"/>
        <v>7</v>
      </c>
      <c r="V200" s="64">
        <f t="shared" si="500"/>
        <v>0.78644999999999998</v>
      </c>
      <c r="X200" s="69"/>
    </row>
    <row r="201" spans="1:24" s="56" customFormat="1">
      <c r="A201" s="57" t="s">
        <v>13</v>
      </c>
      <c r="B201" s="57" t="s">
        <v>46</v>
      </c>
      <c r="C201" s="58">
        <v>10.7</v>
      </c>
      <c r="D201" s="59">
        <v>11</v>
      </c>
      <c r="E201" s="60">
        <v>54</v>
      </c>
      <c r="F201" s="61">
        <f t="shared" si="494"/>
        <v>6.3557999999999995</v>
      </c>
      <c r="G201" s="62"/>
      <c r="H201" s="63"/>
      <c r="I201" s="64">
        <f t="shared" si="495"/>
        <v>0</v>
      </c>
      <c r="J201" s="61"/>
      <c r="K201" s="63"/>
      <c r="L201" s="64">
        <f t="shared" si="496"/>
        <v>0</v>
      </c>
      <c r="M201" s="61"/>
      <c r="N201" s="63"/>
      <c r="O201" s="64">
        <f t="shared" si="497"/>
        <v>0</v>
      </c>
      <c r="P201" s="61"/>
      <c r="Q201" s="63"/>
      <c r="R201" s="64">
        <f t="shared" si="498"/>
        <v>0</v>
      </c>
      <c r="S201" s="65">
        <f t="shared" ref="S201:S202" si="501">+H201+K201+Q201+N201</f>
        <v>0</v>
      </c>
      <c r="T201" s="64">
        <f t="shared" ref="T201:T202" si="502">+I201+L201+R201+O201</f>
        <v>0</v>
      </c>
      <c r="U201" s="42">
        <f t="shared" ref="U201:U202" si="503">E201-S201</f>
        <v>54</v>
      </c>
      <c r="V201" s="64">
        <f t="shared" ref="V201:V202" si="504">F201-T201</f>
        <v>6.3557999999999995</v>
      </c>
      <c r="X201" s="69"/>
    </row>
    <row r="202" spans="1:24" s="56" customFormat="1">
      <c r="A202" s="57" t="s">
        <v>13</v>
      </c>
      <c r="B202" s="57" t="s">
        <v>46</v>
      </c>
      <c r="C202" s="58">
        <v>10.7</v>
      </c>
      <c r="D202" s="59">
        <v>12</v>
      </c>
      <c r="E202" s="60">
        <v>29</v>
      </c>
      <c r="F202" s="61">
        <f t="shared" si="494"/>
        <v>3.7235999999999994</v>
      </c>
      <c r="G202" s="62"/>
      <c r="H202" s="63"/>
      <c r="I202" s="64">
        <f t="shared" si="495"/>
        <v>0</v>
      </c>
      <c r="J202" s="61"/>
      <c r="K202" s="63"/>
      <c r="L202" s="64">
        <f t="shared" si="496"/>
        <v>0</v>
      </c>
      <c r="M202" s="61"/>
      <c r="N202" s="63"/>
      <c r="O202" s="64">
        <f t="shared" si="497"/>
        <v>0</v>
      </c>
      <c r="P202" s="61"/>
      <c r="Q202" s="63"/>
      <c r="R202" s="64">
        <f t="shared" si="498"/>
        <v>0</v>
      </c>
      <c r="S202" s="65">
        <f t="shared" si="501"/>
        <v>0</v>
      </c>
      <c r="T202" s="64">
        <f t="shared" si="502"/>
        <v>0</v>
      </c>
      <c r="U202" s="42">
        <f t="shared" si="503"/>
        <v>29</v>
      </c>
      <c r="V202" s="64">
        <f t="shared" si="504"/>
        <v>3.7235999999999994</v>
      </c>
      <c r="X202" s="69"/>
    </row>
    <row r="203" spans="1:24" s="56" customFormat="1">
      <c r="A203" s="41"/>
      <c r="B203" s="41"/>
      <c r="C203" s="66"/>
      <c r="D203" s="67"/>
      <c r="E203" s="68">
        <f>SUM(E194:E202)</f>
        <v>410</v>
      </c>
      <c r="F203" s="67">
        <f t="shared" ref="F203" si="505">SUM(F194:F202)</f>
        <v>42.446899999999999</v>
      </c>
      <c r="G203" s="62"/>
      <c r="H203" s="68">
        <f>SUM(H194:H202)</f>
        <v>0</v>
      </c>
      <c r="I203" s="67">
        <f t="shared" ref="I203" si="506">SUM(I194:I202)</f>
        <v>0</v>
      </c>
      <c r="J203" s="61"/>
      <c r="K203" s="68">
        <f>SUM(K194:K202)</f>
        <v>0</v>
      </c>
      <c r="L203" s="67">
        <f t="shared" ref="L203" si="507">SUM(L194:L202)</f>
        <v>0</v>
      </c>
      <c r="M203" s="61"/>
      <c r="N203" s="68">
        <f>SUM(N194:N202)</f>
        <v>0</v>
      </c>
      <c r="O203" s="67">
        <f t="shared" ref="O203" si="508">SUM(O194:O202)</f>
        <v>0</v>
      </c>
      <c r="P203" s="61"/>
      <c r="Q203" s="68">
        <f>SUM(Q194:Q202)</f>
        <v>0</v>
      </c>
      <c r="R203" s="67">
        <f t="shared" ref="R203" si="509">SUM(R194:R202)</f>
        <v>0</v>
      </c>
      <c r="S203" s="68">
        <f>SUM(S194:S202)</f>
        <v>0</v>
      </c>
      <c r="T203" s="67">
        <f t="shared" ref="T203" si="510">SUM(T194:T202)</f>
        <v>0</v>
      </c>
      <c r="U203" s="68">
        <f>SUM(U194:U202)</f>
        <v>410</v>
      </c>
      <c r="V203" s="67">
        <f t="shared" ref="V203" si="511">SUM(V194:V202)</f>
        <v>42.446899999999999</v>
      </c>
      <c r="X203" s="69"/>
    </row>
    <row r="214" spans="18:18">
      <c r="R214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7"/>
  <dimension ref="A1:X49"/>
  <sheetViews>
    <sheetView zoomScale="75" zoomScaleNormal="75" workbookViewId="0">
      <pane ySplit="5" topLeftCell="A6" activePane="bottomLeft" state="frozen"/>
      <selection pane="bottomLeft" activeCell="U20" sqref="U20:V2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226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LOI-496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228</v>
      </c>
      <c r="B2" s="8"/>
      <c r="C2" s="9"/>
      <c r="D2" s="9"/>
      <c r="E2" s="10"/>
      <c r="F2" s="146" t="s">
        <v>248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LOI-496  03.07.23</v>
      </c>
      <c r="V2" s="146"/>
    </row>
    <row r="3" spans="1:24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18</v>
      </c>
      <c r="C6" s="30">
        <v>16.600000000000001</v>
      </c>
      <c r="D6" s="30">
        <v>12</v>
      </c>
      <c r="E6" s="28">
        <v>1</v>
      </c>
      <c r="F6" s="16">
        <f>(C6*D6*E6/1000)</f>
        <v>0.19920000000000002</v>
      </c>
      <c r="G6" s="16" t="s">
        <v>295</v>
      </c>
      <c r="H6" s="18">
        <v>1</v>
      </c>
      <c r="I6" s="19">
        <f>(C6*D6*H6/1000)</f>
        <v>0.19920000000000002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</v>
      </c>
      <c r="T6" s="19">
        <f>+I6+L6+R6+O6</f>
        <v>0.19920000000000002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7"/>
      <c r="E7" s="31">
        <f t="shared" ref="E7:F7" si="0">SUM(E6)</f>
        <v>1</v>
      </c>
      <c r="F7" s="38">
        <f t="shared" si="0"/>
        <v>0.19920000000000002</v>
      </c>
      <c r="G7" s="16" t="s">
        <v>300</v>
      </c>
      <c r="H7" s="31">
        <f t="shared" ref="H7" si="1">SUM(H6)</f>
        <v>1</v>
      </c>
      <c r="I7" s="38">
        <f t="shared" ref="I7" si="2">SUM(I6)</f>
        <v>0.19920000000000002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1</v>
      </c>
      <c r="T7" s="38">
        <f t="shared" ref="T7" si="10">SUM(T6)</f>
        <v>0.19920000000000002</v>
      </c>
      <c r="U7" s="31">
        <f t="shared" ref="U7" si="11">SUM(U6)</f>
        <v>0</v>
      </c>
      <c r="V7" s="38">
        <f t="shared" ref="V7" si="12">SUM(V6)</f>
        <v>0</v>
      </c>
      <c r="X7" s="29"/>
    </row>
    <row r="8" spans="1:24">
      <c r="A8" s="26" t="s">
        <v>13</v>
      </c>
      <c r="B8" s="26" t="s">
        <v>31</v>
      </c>
      <c r="C8" s="30">
        <v>10.199999999999999</v>
      </c>
      <c r="D8" s="30">
        <v>10.5</v>
      </c>
      <c r="E8" s="28">
        <v>3</v>
      </c>
      <c r="F8" s="16">
        <f>(C8*D8*E8/1000)</f>
        <v>0.32129999999999997</v>
      </c>
      <c r="G8" s="17" t="s">
        <v>298</v>
      </c>
      <c r="H8" s="18">
        <v>1</v>
      </c>
      <c r="I8" s="19">
        <f>(C8*D8*H8/1000)</f>
        <v>0.1071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1</v>
      </c>
      <c r="T8" s="19">
        <f>+I8+L8+R8+O8</f>
        <v>0.1071</v>
      </c>
      <c r="U8" s="21">
        <f>E8-S8</f>
        <v>2</v>
      </c>
      <c r="V8" s="19">
        <f>F8-T8</f>
        <v>0.21419999999999997</v>
      </c>
      <c r="X8" s="29"/>
    </row>
    <row r="9" spans="1:24">
      <c r="A9" s="26" t="s">
        <v>13</v>
      </c>
      <c r="B9" s="26" t="s">
        <v>31</v>
      </c>
      <c r="C9" s="30">
        <v>10.199999999999999</v>
      </c>
      <c r="D9" s="30">
        <v>10.6</v>
      </c>
      <c r="E9" s="28"/>
      <c r="F9" s="16">
        <f>(C9*D9*E9/1000)</f>
        <v>0</v>
      </c>
      <c r="G9" s="17" t="s">
        <v>297</v>
      </c>
      <c r="H9" s="18">
        <v>2</v>
      </c>
      <c r="I9" s="19">
        <f>(C9*D9*H9/1000)</f>
        <v>0.21623999999999999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2</v>
      </c>
      <c r="T9" s="19">
        <f>+I9+L9+R9+O9</f>
        <v>0.21623999999999999</v>
      </c>
      <c r="U9" s="21">
        <f>E9-S9</f>
        <v>-2</v>
      </c>
      <c r="V9" s="19">
        <f>F9-T9</f>
        <v>-0.21623999999999999</v>
      </c>
      <c r="X9" s="29"/>
    </row>
    <row r="10" spans="1:24">
      <c r="A10" s="36"/>
      <c r="B10" s="36"/>
      <c r="C10" s="37"/>
      <c r="D10" s="37"/>
      <c r="E10" s="31">
        <f t="shared" ref="E10:F10" si="13">SUM(E8:E9)</f>
        <v>3</v>
      </c>
      <c r="F10" s="38">
        <f t="shared" si="13"/>
        <v>0.32129999999999997</v>
      </c>
      <c r="G10" s="17"/>
      <c r="H10" s="31">
        <f>SUM(H8:H9)</f>
        <v>3</v>
      </c>
      <c r="I10" s="38">
        <f t="shared" ref="I10" si="14">SUM(I8:I9)</f>
        <v>0.32333999999999996</v>
      </c>
      <c r="J10" s="16"/>
      <c r="K10" s="31">
        <f>SUM(K8:K9)</f>
        <v>0</v>
      </c>
      <c r="L10" s="38">
        <f t="shared" ref="L10" si="15">SUM(L8:L9)</f>
        <v>0</v>
      </c>
      <c r="M10" s="16"/>
      <c r="N10" s="31">
        <f>SUM(N8:N9)</f>
        <v>0</v>
      </c>
      <c r="O10" s="38">
        <f t="shared" ref="O10" si="16">SUM(O8:O9)</f>
        <v>0</v>
      </c>
      <c r="P10" s="16"/>
      <c r="Q10" s="31">
        <f>SUM(Q8:Q9)</f>
        <v>0</v>
      </c>
      <c r="R10" s="38">
        <f t="shared" ref="R10" si="17">SUM(R8:R9)</f>
        <v>0</v>
      </c>
      <c r="S10" s="31">
        <f>SUM(S8:S9)</f>
        <v>3</v>
      </c>
      <c r="T10" s="38">
        <f t="shared" ref="T10" si="18">SUM(T8:T9)</f>
        <v>0.32333999999999996</v>
      </c>
      <c r="U10" s="31">
        <f>SUM(U8:U9)</f>
        <v>0</v>
      </c>
      <c r="V10" s="38">
        <f t="shared" ref="V10" si="19">SUM(V8:V9)</f>
        <v>-2.040000000000014E-3</v>
      </c>
      <c r="X10" s="29"/>
    </row>
    <row r="11" spans="1:24">
      <c r="A11" s="26" t="s">
        <v>13</v>
      </c>
      <c r="B11" s="26" t="s">
        <v>32</v>
      </c>
      <c r="C11" s="30">
        <v>11.8</v>
      </c>
      <c r="D11" s="30">
        <v>12</v>
      </c>
      <c r="E11" s="28">
        <v>16</v>
      </c>
      <c r="F11" s="16">
        <f>(C11*D11*E11/1000)</f>
        <v>2.2656000000000005</v>
      </c>
      <c r="G11" s="17" t="s">
        <v>295</v>
      </c>
      <c r="H11" s="18">
        <v>16</v>
      </c>
      <c r="I11" s="19">
        <f>(C11*D11*H11/1000)</f>
        <v>2.2656000000000005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16</v>
      </c>
      <c r="T11" s="19">
        <f>+I11+L11+R11+O11</f>
        <v>2.2656000000000005</v>
      </c>
      <c r="U11" s="21">
        <f>E11-S11</f>
        <v>0</v>
      </c>
      <c r="V11" s="19">
        <f>F11-T11</f>
        <v>0</v>
      </c>
      <c r="X11" s="29"/>
    </row>
    <row r="12" spans="1:24">
      <c r="A12" s="36"/>
      <c r="B12" s="36"/>
      <c r="C12" s="37"/>
      <c r="D12" s="37"/>
      <c r="E12" s="31">
        <f t="shared" ref="E12:F12" si="20">SUM(E11)</f>
        <v>16</v>
      </c>
      <c r="F12" s="38">
        <f t="shared" si="20"/>
        <v>2.2656000000000005</v>
      </c>
      <c r="G12" s="17" t="s">
        <v>296</v>
      </c>
      <c r="H12" s="31">
        <f t="shared" ref="H12" si="21">SUM(H11)</f>
        <v>16</v>
      </c>
      <c r="I12" s="38">
        <f t="shared" ref="I12" si="22">SUM(I11)</f>
        <v>2.2656000000000005</v>
      </c>
      <c r="J12" s="16"/>
      <c r="K12" s="31">
        <f t="shared" ref="K12" si="23">SUM(K11)</f>
        <v>0</v>
      </c>
      <c r="L12" s="38">
        <f t="shared" ref="L12" si="24">SUM(L11)</f>
        <v>0</v>
      </c>
      <c r="M12" s="16"/>
      <c r="N12" s="31">
        <f t="shared" ref="N12" si="25">SUM(N11)</f>
        <v>0</v>
      </c>
      <c r="O12" s="38">
        <f t="shared" ref="O12" si="26">SUM(O11)</f>
        <v>0</v>
      </c>
      <c r="P12" s="16"/>
      <c r="Q12" s="31">
        <f t="shared" ref="Q12" si="27">SUM(Q11)</f>
        <v>0</v>
      </c>
      <c r="R12" s="38">
        <f t="shared" ref="R12" si="28">SUM(R11)</f>
        <v>0</v>
      </c>
      <c r="S12" s="31">
        <f t="shared" ref="S12" si="29">SUM(S11)</f>
        <v>16</v>
      </c>
      <c r="T12" s="38">
        <f t="shared" ref="T12" si="30">SUM(T11)</f>
        <v>2.2656000000000005</v>
      </c>
      <c r="U12" s="31">
        <f t="shared" ref="U12" si="31">SUM(U11)</f>
        <v>0</v>
      </c>
      <c r="V12" s="38">
        <f t="shared" ref="V12" si="32">SUM(V11)</f>
        <v>0</v>
      </c>
      <c r="X12" s="29"/>
    </row>
    <row r="13" spans="1:24">
      <c r="A13" s="26" t="s">
        <v>13</v>
      </c>
      <c r="B13" s="26" t="s">
        <v>49</v>
      </c>
      <c r="C13" s="30">
        <v>14.7</v>
      </c>
      <c r="D13" s="30">
        <v>10</v>
      </c>
      <c r="E13" s="28">
        <v>7</v>
      </c>
      <c r="F13" s="16">
        <f>(C13*D13*E13/1000)</f>
        <v>1.0289999999999999</v>
      </c>
      <c r="G13" s="16" t="s">
        <v>295</v>
      </c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0</v>
      </c>
      <c r="T13" s="19">
        <f>+I13+L13+R13+O13</f>
        <v>0</v>
      </c>
      <c r="U13" s="21">
        <f>E13-S13</f>
        <v>7</v>
      </c>
      <c r="V13" s="19">
        <f>F13-T13</f>
        <v>1.0289999999999999</v>
      </c>
      <c r="X13" s="29"/>
    </row>
    <row r="14" spans="1:24">
      <c r="A14" s="26" t="s">
        <v>13</v>
      </c>
      <c r="B14" s="26" t="s">
        <v>49</v>
      </c>
      <c r="C14" s="30">
        <v>14.7</v>
      </c>
      <c r="D14" s="30">
        <v>11.7</v>
      </c>
      <c r="E14" s="28"/>
      <c r="F14" s="16">
        <f t="shared" ref="F14:F19" si="33">(C14*D14*E14/1000)</f>
        <v>0</v>
      </c>
      <c r="G14" s="16" t="s">
        <v>300</v>
      </c>
      <c r="H14" s="18">
        <v>1</v>
      </c>
      <c r="I14" s="19">
        <f t="shared" ref="I14:I19" si="34">(C14*D14*H14/1000)</f>
        <v>0.17198999999999998</v>
      </c>
      <c r="J14" s="16"/>
      <c r="K14" s="18"/>
      <c r="L14" s="19">
        <f t="shared" ref="L14:L19" si="35">(C14*D14*K14/1000)</f>
        <v>0</v>
      </c>
      <c r="M14" s="16"/>
      <c r="N14" s="18"/>
      <c r="O14" s="19">
        <f t="shared" ref="O14:O19" si="36">(C14*D14*N14/1000)</f>
        <v>0</v>
      </c>
      <c r="P14" s="16"/>
      <c r="Q14" s="18"/>
      <c r="R14" s="19">
        <f t="shared" ref="R14:R19" si="37">(C14*D14*Q14/1000)</f>
        <v>0</v>
      </c>
      <c r="S14" s="20">
        <f t="shared" ref="S14:S19" si="38">+H14+K14+Q14+N14</f>
        <v>1</v>
      </c>
      <c r="T14" s="19">
        <f t="shared" ref="T14:T19" si="39">+I14+L14+R14+O14</f>
        <v>0.17198999999999998</v>
      </c>
      <c r="U14" s="21">
        <f t="shared" ref="U14:U19" si="40">E14-S14</f>
        <v>-1</v>
      </c>
      <c r="V14" s="19">
        <f t="shared" ref="V14:V19" si="41">F14-T14</f>
        <v>-0.17198999999999998</v>
      </c>
      <c r="X14" s="29"/>
    </row>
    <row r="15" spans="1:24">
      <c r="A15" s="26" t="s">
        <v>13</v>
      </c>
      <c r="B15" s="26" t="s">
        <v>49</v>
      </c>
      <c r="C15" s="30">
        <v>14.7</v>
      </c>
      <c r="D15" s="30">
        <v>12</v>
      </c>
      <c r="E15" s="28"/>
      <c r="F15" s="16">
        <f t="shared" si="33"/>
        <v>0</v>
      </c>
      <c r="G15" s="16"/>
      <c r="H15" s="18">
        <v>3</v>
      </c>
      <c r="I15" s="19">
        <f t="shared" si="34"/>
        <v>0.52919999999999989</v>
      </c>
      <c r="J15" s="16"/>
      <c r="K15" s="18"/>
      <c r="L15" s="19">
        <f t="shared" si="35"/>
        <v>0</v>
      </c>
      <c r="M15" s="16"/>
      <c r="N15" s="18"/>
      <c r="O15" s="19">
        <f t="shared" si="36"/>
        <v>0</v>
      </c>
      <c r="P15" s="16"/>
      <c r="Q15" s="18"/>
      <c r="R15" s="19">
        <f t="shared" si="37"/>
        <v>0</v>
      </c>
      <c r="S15" s="20">
        <f t="shared" si="38"/>
        <v>3</v>
      </c>
      <c r="T15" s="19">
        <f t="shared" si="39"/>
        <v>0.52919999999999989</v>
      </c>
      <c r="U15" s="21">
        <f t="shared" si="40"/>
        <v>-3</v>
      </c>
      <c r="V15" s="19">
        <f t="shared" si="41"/>
        <v>-0.52919999999999989</v>
      </c>
      <c r="X15" s="29"/>
    </row>
    <row r="16" spans="1:24">
      <c r="A16" s="26" t="s">
        <v>13</v>
      </c>
      <c r="B16" s="26" t="s">
        <v>49</v>
      </c>
      <c r="C16" s="30">
        <v>14.7</v>
      </c>
      <c r="D16" s="30">
        <v>11</v>
      </c>
      <c r="E16" s="28"/>
      <c r="F16" s="16">
        <f t="shared" si="33"/>
        <v>0</v>
      </c>
      <c r="G16" s="16"/>
      <c r="H16" s="18">
        <v>1</v>
      </c>
      <c r="I16" s="19">
        <f t="shared" si="34"/>
        <v>0.16169999999999998</v>
      </c>
      <c r="J16" s="16"/>
      <c r="K16" s="18"/>
      <c r="L16" s="19">
        <f t="shared" si="35"/>
        <v>0</v>
      </c>
      <c r="M16" s="16"/>
      <c r="N16" s="18"/>
      <c r="O16" s="19">
        <f t="shared" si="36"/>
        <v>0</v>
      </c>
      <c r="P16" s="16"/>
      <c r="Q16" s="18"/>
      <c r="R16" s="19">
        <f t="shared" si="37"/>
        <v>0</v>
      </c>
      <c r="S16" s="20">
        <f t="shared" si="38"/>
        <v>1</v>
      </c>
      <c r="T16" s="19">
        <f t="shared" si="39"/>
        <v>0.16169999999999998</v>
      </c>
      <c r="U16" s="21">
        <f t="shared" si="40"/>
        <v>-1</v>
      </c>
      <c r="V16" s="19">
        <f t="shared" si="41"/>
        <v>-0.16169999999999998</v>
      </c>
      <c r="X16" s="29"/>
    </row>
    <row r="17" spans="1:24">
      <c r="A17" s="26" t="s">
        <v>13</v>
      </c>
      <c r="B17" s="26" t="s">
        <v>49</v>
      </c>
      <c r="C17" s="30">
        <v>14.7</v>
      </c>
      <c r="D17" s="30">
        <v>11.2</v>
      </c>
      <c r="E17" s="28"/>
      <c r="F17" s="16">
        <f t="shared" si="33"/>
        <v>0</v>
      </c>
      <c r="G17" s="16"/>
      <c r="H17" s="18">
        <v>1</v>
      </c>
      <c r="I17" s="19">
        <f t="shared" si="34"/>
        <v>0.16463999999999998</v>
      </c>
      <c r="J17" s="16"/>
      <c r="K17" s="18"/>
      <c r="L17" s="19">
        <f t="shared" si="35"/>
        <v>0</v>
      </c>
      <c r="M17" s="16"/>
      <c r="N17" s="18"/>
      <c r="O17" s="19">
        <f t="shared" si="36"/>
        <v>0</v>
      </c>
      <c r="P17" s="16"/>
      <c r="Q17" s="18"/>
      <c r="R17" s="19">
        <f t="shared" si="37"/>
        <v>0</v>
      </c>
      <c r="S17" s="20">
        <f t="shared" si="38"/>
        <v>1</v>
      </c>
      <c r="T17" s="19">
        <f t="shared" si="39"/>
        <v>0.16463999999999998</v>
      </c>
      <c r="U17" s="21">
        <f t="shared" si="40"/>
        <v>-1</v>
      </c>
      <c r="V17" s="19">
        <f t="shared" si="41"/>
        <v>-0.16463999999999998</v>
      </c>
      <c r="X17" s="29"/>
    </row>
    <row r="18" spans="1:24">
      <c r="A18" s="26" t="s">
        <v>13</v>
      </c>
      <c r="B18" s="26" t="s">
        <v>49</v>
      </c>
      <c r="C18" s="30">
        <v>14.7</v>
      </c>
      <c r="D18" s="30">
        <v>10.7</v>
      </c>
      <c r="E18" s="28"/>
      <c r="F18" s="16">
        <f t="shared" si="33"/>
        <v>0</v>
      </c>
      <c r="G18" s="16"/>
      <c r="H18" s="18">
        <v>1</v>
      </c>
      <c r="I18" s="19">
        <f t="shared" si="34"/>
        <v>0.15728999999999999</v>
      </c>
      <c r="J18" s="16"/>
      <c r="K18" s="18"/>
      <c r="L18" s="19">
        <f t="shared" si="35"/>
        <v>0</v>
      </c>
      <c r="M18" s="16"/>
      <c r="N18" s="18"/>
      <c r="O18" s="19">
        <f t="shared" si="36"/>
        <v>0</v>
      </c>
      <c r="P18" s="16"/>
      <c r="Q18" s="18"/>
      <c r="R18" s="19">
        <f t="shared" si="37"/>
        <v>0</v>
      </c>
      <c r="S18" s="20">
        <f t="shared" si="38"/>
        <v>1</v>
      </c>
      <c r="T18" s="19">
        <f t="shared" si="39"/>
        <v>0.15728999999999999</v>
      </c>
      <c r="U18" s="21">
        <f t="shared" si="40"/>
        <v>-1</v>
      </c>
      <c r="V18" s="19">
        <f t="shared" si="41"/>
        <v>-0.15728999999999999</v>
      </c>
      <c r="X18" s="29"/>
    </row>
    <row r="19" spans="1:24">
      <c r="A19" s="26" t="s">
        <v>13</v>
      </c>
      <c r="B19" s="26" t="s">
        <v>49</v>
      </c>
      <c r="C19" s="30">
        <v>14.7</v>
      </c>
      <c r="D19" s="30"/>
      <c r="E19" s="28"/>
      <c r="F19" s="16">
        <f t="shared" si="33"/>
        <v>0</v>
      </c>
      <c r="G19" s="16"/>
      <c r="H19" s="18"/>
      <c r="I19" s="19">
        <f t="shared" si="34"/>
        <v>0</v>
      </c>
      <c r="J19" s="16"/>
      <c r="K19" s="18"/>
      <c r="L19" s="19">
        <f t="shared" si="35"/>
        <v>0</v>
      </c>
      <c r="M19" s="16"/>
      <c r="N19" s="18"/>
      <c r="O19" s="19">
        <f t="shared" si="36"/>
        <v>0</v>
      </c>
      <c r="P19" s="16"/>
      <c r="Q19" s="18"/>
      <c r="R19" s="19">
        <f t="shared" si="37"/>
        <v>0</v>
      </c>
      <c r="S19" s="20">
        <f t="shared" si="38"/>
        <v>0</v>
      </c>
      <c r="T19" s="19">
        <f t="shared" si="39"/>
        <v>0</v>
      </c>
      <c r="U19" s="21">
        <f t="shared" si="40"/>
        <v>0</v>
      </c>
      <c r="V19" s="19">
        <f t="shared" si="41"/>
        <v>0</v>
      </c>
      <c r="X19" s="29"/>
    </row>
    <row r="20" spans="1:24">
      <c r="A20" s="36"/>
      <c r="B20" s="36"/>
      <c r="C20" s="37"/>
      <c r="D20" s="37"/>
      <c r="E20" s="31">
        <f t="shared" ref="E20:F20" si="42">SUM(E13:E19)</f>
        <v>7</v>
      </c>
      <c r="F20" s="38">
        <f t="shared" si="42"/>
        <v>1.0289999999999999</v>
      </c>
      <c r="G20" s="16"/>
      <c r="H20" s="31">
        <f t="shared" ref="H20" si="43">SUM(H13:H19)</f>
        <v>7</v>
      </c>
      <c r="I20" s="38">
        <f t="shared" ref="I20" si="44">SUM(I13:I19)</f>
        <v>1.1848199999999998</v>
      </c>
      <c r="J20" s="16"/>
      <c r="K20" s="31">
        <f t="shared" ref="K20" si="45">SUM(K13:K19)</f>
        <v>0</v>
      </c>
      <c r="L20" s="38">
        <f t="shared" ref="L20" si="46">SUM(L13:L19)</f>
        <v>0</v>
      </c>
      <c r="M20" s="16"/>
      <c r="N20" s="31">
        <f t="shared" ref="N20" si="47">SUM(N13:N19)</f>
        <v>0</v>
      </c>
      <c r="O20" s="38">
        <f t="shared" ref="O20" si="48">SUM(O13:O19)</f>
        <v>0</v>
      </c>
      <c r="P20" s="16"/>
      <c r="Q20" s="31">
        <f t="shared" ref="Q20" si="49">SUM(Q13:Q19)</f>
        <v>0</v>
      </c>
      <c r="R20" s="38">
        <f t="shared" ref="R20" si="50">SUM(R13:R19)</f>
        <v>0</v>
      </c>
      <c r="S20" s="31">
        <f t="shared" ref="S20" si="51">SUM(S13:S19)</f>
        <v>7</v>
      </c>
      <c r="T20" s="38">
        <f t="shared" ref="T20" si="52">SUM(T13:T19)</f>
        <v>1.1848199999999998</v>
      </c>
      <c r="U20" s="31">
        <f t="shared" ref="U20" si="53">SUM(U13:U19)</f>
        <v>0</v>
      </c>
      <c r="V20" s="38">
        <f t="shared" ref="V20" si="54">SUM(V13:V19)</f>
        <v>-0.1558199999999999</v>
      </c>
      <c r="X20" s="29"/>
    </row>
    <row r="21" spans="1:24">
      <c r="A21" s="26" t="s">
        <v>13</v>
      </c>
      <c r="B21" s="26" t="s">
        <v>50</v>
      </c>
      <c r="C21" s="30">
        <v>16.5</v>
      </c>
      <c r="D21" s="30">
        <v>9.65</v>
      </c>
      <c r="E21" s="28">
        <v>3</v>
      </c>
      <c r="F21" s="16">
        <f>(C21*D21*E21/1000)</f>
        <v>0.47767499999999996</v>
      </c>
      <c r="G21" s="16" t="s">
        <v>295</v>
      </c>
      <c r="H21" s="18"/>
      <c r="I21" s="19">
        <f>(C21*D21*H21/1000)</f>
        <v>0</v>
      </c>
      <c r="J21" s="16"/>
      <c r="K21" s="18"/>
      <c r="L21" s="19">
        <f>(C21*D21*K21/1000)</f>
        <v>0</v>
      </c>
      <c r="M21" s="16"/>
      <c r="N21" s="18"/>
      <c r="O21" s="19">
        <f>(C21*D21*N21/1000)</f>
        <v>0</v>
      </c>
      <c r="P21" s="16"/>
      <c r="Q21" s="18"/>
      <c r="R21" s="19">
        <f>(C21*D21*Q21/1000)</f>
        <v>0</v>
      </c>
      <c r="S21" s="20">
        <f>+H21+K21+Q21+N21</f>
        <v>0</v>
      </c>
      <c r="T21" s="19">
        <f>+I21+L21+R21+O21</f>
        <v>0</v>
      </c>
      <c r="U21" s="21">
        <f>E21-S21</f>
        <v>3</v>
      </c>
      <c r="V21" s="19">
        <f>F21-T21</f>
        <v>0.47767499999999996</v>
      </c>
      <c r="X21" s="29"/>
    </row>
    <row r="22" spans="1:24">
      <c r="A22" s="26" t="s">
        <v>13</v>
      </c>
      <c r="B22" s="26" t="s">
        <v>50</v>
      </c>
      <c r="C22" s="30">
        <v>16.5</v>
      </c>
      <c r="D22" s="30">
        <v>11</v>
      </c>
      <c r="E22" s="28"/>
      <c r="F22" s="16">
        <f>(C22*D22*E22/1000)</f>
        <v>0</v>
      </c>
      <c r="G22" s="16" t="s">
        <v>300</v>
      </c>
      <c r="H22" s="18">
        <v>3</v>
      </c>
      <c r="I22" s="19">
        <f>(C22*D22*H22/1000)</f>
        <v>0.54449999999999998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3</v>
      </c>
      <c r="T22" s="19">
        <f>+I22+L22+R22+O22</f>
        <v>0.54449999999999998</v>
      </c>
      <c r="U22" s="21">
        <f>E22-S22</f>
        <v>-3</v>
      </c>
      <c r="V22" s="19">
        <f>F22-T22</f>
        <v>-0.54449999999999998</v>
      </c>
      <c r="X22" s="29"/>
    </row>
    <row r="23" spans="1:24">
      <c r="A23" s="36"/>
      <c r="B23" s="36"/>
      <c r="C23" s="37"/>
      <c r="D23" s="37"/>
      <c r="E23" s="31">
        <f t="shared" ref="E23:F23" si="55">SUM(E21:E22)</f>
        <v>3</v>
      </c>
      <c r="F23" s="38">
        <f t="shared" si="55"/>
        <v>0.47767499999999996</v>
      </c>
      <c r="G23" s="16"/>
      <c r="H23" s="31">
        <f t="shared" ref="H23" si="56">SUM(H21:H22)</f>
        <v>3</v>
      </c>
      <c r="I23" s="38">
        <f t="shared" ref="I23" si="57">SUM(I21:I22)</f>
        <v>0.54449999999999998</v>
      </c>
      <c r="J23" s="16"/>
      <c r="K23" s="31">
        <f t="shared" ref="K23" si="58">SUM(K21:K22)</f>
        <v>0</v>
      </c>
      <c r="L23" s="38">
        <f t="shared" ref="L23" si="59">SUM(L21:L22)</f>
        <v>0</v>
      </c>
      <c r="M23" s="16"/>
      <c r="N23" s="31">
        <f t="shared" ref="N23" si="60">SUM(N21:N22)</f>
        <v>0</v>
      </c>
      <c r="O23" s="38">
        <f t="shared" ref="O23" si="61">SUM(O21:O22)</f>
        <v>0</v>
      </c>
      <c r="P23" s="16"/>
      <c r="Q23" s="31">
        <f t="shared" ref="Q23" si="62">SUM(Q21:Q22)</f>
        <v>0</v>
      </c>
      <c r="R23" s="38">
        <f t="shared" ref="R23" si="63">SUM(R21:R22)</f>
        <v>0</v>
      </c>
      <c r="S23" s="31">
        <f t="shared" ref="S23" si="64">SUM(S21:S22)</f>
        <v>3</v>
      </c>
      <c r="T23" s="38">
        <f t="shared" ref="T23" si="65">SUM(T21:T22)</f>
        <v>0.54449999999999998</v>
      </c>
      <c r="U23" s="31">
        <f t="shared" ref="U23" si="66">SUM(U21:U22)</f>
        <v>0</v>
      </c>
      <c r="V23" s="38">
        <f t="shared" ref="V23" si="67">SUM(V21:V22)</f>
        <v>-6.6825000000000023E-2</v>
      </c>
      <c r="X23" s="29"/>
    </row>
    <row r="24" spans="1:24">
      <c r="A24" s="26" t="s">
        <v>13</v>
      </c>
      <c r="B24" s="26" t="s">
        <v>75</v>
      </c>
      <c r="C24" s="30">
        <v>31.6</v>
      </c>
      <c r="D24" s="30">
        <v>11.5</v>
      </c>
      <c r="E24" s="28">
        <v>2</v>
      </c>
      <c r="F24" s="16">
        <f>(C24*D24*E24/1000)</f>
        <v>0.72680000000000011</v>
      </c>
      <c r="G24" s="17" t="s">
        <v>86</v>
      </c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2</v>
      </c>
      <c r="V24" s="19">
        <f>F24-T24</f>
        <v>0.72680000000000011</v>
      </c>
      <c r="X24" s="29"/>
    </row>
    <row r="25" spans="1:24">
      <c r="A25" s="26" t="s">
        <v>13</v>
      </c>
      <c r="B25" s="26" t="s">
        <v>75</v>
      </c>
      <c r="C25" s="30">
        <v>31.6</v>
      </c>
      <c r="D25" s="30">
        <v>9</v>
      </c>
      <c r="E25" s="28"/>
      <c r="F25" s="16">
        <f t="shared" ref="F25:F26" si="68">(C25*D25*E25/1000)</f>
        <v>0</v>
      </c>
      <c r="G25" s="17" t="s">
        <v>316</v>
      </c>
      <c r="H25" s="18">
        <v>3</v>
      </c>
      <c r="I25" s="19">
        <f t="shared" ref="I25:I26" si="69">(C25*D25*H25/1000)</f>
        <v>0.85320000000000007</v>
      </c>
      <c r="J25" s="16"/>
      <c r="K25" s="18"/>
      <c r="L25" s="19">
        <f t="shared" ref="L25:L26" si="70">(C25*D25*K25/1000)</f>
        <v>0</v>
      </c>
      <c r="M25" s="16"/>
      <c r="N25" s="18"/>
      <c r="O25" s="19">
        <f t="shared" ref="O25:O26" si="71">(C25*D25*N25/1000)</f>
        <v>0</v>
      </c>
      <c r="P25" s="16"/>
      <c r="Q25" s="18"/>
      <c r="R25" s="19">
        <f t="shared" ref="R25:R26" si="72">(C25*D25*Q25/1000)</f>
        <v>0</v>
      </c>
      <c r="S25" s="20">
        <f t="shared" ref="S25:S26" si="73">+H25+K25+Q25+N25</f>
        <v>3</v>
      </c>
      <c r="T25" s="19">
        <f t="shared" ref="T25:T26" si="74">+I25+L25+R25+O25</f>
        <v>0.85320000000000007</v>
      </c>
      <c r="U25" s="21">
        <f t="shared" ref="U25:U26" si="75">E25-S25</f>
        <v>-3</v>
      </c>
      <c r="V25" s="19">
        <f t="shared" ref="V25:V26" si="76">F25-T25</f>
        <v>-0.85320000000000007</v>
      </c>
      <c r="X25" s="29"/>
    </row>
    <row r="26" spans="1:24">
      <c r="A26" s="26" t="s">
        <v>13</v>
      </c>
      <c r="B26" s="26" t="s">
        <v>75</v>
      </c>
      <c r="C26" s="30">
        <v>31.6</v>
      </c>
      <c r="D26" s="30"/>
      <c r="E26" s="28"/>
      <c r="F26" s="16">
        <f t="shared" si="68"/>
        <v>0</v>
      </c>
      <c r="G26" s="17"/>
      <c r="H26" s="18"/>
      <c r="I26" s="19">
        <f t="shared" si="69"/>
        <v>0</v>
      </c>
      <c r="J26" s="16"/>
      <c r="K26" s="18"/>
      <c r="L26" s="19">
        <f t="shared" si="70"/>
        <v>0</v>
      </c>
      <c r="M26" s="16"/>
      <c r="N26" s="18"/>
      <c r="O26" s="19">
        <f t="shared" si="71"/>
        <v>0</v>
      </c>
      <c r="P26" s="16"/>
      <c r="Q26" s="18"/>
      <c r="R26" s="19">
        <f t="shared" si="72"/>
        <v>0</v>
      </c>
      <c r="S26" s="20">
        <f t="shared" si="73"/>
        <v>0</v>
      </c>
      <c r="T26" s="19">
        <f t="shared" si="74"/>
        <v>0</v>
      </c>
      <c r="U26" s="21">
        <f t="shared" si="75"/>
        <v>0</v>
      </c>
      <c r="V26" s="19">
        <f t="shared" si="76"/>
        <v>0</v>
      </c>
      <c r="X26" s="29"/>
    </row>
    <row r="27" spans="1:24">
      <c r="A27" s="36"/>
      <c r="B27" s="36"/>
      <c r="C27" s="37"/>
      <c r="D27" s="37"/>
      <c r="E27" s="31">
        <f t="shared" ref="E27:F27" si="77">SUM(E24:E26)</f>
        <v>2</v>
      </c>
      <c r="F27" s="38">
        <f t="shared" si="77"/>
        <v>0.72680000000000011</v>
      </c>
      <c r="G27" s="17"/>
      <c r="H27" s="31">
        <f t="shared" ref="H27" si="78">SUM(H24:H26)</f>
        <v>3</v>
      </c>
      <c r="I27" s="38">
        <f t="shared" ref="I27" si="79">SUM(I24:I26)</f>
        <v>0.85320000000000007</v>
      </c>
      <c r="J27" s="16"/>
      <c r="K27" s="31">
        <f t="shared" ref="K27" si="80">SUM(K24:K26)</f>
        <v>0</v>
      </c>
      <c r="L27" s="38">
        <f t="shared" ref="L27" si="81">SUM(L24:L26)</f>
        <v>0</v>
      </c>
      <c r="M27" s="16"/>
      <c r="N27" s="31">
        <f t="shared" ref="N27" si="82">SUM(N24:N26)</f>
        <v>0</v>
      </c>
      <c r="O27" s="38">
        <f t="shared" ref="O27" si="83">SUM(O24:O26)</f>
        <v>0</v>
      </c>
      <c r="P27" s="16"/>
      <c r="Q27" s="31">
        <f t="shared" ref="Q27" si="84">SUM(Q24:Q26)</f>
        <v>0</v>
      </c>
      <c r="R27" s="38">
        <f t="shared" ref="R27" si="85">SUM(R24:R26)</f>
        <v>0</v>
      </c>
      <c r="S27" s="31">
        <f t="shared" ref="S27" si="86">SUM(S24:S26)</f>
        <v>3</v>
      </c>
      <c r="T27" s="38">
        <f t="shared" ref="T27" si="87">SUM(T24:T26)</f>
        <v>0.85320000000000007</v>
      </c>
      <c r="U27" s="31">
        <f t="shared" ref="U27" si="88">SUM(U24:U26)</f>
        <v>-1</v>
      </c>
      <c r="V27" s="38">
        <f t="shared" ref="V27" si="89">SUM(V24:V26)</f>
        <v>-0.12639999999999996</v>
      </c>
      <c r="X27" s="29"/>
    </row>
    <row r="28" spans="1:24">
      <c r="A28" s="26" t="s">
        <v>13</v>
      </c>
      <c r="B28" s="26" t="s">
        <v>126</v>
      </c>
      <c r="C28" s="30">
        <v>33.72</v>
      </c>
      <c r="D28" s="30">
        <v>9.6</v>
      </c>
      <c r="E28" s="28">
        <v>4</v>
      </c>
      <c r="F28" s="16">
        <f>(C28*D28*E28/1000)</f>
        <v>1.294848</v>
      </c>
      <c r="G28" s="17" t="s">
        <v>86</v>
      </c>
      <c r="H28" s="18"/>
      <c r="I28" s="19">
        <f>(C28*D28*H28/1000)</f>
        <v>0</v>
      </c>
      <c r="J28" s="16"/>
      <c r="K28" s="18"/>
      <c r="L28" s="19">
        <f>(C28*D28*K28/1000)</f>
        <v>0</v>
      </c>
      <c r="M28" s="16"/>
      <c r="N28" s="18"/>
      <c r="O28" s="19">
        <f>(C28*D28*N28/1000)</f>
        <v>0</v>
      </c>
      <c r="P28" s="16"/>
      <c r="Q28" s="18"/>
      <c r="R28" s="19">
        <f>(C28*D28*Q28/1000)</f>
        <v>0</v>
      </c>
      <c r="S28" s="20">
        <f>+H28+K28+Q28+N28</f>
        <v>0</v>
      </c>
      <c r="T28" s="19">
        <f>+I28+L28+R28+O28</f>
        <v>0</v>
      </c>
      <c r="U28" s="21">
        <f>E28-S28</f>
        <v>4</v>
      </c>
      <c r="V28" s="19">
        <f>F28-T28</f>
        <v>1.294848</v>
      </c>
      <c r="X28" s="29"/>
    </row>
    <row r="29" spans="1:24">
      <c r="A29" s="26" t="s">
        <v>13</v>
      </c>
      <c r="B29" s="26" t="s">
        <v>126</v>
      </c>
      <c r="C29" s="30">
        <v>33.72</v>
      </c>
      <c r="D29" s="30">
        <v>11.2</v>
      </c>
      <c r="E29" s="28"/>
      <c r="F29" s="16">
        <f t="shared" ref="F29:F30" si="90">(C29*D29*E29/1000)</f>
        <v>0</v>
      </c>
      <c r="G29" s="17" t="s">
        <v>316</v>
      </c>
      <c r="H29" s="18">
        <v>3</v>
      </c>
      <c r="I29" s="19">
        <f t="shared" ref="I29:I30" si="91">(C29*D29*H29/1000)</f>
        <v>1.132992</v>
      </c>
      <c r="J29" s="16"/>
      <c r="K29" s="18"/>
      <c r="L29" s="19">
        <f t="shared" ref="L29:L30" si="92">(C29*D29*K29/1000)</f>
        <v>0</v>
      </c>
      <c r="M29" s="16"/>
      <c r="N29" s="18"/>
      <c r="O29" s="19">
        <f t="shared" ref="O29:O30" si="93">(C29*D29*N29/1000)</f>
        <v>0</v>
      </c>
      <c r="P29" s="16"/>
      <c r="Q29" s="18"/>
      <c r="R29" s="19">
        <f t="shared" ref="R29:R30" si="94">(C29*D29*Q29/1000)</f>
        <v>0</v>
      </c>
      <c r="S29" s="20">
        <f t="shared" ref="S29:S30" si="95">+H29+K29+Q29+N29</f>
        <v>3</v>
      </c>
      <c r="T29" s="19">
        <f t="shared" ref="T29:T30" si="96">+I29+L29+R29+O29</f>
        <v>1.132992</v>
      </c>
      <c r="U29" s="21">
        <f t="shared" ref="U29:U30" si="97">E29-S29</f>
        <v>-3</v>
      </c>
      <c r="V29" s="19">
        <f t="shared" ref="V29:V30" si="98">F29-T29</f>
        <v>-1.132992</v>
      </c>
      <c r="X29" s="29"/>
    </row>
    <row r="30" spans="1:24">
      <c r="A30" s="26" t="s">
        <v>13</v>
      </c>
      <c r="B30" s="26" t="s">
        <v>126</v>
      </c>
      <c r="C30" s="30">
        <v>33.72</v>
      </c>
      <c r="D30" s="30">
        <v>10</v>
      </c>
      <c r="E30" s="28"/>
      <c r="F30" s="16">
        <f t="shared" si="90"/>
        <v>0</v>
      </c>
      <c r="G30" s="17"/>
      <c r="H30" s="18">
        <v>1</v>
      </c>
      <c r="I30" s="19">
        <f t="shared" si="91"/>
        <v>0.3372</v>
      </c>
      <c r="J30" s="16"/>
      <c r="K30" s="18"/>
      <c r="L30" s="19">
        <f t="shared" si="92"/>
        <v>0</v>
      </c>
      <c r="M30" s="16"/>
      <c r="N30" s="18"/>
      <c r="O30" s="19">
        <f t="shared" si="93"/>
        <v>0</v>
      </c>
      <c r="P30" s="16"/>
      <c r="Q30" s="18"/>
      <c r="R30" s="19">
        <f t="shared" si="94"/>
        <v>0</v>
      </c>
      <c r="S30" s="20">
        <f t="shared" si="95"/>
        <v>1</v>
      </c>
      <c r="T30" s="19">
        <f t="shared" si="96"/>
        <v>0.3372</v>
      </c>
      <c r="U30" s="21">
        <f t="shared" si="97"/>
        <v>-1</v>
      </c>
      <c r="V30" s="19">
        <f t="shared" si="98"/>
        <v>-0.3372</v>
      </c>
      <c r="X30" s="29"/>
    </row>
    <row r="31" spans="1:24">
      <c r="A31" s="36"/>
      <c r="B31" s="36"/>
      <c r="C31" s="37"/>
      <c r="D31" s="37"/>
      <c r="E31" s="31">
        <f t="shared" ref="E31:F31" si="99">SUM(E28:E30)</f>
        <v>4</v>
      </c>
      <c r="F31" s="38">
        <f t="shared" si="99"/>
        <v>1.294848</v>
      </c>
      <c r="G31" s="17"/>
      <c r="H31" s="31">
        <f t="shared" ref="H31" si="100">SUM(H28:H30)</f>
        <v>4</v>
      </c>
      <c r="I31" s="38">
        <f t="shared" ref="I31" si="101">SUM(I28:I30)</f>
        <v>1.4701919999999999</v>
      </c>
      <c r="J31" s="16"/>
      <c r="K31" s="31">
        <f t="shared" ref="K31" si="102">SUM(K28)</f>
        <v>0</v>
      </c>
      <c r="L31" s="38">
        <f t="shared" ref="L31" si="103">SUM(L28)</f>
        <v>0</v>
      </c>
      <c r="M31" s="16"/>
      <c r="N31" s="31">
        <f t="shared" ref="N31" si="104">SUM(N28)</f>
        <v>0</v>
      </c>
      <c r="O31" s="38">
        <f t="shared" ref="O31" si="105">SUM(O28)</f>
        <v>0</v>
      </c>
      <c r="P31" s="16"/>
      <c r="Q31" s="31">
        <f t="shared" ref="Q31" si="106">SUM(Q28)</f>
        <v>0</v>
      </c>
      <c r="R31" s="38">
        <f t="shared" ref="R31" si="107">SUM(R28)</f>
        <v>0</v>
      </c>
      <c r="S31" s="31">
        <f t="shared" ref="S31" si="108">SUM(S28)</f>
        <v>0</v>
      </c>
      <c r="T31" s="38">
        <f t="shared" ref="T31" si="109">SUM(T28)</f>
        <v>0</v>
      </c>
      <c r="U31" s="31">
        <f t="shared" ref="U31" si="110">SUM(U28)</f>
        <v>4</v>
      </c>
      <c r="V31" s="38">
        <f t="shared" ref="V31" si="111">SUM(V28)</f>
        <v>1.294848</v>
      </c>
      <c r="X31" s="29"/>
    </row>
    <row r="32" spans="1:24">
      <c r="A32" s="26" t="s">
        <v>14</v>
      </c>
      <c r="B32" s="26" t="s">
        <v>31</v>
      </c>
      <c r="C32" s="30">
        <v>10.199999999999999</v>
      </c>
      <c r="D32" s="30">
        <v>12</v>
      </c>
      <c r="E32" s="28">
        <v>8</v>
      </c>
      <c r="F32" s="16">
        <f>(C32*D32*E32/1000)</f>
        <v>0.97919999999999996</v>
      </c>
      <c r="G32" s="17" t="s">
        <v>86</v>
      </c>
      <c r="H32" s="18">
        <v>8</v>
      </c>
      <c r="I32" s="19">
        <f>(C32*D32*H32/1000)</f>
        <v>0.97919999999999996</v>
      </c>
      <c r="J32" s="16"/>
      <c r="K32" s="18"/>
      <c r="L32" s="19">
        <f>(C32*D32*K32/1000)</f>
        <v>0</v>
      </c>
      <c r="M32" s="16"/>
      <c r="N32" s="18"/>
      <c r="O32" s="19">
        <f>(C32*D32*N32/1000)</f>
        <v>0</v>
      </c>
      <c r="P32" s="16"/>
      <c r="Q32" s="18"/>
      <c r="R32" s="19">
        <f>(C32*D32*Q32/1000)</f>
        <v>0</v>
      </c>
      <c r="S32" s="20">
        <f>+H32+K32+Q32+N32</f>
        <v>8</v>
      </c>
      <c r="T32" s="19">
        <f>+I32+L32+R32+O32</f>
        <v>0.97919999999999996</v>
      </c>
      <c r="U32" s="21">
        <f>E32-S32</f>
        <v>0</v>
      </c>
      <c r="V32" s="19">
        <f>F32-T32</f>
        <v>0</v>
      </c>
      <c r="X32" s="29"/>
    </row>
    <row r="33" spans="1:24">
      <c r="A33" s="36"/>
      <c r="B33" s="36"/>
      <c r="C33" s="37"/>
      <c r="D33" s="37"/>
      <c r="E33" s="31">
        <f t="shared" ref="E33:F33" si="112">SUM(E32)</f>
        <v>8</v>
      </c>
      <c r="F33" s="38">
        <f t="shared" si="112"/>
        <v>0.97919999999999996</v>
      </c>
      <c r="G33" s="17" t="s">
        <v>316</v>
      </c>
      <c r="H33" s="31">
        <f t="shared" ref="H33" si="113">SUM(H32)</f>
        <v>8</v>
      </c>
      <c r="I33" s="38">
        <f t="shared" ref="I33" si="114">SUM(I32)</f>
        <v>0.97919999999999996</v>
      </c>
      <c r="J33" s="16"/>
      <c r="K33" s="31">
        <f t="shared" ref="K33" si="115">SUM(K32)</f>
        <v>0</v>
      </c>
      <c r="L33" s="38">
        <f t="shared" ref="L33" si="116">SUM(L32)</f>
        <v>0</v>
      </c>
      <c r="M33" s="16"/>
      <c r="N33" s="31">
        <f t="shared" ref="N33" si="117">SUM(N32)</f>
        <v>0</v>
      </c>
      <c r="O33" s="38">
        <f t="shared" ref="O33" si="118">SUM(O32)</f>
        <v>0</v>
      </c>
      <c r="P33" s="16"/>
      <c r="Q33" s="31">
        <f t="shared" ref="Q33" si="119">SUM(Q32)</f>
        <v>0</v>
      </c>
      <c r="R33" s="38">
        <f t="shared" ref="R33" si="120">SUM(R32)</f>
        <v>0</v>
      </c>
      <c r="S33" s="31">
        <f t="shared" ref="S33" si="121">SUM(S32)</f>
        <v>8</v>
      </c>
      <c r="T33" s="38">
        <f t="shared" ref="T33" si="122">SUM(T32)</f>
        <v>0.97919999999999996</v>
      </c>
      <c r="U33" s="31">
        <f t="shared" ref="U33" si="123">SUM(U32)</f>
        <v>0</v>
      </c>
      <c r="V33" s="38">
        <f t="shared" ref="V33" si="124">SUM(V32)</f>
        <v>0</v>
      </c>
      <c r="X33" s="29"/>
    </row>
    <row r="34" spans="1:24">
      <c r="A34" s="33"/>
      <c r="B34" s="33"/>
      <c r="C34" s="34"/>
      <c r="D34" s="34"/>
      <c r="E34" s="34">
        <f t="shared" ref="E34:F34" si="125">SUM(E33,E31,E27,E23,E20,E12,E10,E7)</f>
        <v>44</v>
      </c>
      <c r="F34" s="35">
        <f t="shared" si="125"/>
        <v>7.293623000000002</v>
      </c>
      <c r="G34" s="26"/>
      <c r="H34" s="34">
        <f t="shared" ref="H34" si="126">SUM(H33,H31,H27,H23,H20,H12,H10,H7)</f>
        <v>45</v>
      </c>
      <c r="I34" s="35">
        <f t="shared" ref="I34" si="127">SUM(I33,I31,I27,I23,I20,I12,I10,I7)</f>
        <v>7.8200520000000013</v>
      </c>
      <c r="J34" s="26"/>
      <c r="K34" s="34">
        <f t="shared" ref="K34" si="128">SUM(K33,K31,K27,K23,K20,K12,K10,K7)</f>
        <v>0</v>
      </c>
      <c r="L34" s="35">
        <f t="shared" ref="L34" si="129">SUM(L33,L31,L27,L23,L20,L12,L10,L7)</f>
        <v>0</v>
      </c>
      <c r="M34" s="26"/>
      <c r="N34" s="34">
        <f t="shared" ref="N34" si="130">SUM(N33,N31,N27,N23,N20,N12,N10,N7)</f>
        <v>0</v>
      </c>
      <c r="O34" s="35">
        <f t="shared" ref="O34" si="131">SUM(O33,O31,O27,O23,O20,O12,O10,O7)</f>
        <v>0</v>
      </c>
      <c r="P34" s="26"/>
      <c r="Q34" s="34">
        <f t="shared" ref="Q34" si="132">SUM(Q33,Q31,Q27,Q23,Q20,Q12,Q10,Q7)</f>
        <v>0</v>
      </c>
      <c r="R34" s="35">
        <f t="shared" ref="R34" si="133">SUM(R33,R31,R27,R23,R20,R12,R10,R7)</f>
        <v>0</v>
      </c>
      <c r="S34" s="34">
        <f t="shared" ref="S34" si="134">SUM(S33,S31,S27,S23,S20,S12,S10,S7)</f>
        <v>41</v>
      </c>
      <c r="T34" s="35">
        <f t="shared" ref="T34" si="135">SUM(T33,T31,T27,T23,T20,T12,T10,T7)</f>
        <v>6.3498600000000005</v>
      </c>
      <c r="U34" s="34">
        <f t="shared" ref="U34" si="136">SUM(U33,U31,U27,U23,U20,U12,U10,U7)</f>
        <v>3</v>
      </c>
      <c r="V34" s="35">
        <f t="shared" ref="V34" si="137">SUM(V33,V31,V27,V23,V20,V12,V10,V7)</f>
        <v>0.94376300000000013</v>
      </c>
    </row>
    <row r="49" spans="18:18">
      <c r="R49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8"/>
  <dimension ref="A1:X226"/>
  <sheetViews>
    <sheetView zoomScale="75" zoomScaleNormal="75" workbookViewId="0">
      <pane ySplit="5" topLeftCell="A144" activePane="bottomLeft" state="frozen"/>
      <selection pane="bottomLeft" activeCell="P161" sqref="P161:P162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241</v>
      </c>
      <c r="H1" s="144"/>
      <c r="I1" s="145" t="s">
        <v>227</v>
      </c>
      <c r="J1" s="144"/>
      <c r="K1" s="3"/>
      <c r="L1" s="4"/>
      <c r="M1" s="4"/>
      <c r="N1" s="3"/>
      <c r="O1" s="4"/>
      <c r="P1" s="146" t="str">
        <f>+F2</f>
        <v>LOI-497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242</v>
      </c>
      <c r="B2" s="8"/>
      <c r="C2" s="9"/>
      <c r="D2" s="9"/>
      <c r="E2" s="10"/>
      <c r="F2" s="146" t="s">
        <v>249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LOI-497  03.07.23</v>
      </c>
      <c r="V2" s="146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18</v>
      </c>
      <c r="C6" s="30">
        <v>16.600000000000001</v>
      </c>
      <c r="D6" s="27">
        <v>7.8</v>
      </c>
      <c r="E6" s="28">
        <v>39</v>
      </c>
      <c r="F6" s="16">
        <f t="shared" ref="F6:F13" si="0">(C6*D6*E6/1000)</f>
        <v>5.0497200000000015</v>
      </c>
      <c r="G6" s="17" t="s">
        <v>295</v>
      </c>
      <c r="H6" s="18">
        <v>17</v>
      </c>
      <c r="I6" s="19">
        <f t="shared" ref="I6:I13" si="1">(C6*D6*H6/1000)</f>
        <v>2.2011600000000002</v>
      </c>
      <c r="J6" s="16" t="s">
        <v>111</v>
      </c>
      <c r="K6" s="18">
        <v>16</v>
      </c>
      <c r="L6" s="19">
        <f t="shared" ref="L6:L13" si="2">(C6*D6*K6/1000)</f>
        <v>2.0716800000000002</v>
      </c>
      <c r="M6" s="17" t="s">
        <v>295</v>
      </c>
      <c r="N6" s="18"/>
      <c r="O6" s="19">
        <f t="shared" ref="O6:O13" si="3">(C6*D6*N6/1000)</f>
        <v>0</v>
      </c>
      <c r="P6" s="16"/>
      <c r="Q6" s="18"/>
      <c r="R6" s="19">
        <f t="shared" ref="R6:R13" si="4">(C6*D6*Q6/1000)</f>
        <v>0</v>
      </c>
      <c r="S6" s="20">
        <f t="shared" ref="S6:T13" si="5">+H6+K6+Q6+N6</f>
        <v>33</v>
      </c>
      <c r="T6" s="19">
        <f t="shared" si="5"/>
        <v>4.2728400000000004</v>
      </c>
      <c r="U6" s="21">
        <f t="shared" ref="U6:V13" si="6">E6-S6</f>
        <v>6</v>
      </c>
      <c r="V6" s="19">
        <f t="shared" si="6"/>
        <v>0.77688000000000113</v>
      </c>
      <c r="X6" s="29"/>
    </row>
    <row r="7" spans="1:24">
      <c r="A7" s="26" t="s">
        <v>13</v>
      </c>
      <c r="B7" s="26" t="s">
        <v>18</v>
      </c>
      <c r="C7" s="30">
        <v>16.600000000000001</v>
      </c>
      <c r="D7" s="27">
        <v>8.3000000000000007</v>
      </c>
      <c r="E7" s="28">
        <v>20</v>
      </c>
      <c r="F7" s="16">
        <f t="shared" si="0"/>
        <v>2.7556000000000003</v>
      </c>
      <c r="G7" s="17" t="s">
        <v>296</v>
      </c>
      <c r="H7" s="18">
        <v>13</v>
      </c>
      <c r="I7" s="19">
        <f t="shared" si="1"/>
        <v>1.7911400000000004</v>
      </c>
      <c r="J7" s="16" t="s">
        <v>297</v>
      </c>
      <c r="K7" s="18"/>
      <c r="L7" s="19">
        <f t="shared" si="2"/>
        <v>0</v>
      </c>
      <c r="M7" s="17" t="s">
        <v>324</v>
      </c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13</v>
      </c>
      <c r="T7" s="19">
        <f t="shared" si="5"/>
        <v>1.7911400000000004</v>
      </c>
      <c r="U7" s="21">
        <f t="shared" si="6"/>
        <v>7</v>
      </c>
      <c r="V7" s="19">
        <f t="shared" si="6"/>
        <v>0.96445999999999987</v>
      </c>
      <c r="X7" s="29"/>
    </row>
    <row r="8" spans="1:24">
      <c r="A8" s="26" t="s">
        <v>13</v>
      </c>
      <c r="B8" s="26" t="s">
        <v>18</v>
      </c>
      <c r="C8" s="30">
        <v>16.600000000000001</v>
      </c>
      <c r="D8" s="27">
        <v>11.1</v>
      </c>
      <c r="E8" s="28">
        <v>43</v>
      </c>
      <c r="F8" s="16">
        <f t="shared" si="0"/>
        <v>7.9231800000000012</v>
      </c>
      <c r="G8" s="17"/>
      <c r="H8" s="18">
        <v>17</v>
      </c>
      <c r="I8" s="19">
        <f t="shared" si="1"/>
        <v>3.1324200000000006</v>
      </c>
      <c r="J8" s="16"/>
      <c r="K8" s="18">
        <v>30</v>
      </c>
      <c r="L8" s="19">
        <f t="shared" si="2"/>
        <v>5.5278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47</v>
      </c>
      <c r="T8" s="19">
        <f t="shared" si="5"/>
        <v>8.6602200000000007</v>
      </c>
      <c r="U8" s="21">
        <f t="shared" si="6"/>
        <v>-4</v>
      </c>
      <c r="V8" s="19">
        <f t="shared" si="6"/>
        <v>-0.73703999999999947</v>
      </c>
      <c r="X8" s="29"/>
    </row>
    <row r="9" spans="1:24">
      <c r="A9" s="26" t="s">
        <v>13</v>
      </c>
      <c r="B9" s="26" t="s">
        <v>18</v>
      </c>
      <c r="C9" s="30">
        <v>16.600000000000001</v>
      </c>
      <c r="D9" s="27">
        <v>11.3</v>
      </c>
      <c r="E9" s="28">
        <v>19</v>
      </c>
      <c r="F9" s="16">
        <f t="shared" si="0"/>
        <v>3.5640200000000011</v>
      </c>
      <c r="G9" s="17"/>
      <c r="H9" s="18">
        <v>5</v>
      </c>
      <c r="I9" s="19">
        <f t="shared" si="1"/>
        <v>0.93790000000000018</v>
      </c>
      <c r="J9" s="16"/>
      <c r="K9" s="18">
        <v>7</v>
      </c>
      <c r="L9" s="19">
        <f t="shared" si="2"/>
        <v>1.3130600000000003</v>
      </c>
      <c r="M9" s="16"/>
      <c r="N9" s="18">
        <v>6</v>
      </c>
      <c r="O9" s="19">
        <f t="shared" si="3"/>
        <v>1.1254800000000003</v>
      </c>
      <c r="P9" s="16"/>
      <c r="Q9" s="18"/>
      <c r="R9" s="19">
        <f t="shared" si="4"/>
        <v>0</v>
      </c>
      <c r="S9" s="20">
        <f t="shared" si="5"/>
        <v>18</v>
      </c>
      <c r="T9" s="19">
        <f t="shared" si="5"/>
        <v>3.3764400000000006</v>
      </c>
      <c r="U9" s="21">
        <f t="shared" si="6"/>
        <v>1</v>
      </c>
      <c r="V9" s="19">
        <f t="shared" si="6"/>
        <v>0.18758000000000052</v>
      </c>
      <c r="X9" s="29"/>
    </row>
    <row r="10" spans="1:24">
      <c r="A10" s="26" t="s">
        <v>13</v>
      </c>
      <c r="B10" s="26" t="s">
        <v>18</v>
      </c>
      <c r="C10" s="30">
        <v>16.600000000000001</v>
      </c>
      <c r="D10" s="27">
        <v>12</v>
      </c>
      <c r="E10" s="28">
        <v>2</v>
      </c>
      <c r="F10" s="16">
        <f t="shared" ref="F10:F12" si="7">(C10*D10*E10/1000)</f>
        <v>0.39840000000000003</v>
      </c>
      <c r="G10" s="17"/>
      <c r="H10" s="18">
        <v>2</v>
      </c>
      <c r="I10" s="19">
        <f t="shared" ref="I10:I12" si="8">(C10*D10*H10/1000)</f>
        <v>0.39840000000000003</v>
      </c>
      <c r="J10" s="16"/>
      <c r="K10" s="18">
        <v>2</v>
      </c>
      <c r="L10" s="19">
        <f t="shared" ref="L10:L12" si="9">(C10*D10*K10/1000)</f>
        <v>0.39840000000000003</v>
      </c>
      <c r="M10" s="16"/>
      <c r="N10" s="18"/>
      <c r="O10" s="19">
        <f t="shared" ref="O10:O12" si="10">(C10*D10*N10/1000)</f>
        <v>0</v>
      </c>
      <c r="P10" s="16"/>
      <c r="Q10" s="18"/>
      <c r="R10" s="19">
        <f t="shared" ref="R10:R12" si="11">(C10*D10*Q10/1000)</f>
        <v>0</v>
      </c>
      <c r="S10" s="20">
        <f t="shared" ref="S10:S12" si="12">+H10+K10+Q10+N10</f>
        <v>4</v>
      </c>
      <c r="T10" s="19">
        <f t="shared" ref="T10:T12" si="13">+I10+L10+R10+O10</f>
        <v>0.79680000000000006</v>
      </c>
      <c r="U10" s="21">
        <f t="shared" ref="U10:U12" si="14">E10-S10</f>
        <v>-2</v>
      </c>
      <c r="V10" s="19">
        <f t="shared" ref="V10:V12" si="15">F10-T10</f>
        <v>-0.39840000000000003</v>
      </c>
      <c r="X10" s="29"/>
    </row>
    <row r="11" spans="1:24">
      <c r="A11" s="26" t="s">
        <v>13</v>
      </c>
      <c r="B11" s="26" t="s">
        <v>18</v>
      </c>
      <c r="C11" s="30">
        <v>16.600000000000001</v>
      </c>
      <c r="D11" s="27">
        <v>10.5</v>
      </c>
      <c r="E11" s="28"/>
      <c r="F11" s="16">
        <f t="shared" si="7"/>
        <v>0</v>
      </c>
      <c r="G11" s="17"/>
      <c r="H11" s="18"/>
      <c r="I11" s="19">
        <f t="shared" si="8"/>
        <v>0</v>
      </c>
      <c r="J11" s="16"/>
      <c r="K11" s="18">
        <v>3</v>
      </c>
      <c r="L11" s="19">
        <f t="shared" si="9"/>
        <v>0.52290000000000014</v>
      </c>
      <c r="M11" s="16"/>
      <c r="N11" s="18"/>
      <c r="O11" s="19">
        <f t="shared" si="10"/>
        <v>0</v>
      </c>
      <c r="P11" s="16"/>
      <c r="Q11" s="18"/>
      <c r="R11" s="19">
        <f t="shared" si="11"/>
        <v>0</v>
      </c>
      <c r="S11" s="20">
        <f t="shared" si="12"/>
        <v>3</v>
      </c>
      <c r="T11" s="19">
        <f t="shared" si="13"/>
        <v>0.52290000000000014</v>
      </c>
      <c r="U11" s="21">
        <f t="shared" si="14"/>
        <v>-3</v>
      </c>
      <c r="V11" s="19">
        <f t="shared" si="15"/>
        <v>-0.52290000000000014</v>
      </c>
      <c r="X11" s="29"/>
    </row>
    <row r="12" spans="1:24">
      <c r="A12" s="26" t="s">
        <v>13</v>
      </c>
      <c r="B12" s="26" t="s">
        <v>18</v>
      </c>
      <c r="C12" s="30">
        <v>16.600000000000001</v>
      </c>
      <c r="D12" s="27">
        <v>11</v>
      </c>
      <c r="E12" s="28"/>
      <c r="F12" s="16">
        <f t="shared" si="7"/>
        <v>0</v>
      </c>
      <c r="G12" s="17"/>
      <c r="H12" s="18"/>
      <c r="I12" s="19">
        <f t="shared" si="8"/>
        <v>0</v>
      </c>
      <c r="J12" s="16"/>
      <c r="K12" s="18"/>
      <c r="L12" s="19">
        <f t="shared" si="9"/>
        <v>0</v>
      </c>
      <c r="M12" s="16"/>
      <c r="N12" s="18">
        <v>1</v>
      </c>
      <c r="O12" s="19">
        <f t="shared" si="10"/>
        <v>0.18260000000000001</v>
      </c>
      <c r="P12" s="16"/>
      <c r="Q12" s="18"/>
      <c r="R12" s="19">
        <f t="shared" si="11"/>
        <v>0</v>
      </c>
      <c r="S12" s="20">
        <f t="shared" si="12"/>
        <v>1</v>
      </c>
      <c r="T12" s="19">
        <f t="shared" si="13"/>
        <v>0.18260000000000001</v>
      </c>
      <c r="U12" s="21">
        <f t="shared" si="14"/>
        <v>-1</v>
      </c>
      <c r="V12" s="19">
        <f t="shared" si="15"/>
        <v>-0.18260000000000001</v>
      </c>
      <c r="X12" s="29"/>
    </row>
    <row r="13" spans="1:24">
      <c r="A13" s="26" t="s">
        <v>13</v>
      </c>
      <c r="B13" s="26" t="s">
        <v>18</v>
      </c>
      <c r="C13" s="30">
        <v>16.600000000000001</v>
      </c>
      <c r="D13" s="27">
        <v>10.6</v>
      </c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>
        <v>1</v>
      </c>
      <c r="O13" s="19">
        <f t="shared" si="3"/>
        <v>0.17596000000000001</v>
      </c>
      <c r="P13" s="16"/>
      <c r="Q13" s="18"/>
      <c r="R13" s="19">
        <f t="shared" si="4"/>
        <v>0</v>
      </c>
      <c r="S13" s="20">
        <f t="shared" si="5"/>
        <v>1</v>
      </c>
      <c r="T13" s="19">
        <f t="shared" si="5"/>
        <v>0.17596000000000001</v>
      </c>
      <c r="U13" s="21">
        <f t="shared" si="6"/>
        <v>-1</v>
      </c>
      <c r="V13" s="19">
        <f t="shared" si="6"/>
        <v>-0.17596000000000001</v>
      </c>
      <c r="X13" s="29"/>
    </row>
    <row r="14" spans="1:24">
      <c r="A14" s="36"/>
      <c r="B14" s="36"/>
      <c r="C14" s="37"/>
      <c r="D14" s="38"/>
      <c r="E14" s="31">
        <f t="shared" ref="E14:F14" si="16">SUM(E6:E13)</f>
        <v>123</v>
      </c>
      <c r="F14" s="38">
        <f t="shared" si="16"/>
        <v>19.690920000000002</v>
      </c>
      <c r="G14" s="17"/>
      <c r="H14" s="31">
        <f t="shared" ref="H14" si="17">SUM(H6:H13)</f>
        <v>54</v>
      </c>
      <c r="I14" s="38">
        <f t="shared" ref="I14" si="18">SUM(I6:I13)</f>
        <v>8.4610200000000031</v>
      </c>
      <c r="J14" s="16"/>
      <c r="K14" s="31">
        <f t="shared" ref="K14" si="19">SUM(K6:K13)</f>
        <v>58</v>
      </c>
      <c r="L14" s="38">
        <f t="shared" ref="L14" si="20">SUM(L6:L13)</f>
        <v>9.8338400000000004</v>
      </c>
      <c r="M14" s="16"/>
      <c r="N14" s="31">
        <f t="shared" ref="N14" si="21">SUM(N6:N13)</f>
        <v>8</v>
      </c>
      <c r="O14" s="38">
        <f t="shared" ref="O14" si="22">SUM(O6:O13)</f>
        <v>1.4840400000000002</v>
      </c>
      <c r="P14" s="16"/>
      <c r="Q14" s="31">
        <f t="shared" ref="Q14" si="23">SUM(Q6:Q13)</f>
        <v>0</v>
      </c>
      <c r="R14" s="38">
        <f t="shared" ref="R14" si="24">SUM(R6:R13)</f>
        <v>0</v>
      </c>
      <c r="S14" s="31">
        <f t="shared" ref="S14" si="25">SUM(S6:S13)</f>
        <v>120</v>
      </c>
      <c r="T14" s="38">
        <f t="shared" ref="T14" si="26">SUM(T6:T13)</f>
        <v>19.778900000000004</v>
      </c>
      <c r="U14" s="31">
        <f t="shared" ref="U14" si="27">SUM(U6:U13)</f>
        <v>3</v>
      </c>
      <c r="V14" s="38">
        <f t="shared" ref="V14" si="28">SUM(V6:V13)</f>
        <v>-8.7979999999998199E-2</v>
      </c>
      <c r="X14" s="29"/>
    </row>
    <row r="15" spans="1:24">
      <c r="A15" s="26" t="s">
        <v>13</v>
      </c>
      <c r="B15" s="26" t="s">
        <v>250</v>
      </c>
      <c r="C15" s="30">
        <v>11.8</v>
      </c>
      <c r="D15" s="27">
        <v>6.3</v>
      </c>
      <c r="E15" s="28">
        <v>20</v>
      </c>
      <c r="F15" s="16">
        <f t="shared" ref="F15:F27" si="29">(C15*D15*E15/1000)</f>
        <v>1.4868000000000001</v>
      </c>
      <c r="G15" s="16" t="s">
        <v>111</v>
      </c>
      <c r="H15" s="18">
        <v>4</v>
      </c>
      <c r="I15" s="19">
        <f t="shared" ref="I15:I27" si="30">(C15*D15*H15/1000)</f>
        <v>0.29736000000000001</v>
      </c>
      <c r="J15" s="17" t="s">
        <v>295</v>
      </c>
      <c r="K15" s="18">
        <v>19</v>
      </c>
      <c r="L15" s="19">
        <f t="shared" ref="L15:L27" si="31">(C15*D15*K15/1000)</f>
        <v>1.41246</v>
      </c>
      <c r="M15" s="16" t="s">
        <v>111</v>
      </c>
      <c r="N15" s="18"/>
      <c r="O15" s="19">
        <f t="shared" ref="O15:O27" si="32">(C15*D15*N15/1000)</f>
        <v>0</v>
      </c>
      <c r="P15" s="16"/>
      <c r="Q15" s="18"/>
      <c r="R15" s="19">
        <f t="shared" ref="R15:R27" si="33">(C15*D15*Q15/1000)</f>
        <v>0</v>
      </c>
      <c r="S15" s="20">
        <f t="shared" ref="S15:S27" si="34">+H15+K15+Q15+N15</f>
        <v>23</v>
      </c>
      <c r="T15" s="19">
        <f t="shared" ref="T15:T27" si="35">+I15+L15+R15+O15</f>
        <v>1.7098200000000001</v>
      </c>
      <c r="U15" s="21">
        <f t="shared" ref="U15:U27" si="36">E15-S15</f>
        <v>-3</v>
      </c>
      <c r="V15" s="19">
        <f t="shared" ref="V15:V27" si="37">F15-T15</f>
        <v>-0.22302</v>
      </c>
      <c r="X15" s="29"/>
    </row>
    <row r="16" spans="1:24">
      <c r="A16" s="26" t="s">
        <v>13</v>
      </c>
      <c r="B16" s="26" t="s">
        <v>250</v>
      </c>
      <c r="C16" s="30">
        <v>11.8</v>
      </c>
      <c r="D16" s="27">
        <v>8</v>
      </c>
      <c r="E16" s="28">
        <v>26</v>
      </c>
      <c r="F16" s="16">
        <f t="shared" si="29"/>
        <v>2.4544000000000001</v>
      </c>
      <c r="G16" s="16" t="s">
        <v>294</v>
      </c>
      <c r="H16" s="18">
        <f>6+18</f>
        <v>24</v>
      </c>
      <c r="I16" s="19">
        <f t="shared" si="30"/>
        <v>2.2656000000000005</v>
      </c>
      <c r="J16" s="17" t="s">
        <v>296</v>
      </c>
      <c r="K16" s="18"/>
      <c r="L16" s="19">
        <f t="shared" si="31"/>
        <v>0</v>
      </c>
      <c r="M16" s="16" t="s">
        <v>297</v>
      </c>
      <c r="N16" s="18">
        <v>1</v>
      </c>
      <c r="O16" s="19">
        <f t="shared" si="32"/>
        <v>9.4400000000000012E-2</v>
      </c>
      <c r="P16" s="16"/>
      <c r="Q16" s="18"/>
      <c r="R16" s="19">
        <f t="shared" si="33"/>
        <v>0</v>
      </c>
      <c r="S16" s="20">
        <f t="shared" si="34"/>
        <v>25</v>
      </c>
      <c r="T16" s="19">
        <f t="shared" si="35"/>
        <v>2.3600000000000003</v>
      </c>
      <c r="U16" s="21">
        <f t="shared" si="36"/>
        <v>1</v>
      </c>
      <c r="V16" s="19">
        <f t="shared" si="37"/>
        <v>9.4399999999999817E-2</v>
      </c>
      <c r="X16" s="29"/>
    </row>
    <row r="17" spans="1:24">
      <c r="A17" s="26" t="s">
        <v>13</v>
      </c>
      <c r="B17" s="26" t="s">
        <v>250</v>
      </c>
      <c r="C17" s="30">
        <v>11.8</v>
      </c>
      <c r="D17" s="27">
        <v>8.6</v>
      </c>
      <c r="E17" s="28">
        <v>11</v>
      </c>
      <c r="F17" s="16">
        <f t="shared" si="29"/>
        <v>1.1162799999999999</v>
      </c>
      <c r="G17" s="17"/>
      <c r="H17" s="18">
        <v>2</v>
      </c>
      <c r="I17" s="19">
        <f t="shared" si="30"/>
        <v>0.20296</v>
      </c>
      <c r="J17" s="16"/>
      <c r="K17" s="18">
        <v>5</v>
      </c>
      <c r="L17" s="19">
        <f t="shared" si="31"/>
        <v>0.50740000000000007</v>
      </c>
      <c r="M17" s="16"/>
      <c r="N17" s="18"/>
      <c r="O17" s="19">
        <f t="shared" si="32"/>
        <v>0</v>
      </c>
      <c r="P17" s="16"/>
      <c r="Q17" s="18"/>
      <c r="R17" s="19">
        <f t="shared" si="33"/>
        <v>0</v>
      </c>
      <c r="S17" s="20">
        <f t="shared" si="34"/>
        <v>7</v>
      </c>
      <c r="T17" s="19">
        <f t="shared" si="35"/>
        <v>0.7103600000000001</v>
      </c>
      <c r="U17" s="21">
        <f t="shared" si="36"/>
        <v>4</v>
      </c>
      <c r="V17" s="19">
        <f t="shared" si="37"/>
        <v>0.40591999999999984</v>
      </c>
      <c r="X17" s="29"/>
    </row>
    <row r="18" spans="1:24">
      <c r="A18" s="26" t="s">
        <v>13</v>
      </c>
      <c r="B18" s="26" t="s">
        <v>250</v>
      </c>
      <c r="C18" s="30">
        <v>11.8</v>
      </c>
      <c r="D18" s="27">
        <v>9.8000000000000007</v>
      </c>
      <c r="E18" s="28">
        <v>4</v>
      </c>
      <c r="F18" s="16">
        <f t="shared" si="29"/>
        <v>0.46256000000000008</v>
      </c>
      <c r="G18" s="17"/>
      <c r="H18" s="18"/>
      <c r="I18" s="19">
        <f t="shared" si="30"/>
        <v>0</v>
      </c>
      <c r="J18" s="16"/>
      <c r="K18" s="18"/>
      <c r="L18" s="19">
        <f t="shared" si="31"/>
        <v>0</v>
      </c>
      <c r="M18" s="16"/>
      <c r="N18" s="18"/>
      <c r="O18" s="19">
        <f t="shared" si="32"/>
        <v>0</v>
      </c>
      <c r="P18" s="16"/>
      <c r="Q18" s="18"/>
      <c r="R18" s="19">
        <f t="shared" si="33"/>
        <v>0</v>
      </c>
      <c r="S18" s="20">
        <f t="shared" si="34"/>
        <v>0</v>
      </c>
      <c r="T18" s="19">
        <f t="shared" si="35"/>
        <v>0</v>
      </c>
      <c r="U18" s="21">
        <f t="shared" si="36"/>
        <v>4</v>
      </c>
      <c r="V18" s="19">
        <f t="shared" si="37"/>
        <v>0.46256000000000008</v>
      </c>
      <c r="X18" s="29"/>
    </row>
    <row r="19" spans="1:24">
      <c r="A19" s="26" t="s">
        <v>13</v>
      </c>
      <c r="B19" s="26" t="s">
        <v>250</v>
      </c>
      <c r="C19" s="30">
        <v>11.8</v>
      </c>
      <c r="D19" s="27">
        <v>10.3</v>
      </c>
      <c r="E19" s="28">
        <v>8</v>
      </c>
      <c r="F19" s="16">
        <f t="shared" si="29"/>
        <v>0.97232000000000018</v>
      </c>
      <c r="G19" s="17"/>
      <c r="H19" s="18"/>
      <c r="I19" s="19">
        <f t="shared" si="30"/>
        <v>0</v>
      </c>
      <c r="J19" s="16"/>
      <c r="K19" s="18">
        <v>8</v>
      </c>
      <c r="L19" s="19">
        <f t="shared" si="31"/>
        <v>0.97232000000000018</v>
      </c>
      <c r="M19" s="16"/>
      <c r="N19" s="18"/>
      <c r="O19" s="19">
        <f t="shared" si="32"/>
        <v>0</v>
      </c>
      <c r="P19" s="16"/>
      <c r="Q19" s="18"/>
      <c r="R19" s="19">
        <f t="shared" si="33"/>
        <v>0</v>
      </c>
      <c r="S19" s="20">
        <f t="shared" si="34"/>
        <v>8</v>
      </c>
      <c r="T19" s="19">
        <f t="shared" si="35"/>
        <v>0.97232000000000018</v>
      </c>
      <c r="U19" s="21">
        <f t="shared" si="36"/>
        <v>0</v>
      </c>
      <c r="V19" s="19">
        <f t="shared" si="37"/>
        <v>0</v>
      </c>
      <c r="X19" s="29"/>
    </row>
    <row r="20" spans="1:24">
      <c r="A20" s="26" t="s">
        <v>13</v>
      </c>
      <c r="B20" s="26" t="s">
        <v>250</v>
      </c>
      <c r="C20" s="30">
        <v>11.8</v>
      </c>
      <c r="D20" s="27">
        <v>10.6</v>
      </c>
      <c r="E20" s="28">
        <v>22</v>
      </c>
      <c r="F20" s="16">
        <f t="shared" si="29"/>
        <v>2.75176</v>
      </c>
      <c r="G20" s="17"/>
      <c r="H20" s="18"/>
      <c r="I20" s="19">
        <f t="shared" si="30"/>
        <v>0</v>
      </c>
      <c r="J20" s="16"/>
      <c r="K20" s="18">
        <v>9</v>
      </c>
      <c r="L20" s="19">
        <f t="shared" si="31"/>
        <v>1.1257200000000001</v>
      </c>
      <c r="M20" s="16"/>
      <c r="N20" s="18">
        <v>1</v>
      </c>
      <c r="O20" s="19">
        <f t="shared" si="32"/>
        <v>0.12508</v>
      </c>
      <c r="P20" s="16"/>
      <c r="Q20" s="18"/>
      <c r="R20" s="19">
        <f t="shared" si="33"/>
        <v>0</v>
      </c>
      <c r="S20" s="20">
        <f t="shared" si="34"/>
        <v>10</v>
      </c>
      <c r="T20" s="19">
        <f t="shared" si="35"/>
        <v>1.2508000000000001</v>
      </c>
      <c r="U20" s="21">
        <f t="shared" si="36"/>
        <v>12</v>
      </c>
      <c r="V20" s="19">
        <f t="shared" si="37"/>
        <v>1.5009599999999998</v>
      </c>
      <c r="X20" s="29"/>
    </row>
    <row r="21" spans="1:24">
      <c r="A21" s="26" t="s">
        <v>13</v>
      </c>
      <c r="B21" s="26" t="s">
        <v>250</v>
      </c>
      <c r="C21" s="30">
        <v>11.8</v>
      </c>
      <c r="D21" s="27">
        <v>11.2</v>
      </c>
      <c r="E21" s="28">
        <v>4</v>
      </c>
      <c r="F21" s="16">
        <f t="shared" si="29"/>
        <v>0.52864</v>
      </c>
      <c r="G21" s="17"/>
      <c r="H21" s="18"/>
      <c r="I21" s="19">
        <f t="shared" si="30"/>
        <v>0</v>
      </c>
      <c r="J21" s="16"/>
      <c r="K21" s="18">
        <v>13</v>
      </c>
      <c r="L21" s="19">
        <f t="shared" si="31"/>
        <v>1.7180799999999998</v>
      </c>
      <c r="M21" s="16"/>
      <c r="N21" s="18"/>
      <c r="O21" s="19">
        <f t="shared" si="32"/>
        <v>0</v>
      </c>
      <c r="P21" s="16"/>
      <c r="Q21" s="18"/>
      <c r="R21" s="19">
        <f t="shared" si="33"/>
        <v>0</v>
      </c>
      <c r="S21" s="20">
        <f t="shared" si="34"/>
        <v>13</v>
      </c>
      <c r="T21" s="19">
        <f t="shared" si="35"/>
        <v>1.7180799999999998</v>
      </c>
      <c r="U21" s="21">
        <f t="shared" si="36"/>
        <v>-9</v>
      </c>
      <c r="V21" s="19">
        <f t="shared" si="37"/>
        <v>-1.1894399999999998</v>
      </c>
      <c r="X21" s="29"/>
    </row>
    <row r="22" spans="1:24">
      <c r="A22" s="26" t="s">
        <v>13</v>
      </c>
      <c r="B22" s="26" t="s">
        <v>250</v>
      </c>
      <c r="C22" s="30">
        <v>11.8</v>
      </c>
      <c r="D22" s="27">
        <v>11.5</v>
      </c>
      <c r="E22" s="28">
        <v>58</v>
      </c>
      <c r="F22" s="16">
        <f t="shared" si="29"/>
        <v>7.8706000000000014</v>
      </c>
      <c r="G22" s="17"/>
      <c r="H22" s="18">
        <v>45</v>
      </c>
      <c r="I22" s="19">
        <f t="shared" si="30"/>
        <v>6.1065000000000005</v>
      </c>
      <c r="J22" s="16"/>
      <c r="K22" s="18">
        <v>10</v>
      </c>
      <c r="L22" s="19">
        <f t="shared" si="31"/>
        <v>1.3570000000000002</v>
      </c>
      <c r="M22" s="16"/>
      <c r="N22" s="18">
        <v>1</v>
      </c>
      <c r="O22" s="19">
        <f t="shared" si="32"/>
        <v>0.13570000000000002</v>
      </c>
      <c r="P22" s="16"/>
      <c r="Q22" s="18"/>
      <c r="R22" s="19">
        <f t="shared" si="33"/>
        <v>0</v>
      </c>
      <c r="S22" s="20">
        <f t="shared" si="34"/>
        <v>56</v>
      </c>
      <c r="T22" s="19">
        <f t="shared" si="35"/>
        <v>7.5992000000000006</v>
      </c>
      <c r="U22" s="21">
        <f t="shared" si="36"/>
        <v>2</v>
      </c>
      <c r="V22" s="19">
        <f t="shared" si="37"/>
        <v>0.27140000000000075</v>
      </c>
      <c r="X22" s="29"/>
    </row>
    <row r="23" spans="1:24">
      <c r="A23" s="26" t="s">
        <v>13</v>
      </c>
      <c r="B23" s="26" t="s">
        <v>250</v>
      </c>
      <c r="C23" s="30">
        <v>11.8</v>
      </c>
      <c r="D23" s="27">
        <v>11.7</v>
      </c>
      <c r="E23" s="28">
        <v>40</v>
      </c>
      <c r="F23" s="16">
        <f t="shared" ref="F23:F26" si="38">(C23*D23*E23/1000)</f>
        <v>5.5223999999999993</v>
      </c>
      <c r="G23" s="17"/>
      <c r="H23" s="18">
        <v>21</v>
      </c>
      <c r="I23" s="19">
        <f t="shared" ref="I23:I26" si="39">(C23*D23*H23/1000)</f>
        <v>2.8992600000000004</v>
      </c>
      <c r="J23" s="16"/>
      <c r="K23" s="18">
        <v>8</v>
      </c>
      <c r="L23" s="19">
        <f t="shared" ref="L23:L26" si="40">(C23*D23*K23/1000)</f>
        <v>1.1044800000000001</v>
      </c>
      <c r="M23" s="16"/>
      <c r="N23" s="18">
        <v>17</v>
      </c>
      <c r="O23" s="19">
        <f t="shared" ref="O23:O26" si="41">(C23*D23*N23/1000)</f>
        <v>2.3470200000000001</v>
      </c>
      <c r="P23" s="16"/>
      <c r="Q23" s="18"/>
      <c r="R23" s="19">
        <f t="shared" ref="R23:R26" si="42">(C23*D23*Q23/1000)</f>
        <v>0</v>
      </c>
      <c r="S23" s="20">
        <f t="shared" ref="S23:S26" si="43">+H23+K23+Q23+N23</f>
        <v>46</v>
      </c>
      <c r="T23" s="19">
        <f t="shared" ref="T23:T26" si="44">+I23+L23+R23+O23</f>
        <v>6.3507600000000011</v>
      </c>
      <c r="U23" s="21">
        <f t="shared" ref="U23:U26" si="45">E23-S23</f>
        <v>-6</v>
      </c>
      <c r="V23" s="19">
        <f t="shared" ref="V23:V26" si="46">F23-T23</f>
        <v>-0.82836000000000176</v>
      </c>
      <c r="X23" s="29"/>
    </row>
    <row r="24" spans="1:24">
      <c r="A24" s="26" t="s">
        <v>13</v>
      </c>
      <c r="B24" s="26" t="s">
        <v>250</v>
      </c>
      <c r="C24" s="30">
        <v>11.8</v>
      </c>
      <c r="D24" s="27">
        <v>6.3</v>
      </c>
      <c r="E24" s="28"/>
      <c r="F24" s="16">
        <f t="shared" si="38"/>
        <v>0</v>
      </c>
      <c r="G24" s="17"/>
      <c r="H24" s="18"/>
      <c r="I24" s="19">
        <f t="shared" si="39"/>
        <v>0</v>
      </c>
      <c r="J24" s="16"/>
      <c r="K24" s="18"/>
      <c r="L24" s="19">
        <f t="shared" si="40"/>
        <v>0</v>
      </c>
      <c r="M24" s="16"/>
      <c r="N24" s="18"/>
      <c r="O24" s="19">
        <f t="shared" si="41"/>
        <v>0</v>
      </c>
      <c r="P24" s="16"/>
      <c r="Q24" s="18"/>
      <c r="R24" s="19">
        <f t="shared" si="42"/>
        <v>0</v>
      </c>
      <c r="S24" s="20">
        <f t="shared" si="43"/>
        <v>0</v>
      </c>
      <c r="T24" s="19">
        <f t="shared" si="44"/>
        <v>0</v>
      </c>
      <c r="U24" s="21">
        <f t="shared" si="45"/>
        <v>0</v>
      </c>
      <c r="V24" s="19">
        <f t="shared" si="46"/>
        <v>0</v>
      </c>
      <c r="X24" s="29"/>
    </row>
    <row r="25" spans="1:24">
      <c r="A25" s="26" t="s">
        <v>13</v>
      </c>
      <c r="B25" s="26" t="s">
        <v>250</v>
      </c>
      <c r="C25" s="30">
        <v>11.8</v>
      </c>
      <c r="D25" s="27">
        <v>7</v>
      </c>
      <c r="E25" s="28"/>
      <c r="F25" s="16">
        <f t="shared" si="38"/>
        <v>0</v>
      </c>
      <c r="G25" s="17"/>
      <c r="H25" s="18">
        <v>2</v>
      </c>
      <c r="I25" s="19">
        <f t="shared" si="39"/>
        <v>0.16520000000000001</v>
      </c>
      <c r="J25" s="16"/>
      <c r="K25" s="18"/>
      <c r="L25" s="19">
        <f t="shared" si="40"/>
        <v>0</v>
      </c>
      <c r="M25" s="16"/>
      <c r="N25" s="18"/>
      <c r="O25" s="19">
        <f t="shared" si="41"/>
        <v>0</v>
      </c>
      <c r="P25" s="16"/>
      <c r="Q25" s="18"/>
      <c r="R25" s="19">
        <f t="shared" si="42"/>
        <v>0</v>
      </c>
      <c r="S25" s="20">
        <f t="shared" si="43"/>
        <v>2</v>
      </c>
      <c r="T25" s="19">
        <f t="shared" si="44"/>
        <v>0.16520000000000001</v>
      </c>
      <c r="U25" s="21">
        <f t="shared" si="45"/>
        <v>-2</v>
      </c>
      <c r="V25" s="19">
        <f t="shared" si="46"/>
        <v>-0.16520000000000001</v>
      </c>
      <c r="X25" s="29"/>
    </row>
    <row r="26" spans="1:24">
      <c r="A26" s="26" t="s">
        <v>13</v>
      </c>
      <c r="B26" s="26" t="s">
        <v>250</v>
      </c>
      <c r="C26" s="30">
        <v>11.8</v>
      </c>
      <c r="D26" s="27">
        <v>11</v>
      </c>
      <c r="E26" s="28"/>
      <c r="F26" s="16">
        <f t="shared" si="38"/>
        <v>0</v>
      </c>
      <c r="G26" s="17"/>
      <c r="H26" s="18"/>
      <c r="I26" s="19">
        <f t="shared" si="39"/>
        <v>0</v>
      </c>
      <c r="J26" s="16"/>
      <c r="K26" s="18"/>
      <c r="L26" s="19">
        <f t="shared" si="40"/>
        <v>0</v>
      </c>
      <c r="M26" s="16"/>
      <c r="N26" s="18">
        <v>2</v>
      </c>
      <c r="O26" s="19">
        <f t="shared" si="41"/>
        <v>0.2596</v>
      </c>
      <c r="P26" s="16"/>
      <c r="Q26" s="18"/>
      <c r="R26" s="19">
        <f t="shared" si="42"/>
        <v>0</v>
      </c>
      <c r="S26" s="20">
        <f t="shared" si="43"/>
        <v>2</v>
      </c>
      <c r="T26" s="19">
        <f t="shared" si="44"/>
        <v>0.2596</v>
      </c>
      <c r="U26" s="21">
        <f t="shared" si="45"/>
        <v>-2</v>
      </c>
      <c r="V26" s="19">
        <f t="shared" si="46"/>
        <v>-0.2596</v>
      </c>
      <c r="X26" s="29"/>
    </row>
    <row r="27" spans="1:24">
      <c r="A27" s="26" t="s">
        <v>13</v>
      </c>
      <c r="B27" s="26" t="s">
        <v>250</v>
      </c>
      <c r="C27" s="30">
        <v>11.8</v>
      </c>
      <c r="D27" s="27">
        <v>12</v>
      </c>
      <c r="E27" s="28"/>
      <c r="F27" s="16">
        <f t="shared" si="29"/>
        <v>0</v>
      </c>
      <c r="G27" s="17"/>
      <c r="H27" s="18"/>
      <c r="I27" s="19">
        <f t="shared" si="30"/>
        <v>0</v>
      </c>
      <c r="J27" s="16"/>
      <c r="K27" s="18"/>
      <c r="L27" s="19">
        <f t="shared" si="31"/>
        <v>0</v>
      </c>
      <c r="M27" s="16"/>
      <c r="N27" s="18">
        <v>1</v>
      </c>
      <c r="O27" s="19">
        <f t="shared" si="32"/>
        <v>0.14160000000000003</v>
      </c>
      <c r="P27" s="16"/>
      <c r="Q27" s="18"/>
      <c r="R27" s="19">
        <f t="shared" si="33"/>
        <v>0</v>
      </c>
      <c r="S27" s="20">
        <f t="shared" si="34"/>
        <v>1</v>
      </c>
      <c r="T27" s="19">
        <f t="shared" si="35"/>
        <v>0.14160000000000003</v>
      </c>
      <c r="U27" s="21">
        <f t="shared" si="36"/>
        <v>-1</v>
      </c>
      <c r="V27" s="19">
        <f t="shared" si="37"/>
        <v>-0.14160000000000003</v>
      </c>
      <c r="X27" s="29"/>
    </row>
    <row r="28" spans="1:24">
      <c r="A28" s="36"/>
      <c r="B28" s="36"/>
      <c r="C28" s="37"/>
      <c r="D28" s="38"/>
      <c r="E28" s="31">
        <f t="shared" ref="E28:F28" si="47">SUM(E15:E27)</f>
        <v>193</v>
      </c>
      <c r="F28" s="38">
        <f t="shared" si="47"/>
        <v>23.165759999999999</v>
      </c>
      <c r="G28" s="17"/>
      <c r="H28" s="31">
        <f t="shared" ref="H28" si="48">SUM(H15:H27)</f>
        <v>98</v>
      </c>
      <c r="I28" s="38">
        <f t="shared" ref="I28" si="49">SUM(I15:I27)</f>
        <v>11.936880000000002</v>
      </c>
      <c r="J28" s="16"/>
      <c r="K28" s="31">
        <f t="shared" ref="K28" si="50">SUM(K15:K27)</f>
        <v>72</v>
      </c>
      <c r="L28" s="38">
        <f t="shared" ref="L28" si="51">SUM(L15:L27)</f>
        <v>8.1974599999999995</v>
      </c>
      <c r="M28" s="16"/>
      <c r="N28" s="31">
        <f t="shared" ref="N28" si="52">SUM(N15:N27)</f>
        <v>23</v>
      </c>
      <c r="O28" s="38">
        <f t="shared" ref="O28" si="53">SUM(O15:O27)</f>
        <v>3.1034000000000002</v>
      </c>
      <c r="P28" s="16"/>
      <c r="Q28" s="31">
        <f t="shared" ref="Q28" si="54">SUM(Q15:Q27)</f>
        <v>0</v>
      </c>
      <c r="R28" s="38">
        <f t="shared" ref="R28" si="55">SUM(R15:R27)</f>
        <v>0</v>
      </c>
      <c r="S28" s="31">
        <f t="shared" ref="S28" si="56">SUM(S15:S27)</f>
        <v>193</v>
      </c>
      <c r="T28" s="38">
        <f t="shared" ref="T28" si="57">SUM(T15:T27)</f>
        <v>23.237739999999999</v>
      </c>
      <c r="U28" s="31">
        <f t="shared" ref="U28" si="58">SUM(U15:U27)</f>
        <v>0</v>
      </c>
      <c r="V28" s="38">
        <f t="shared" ref="V28" si="59">SUM(V15:V27)</f>
        <v>-7.1980000000001515E-2</v>
      </c>
      <c r="X28" s="29"/>
    </row>
    <row r="29" spans="1:24">
      <c r="A29" s="26" t="s">
        <v>13</v>
      </c>
      <c r="B29" s="26" t="s">
        <v>251</v>
      </c>
      <c r="C29" s="30">
        <v>13.4</v>
      </c>
      <c r="D29" s="27">
        <v>6.6</v>
      </c>
      <c r="E29" s="28">
        <v>22</v>
      </c>
      <c r="F29" s="16">
        <f t="shared" ref="F29:F35" si="60">(C29*D29*E29/1000)</f>
        <v>1.9456799999999999</v>
      </c>
      <c r="G29" s="16" t="s">
        <v>293</v>
      </c>
      <c r="H29" s="18">
        <v>5</v>
      </c>
      <c r="I29" s="19">
        <f t="shared" ref="I29:I35" si="61">(C29*D29*H29/1000)</f>
        <v>0.44219999999999998</v>
      </c>
      <c r="J29" s="16" t="s">
        <v>111</v>
      </c>
      <c r="K29" s="18">
        <v>14</v>
      </c>
      <c r="L29" s="19">
        <f t="shared" ref="L29:L35" si="62">(C29*D29*K29/1000)</f>
        <v>1.2381599999999999</v>
      </c>
      <c r="M29" s="16"/>
      <c r="N29" s="18"/>
      <c r="O29" s="19">
        <f t="shared" ref="O29:O35" si="63">(C29*D29*N29/1000)</f>
        <v>0</v>
      </c>
      <c r="P29" s="16"/>
      <c r="Q29" s="18"/>
      <c r="R29" s="19">
        <f t="shared" ref="R29:R35" si="64">(C29*D29*Q29/1000)</f>
        <v>0</v>
      </c>
      <c r="S29" s="20">
        <f t="shared" ref="S29:T35" si="65">+H29+K29+Q29+N29</f>
        <v>19</v>
      </c>
      <c r="T29" s="19">
        <f t="shared" si="65"/>
        <v>1.6803599999999999</v>
      </c>
      <c r="U29" s="21">
        <f t="shared" ref="U29:V35" si="66">E29-S29</f>
        <v>3</v>
      </c>
      <c r="V29" s="19">
        <f t="shared" si="66"/>
        <v>0.26532</v>
      </c>
      <c r="X29" s="29"/>
    </row>
    <row r="30" spans="1:24">
      <c r="A30" s="26" t="s">
        <v>13</v>
      </c>
      <c r="B30" s="26" t="s">
        <v>251</v>
      </c>
      <c r="C30" s="30">
        <v>13.4</v>
      </c>
      <c r="D30" s="27">
        <v>6.8</v>
      </c>
      <c r="E30" s="28">
        <v>42</v>
      </c>
      <c r="F30" s="16">
        <f t="shared" si="60"/>
        <v>3.8270399999999998</v>
      </c>
      <c r="G30" s="16" t="s">
        <v>294</v>
      </c>
      <c r="H30" s="18">
        <v>21</v>
      </c>
      <c r="I30" s="19">
        <f t="shared" si="61"/>
        <v>1.9135199999999999</v>
      </c>
      <c r="J30" s="16" t="s">
        <v>294</v>
      </c>
      <c r="K30" s="18">
        <v>22</v>
      </c>
      <c r="L30" s="19">
        <f t="shared" si="62"/>
        <v>2.0046400000000002</v>
      </c>
      <c r="M30" s="16"/>
      <c r="N30" s="18"/>
      <c r="O30" s="19">
        <f t="shared" si="63"/>
        <v>0</v>
      </c>
      <c r="P30" s="16"/>
      <c r="Q30" s="18"/>
      <c r="R30" s="19">
        <f t="shared" si="64"/>
        <v>0</v>
      </c>
      <c r="S30" s="20">
        <f t="shared" si="65"/>
        <v>43</v>
      </c>
      <c r="T30" s="19">
        <f t="shared" si="65"/>
        <v>3.9181600000000003</v>
      </c>
      <c r="U30" s="21">
        <f t="shared" si="66"/>
        <v>-1</v>
      </c>
      <c r="V30" s="19">
        <f t="shared" si="66"/>
        <v>-9.1120000000000534E-2</v>
      </c>
      <c r="X30" s="29"/>
    </row>
    <row r="31" spans="1:24">
      <c r="A31" s="26" t="s">
        <v>13</v>
      </c>
      <c r="B31" s="26" t="s">
        <v>251</v>
      </c>
      <c r="C31" s="30">
        <v>13.4</v>
      </c>
      <c r="D31" s="27">
        <v>8</v>
      </c>
      <c r="E31" s="28">
        <v>33</v>
      </c>
      <c r="F31" s="16">
        <f t="shared" si="60"/>
        <v>3.5375999999999999</v>
      </c>
      <c r="G31" s="17"/>
      <c r="H31" s="18">
        <f>13+16</f>
        <v>29</v>
      </c>
      <c r="I31" s="19">
        <f t="shared" si="61"/>
        <v>3.1088</v>
      </c>
      <c r="J31" s="16"/>
      <c r="K31" s="18"/>
      <c r="L31" s="19">
        <f t="shared" si="62"/>
        <v>0</v>
      </c>
      <c r="M31" s="16"/>
      <c r="N31" s="18"/>
      <c r="O31" s="19">
        <f t="shared" si="63"/>
        <v>0</v>
      </c>
      <c r="P31" s="16"/>
      <c r="Q31" s="18"/>
      <c r="R31" s="19">
        <f t="shared" si="64"/>
        <v>0</v>
      </c>
      <c r="S31" s="20">
        <f t="shared" si="65"/>
        <v>29</v>
      </c>
      <c r="T31" s="19">
        <f t="shared" si="65"/>
        <v>3.1088</v>
      </c>
      <c r="U31" s="21">
        <f t="shared" si="66"/>
        <v>4</v>
      </c>
      <c r="V31" s="19">
        <f t="shared" si="66"/>
        <v>0.42879999999999985</v>
      </c>
      <c r="X31" s="29"/>
    </row>
    <row r="32" spans="1:24">
      <c r="A32" s="26" t="s">
        <v>13</v>
      </c>
      <c r="B32" s="26" t="s">
        <v>251</v>
      </c>
      <c r="C32" s="30">
        <v>13.4</v>
      </c>
      <c r="D32" s="27">
        <v>9.6</v>
      </c>
      <c r="E32" s="28">
        <v>33</v>
      </c>
      <c r="F32" s="16">
        <f t="shared" si="60"/>
        <v>4.24512</v>
      </c>
      <c r="G32" s="17"/>
      <c r="H32" s="18">
        <v>21</v>
      </c>
      <c r="I32" s="19">
        <f t="shared" si="61"/>
        <v>2.7014399999999994</v>
      </c>
      <c r="J32" s="16"/>
      <c r="K32" s="18">
        <v>16</v>
      </c>
      <c r="L32" s="19">
        <f t="shared" si="62"/>
        <v>2.0582399999999996</v>
      </c>
      <c r="M32" s="16"/>
      <c r="N32" s="18"/>
      <c r="O32" s="19">
        <f t="shared" si="63"/>
        <v>0</v>
      </c>
      <c r="P32" s="16"/>
      <c r="Q32" s="18"/>
      <c r="R32" s="19">
        <f t="shared" si="64"/>
        <v>0</v>
      </c>
      <c r="S32" s="20">
        <f t="shared" si="65"/>
        <v>37</v>
      </c>
      <c r="T32" s="19">
        <f t="shared" si="65"/>
        <v>4.7596799999999995</v>
      </c>
      <c r="U32" s="21">
        <f t="shared" si="66"/>
        <v>-4</v>
      </c>
      <c r="V32" s="19">
        <f t="shared" si="66"/>
        <v>-0.51455999999999946</v>
      </c>
      <c r="X32" s="29"/>
    </row>
    <row r="33" spans="1:24">
      <c r="A33" s="26" t="s">
        <v>13</v>
      </c>
      <c r="B33" s="26" t="s">
        <v>251</v>
      </c>
      <c r="C33" s="30">
        <v>13.4</v>
      </c>
      <c r="D33" s="27">
        <v>10.5</v>
      </c>
      <c r="E33" s="28">
        <v>8</v>
      </c>
      <c r="F33" s="16">
        <f t="shared" si="60"/>
        <v>1.1256000000000002</v>
      </c>
      <c r="G33" s="17"/>
      <c r="H33" s="18">
        <v>8</v>
      </c>
      <c r="I33" s="19">
        <f t="shared" si="61"/>
        <v>1.1256000000000002</v>
      </c>
      <c r="J33" s="16"/>
      <c r="K33" s="18"/>
      <c r="L33" s="19">
        <f t="shared" si="62"/>
        <v>0</v>
      </c>
      <c r="M33" s="16"/>
      <c r="N33" s="18"/>
      <c r="O33" s="19">
        <f t="shared" si="63"/>
        <v>0</v>
      </c>
      <c r="P33" s="16"/>
      <c r="Q33" s="18"/>
      <c r="R33" s="19">
        <f t="shared" si="64"/>
        <v>0</v>
      </c>
      <c r="S33" s="20">
        <f t="shared" si="65"/>
        <v>8</v>
      </c>
      <c r="T33" s="19">
        <f t="shared" si="65"/>
        <v>1.1256000000000002</v>
      </c>
      <c r="U33" s="21">
        <f t="shared" si="66"/>
        <v>0</v>
      </c>
      <c r="V33" s="19">
        <f t="shared" si="66"/>
        <v>0</v>
      </c>
      <c r="X33" s="29"/>
    </row>
    <row r="34" spans="1:24">
      <c r="A34" s="26" t="s">
        <v>13</v>
      </c>
      <c r="B34" s="26" t="s">
        <v>251</v>
      </c>
      <c r="C34" s="30">
        <v>13.4</v>
      </c>
      <c r="D34" s="27">
        <v>11.2</v>
      </c>
      <c r="E34" s="28">
        <v>44</v>
      </c>
      <c r="F34" s="16">
        <f t="shared" si="60"/>
        <v>6.6035199999999996</v>
      </c>
      <c r="G34" s="17"/>
      <c r="H34" s="18">
        <v>44</v>
      </c>
      <c r="I34" s="19">
        <f t="shared" si="61"/>
        <v>6.6035199999999996</v>
      </c>
      <c r="J34" s="16"/>
      <c r="K34" s="18">
        <v>1</v>
      </c>
      <c r="L34" s="19">
        <f t="shared" si="62"/>
        <v>0.15007999999999999</v>
      </c>
      <c r="M34" s="16"/>
      <c r="N34" s="18"/>
      <c r="O34" s="19">
        <f t="shared" si="63"/>
        <v>0</v>
      </c>
      <c r="P34" s="16"/>
      <c r="Q34" s="18"/>
      <c r="R34" s="19">
        <f t="shared" si="64"/>
        <v>0</v>
      </c>
      <c r="S34" s="20">
        <f t="shared" si="65"/>
        <v>45</v>
      </c>
      <c r="T34" s="19">
        <f t="shared" si="65"/>
        <v>6.7535999999999996</v>
      </c>
      <c r="U34" s="21">
        <f t="shared" si="66"/>
        <v>-1</v>
      </c>
      <c r="V34" s="19">
        <f t="shared" si="66"/>
        <v>-0.15007999999999999</v>
      </c>
      <c r="X34" s="29"/>
    </row>
    <row r="35" spans="1:24">
      <c r="A35" s="26" t="s">
        <v>13</v>
      </c>
      <c r="B35" s="26" t="s">
        <v>251</v>
      </c>
      <c r="C35" s="30">
        <v>13.4</v>
      </c>
      <c r="D35" s="27">
        <v>12</v>
      </c>
      <c r="E35" s="28">
        <v>15</v>
      </c>
      <c r="F35" s="16">
        <f t="shared" si="60"/>
        <v>2.4119999999999999</v>
      </c>
      <c r="G35" s="17"/>
      <c r="H35" s="18">
        <f>7+8</f>
        <v>15</v>
      </c>
      <c r="I35" s="19">
        <f t="shared" si="61"/>
        <v>2.4119999999999999</v>
      </c>
      <c r="J35" s="16"/>
      <c r="K35" s="18"/>
      <c r="L35" s="19">
        <f t="shared" si="62"/>
        <v>0</v>
      </c>
      <c r="M35" s="16"/>
      <c r="N35" s="18"/>
      <c r="O35" s="19">
        <f t="shared" si="63"/>
        <v>0</v>
      </c>
      <c r="P35" s="16"/>
      <c r="Q35" s="18"/>
      <c r="R35" s="19">
        <f t="shared" si="64"/>
        <v>0</v>
      </c>
      <c r="S35" s="20">
        <f t="shared" si="65"/>
        <v>15</v>
      </c>
      <c r="T35" s="19">
        <f t="shared" si="65"/>
        <v>2.4119999999999999</v>
      </c>
      <c r="U35" s="21">
        <f t="shared" si="66"/>
        <v>0</v>
      </c>
      <c r="V35" s="19">
        <f t="shared" si="66"/>
        <v>0</v>
      </c>
      <c r="X35" s="29"/>
    </row>
    <row r="36" spans="1:24">
      <c r="A36" s="36"/>
      <c r="B36" s="36"/>
      <c r="C36" s="37"/>
      <c r="D36" s="38"/>
      <c r="E36" s="31">
        <f t="shared" ref="E36:F36" si="67">SUM(E29:E35)</f>
        <v>197</v>
      </c>
      <c r="F36" s="38">
        <f t="shared" si="67"/>
        <v>23.696559999999998</v>
      </c>
      <c r="G36" s="17"/>
      <c r="H36" s="31">
        <f t="shared" ref="H36" si="68">SUM(H29:H35)</f>
        <v>143</v>
      </c>
      <c r="I36" s="38">
        <f t="shared" ref="I36" si="69">SUM(I29:I35)</f>
        <v>18.307079999999999</v>
      </c>
      <c r="J36" s="16"/>
      <c r="K36" s="31">
        <f t="shared" ref="K36" si="70">SUM(K29:K35)</f>
        <v>53</v>
      </c>
      <c r="L36" s="38">
        <f t="shared" ref="L36" si="71">SUM(L29:L35)</f>
        <v>5.4511199999999995</v>
      </c>
      <c r="M36" s="16"/>
      <c r="N36" s="31">
        <f t="shared" ref="N36" si="72">SUM(N29:N35)</f>
        <v>0</v>
      </c>
      <c r="O36" s="38">
        <f t="shared" ref="O36" si="73">SUM(O29:O35)</f>
        <v>0</v>
      </c>
      <c r="P36" s="16"/>
      <c r="Q36" s="31">
        <f t="shared" ref="Q36" si="74">SUM(Q29:Q35)</f>
        <v>0</v>
      </c>
      <c r="R36" s="38">
        <f t="shared" ref="R36" si="75">SUM(R29:R35)</f>
        <v>0</v>
      </c>
      <c r="S36" s="31">
        <f t="shared" ref="S36" si="76">SUM(S29:S35)</f>
        <v>196</v>
      </c>
      <c r="T36" s="38">
        <f t="shared" ref="T36" si="77">SUM(T29:T35)</f>
        <v>23.758199999999999</v>
      </c>
      <c r="U36" s="31">
        <f t="shared" ref="U36" si="78">SUM(U29:U35)</f>
        <v>1</v>
      </c>
      <c r="V36" s="38">
        <f t="shared" ref="V36" si="79">SUM(V29:V35)</f>
        <v>-6.1640000000000139E-2</v>
      </c>
      <c r="X36" s="29"/>
    </row>
    <row r="37" spans="1:24">
      <c r="A37" s="26" t="s">
        <v>13</v>
      </c>
      <c r="B37" s="26" t="s">
        <v>33</v>
      </c>
      <c r="C37" s="30">
        <v>15</v>
      </c>
      <c r="D37" s="27">
        <v>8</v>
      </c>
      <c r="E37" s="28">
        <v>7</v>
      </c>
      <c r="F37" s="16">
        <f>(C37*D37*E37/1000)</f>
        <v>0.84</v>
      </c>
      <c r="G37" s="17" t="s">
        <v>295</v>
      </c>
      <c r="H37" s="18">
        <v>7</v>
      </c>
      <c r="I37" s="19">
        <f>(C37*D37*H37/1000)</f>
        <v>0.84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>+H37+K37+Q37+N37</f>
        <v>7</v>
      </c>
      <c r="T37" s="19">
        <f>+I37+L37+R37+O37</f>
        <v>0.84</v>
      </c>
      <c r="U37" s="21">
        <f>E37-S37</f>
        <v>0</v>
      </c>
      <c r="V37" s="19">
        <f>F37-T37</f>
        <v>0</v>
      </c>
      <c r="X37" s="29"/>
    </row>
    <row r="38" spans="1:24">
      <c r="A38" s="36"/>
      <c r="B38" s="36"/>
      <c r="C38" s="37"/>
      <c r="D38" s="38"/>
      <c r="E38" s="31">
        <f t="shared" ref="E38:F38" si="80">SUM(E37)</f>
        <v>7</v>
      </c>
      <c r="F38" s="38">
        <f t="shared" si="80"/>
        <v>0.84</v>
      </c>
      <c r="G38" s="17" t="s">
        <v>296</v>
      </c>
      <c r="H38" s="31">
        <f t="shared" ref="H38" si="81">SUM(H37)</f>
        <v>7</v>
      </c>
      <c r="I38" s="38">
        <f t="shared" ref="I38" si="82">SUM(I37)</f>
        <v>0.84</v>
      </c>
      <c r="J38" s="16"/>
      <c r="K38" s="31">
        <f t="shared" ref="K38" si="83">SUM(K37)</f>
        <v>0</v>
      </c>
      <c r="L38" s="38">
        <f t="shared" ref="L38" si="84">SUM(L37)</f>
        <v>0</v>
      </c>
      <c r="M38" s="16"/>
      <c r="N38" s="31">
        <f t="shared" ref="N38" si="85">SUM(N37)</f>
        <v>0</v>
      </c>
      <c r="O38" s="38">
        <f t="shared" ref="O38" si="86">SUM(O37)</f>
        <v>0</v>
      </c>
      <c r="P38" s="16"/>
      <c r="Q38" s="31">
        <f t="shared" ref="Q38" si="87">SUM(Q37)</f>
        <v>0</v>
      </c>
      <c r="R38" s="38">
        <f t="shared" ref="R38" si="88">SUM(R37)</f>
        <v>0</v>
      </c>
      <c r="S38" s="31">
        <f t="shared" ref="S38" si="89">SUM(S37)</f>
        <v>7</v>
      </c>
      <c r="T38" s="38">
        <f t="shared" ref="T38" si="90">SUM(T37)</f>
        <v>0.84</v>
      </c>
      <c r="U38" s="31">
        <f t="shared" ref="U38" si="91">SUM(U37)</f>
        <v>0</v>
      </c>
      <c r="V38" s="38">
        <f t="shared" ref="V38" si="92">SUM(V37)</f>
        <v>0</v>
      </c>
      <c r="X38" s="29"/>
    </row>
    <row r="39" spans="1:24">
      <c r="A39" s="26" t="s">
        <v>13</v>
      </c>
      <c r="B39" s="26" t="s">
        <v>47</v>
      </c>
      <c r="C39" s="30">
        <v>18.2</v>
      </c>
      <c r="D39" s="27">
        <v>6.1</v>
      </c>
      <c r="E39" s="28">
        <v>26</v>
      </c>
      <c r="F39" s="16">
        <f t="shared" ref="F39:F51" si="93">(C39*D39*E39/1000)</f>
        <v>2.88652</v>
      </c>
      <c r="G39" s="17" t="s">
        <v>89</v>
      </c>
      <c r="H39" s="18"/>
      <c r="I39" s="19">
        <f t="shared" ref="I39:I51" si="94">(C39*D39*H39/1000)</f>
        <v>0</v>
      </c>
      <c r="J39" s="16" t="s">
        <v>295</v>
      </c>
      <c r="K39" s="18">
        <v>21</v>
      </c>
      <c r="L39" s="19">
        <f t="shared" ref="L39:L51" si="95">(C39*D39*K39/1000)</f>
        <v>2.33142</v>
      </c>
      <c r="M39" s="16" t="s">
        <v>64</v>
      </c>
      <c r="N39" s="18">
        <v>4</v>
      </c>
      <c r="O39" s="19">
        <f t="shared" ref="O39:O51" si="96">(C39*D39*N39/1000)</f>
        <v>0.44407999999999997</v>
      </c>
      <c r="P39" s="16" t="s">
        <v>86</v>
      </c>
      <c r="Q39" s="18">
        <v>11</v>
      </c>
      <c r="R39" s="19">
        <f t="shared" ref="R39:R51" si="97">(C39*D39*Q39/1000)</f>
        <v>1.22122</v>
      </c>
      <c r="S39" s="20">
        <f t="shared" ref="S39:T51" si="98">+H39+K39+Q39+N39</f>
        <v>36</v>
      </c>
      <c r="T39" s="19">
        <f t="shared" si="98"/>
        <v>3.9967200000000003</v>
      </c>
      <c r="U39" s="21">
        <f t="shared" ref="U39:V51" si="99">E39-S39</f>
        <v>-10</v>
      </c>
      <c r="V39" s="19">
        <f t="shared" si="99"/>
        <v>-1.1102000000000003</v>
      </c>
      <c r="X39" s="29"/>
    </row>
    <row r="40" spans="1:24">
      <c r="A40" s="26" t="s">
        <v>13</v>
      </c>
      <c r="B40" s="26" t="s">
        <v>47</v>
      </c>
      <c r="C40" s="30">
        <v>18.2</v>
      </c>
      <c r="D40" s="27">
        <v>6.9</v>
      </c>
      <c r="E40" s="28">
        <v>4</v>
      </c>
      <c r="F40" s="16">
        <f t="shared" si="93"/>
        <v>0.50231999999999999</v>
      </c>
      <c r="G40" s="17" t="s">
        <v>299</v>
      </c>
      <c r="H40" s="18"/>
      <c r="I40" s="19">
        <f t="shared" si="94"/>
        <v>0</v>
      </c>
      <c r="J40" s="16" t="s">
        <v>299</v>
      </c>
      <c r="K40" s="18"/>
      <c r="L40" s="19">
        <f t="shared" si="95"/>
        <v>0</v>
      </c>
      <c r="M40" s="16" t="s">
        <v>341</v>
      </c>
      <c r="N40" s="18"/>
      <c r="O40" s="19">
        <f t="shared" si="96"/>
        <v>0</v>
      </c>
      <c r="P40" s="16" t="s">
        <v>343</v>
      </c>
      <c r="Q40" s="18"/>
      <c r="R40" s="19">
        <f t="shared" si="97"/>
        <v>0</v>
      </c>
      <c r="S40" s="20">
        <f t="shared" si="98"/>
        <v>0</v>
      </c>
      <c r="T40" s="19">
        <f t="shared" si="98"/>
        <v>0</v>
      </c>
      <c r="U40" s="21">
        <f t="shared" si="99"/>
        <v>4</v>
      </c>
      <c r="V40" s="19">
        <f t="shared" si="99"/>
        <v>0.50231999999999999</v>
      </c>
      <c r="X40" s="29"/>
    </row>
    <row r="41" spans="1:24">
      <c r="A41" s="26" t="s">
        <v>13</v>
      </c>
      <c r="B41" s="26" t="s">
        <v>47</v>
      </c>
      <c r="C41" s="30">
        <v>18.2</v>
      </c>
      <c r="D41" s="27">
        <v>8.5</v>
      </c>
      <c r="E41" s="28">
        <v>15</v>
      </c>
      <c r="F41" s="16">
        <f t="shared" si="93"/>
        <v>2.3205</v>
      </c>
      <c r="G41" s="17"/>
      <c r="H41" s="18"/>
      <c r="I41" s="19">
        <f t="shared" si="94"/>
        <v>0</v>
      </c>
      <c r="J41" s="16"/>
      <c r="K41" s="18">
        <v>15</v>
      </c>
      <c r="L41" s="19">
        <f t="shared" si="95"/>
        <v>2.3205</v>
      </c>
      <c r="M41" s="16"/>
      <c r="N41" s="18"/>
      <c r="O41" s="19">
        <f t="shared" si="96"/>
        <v>0</v>
      </c>
      <c r="P41" s="16"/>
      <c r="Q41" s="18"/>
      <c r="R41" s="19">
        <f t="shared" si="97"/>
        <v>0</v>
      </c>
      <c r="S41" s="20">
        <f t="shared" si="98"/>
        <v>15</v>
      </c>
      <c r="T41" s="19">
        <f t="shared" si="98"/>
        <v>2.3205</v>
      </c>
      <c r="U41" s="21">
        <f t="shared" si="99"/>
        <v>0</v>
      </c>
      <c r="V41" s="19">
        <f t="shared" si="99"/>
        <v>0</v>
      </c>
      <c r="X41" s="29"/>
    </row>
    <row r="42" spans="1:24">
      <c r="A42" s="26" t="s">
        <v>13</v>
      </c>
      <c r="B42" s="26" t="s">
        <v>47</v>
      </c>
      <c r="C42" s="30">
        <v>18.2</v>
      </c>
      <c r="D42" s="27">
        <v>10</v>
      </c>
      <c r="E42" s="28">
        <v>58</v>
      </c>
      <c r="F42" s="16">
        <f t="shared" si="93"/>
        <v>10.555999999999999</v>
      </c>
      <c r="G42" s="17"/>
      <c r="H42" s="18">
        <v>17</v>
      </c>
      <c r="I42" s="19">
        <f t="shared" si="94"/>
        <v>3.0939999999999999</v>
      </c>
      <c r="J42" s="16"/>
      <c r="K42" s="18">
        <v>13</v>
      </c>
      <c r="L42" s="19">
        <f t="shared" si="95"/>
        <v>2.3660000000000001</v>
      </c>
      <c r="M42" s="16"/>
      <c r="N42" s="18">
        <v>15</v>
      </c>
      <c r="O42" s="19">
        <f t="shared" si="96"/>
        <v>2.73</v>
      </c>
      <c r="P42" s="16"/>
      <c r="Q42" s="18">
        <v>10</v>
      </c>
      <c r="R42" s="19">
        <f t="shared" si="97"/>
        <v>1.82</v>
      </c>
      <c r="S42" s="20">
        <f t="shared" si="98"/>
        <v>55</v>
      </c>
      <c r="T42" s="19">
        <f t="shared" si="98"/>
        <v>10.01</v>
      </c>
      <c r="U42" s="21">
        <f t="shared" si="99"/>
        <v>3</v>
      </c>
      <c r="V42" s="19">
        <f t="shared" si="99"/>
        <v>0.54599999999999937</v>
      </c>
      <c r="X42" s="29"/>
    </row>
    <row r="43" spans="1:24">
      <c r="A43" s="26" t="s">
        <v>13</v>
      </c>
      <c r="B43" s="26" t="s">
        <v>47</v>
      </c>
      <c r="C43" s="30">
        <v>18.2</v>
      </c>
      <c r="D43" s="27">
        <v>10.9</v>
      </c>
      <c r="E43" s="28">
        <v>29</v>
      </c>
      <c r="F43" s="16">
        <f t="shared" si="93"/>
        <v>5.7530199999999994</v>
      </c>
      <c r="G43" s="17"/>
      <c r="H43" s="18">
        <v>17</v>
      </c>
      <c r="I43" s="19">
        <f t="shared" si="94"/>
        <v>3.3724600000000002</v>
      </c>
      <c r="J43" s="16"/>
      <c r="K43" s="18"/>
      <c r="L43" s="19">
        <f t="shared" si="95"/>
        <v>0</v>
      </c>
      <c r="M43" s="16"/>
      <c r="N43" s="18">
        <v>11</v>
      </c>
      <c r="O43" s="19">
        <f t="shared" si="96"/>
        <v>2.1821799999999998</v>
      </c>
      <c r="P43" s="16"/>
      <c r="Q43" s="18"/>
      <c r="R43" s="19">
        <f t="shared" si="97"/>
        <v>0</v>
      </c>
      <c r="S43" s="20">
        <f t="shared" si="98"/>
        <v>28</v>
      </c>
      <c r="T43" s="19">
        <f t="shared" si="98"/>
        <v>5.55464</v>
      </c>
      <c r="U43" s="21">
        <f t="shared" si="99"/>
        <v>1</v>
      </c>
      <c r="V43" s="19">
        <f t="shared" si="99"/>
        <v>0.19837999999999933</v>
      </c>
      <c r="X43" s="29"/>
    </row>
    <row r="44" spans="1:24">
      <c r="A44" s="26" t="s">
        <v>13</v>
      </c>
      <c r="B44" s="26" t="s">
        <v>47</v>
      </c>
      <c r="C44" s="30">
        <v>18.2</v>
      </c>
      <c r="D44" s="27">
        <v>11.1</v>
      </c>
      <c r="E44" s="28">
        <v>9</v>
      </c>
      <c r="F44" s="16">
        <f t="shared" si="93"/>
        <v>1.8181799999999999</v>
      </c>
      <c r="G44" s="17"/>
      <c r="H44" s="18">
        <v>4</v>
      </c>
      <c r="I44" s="19">
        <f t="shared" si="94"/>
        <v>0.80807999999999991</v>
      </c>
      <c r="J44" s="16"/>
      <c r="K44" s="18"/>
      <c r="L44" s="19">
        <f t="shared" si="95"/>
        <v>0</v>
      </c>
      <c r="M44" s="16"/>
      <c r="N44" s="18">
        <v>3</v>
      </c>
      <c r="O44" s="19">
        <f t="shared" si="96"/>
        <v>0.60605999999999993</v>
      </c>
      <c r="P44" s="16"/>
      <c r="Q44" s="18">
        <v>2</v>
      </c>
      <c r="R44" s="19">
        <f t="shared" si="97"/>
        <v>0.40403999999999995</v>
      </c>
      <c r="S44" s="20">
        <f t="shared" si="98"/>
        <v>9</v>
      </c>
      <c r="T44" s="19">
        <f t="shared" si="98"/>
        <v>1.8181799999999999</v>
      </c>
      <c r="U44" s="21">
        <f t="shared" si="99"/>
        <v>0</v>
      </c>
      <c r="V44" s="19">
        <f t="shared" si="99"/>
        <v>0</v>
      </c>
      <c r="X44" s="29"/>
    </row>
    <row r="45" spans="1:24">
      <c r="A45" s="26" t="s">
        <v>13</v>
      </c>
      <c r="B45" s="26" t="s">
        <v>47</v>
      </c>
      <c r="C45" s="30">
        <v>18.2</v>
      </c>
      <c r="D45" s="27">
        <v>11.5</v>
      </c>
      <c r="E45" s="28">
        <v>22</v>
      </c>
      <c r="F45" s="16">
        <f t="shared" si="93"/>
        <v>4.6045999999999996</v>
      </c>
      <c r="G45" s="17"/>
      <c r="H45" s="18">
        <v>10</v>
      </c>
      <c r="I45" s="19">
        <f t="shared" si="94"/>
        <v>2.093</v>
      </c>
      <c r="J45" s="16"/>
      <c r="K45" s="18"/>
      <c r="L45" s="19">
        <f t="shared" si="95"/>
        <v>0</v>
      </c>
      <c r="M45" s="16"/>
      <c r="N45" s="18">
        <v>10</v>
      </c>
      <c r="O45" s="19">
        <f t="shared" si="96"/>
        <v>2.093</v>
      </c>
      <c r="P45" s="16"/>
      <c r="Q45" s="18"/>
      <c r="R45" s="19">
        <f t="shared" si="97"/>
        <v>0</v>
      </c>
      <c r="S45" s="20">
        <f t="shared" si="98"/>
        <v>20</v>
      </c>
      <c r="T45" s="19">
        <f t="shared" si="98"/>
        <v>4.1859999999999999</v>
      </c>
      <c r="U45" s="21">
        <f t="shared" si="99"/>
        <v>2</v>
      </c>
      <c r="V45" s="19">
        <f t="shared" si="99"/>
        <v>0.41859999999999964</v>
      </c>
      <c r="X45" s="29"/>
    </row>
    <row r="46" spans="1:24">
      <c r="A46" s="26" t="s">
        <v>13</v>
      </c>
      <c r="B46" s="26" t="s">
        <v>47</v>
      </c>
      <c r="C46" s="30">
        <v>18.2</v>
      </c>
      <c r="D46" s="27">
        <v>12</v>
      </c>
      <c r="E46" s="28">
        <v>20</v>
      </c>
      <c r="F46" s="16">
        <f t="shared" ref="F46:F50" si="100">(C46*D46*E46/1000)</f>
        <v>4.3680000000000003</v>
      </c>
      <c r="G46" s="17"/>
      <c r="H46" s="18">
        <v>14</v>
      </c>
      <c r="I46" s="19">
        <f t="shared" ref="I46:I50" si="101">(C46*D46*H46/1000)</f>
        <v>3.0575999999999994</v>
      </c>
      <c r="J46" s="16"/>
      <c r="K46" s="18"/>
      <c r="L46" s="19">
        <f t="shared" ref="L46:L50" si="102">(C46*D46*K46/1000)</f>
        <v>0</v>
      </c>
      <c r="M46" s="16"/>
      <c r="N46" s="18">
        <v>7</v>
      </c>
      <c r="O46" s="19">
        <f t="shared" ref="O46:O50" si="103">(C46*D46*N46/1000)</f>
        <v>1.5287999999999997</v>
      </c>
      <c r="P46" s="16"/>
      <c r="Q46" s="18"/>
      <c r="R46" s="19">
        <f t="shared" ref="R46:R50" si="104">(C46*D46*Q46/1000)</f>
        <v>0</v>
      </c>
      <c r="S46" s="20">
        <f t="shared" ref="S46:S50" si="105">+H46+K46+Q46+N46</f>
        <v>21</v>
      </c>
      <c r="T46" s="19">
        <f t="shared" ref="T46:T50" si="106">+I46+L46+R46+O46</f>
        <v>4.5863999999999994</v>
      </c>
      <c r="U46" s="21">
        <f t="shared" ref="U46:U50" si="107">E46-S46</f>
        <v>-1</v>
      </c>
      <c r="V46" s="19">
        <f t="shared" ref="V46:V50" si="108">F46-T46</f>
        <v>-0.21839999999999904</v>
      </c>
      <c r="X46" s="29"/>
    </row>
    <row r="47" spans="1:24">
      <c r="A47" s="26" t="s">
        <v>13</v>
      </c>
      <c r="B47" s="26" t="s">
        <v>47</v>
      </c>
      <c r="C47" s="30">
        <v>18.2</v>
      </c>
      <c r="D47" s="27">
        <v>7.5</v>
      </c>
      <c r="E47" s="28"/>
      <c r="F47" s="16">
        <f t="shared" si="100"/>
        <v>0</v>
      </c>
      <c r="G47" s="17"/>
      <c r="H47" s="18"/>
      <c r="I47" s="19">
        <f t="shared" si="101"/>
        <v>0</v>
      </c>
      <c r="J47" s="16"/>
      <c r="K47" s="18"/>
      <c r="L47" s="19">
        <f t="shared" si="102"/>
        <v>0</v>
      </c>
      <c r="M47" s="16"/>
      <c r="N47" s="18"/>
      <c r="O47" s="19">
        <f t="shared" si="103"/>
        <v>0</v>
      </c>
      <c r="P47" s="16"/>
      <c r="Q47" s="18">
        <v>2</v>
      </c>
      <c r="R47" s="19">
        <f t="shared" si="104"/>
        <v>0.27300000000000002</v>
      </c>
      <c r="S47" s="20">
        <f t="shared" si="105"/>
        <v>2</v>
      </c>
      <c r="T47" s="19">
        <f t="shared" si="106"/>
        <v>0.27300000000000002</v>
      </c>
      <c r="U47" s="21">
        <f t="shared" si="107"/>
        <v>-2</v>
      </c>
      <c r="V47" s="19">
        <f t="shared" si="108"/>
        <v>-0.27300000000000002</v>
      </c>
      <c r="X47" s="29"/>
    </row>
    <row r="48" spans="1:24">
      <c r="A48" s="26" t="s">
        <v>13</v>
      </c>
      <c r="B48" s="26" t="s">
        <v>47</v>
      </c>
      <c r="C48" s="30">
        <v>18.2</v>
      </c>
      <c r="D48" s="27">
        <v>6</v>
      </c>
      <c r="E48" s="28"/>
      <c r="F48" s="16">
        <f t="shared" si="100"/>
        <v>0</v>
      </c>
      <c r="G48" s="17"/>
      <c r="H48" s="18"/>
      <c r="I48" s="19">
        <f t="shared" si="101"/>
        <v>0</v>
      </c>
      <c r="J48" s="16"/>
      <c r="K48" s="18"/>
      <c r="L48" s="19">
        <f t="shared" si="102"/>
        <v>0</v>
      </c>
      <c r="M48" s="16"/>
      <c r="N48" s="18"/>
      <c r="O48" s="19">
        <f t="shared" si="103"/>
        <v>0</v>
      </c>
      <c r="P48" s="16"/>
      <c r="Q48" s="18">
        <v>2</v>
      </c>
      <c r="R48" s="19">
        <f t="shared" si="104"/>
        <v>0.21839999999999998</v>
      </c>
      <c r="S48" s="20">
        <f t="shared" si="105"/>
        <v>2</v>
      </c>
      <c r="T48" s="19">
        <f t="shared" si="106"/>
        <v>0.21839999999999998</v>
      </c>
      <c r="U48" s="21">
        <f t="shared" si="107"/>
        <v>-2</v>
      </c>
      <c r="V48" s="19">
        <f t="shared" si="108"/>
        <v>-0.21839999999999998</v>
      </c>
      <c r="X48" s="29"/>
    </row>
    <row r="49" spans="1:24">
      <c r="A49" s="26" t="s">
        <v>13</v>
      </c>
      <c r="B49" s="26" t="s">
        <v>47</v>
      </c>
      <c r="C49" s="30">
        <v>18.2</v>
      </c>
      <c r="D49" s="27"/>
      <c r="E49" s="28"/>
      <c r="F49" s="16">
        <f t="shared" si="100"/>
        <v>0</v>
      </c>
      <c r="G49" s="17"/>
      <c r="H49" s="18"/>
      <c r="I49" s="19">
        <f t="shared" si="101"/>
        <v>0</v>
      </c>
      <c r="J49" s="16"/>
      <c r="K49" s="18"/>
      <c r="L49" s="19">
        <f t="shared" si="102"/>
        <v>0</v>
      </c>
      <c r="M49" s="16"/>
      <c r="N49" s="18"/>
      <c r="O49" s="19">
        <f t="shared" si="103"/>
        <v>0</v>
      </c>
      <c r="P49" s="16"/>
      <c r="Q49" s="18"/>
      <c r="R49" s="19">
        <f t="shared" si="104"/>
        <v>0</v>
      </c>
      <c r="S49" s="20">
        <f t="shared" si="105"/>
        <v>0</v>
      </c>
      <c r="T49" s="19">
        <f t="shared" si="106"/>
        <v>0</v>
      </c>
      <c r="U49" s="21">
        <f t="shared" si="107"/>
        <v>0</v>
      </c>
      <c r="V49" s="19">
        <f t="shared" si="108"/>
        <v>0</v>
      </c>
      <c r="X49" s="29"/>
    </row>
    <row r="50" spans="1:24">
      <c r="A50" s="26" t="s">
        <v>13</v>
      </c>
      <c r="B50" s="26" t="s">
        <v>47</v>
      </c>
      <c r="C50" s="30">
        <v>18.2</v>
      </c>
      <c r="D50" s="27"/>
      <c r="E50" s="28"/>
      <c r="F50" s="16">
        <f t="shared" si="100"/>
        <v>0</v>
      </c>
      <c r="G50" s="17"/>
      <c r="H50" s="18"/>
      <c r="I50" s="19">
        <f t="shared" si="101"/>
        <v>0</v>
      </c>
      <c r="J50" s="16"/>
      <c r="K50" s="18"/>
      <c r="L50" s="19">
        <f t="shared" si="102"/>
        <v>0</v>
      </c>
      <c r="M50" s="16"/>
      <c r="N50" s="18"/>
      <c r="O50" s="19">
        <f t="shared" si="103"/>
        <v>0</v>
      </c>
      <c r="P50" s="16"/>
      <c r="Q50" s="18"/>
      <c r="R50" s="19">
        <f t="shared" si="104"/>
        <v>0</v>
      </c>
      <c r="S50" s="20">
        <f t="shared" si="105"/>
        <v>0</v>
      </c>
      <c r="T50" s="19">
        <f t="shared" si="106"/>
        <v>0</v>
      </c>
      <c r="U50" s="21">
        <f t="shared" si="107"/>
        <v>0</v>
      </c>
      <c r="V50" s="19">
        <f t="shared" si="108"/>
        <v>0</v>
      </c>
      <c r="X50" s="29"/>
    </row>
    <row r="51" spans="1:24">
      <c r="A51" s="26" t="s">
        <v>13</v>
      </c>
      <c r="B51" s="26" t="s">
        <v>47</v>
      </c>
      <c r="C51" s="30">
        <v>18.2</v>
      </c>
      <c r="D51" s="27"/>
      <c r="E51" s="28"/>
      <c r="F51" s="16">
        <f t="shared" si="93"/>
        <v>0</v>
      </c>
      <c r="G51" s="17"/>
      <c r="H51" s="18"/>
      <c r="I51" s="19">
        <f t="shared" si="94"/>
        <v>0</v>
      </c>
      <c r="J51" s="16"/>
      <c r="K51" s="18"/>
      <c r="L51" s="19">
        <f t="shared" si="95"/>
        <v>0</v>
      </c>
      <c r="M51" s="16"/>
      <c r="N51" s="18"/>
      <c r="O51" s="19">
        <f t="shared" si="96"/>
        <v>0</v>
      </c>
      <c r="P51" s="16"/>
      <c r="Q51" s="18"/>
      <c r="R51" s="19">
        <f t="shared" si="97"/>
        <v>0</v>
      </c>
      <c r="S51" s="20">
        <f t="shared" si="98"/>
        <v>0</v>
      </c>
      <c r="T51" s="19">
        <f t="shared" si="98"/>
        <v>0</v>
      </c>
      <c r="U51" s="21">
        <f t="shared" si="99"/>
        <v>0</v>
      </c>
      <c r="V51" s="19">
        <f t="shared" si="99"/>
        <v>0</v>
      </c>
      <c r="X51" s="29"/>
    </row>
    <row r="52" spans="1:24">
      <c r="A52" s="36"/>
      <c r="B52" s="36"/>
      <c r="C52" s="37"/>
      <c r="D52" s="38"/>
      <c r="E52" s="31">
        <f t="shared" ref="E52:F52" si="109">SUM(E39:E51)</f>
        <v>183</v>
      </c>
      <c r="F52" s="38">
        <f t="shared" si="109"/>
        <v>32.809139999999999</v>
      </c>
      <c r="G52" s="17"/>
      <c r="H52" s="31">
        <f t="shared" ref="H52" si="110">SUM(H39:H51)</f>
        <v>62</v>
      </c>
      <c r="I52" s="38">
        <f t="shared" ref="I52" si="111">SUM(I39:I51)</f>
        <v>12.425139999999999</v>
      </c>
      <c r="J52" s="16"/>
      <c r="K52" s="31">
        <f t="shared" ref="K52" si="112">SUM(K39:K51)</f>
        <v>49</v>
      </c>
      <c r="L52" s="38">
        <f t="shared" ref="L52" si="113">SUM(L39:L51)</f>
        <v>7.0179200000000002</v>
      </c>
      <c r="M52" s="16"/>
      <c r="N52" s="31">
        <f t="shared" ref="N52" si="114">SUM(N39:N51)</f>
        <v>50</v>
      </c>
      <c r="O52" s="38">
        <f t="shared" ref="O52" si="115">SUM(O39:O51)</f>
        <v>9.5841200000000004</v>
      </c>
      <c r="P52" s="16"/>
      <c r="Q52" s="31">
        <f t="shared" ref="Q52" si="116">SUM(Q39:Q51)</f>
        <v>27</v>
      </c>
      <c r="R52" s="38">
        <f t="shared" ref="R52" si="117">SUM(R39:R51)</f>
        <v>3.9366600000000003</v>
      </c>
      <c r="S52" s="31">
        <f t="shared" ref="S52" si="118">SUM(S39:S51)</f>
        <v>188</v>
      </c>
      <c r="T52" s="38">
        <f t="shared" ref="T52" si="119">SUM(T39:T51)</f>
        <v>32.963840000000005</v>
      </c>
      <c r="U52" s="31">
        <f t="shared" ref="U52" si="120">SUM(U39:U51)</f>
        <v>-5</v>
      </c>
      <c r="V52" s="38">
        <f t="shared" ref="V52" si="121">SUM(V39:V51)</f>
        <v>-0.154700000000001</v>
      </c>
      <c r="X52" s="29"/>
    </row>
    <row r="53" spans="1:24">
      <c r="A53" s="26" t="s">
        <v>13</v>
      </c>
      <c r="B53" s="26" t="s">
        <v>252</v>
      </c>
      <c r="C53" s="30">
        <v>14.7</v>
      </c>
      <c r="D53" s="27">
        <v>8.5</v>
      </c>
      <c r="E53" s="28">
        <v>8</v>
      </c>
      <c r="F53" s="16">
        <f t="shared" ref="F53:F60" si="122">(C53*D53*E53/1000)</f>
        <v>0.99959999999999993</v>
      </c>
      <c r="G53" s="17" t="s">
        <v>301</v>
      </c>
      <c r="H53" s="18"/>
      <c r="I53" s="19">
        <f t="shared" ref="I53:I60" si="123">(C53*D53*H53/1000)</f>
        <v>0</v>
      </c>
      <c r="J53" s="16" t="s">
        <v>295</v>
      </c>
      <c r="K53" s="18"/>
      <c r="L53" s="19">
        <f t="shared" ref="L53:L60" si="124">(C53*D53*K53/1000)</f>
        <v>0</v>
      </c>
      <c r="M53" s="16" t="s">
        <v>93</v>
      </c>
      <c r="N53" s="18">
        <v>6</v>
      </c>
      <c r="O53" s="19">
        <f t="shared" ref="O53:O60" si="125">(C53*D53*N53/1000)</f>
        <v>0.74969999999999992</v>
      </c>
      <c r="P53" s="16"/>
      <c r="Q53" s="18"/>
      <c r="R53" s="19">
        <f t="shared" ref="R53:R60" si="126">(C53*D53*Q53/1000)</f>
        <v>0</v>
      </c>
      <c r="S53" s="20">
        <f t="shared" ref="S53:T60" si="127">+H53+K53+Q53+N53</f>
        <v>6</v>
      </c>
      <c r="T53" s="19">
        <f t="shared" si="127"/>
        <v>0.74969999999999992</v>
      </c>
      <c r="U53" s="21">
        <f t="shared" ref="U53:V60" si="128">E53-S53</f>
        <v>2</v>
      </c>
      <c r="V53" s="19">
        <f t="shared" si="128"/>
        <v>0.24990000000000001</v>
      </c>
      <c r="X53" s="29"/>
    </row>
    <row r="54" spans="1:24">
      <c r="A54" s="26" t="s">
        <v>13</v>
      </c>
      <c r="B54" s="26" t="s">
        <v>252</v>
      </c>
      <c r="C54" s="30">
        <v>14.7</v>
      </c>
      <c r="D54" s="27">
        <v>9.8000000000000007</v>
      </c>
      <c r="E54" s="28">
        <v>12</v>
      </c>
      <c r="F54" s="16">
        <f t="shared" si="122"/>
        <v>1.72872</v>
      </c>
      <c r="G54" s="17" t="s">
        <v>302</v>
      </c>
      <c r="H54" s="18"/>
      <c r="I54" s="19">
        <f t="shared" si="123"/>
        <v>0</v>
      </c>
      <c r="J54" s="16" t="s">
        <v>300</v>
      </c>
      <c r="K54" s="18">
        <v>8</v>
      </c>
      <c r="L54" s="19">
        <f t="shared" si="124"/>
        <v>1.1524799999999999</v>
      </c>
      <c r="M54" s="16" t="s">
        <v>342</v>
      </c>
      <c r="N54" s="18">
        <v>4</v>
      </c>
      <c r="O54" s="19">
        <f t="shared" si="125"/>
        <v>0.57623999999999997</v>
      </c>
      <c r="P54" s="16"/>
      <c r="Q54" s="18"/>
      <c r="R54" s="19">
        <f t="shared" si="126"/>
        <v>0</v>
      </c>
      <c r="S54" s="20">
        <f t="shared" si="127"/>
        <v>12</v>
      </c>
      <c r="T54" s="19">
        <f t="shared" si="127"/>
        <v>1.72872</v>
      </c>
      <c r="U54" s="21">
        <f t="shared" si="128"/>
        <v>0</v>
      </c>
      <c r="V54" s="19">
        <f t="shared" si="128"/>
        <v>0</v>
      </c>
      <c r="X54" s="29"/>
    </row>
    <row r="55" spans="1:24">
      <c r="A55" s="26" t="s">
        <v>13</v>
      </c>
      <c r="B55" s="26" t="s">
        <v>252</v>
      </c>
      <c r="C55" s="30">
        <v>14.7</v>
      </c>
      <c r="D55" s="27">
        <v>11.2</v>
      </c>
      <c r="E55" s="28">
        <v>23</v>
      </c>
      <c r="F55" s="16">
        <f t="shared" si="122"/>
        <v>3.7867199999999999</v>
      </c>
      <c r="G55" s="17"/>
      <c r="H55" s="18">
        <v>12</v>
      </c>
      <c r="I55" s="19">
        <f t="shared" si="123"/>
        <v>1.9756799999999999</v>
      </c>
      <c r="J55" s="16"/>
      <c r="K55" s="18">
        <v>11</v>
      </c>
      <c r="L55" s="19">
        <f t="shared" si="124"/>
        <v>1.81104</v>
      </c>
      <c r="M55" s="16"/>
      <c r="N55" s="18"/>
      <c r="O55" s="19">
        <f t="shared" si="125"/>
        <v>0</v>
      </c>
      <c r="P55" s="16"/>
      <c r="Q55" s="18"/>
      <c r="R55" s="19">
        <f t="shared" si="126"/>
        <v>0</v>
      </c>
      <c r="S55" s="20">
        <f t="shared" si="127"/>
        <v>23</v>
      </c>
      <c r="T55" s="19">
        <f t="shared" si="127"/>
        <v>3.7867199999999999</v>
      </c>
      <c r="U55" s="21">
        <f t="shared" si="128"/>
        <v>0</v>
      </c>
      <c r="V55" s="19">
        <f t="shared" si="128"/>
        <v>0</v>
      </c>
      <c r="X55" s="29"/>
    </row>
    <row r="56" spans="1:24">
      <c r="A56" s="26" t="s">
        <v>13</v>
      </c>
      <c r="B56" s="26" t="s">
        <v>252</v>
      </c>
      <c r="C56" s="30">
        <v>14.7</v>
      </c>
      <c r="D56" s="27">
        <v>11.7</v>
      </c>
      <c r="E56" s="28">
        <v>8</v>
      </c>
      <c r="F56" s="16">
        <f t="shared" si="122"/>
        <v>1.3759199999999998</v>
      </c>
      <c r="G56" s="17"/>
      <c r="H56" s="18"/>
      <c r="I56" s="19">
        <f t="shared" si="123"/>
        <v>0</v>
      </c>
      <c r="J56" s="16"/>
      <c r="K56" s="18">
        <v>7</v>
      </c>
      <c r="L56" s="19">
        <f t="shared" si="124"/>
        <v>1.2039299999999999</v>
      </c>
      <c r="M56" s="16"/>
      <c r="N56" s="18">
        <v>1</v>
      </c>
      <c r="O56" s="19">
        <f t="shared" si="125"/>
        <v>0.17198999999999998</v>
      </c>
      <c r="P56" s="16"/>
      <c r="Q56" s="18"/>
      <c r="R56" s="19">
        <f t="shared" si="126"/>
        <v>0</v>
      </c>
      <c r="S56" s="20">
        <f t="shared" si="127"/>
        <v>8</v>
      </c>
      <c r="T56" s="19">
        <f t="shared" si="127"/>
        <v>1.3759199999999998</v>
      </c>
      <c r="U56" s="21">
        <f t="shared" si="128"/>
        <v>0</v>
      </c>
      <c r="V56" s="19">
        <f t="shared" si="128"/>
        <v>0</v>
      </c>
      <c r="X56" s="29"/>
    </row>
    <row r="57" spans="1:24">
      <c r="A57" s="26" t="s">
        <v>13</v>
      </c>
      <c r="B57" s="26" t="s">
        <v>252</v>
      </c>
      <c r="C57" s="30">
        <v>14.7</v>
      </c>
      <c r="D57" s="27">
        <v>12</v>
      </c>
      <c r="E57" s="28">
        <v>2</v>
      </c>
      <c r="F57" s="16">
        <f t="shared" ref="F57:F59" si="129">(C57*D57*E57/1000)</f>
        <v>0.35279999999999995</v>
      </c>
      <c r="G57" s="17"/>
      <c r="H57" s="18"/>
      <c r="I57" s="19">
        <f t="shared" ref="I57:I59" si="130">(C57*D57*H57/1000)</f>
        <v>0</v>
      </c>
      <c r="J57" s="16"/>
      <c r="K57" s="18"/>
      <c r="L57" s="19">
        <f t="shared" ref="L57:L59" si="131">(C57*D57*K57/1000)</f>
        <v>0</v>
      </c>
      <c r="M57" s="16"/>
      <c r="N57" s="18"/>
      <c r="O57" s="19">
        <f t="shared" ref="O57:O59" si="132">(C57*D57*N57/1000)</f>
        <v>0</v>
      </c>
      <c r="P57" s="16"/>
      <c r="Q57" s="18"/>
      <c r="R57" s="19">
        <f t="shared" ref="R57:R59" si="133">(C57*D57*Q57/1000)</f>
        <v>0</v>
      </c>
      <c r="S57" s="20">
        <f t="shared" ref="S57:S59" si="134">+H57+K57+Q57+N57</f>
        <v>0</v>
      </c>
      <c r="T57" s="19">
        <f t="shared" ref="T57:T59" si="135">+I57+L57+R57+O57</f>
        <v>0</v>
      </c>
      <c r="U57" s="21">
        <f t="shared" ref="U57:U59" si="136">E57-S57</f>
        <v>2</v>
      </c>
      <c r="V57" s="19">
        <f t="shared" ref="V57:V59" si="137">F57-T57</f>
        <v>0.35279999999999995</v>
      </c>
      <c r="X57" s="29"/>
    </row>
    <row r="58" spans="1:24">
      <c r="A58" s="26" t="s">
        <v>13</v>
      </c>
      <c r="B58" s="26" t="s">
        <v>252</v>
      </c>
      <c r="C58" s="30">
        <v>14.7</v>
      </c>
      <c r="D58" s="27">
        <v>9.1999999999999993</v>
      </c>
      <c r="E58" s="28"/>
      <c r="F58" s="16">
        <f t="shared" si="129"/>
        <v>0</v>
      </c>
      <c r="G58" s="17"/>
      <c r="H58" s="18"/>
      <c r="I58" s="19">
        <f t="shared" si="130"/>
        <v>0</v>
      </c>
      <c r="J58" s="16"/>
      <c r="K58" s="18"/>
      <c r="L58" s="19">
        <f t="shared" si="131"/>
        <v>0</v>
      </c>
      <c r="M58" s="16"/>
      <c r="N58" s="18">
        <v>4</v>
      </c>
      <c r="O58" s="19">
        <f t="shared" si="132"/>
        <v>0.54095999999999989</v>
      </c>
      <c r="P58" s="16"/>
      <c r="Q58" s="18"/>
      <c r="R58" s="19">
        <f t="shared" si="133"/>
        <v>0</v>
      </c>
      <c r="S58" s="20">
        <f t="shared" si="134"/>
        <v>4</v>
      </c>
      <c r="T58" s="19">
        <f t="shared" si="135"/>
        <v>0.54095999999999989</v>
      </c>
      <c r="U58" s="21">
        <f t="shared" si="136"/>
        <v>-4</v>
      </c>
      <c r="V58" s="19">
        <f t="shared" si="137"/>
        <v>-0.54095999999999989</v>
      </c>
      <c r="X58" s="29"/>
    </row>
    <row r="59" spans="1:24">
      <c r="A59" s="26" t="s">
        <v>13</v>
      </c>
      <c r="B59" s="26" t="s">
        <v>252</v>
      </c>
      <c r="C59" s="30">
        <v>14.7</v>
      </c>
      <c r="D59" s="27">
        <v>8.3000000000000007</v>
      </c>
      <c r="E59" s="28"/>
      <c r="F59" s="16">
        <f t="shared" si="129"/>
        <v>0</v>
      </c>
      <c r="G59" s="17"/>
      <c r="H59" s="18"/>
      <c r="I59" s="19">
        <f t="shared" si="130"/>
        <v>0</v>
      </c>
      <c r="J59" s="16"/>
      <c r="K59" s="18"/>
      <c r="L59" s="19">
        <f t="shared" si="131"/>
        <v>0</v>
      </c>
      <c r="M59" s="16"/>
      <c r="N59" s="18">
        <v>1</v>
      </c>
      <c r="O59" s="19">
        <f t="shared" si="132"/>
        <v>0.12201000000000001</v>
      </c>
      <c r="P59" s="16"/>
      <c r="Q59" s="18"/>
      <c r="R59" s="19">
        <f t="shared" si="133"/>
        <v>0</v>
      </c>
      <c r="S59" s="20">
        <f t="shared" si="134"/>
        <v>1</v>
      </c>
      <c r="T59" s="19">
        <f t="shared" si="135"/>
        <v>0.12201000000000001</v>
      </c>
      <c r="U59" s="21">
        <f t="shared" si="136"/>
        <v>-1</v>
      </c>
      <c r="V59" s="19">
        <f t="shared" si="137"/>
        <v>-0.12201000000000001</v>
      </c>
      <c r="X59" s="29"/>
    </row>
    <row r="60" spans="1:24">
      <c r="A60" s="26" t="s">
        <v>13</v>
      </c>
      <c r="B60" s="26" t="s">
        <v>252</v>
      </c>
      <c r="C60" s="30">
        <v>14.7</v>
      </c>
      <c r="D60" s="27"/>
      <c r="E60" s="28"/>
      <c r="F60" s="16">
        <f t="shared" si="122"/>
        <v>0</v>
      </c>
      <c r="G60" s="17"/>
      <c r="H60" s="18"/>
      <c r="I60" s="19">
        <f t="shared" si="123"/>
        <v>0</v>
      </c>
      <c r="J60" s="16"/>
      <c r="K60" s="18"/>
      <c r="L60" s="19">
        <f t="shared" si="124"/>
        <v>0</v>
      </c>
      <c r="M60" s="16"/>
      <c r="N60" s="18"/>
      <c r="O60" s="19">
        <f t="shared" si="125"/>
        <v>0</v>
      </c>
      <c r="P60" s="16"/>
      <c r="Q60" s="18"/>
      <c r="R60" s="19">
        <f t="shared" si="126"/>
        <v>0</v>
      </c>
      <c r="S60" s="20">
        <f t="shared" si="127"/>
        <v>0</v>
      </c>
      <c r="T60" s="19">
        <f t="shared" si="127"/>
        <v>0</v>
      </c>
      <c r="U60" s="21">
        <f t="shared" si="128"/>
        <v>0</v>
      </c>
      <c r="V60" s="19">
        <f t="shared" si="128"/>
        <v>0</v>
      </c>
      <c r="X60" s="29"/>
    </row>
    <row r="61" spans="1:24">
      <c r="A61" s="36"/>
      <c r="B61" s="36"/>
      <c r="C61" s="37"/>
      <c r="D61" s="38"/>
      <c r="E61" s="31">
        <f t="shared" ref="E61:F61" si="138">SUM(E53:E60)</f>
        <v>53</v>
      </c>
      <c r="F61" s="38">
        <f t="shared" si="138"/>
        <v>8.24376</v>
      </c>
      <c r="G61" s="17"/>
      <c r="H61" s="31">
        <f t="shared" ref="H61" si="139">SUM(H53:H60)</f>
        <v>12</v>
      </c>
      <c r="I61" s="38">
        <f t="shared" ref="I61" si="140">SUM(I53:I60)</f>
        <v>1.9756799999999999</v>
      </c>
      <c r="J61" s="16"/>
      <c r="K61" s="31">
        <f t="shared" ref="K61" si="141">SUM(K53:K60)</f>
        <v>26</v>
      </c>
      <c r="L61" s="38">
        <f t="shared" ref="L61" si="142">SUM(L53:L60)</f>
        <v>4.1674499999999997</v>
      </c>
      <c r="M61" s="16"/>
      <c r="N61" s="31">
        <f t="shared" ref="N61" si="143">SUM(N53:N60)</f>
        <v>16</v>
      </c>
      <c r="O61" s="38">
        <f t="shared" ref="O61" si="144">SUM(O53:O60)</f>
        <v>2.1608999999999994</v>
      </c>
      <c r="P61" s="16"/>
      <c r="Q61" s="31">
        <f t="shared" ref="Q61" si="145">SUM(Q53:Q60)</f>
        <v>0</v>
      </c>
      <c r="R61" s="38">
        <f t="shared" ref="R61" si="146">SUM(R53:R60)</f>
        <v>0</v>
      </c>
      <c r="S61" s="31">
        <f t="shared" ref="S61" si="147">SUM(S53:S60)</f>
        <v>54</v>
      </c>
      <c r="T61" s="38">
        <f t="shared" ref="T61" si="148">SUM(T53:T60)</f>
        <v>8.3040299999999991</v>
      </c>
      <c r="U61" s="31">
        <f t="shared" ref="U61" si="149">SUM(U53:U60)</f>
        <v>-1</v>
      </c>
      <c r="V61" s="38">
        <f t="shared" ref="V61" si="150">SUM(V53:V60)</f>
        <v>-6.0269999999999879E-2</v>
      </c>
      <c r="X61" s="29"/>
    </row>
    <row r="62" spans="1:24">
      <c r="A62" s="26" t="s">
        <v>13</v>
      </c>
      <c r="B62" s="26" t="s">
        <v>253</v>
      </c>
      <c r="C62" s="30">
        <v>16.5</v>
      </c>
      <c r="D62" s="27">
        <v>8.3000000000000007</v>
      </c>
      <c r="E62" s="28">
        <v>23</v>
      </c>
      <c r="F62" s="16">
        <f t="shared" ref="F62:F71" si="151">(C62*D62*E62/1000)</f>
        <v>3.1498500000000003</v>
      </c>
      <c r="G62" s="17" t="s">
        <v>89</v>
      </c>
      <c r="H62" s="18">
        <v>3</v>
      </c>
      <c r="I62" s="19">
        <f t="shared" ref="I62:I71" si="152">(C62*D62*H62/1000)</f>
        <v>0.41085000000000005</v>
      </c>
      <c r="J62" s="16" t="s">
        <v>295</v>
      </c>
      <c r="K62" s="18">
        <v>20</v>
      </c>
      <c r="L62" s="19">
        <f t="shared" ref="L62:L71" si="153">(C62*D62*K62/1000)</f>
        <v>2.7390000000000003</v>
      </c>
      <c r="M62" s="16" t="s">
        <v>64</v>
      </c>
      <c r="N62" s="18"/>
      <c r="O62" s="19">
        <f t="shared" ref="O62:O71" si="154">(C62*D62*N62/1000)</f>
        <v>0</v>
      </c>
      <c r="P62" s="16"/>
      <c r="Q62" s="18"/>
      <c r="R62" s="19">
        <f t="shared" ref="R62:R71" si="155">(C62*D62*Q62/1000)</f>
        <v>0</v>
      </c>
      <c r="S62" s="20">
        <f t="shared" ref="S62:T71" si="156">+H62+K62+Q62+N62</f>
        <v>23</v>
      </c>
      <c r="T62" s="19">
        <f t="shared" si="156"/>
        <v>3.1498500000000003</v>
      </c>
      <c r="U62" s="21">
        <f t="shared" ref="U62:V71" si="157">E62-S62</f>
        <v>0</v>
      </c>
      <c r="V62" s="19">
        <f t="shared" si="157"/>
        <v>0</v>
      </c>
      <c r="X62" s="29"/>
    </row>
    <row r="63" spans="1:24">
      <c r="A63" s="26" t="s">
        <v>13</v>
      </c>
      <c r="B63" s="26" t="s">
        <v>253</v>
      </c>
      <c r="C63" s="30">
        <v>16.5</v>
      </c>
      <c r="D63" s="27">
        <v>9.1999999999999993</v>
      </c>
      <c r="E63" s="28">
        <v>22</v>
      </c>
      <c r="F63" s="16">
        <f t="shared" si="151"/>
        <v>3.3395999999999995</v>
      </c>
      <c r="G63" s="17" t="s">
        <v>299</v>
      </c>
      <c r="H63" s="18"/>
      <c r="I63" s="19">
        <f t="shared" si="152"/>
        <v>0</v>
      </c>
      <c r="J63" s="16" t="s">
        <v>299</v>
      </c>
      <c r="K63" s="18"/>
      <c r="L63" s="19">
        <f t="shared" si="153"/>
        <v>0</v>
      </c>
      <c r="M63" s="16" t="s">
        <v>341</v>
      </c>
      <c r="N63" s="18">
        <v>17</v>
      </c>
      <c r="O63" s="19">
        <f t="shared" si="154"/>
        <v>2.5806</v>
      </c>
      <c r="P63" s="16"/>
      <c r="Q63" s="18"/>
      <c r="R63" s="19">
        <f t="shared" si="155"/>
        <v>0</v>
      </c>
      <c r="S63" s="20">
        <f t="shared" si="156"/>
        <v>17</v>
      </c>
      <c r="T63" s="19">
        <f t="shared" si="156"/>
        <v>2.5806</v>
      </c>
      <c r="U63" s="21">
        <f t="shared" si="157"/>
        <v>5</v>
      </c>
      <c r="V63" s="19">
        <f t="shared" si="157"/>
        <v>0.75899999999999945</v>
      </c>
      <c r="X63" s="29"/>
    </row>
    <row r="64" spans="1:24">
      <c r="A64" s="26" t="s">
        <v>13</v>
      </c>
      <c r="B64" s="26" t="s">
        <v>253</v>
      </c>
      <c r="C64" s="30">
        <v>16.5</v>
      </c>
      <c r="D64" s="27">
        <v>9.6</v>
      </c>
      <c r="E64" s="28">
        <v>50</v>
      </c>
      <c r="F64" s="16">
        <f t="shared" si="151"/>
        <v>7.92</v>
      </c>
      <c r="G64" s="17"/>
      <c r="H64" s="18">
        <v>25</v>
      </c>
      <c r="I64" s="19">
        <f t="shared" si="152"/>
        <v>3.96</v>
      </c>
      <c r="J64" s="16"/>
      <c r="K64" s="18">
        <v>19</v>
      </c>
      <c r="L64" s="19">
        <f t="shared" si="153"/>
        <v>3.0095999999999998</v>
      </c>
      <c r="M64" s="16"/>
      <c r="N64" s="18"/>
      <c r="O64" s="19">
        <f t="shared" si="154"/>
        <v>0</v>
      </c>
      <c r="P64" s="16"/>
      <c r="Q64" s="18"/>
      <c r="R64" s="19">
        <f t="shared" si="155"/>
        <v>0</v>
      </c>
      <c r="S64" s="20">
        <f t="shared" si="156"/>
        <v>44</v>
      </c>
      <c r="T64" s="19">
        <f t="shared" si="156"/>
        <v>6.9695999999999998</v>
      </c>
      <c r="U64" s="21">
        <f t="shared" si="157"/>
        <v>6</v>
      </c>
      <c r="V64" s="19">
        <f t="shared" si="157"/>
        <v>0.95040000000000013</v>
      </c>
      <c r="X64" s="29"/>
    </row>
    <row r="65" spans="1:24">
      <c r="A65" s="26" t="s">
        <v>13</v>
      </c>
      <c r="B65" s="26" t="s">
        <v>253</v>
      </c>
      <c r="C65" s="30">
        <v>16.5</v>
      </c>
      <c r="D65" s="27">
        <v>11</v>
      </c>
      <c r="E65" s="28">
        <v>7</v>
      </c>
      <c r="F65" s="16">
        <f t="shared" si="151"/>
        <v>1.2705</v>
      </c>
      <c r="G65" s="17"/>
      <c r="H65" s="18">
        <v>7</v>
      </c>
      <c r="I65" s="19">
        <f t="shared" si="152"/>
        <v>1.2705</v>
      </c>
      <c r="J65" s="16"/>
      <c r="K65" s="18"/>
      <c r="L65" s="19">
        <f t="shared" si="153"/>
        <v>0</v>
      </c>
      <c r="M65" s="16"/>
      <c r="N65" s="18"/>
      <c r="O65" s="19">
        <f t="shared" si="154"/>
        <v>0</v>
      </c>
      <c r="P65" s="16"/>
      <c r="Q65" s="18"/>
      <c r="R65" s="19">
        <f t="shared" si="155"/>
        <v>0</v>
      </c>
      <c r="S65" s="20">
        <f t="shared" si="156"/>
        <v>7</v>
      </c>
      <c r="T65" s="19">
        <f t="shared" si="156"/>
        <v>1.2705</v>
      </c>
      <c r="U65" s="21">
        <f t="shared" si="157"/>
        <v>0</v>
      </c>
      <c r="V65" s="19">
        <f t="shared" si="157"/>
        <v>0</v>
      </c>
      <c r="X65" s="29"/>
    </row>
    <row r="66" spans="1:24">
      <c r="A66" s="26" t="s">
        <v>13</v>
      </c>
      <c r="B66" s="26" t="s">
        <v>253</v>
      </c>
      <c r="C66" s="30">
        <v>16.5</v>
      </c>
      <c r="D66" s="27">
        <v>12</v>
      </c>
      <c r="E66" s="28">
        <v>11</v>
      </c>
      <c r="F66" s="16">
        <f t="shared" ref="F66:F70" si="158">(C66*D66*E66/1000)</f>
        <v>2.1779999999999999</v>
      </c>
      <c r="G66" s="17"/>
      <c r="H66" s="18">
        <v>11</v>
      </c>
      <c r="I66" s="19">
        <f t="shared" ref="I66:I70" si="159">(C66*D66*H66/1000)</f>
        <v>2.1779999999999999</v>
      </c>
      <c r="J66" s="16"/>
      <c r="K66" s="18"/>
      <c r="L66" s="19">
        <f t="shared" ref="L66:L70" si="160">(C66*D66*K66/1000)</f>
        <v>0</v>
      </c>
      <c r="M66" s="16"/>
      <c r="N66" s="18"/>
      <c r="O66" s="19">
        <f t="shared" ref="O66:O70" si="161">(C66*D66*N66/1000)</f>
        <v>0</v>
      </c>
      <c r="P66" s="16"/>
      <c r="Q66" s="18"/>
      <c r="R66" s="19">
        <f t="shared" ref="R66:R70" si="162">(C66*D66*Q66/1000)</f>
        <v>0</v>
      </c>
      <c r="S66" s="20">
        <f t="shared" ref="S66:S70" si="163">+H66+K66+Q66+N66</f>
        <v>11</v>
      </c>
      <c r="T66" s="19">
        <f t="shared" ref="T66:T70" si="164">+I66+L66+R66+O66</f>
        <v>2.1779999999999999</v>
      </c>
      <c r="U66" s="21">
        <f t="shared" ref="U66:U70" si="165">E66-S66</f>
        <v>0</v>
      </c>
      <c r="V66" s="19">
        <f t="shared" ref="V66:V70" si="166">F66-T66</f>
        <v>0</v>
      </c>
      <c r="X66" s="29"/>
    </row>
    <row r="67" spans="1:24">
      <c r="A67" s="26" t="s">
        <v>13</v>
      </c>
      <c r="B67" s="26" t="s">
        <v>253</v>
      </c>
      <c r="C67" s="30">
        <v>16.5</v>
      </c>
      <c r="D67" s="27">
        <v>8</v>
      </c>
      <c r="E67" s="28"/>
      <c r="F67" s="16">
        <f t="shared" si="158"/>
        <v>0</v>
      </c>
      <c r="G67" s="17"/>
      <c r="H67" s="18"/>
      <c r="I67" s="19">
        <f t="shared" si="159"/>
        <v>0</v>
      </c>
      <c r="J67" s="16"/>
      <c r="K67" s="18"/>
      <c r="L67" s="19">
        <f t="shared" si="160"/>
        <v>0</v>
      </c>
      <c r="M67" s="16"/>
      <c r="N67" s="18">
        <v>1</v>
      </c>
      <c r="O67" s="19">
        <f t="shared" si="161"/>
        <v>0.13200000000000001</v>
      </c>
      <c r="P67" s="16"/>
      <c r="Q67" s="18"/>
      <c r="R67" s="19">
        <f t="shared" si="162"/>
        <v>0</v>
      </c>
      <c r="S67" s="20">
        <f t="shared" si="163"/>
        <v>1</v>
      </c>
      <c r="T67" s="19">
        <f t="shared" si="164"/>
        <v>0.13200000000000001</v>
      </c>
      <c r="U67" s="21">
        <f t="shared" si="165"/>
        <v>-1</v>
      </c>
      <c r="V67" s="19">
        <f t="shared" si="166"/>
        <v>-0.13200000000000001</v>
      </c>
      <c r="X67" s="29"/>
    </row>
    <row r="68" spans="1:24">
      <c r="A68" s="26" t="s">
        <v>13</v>
      </c>
      <c r="B68" s="26" t="s">
        <v>253</v>
      </c>
      <c r="C68" s="30">
        <v>16.5</v>
      </c>
      <c r="D68" s="27">
        <v>6.4</v>
      </c>
      <c r="E68" s="28"/>
      <c r="F68" s="16">
        <f t="shared" si="158"/>
        <v>0</v>
      </c>
      <c r="G68" s="17"/>
      <c r="H68" s="18"/>
      <c r="I68" s="19">
        <f t="shared" si="159"/>
        <v>0</v>
      </c>
      <c r="J68" s="16"/>
      <c r="K68" s="18"/>
      <c r="L68" s="19">
        <f t="shared" si="160"/>
        <v>0</v>
      </c>
      <c r="M68" s="16"/>
      <c r="N68" s="18">
        <v>1</v>
      </c>
      <c r="O68" s="19">
        <f t="shared" si="161"/>
        <v>0.10560000000000001</v>
      </c>
      <c r="P68" s="16"/>
      <c r="Q68" s="18"/>
      <c r="R68" s="19">
        <f t="shared" si="162"/>
        <v>0</v>
      </c>
      <c r="S68" s="20">
        <f t="shared" si="163"/>
        <v>1</v>
      </c>
      <c r="T68" s="19">
        <f t="shared" si="164"/>
        <v>0.10560000000000001</v>
      </c>
      <c r="U68" s="21">
        <f t="shared" si="165"/>
        <v>-1</v>
      </c>
      <c r="V68" s="19">
        <f t="shared" si="166"/>
        <v>-0.10560000000000001</v>
      </c>
      <c r="X68" s="29"/>
    </row>
    <row r="69" spans="1:24">
      <c r="A69" s="26" t="s">
        <v>13</v>
      </c>
      <c r="B69" s="26" t="s">
        <v>253</v>
      </c>
      <c r="C69" s="30">
        <v>16.5</v>
      </c>
      <c r="D69" s="27">
        <v>10.5</v>
      </c>
      <c r="E69" s="28"/>
      <c r="F69" s="16">
        <f t="shared" si="158"/>
        <v>0</v>
      </c>
      <c r="G69" s="17"/>
      <c r="H69" s="18"/>
      <c r="I69" s="19">
        <f t="shared" si="159"/>
        <v>0</v>
      </c>
      <c r="J69" s="16"/>
      <c r="K69" s="18"/>
      <c r="L69" s="19">
        <f t="shared" si="160"/>
        <v>0</v>
      </c>
      <c r="M69" s="16"/>
      <c r="N69" s="18">
        <v>6</v>
      </c>
      <c r="O69" s="19">
        <f t="shared" si="161"/>
        <v>1.0395000000000001</v>
      </c>
      <c r="P69" s="16"/>
      <c r="Q69" s="18"/>
      <c r="R69" s="19">
        <f t="shared" si="162"/>
        <v>0</v>
      </c>
      <c r="S69" s="20">
        <f t="shared" si="163"/>
        <v>6</v>
      </c>
      <c r="T69" s="19">
        <f t="shared" si="164"/>
        <v>1.0395000000000001</v>
      </c>
      <c r="U69" s="21">
        <f t="shared" si="165"/>
        <v>-6</v>
      </c>
      <c r="V69" s="19">
        <f t="shared" si="166"/>
        <v>-1.0395000000000001</v>
      </c>
      <c r="X69" s="29"/>
    </row>
    <row r="70" spans="1:24">
      <c r="A70" s="26" t="s">
        <v>13</v>
      </c>
      <c r="B70" s="26" t="s">
        <v>253</v>
      </c>
      <c r="C70" s="30">
        <v>16.5</v>
      </c>
      <c r="D70" s="27">
        <v>11.1</v>
      </c>
      <c r="E70" s="28"/>
      <c r="F70" s="16">
        <f t="shared" si="158"/>
        <v>0</v>
      </c>
      <c r="G70" s="17"/>
      <c r="H70" s="18"/>
      <c r="I70" s="19">
        <f t="shared" si="159"/>
        <v>0</v>
      </c>
      <c r="J70" s="16"/>
      <c r="K70" s="18"/>
      <c r="L70" s="19">
        <f t="shared" si="160"/>
        <v>0</v>
      </c>
      <c r="M70" s="16"/>
      <c r="N70" s="18">
        <v>2</v>
      </c>
      <c r="O70" s="19">
        <f t="shared" si="161"/>
        <v>0.36630000000000001</v>
      </c>
      <c r="P70" s="16"/>
      <c r="Q70" s="18"/>
      <c r="R70" s="19">
        <f t="shared" si="162"/>
        <v>0</v>
      </c>
      <c r="S70" s="20">
        <f t="shared" si="163"/>
        <v>2</v>
      </c>
      <c r="T70" s="19">
        <f t="shared" si="164"/>
        <v>0.36630000000000001</v>
      </c>
      <c r="U70" s="21">
        <f t="shared" si="165"/>
        <v>-2</v>
      </c>
      <c r="V70" s="19">
        <f t="shared" si="166"/>
        <v>-0.36630000000000001</v>
      </c>
      <c r="X70" s="29"/>
    </row>
    <row r="71" spans="1:24">
      <c r="A71" s="26" t="s">
        <v>13</v>
      </c>
      <c r="B71" s="26" t="s">
        <v>253</v>
      </c>
      <c r="C71" s="30">
        <v>16.5</v>
      </c>
      <c r="D71" s="27">
        <v>11.5</v>
      </c>
      <c r="E71" s="28"/>
      <c r="F71" s="16">
        <f t="shared" si="151"/>
        <v>0</v>
      </c>
      <c r="G71" s="17"/>
      <c r="H71" s="18"/>
      <c r="I71" s="19">
        <f t="shared" si="152"/>
        <v>0</v>
      </c>
      <c r="J71" s="16"/>
      <c r="K71" s="18"/>
      <c r="L71" s="19">
        <f t="shared" si="153"/>
        <v>0</v>
      </c>
      <c r="M71" s="16"/>
      <c r="N71" s="18">
        <v>1</v>
      </c>
      <c r="O71" s="19">
        <f t="shared" si="154"/>
        <v>0.18975</v>
      </c>
      <c r="P71" s="16"/>
      <c r="Q71" s="18"/>
      <c r="R71" s="19">
        <f t="shared" si="155"/>
        <v>0</v>
      </c>
      <c r="S71" s="20">
        <f t="shared" si="156"/>
        <v>1</v>
      </c>
      <c r="T71" s="19">
        <f t="shared" si="156"/>
        <v>0.18975</v>
      </c>
      <c r="U71" s="21">
        <f t="shared" si="157"/>
        <v>-1</v>
      </c>
      <c r="V71" s="19">
        <f t="shared" si="157"/>
        <v>-0.18975</v>
      </c>
      <c r="X71" s="29"/>
    </row>
    <row r="72" spans="1:24">
      <c r="A72" s="36"/>
      <c r="B72" s="36"/>
      <c r="C72" s="37"/>
      <c r="D72" s="38"/>
      <c r="E72" s="31">
        <f t="shared" ref="E72:F72" si="167">SUM(E62:E71)</f>
        <v>113</v>
      </c>
      <c r="F72" s="38">
        <f t="shared" si="167"/>
        <v>17.857949999999999</v>
      </c>
      <c r="G72" s="17"/>
      <c r="H72" s="31">
        <f t="shared" ref="H72" si="168">SUM(H62:H71)</f>
        <v>46</v>
      </c>
      <c r="I72" s="38">
        <f t="shared" ref="I72" si="169">SUM(I62:I71)</f>
        <v>7.81935</v>
      </c>
      <c r="J72" s="16"/>
      <c r="K72" s="31">
        <f t="shared" ref="K72" si="170">SUM(K62:K71)</f>
        <v>39</v>
      </c>
      <c r="L72" s="38">
        <f t="shared" ref="L72" si="171">SUM(L62:L71)</f>
        <v>5.7485999999999997</v>
      </c>
      <c r="M72" s="16"/>
      <c r="N72" s="31">
        <f t="shared" ref="N72" si="172">SUM(N62:N71)</f>
        <v>28</v>
      </c>
      <c r="O72" s="38">
        <f t="shared" ref="O72" si="173">SUM(O62:O71)</f>
        <v>4.4137500000000003</v>
      </c>
      <c r="P72" s="16"/>
      <c r="Q72" s="31">
        <f t="shared" ref="Q72" si="174">SUM(Q62:Q71)</f>
        <v>0</v>
      </c>
      <c r="R72" s="38">
        <f t="shared" ref="R72" si="175">SUM(R62:R71)</f>
        <v>0</v>
      </c>
      <c r="S72" s="31">
        <f t="shared" ref="S72" si="176">SUM(S62:S71)</f>
        <v>113</v>
      </c>
      <c r="T72" s="38">
        <f t="shared" ref="T72" si="177">SUM(T62:T71)</f>
        <v>17.9817</v>
      </c>
      <c r="U72" s="31">
        <f t="shared" ref="U72" si="178">SUM(U62:U71)</f>
        <v>0</v>
      </c>
      <c r="V72" s="38">
        <f t="shared" ref="V72" si="179">SUM(V62:V71)</f>
        <v>-0.12375000000000055</v>
      </c>
      <c r="X72" s="29"/>
    </row>
    <row r="73" spans="1:24">
      <c r="A73" s="26" t="s">
        <v>13</v>
      </c>
      <c r="B73" s="26" t="s">
        <v>51</v>
      </c>
      <c r="C73" s="30">
        <v>19.8</v>
      </c>
      <c r="D73" s="27">
        <v>6.1</v>
      </c>
      <c r="E73" s="28">
        <v>22</v>
      </c>
      <c r="F73" s="16">
        <f t="shared" ref="F73:F78" si="180">(C73*D73*E73/1000)</f>
        <v>2.6571599999999997</v>
      </c>
      <c r="G73" s="17" t="s">
        <v>89</v>
      </c>
      <c r="H73" s="18">
        <v>17</v>
      </c>
      <c r="I73" s="19">
        <f t="shared" ref="I73:I78" si="181">(C73*D73*H73/1000)</f>
        <v>2.0532600000000003</v>
      </c>
      <c r="J73" s="16" t="s">
        <v>205</v>
      </c>
      <c r="K73" s="18">
        <v>1</v>
      </c>
      <c r="L73" s="19">
        <f t="shared" ref="L73:L78" si="182">(C73*D73*K73/1000)</f>
        <v>0.12078</v>
      </c>
      <c r="M73" s="16"/>
      <c r="N73" s="18"/>
      <c r="O73" s="19">
        <f t="shared" ref="O73:O78" si="183">(C73*D73*N73/1000)</f>
        <v>0</v>
      </c>
      <c r="P73" s="16"/>
      <c r="Q73" s="18"/>
      <c r="R73" s="19">
        <f t="shared" ref="R73:R78" si="184">(C73*D73*Q73/1000)</f>
        <v>0</v>
      </c>
      <c r="S73" s="20">
        <f t="shared" ref="S73:T78" si="185">+H73+K73+Q73+N73</f>
        <v>18</v>
      </c>
      <c r="T73" s="19">
        <f t="shared" si="185"/>
        <v>2.1740400000000002</v>
      </c>
      <c r="U73" s="21">
        <f t="shared" ref="U73:V78" si="186">E73-S73</f>
        <v>4</v>
      </c>
      <c r="V73" s="19">
        <f t="shared" si="186"/>
        <v>0.48311999999999955</v>
      </c>
      <c r="X73" s="29"/>
    </row>
    <row r="74" spans="1:24">
      <c r="A74" s="26" t="s">
        <v>13</v>
      </c>
      <c r="B74" s="26" t="s">
        <v>51</v>
      </c>
      <c r="C74" s="30">
        <v>19.8</v>
      </c>
      <c r="D74" s="27">
        <v>6.6</v>
      </c>
      <c r="E74" s="28">
        <v>11</v>
      </c>
      <c r="F74" s="16">
        <f t="shared" si="180"/>
        <v>1.4374800000000001</v>
      </c>
      <c r="G74" s="17" t="s">
        <v>317</v>
      </c>
      <c r="H74" s="18">
        <v>2</v>
      </c>
      <c r="I74" s="19">
        <f t="shared" si="181"/>
        <v>0.26136000000000004</v>
      </c>
      <c r="J74" s="16" t="s">
        <v>319</v>
      </c>
      <c r="K74" s="18">
        <f>9+4</f>
        <v>13</v>
      </c>
      <c r="L74" s="19">
        <f t="shared" si="182"/>
        <v>1.6988400000000001</v>
      </c>
      <c r="M74" s="16"/>
      <c r="N74" s="18"/>
      <c r="O74" s="19">
        <f t="shared" si="183"/>
        <v>0</v>
      </c>
      <c r="P74" s="16"/>
      <c r="Q74" s="18"/>
      <c r="R74" s="19">
        <f t="shared" si="184"/>
        <v>0</v>
      </c>
      <c r="S74" s="20">
        <f t="shared" si="185"/>
        <v>15</v>
      </c>
      <c r="T74" s="19">
        <f t="shared" si="185"/>
        <v>1.9602000000000002</v>
      </c>
      <c r="U74" s="21">
        <f t="shared" si="186"/>
        <v>-4</v>
      </c>
      <c r="V74" s="19">
        <f t="shared" si="186"/>
        <v>-0.52272000000000007</v>
      </c>
      <c r="X74" s="29"/>
    </row>
    <row r="75" spans="1:24">
      <c r="A75" s="26" t="s">
        <v>13</v>
      </c>
      <c r="B75" s="26" t="s">
        <v>51</v>
      </c>
      <c r="C75" s="30">
        <v>19.8</v>
      </c>
      <c r="D75" s="27">
        <v>9.6</v>
      </c>
      <c r="E75" s="28">
        <v>19</v>
      </c>
      <c r="F75" s="16">
        <f t="shared" si="180"/>
        <v>3.6115200000000005</v>
      </c>
      <c r="G75" s="17"/>
      <c r="H75" s="18">
        <v>19</v>
      </c>
      <c r="I75" s="19">
        <f t="shared" si="181"/>
        <v>3.6115200000000005</v>
      </c>
      <c r="J75" s="16"/>
      <c r="K75" s="18"/>
      <c r="L75" s="19">
        <f t="shared" si="182"/>
        <v>0</v>
      </c>
      <c r="M75" s="16"/>
      <c r="N75" s="18"/>
      <c r="O75" s="19">
        <f t="shared" si="183"/>
        <v>0</v>
      </c>
      <c r="P75" s="16"/>
      <c r="Q75" s="18"/>
      <c r="R75" s="19">
        <f t="shared" si="184"/>
        <v>0</v>
      </c>
      <c r="S75" s="20">
        <f t="shared" si="185"/>
        <v>19</v>
      </c>
      <c r="T75" s="19">
        <f t="shared" si="185"/>
        <v>3.6115200000000005</v>
      </c>
      <c r="U75" s="21">
        <f t="shared" si="186"/>
        <v>0</v>
      </c>
      <c r="V75" s="19">
        <f t="shared" si="186"/>
        <v>0</v>
      </c>
      <c r="X75" s="29"/>
    </row>
    <row r="76" spans="1:24">
      <c r="A76" s="26" t="s">
        <v>13</v>
      </c>
      <c r="B76" s="26" t="s">
        <v>51</v>
      </c>
      <c r="C76" s="30">
        <v>19.8</v>
      </c>
      <c r="D76" s="27">
        <v>10.5</v>
      </c>
      <c r="E76" s="28">
        <v>3</v>
      </c>
      <c r="F76" s="16">
        <f t="shared" si="180"/>
        <v>0.62370000000000003</v>
      </c>
      <c r="G76" s="17"/>
      <c r="H76" s="18">
        <v>3</v>
      </c>
      <c r="I76" s="19">
        <f t="shared" si="181"/>
        <v>0.62370000000000003</v>
      </c>
      <c r="J76" s="16"/>
      <c r="K76" s="18"/>
      <c r="L76" s="19">
        <f t="shared" si="182"/>
        <v>0</v>
      </c>
      <c r="M76" s="16"/>
      <c r="N76" s="18"/>
      <c r="O76" s="19">
        <f t="shared" si="183"/>
        <v>0</v>
      </c>
      <c r="P76" s="16"/>
      <c r="Q76" s="18"/>
      <c r="R76" s="19">
        <f t="shared" si="184"/>
        <v>0</v>
      </c>
      <c r="S76" s="20">
        <f t="shared" si="185"/>
        <v>3</v>
      </c>
      <c r="T76" s="19">
        <f t="shared" si="185"/>
        <v>0.62370000000000003</v>
      </c>
      <c r="U76" s="21">
        <f t="shared" si="186"/>
        <v>0</v>
      </c>
      <c r="V76" s="19">
        <f t="shared" si="186"/>
        <v>0</v>
      </c>
      <c r="X76" s="29"/>
    </row>
    <row r="77" spans="1:24">
      <c r="A77" s="26" t="s">
        <v>13</v>
      </c>
      <c r="B77" s="26" t="s">
        <v>51</v>
      </c>
      <c r="C77" s="30">
        <v>19.8</v>
      </c>
      <c r="D77" s="27">
        <v>11.5</v>
      </c>
      <c r="E77" s="28">
        <v>55</v>
      </c>
      <c r="F77" s="16">
        <f t="shared" si="180"/>
        <v>12.523500000000002</v>
      </c>
      <c r="G77" s="17"/>
      <c r="H77" s="18">
        <f>5+28</f>
        <v>33</v>
      </c>
      <c r="I77" s="19">
        <f t="shared" si="181"/>
        <v>7.5141</v>
      </c>
      <c r="J77" s="16"/>
      <c r="K77" s="18">
        <v>22</v>
      </c>
      <c r="L77" s="19">
        <f t="shared" si="182"/>
        <v>5.0094000000000003</v>
      </c>
      <c r="M77" s="16"/>
      <c r="N77" s="18"/>
      <c r="O77" s="19">
        <f t="shared" si="183"/>
        <v>0</v>
      </c>
      <c r="P77" s="16"/>
      <c r="Q77" s="18"/>
      <c r="R77" s="19">
        <f t="shared" si="184"/>
        <v>0</v>
      </c>
      <c r="S77" s="20">
        <f t="shared" si="185"/>
        <v>55</v>
      </c>
      <c r="T77" s="19">
        <f t="shared" si="185"/>
        <v>12.5235</v>
      </c>
      <c r="U77" s="21">
        <f t="shared" si="186"/>
        <v>0</v>
      </c>
      <c r="V77" s="19">
        <f t="shared" si="186"/>
        <v>0</v>
      </c>
      <c r="X77" s="29"/>
    </row>
    <row r="78" spans="1:24">
      <c r="A78" s="26" t="s">
        <v>13</v>
      </c>
      <c r="B78" s="26" t="s">
        <v>51</v>
      </c>
      <c r="C78" s="30">
        <v>19.8</v>
      </c>
      <c r="D78" s="27">
        <v>12</v>
      </c>
      <c r="E78" s="28">
        <v>3</v>
      </c>
      <c r="F78" s="16">
        <f t="shared" si="180"/>
        <v>0.7128000000000001</v>
      </c>
      <c r="G78" s="17"/>
      <c r="H78" s="18">
        <v>3</v>
      </c>
      <c r="I78" s="19">
        <f t="shared" si="181"/>
        <v>0.7128000000000001</v>
      </c>
      <c r="J78" s="16"/>
      <c r="K78" s="18"/>
      <c r="L78" s="19">
        <f t="shared" si="182"/>
        <v>0</v>
      </c>
      <c r="M78" s="16"/>
      <c r="N78" s="18"/>
      <c r="O78" s="19">
        <f t="shared" si="183"/>
        <v>0</v>
      </c>
      <c r="P78" s="16"/>
      <c r="Q78" s="18"/>
      <c r="R78" s="19">
        <f t="shared" si="184"/>
        <v>0</v>
      </c>
      <c r="S78" s="20">
        <f t="shared" si="185"/>
        <v>3</v>
      </c>
      <c r="T78" s="19">
        <f t="shared" si="185"/>
        <v>0.7128000000000001</v>
      </c>
      <c r="U78" s="21">
        <f t="shared" si="186"/>
        <v>0</v>
      </c>
      <c r="V78" s="19">
        <f t="shared" si="186"/>
        <v>0</v>
      </c>
      <c r="X78" s="29"/>
    </row>
    <row r="79" spans="1:24">
      <c r="A79" s="36"/>
      <c r="B79" s="36"/>
      <c r="C79" s="37"/>
      <c r="D79" s="38"/>
      <c r="E79" s="31">
        <f t="shared" ref="E79:F79" si="187">SUM(E73:E78)</f>
        <v>113</v>
      </c>
      <c r="F79" s="38">
        <f t="shared" si="187"/>
        <v>21.566160000000004</v>
      </c>
      <c r="G79" s="17"/>
      <c r="H79" s="31">
        <f t="shared" ref="H79" si="188">SUM(H73:H78)</f>
        <v>77</v>
      </c>
      <c r="I79" s="38">
        <f t="shared" ref="I79" si="189">SUM(I73:I78)</f>
        <v>14.776740000000002</v>
      </c>
      <c r="J79" s="16"/>
      <c r="K79" s="31">
        <f t="shared" ref="K79" si="190">SUM(K73:K78)</f>
        <v>36</v>
      </c>
      <c r="L79" s="38">
        <f t="shared" ref="L79" si="191">SUM(L73:L78)</f>
        <v>6.8290199999999999</v>
      </c>
      <c r="M79" s="16"/>
      <c r="N79" s="31">
        <f t="shared" ref="N79" si="192">SUM(N73:N78)</f>
        <v>0</v>
      </c>
      <c r="O79" s="38">
        <f t="shared" ref="O79" si="193">SUM(O73:O78)</f>
        <v>0</v>
      </c>
      <c r="P79" s="16"/>
      <c r="Q79" s="31">
        <f t="shared" ref="Q79" si="194">SUM(Q73:Q78)</f>
        <v>0</v>
      </c>
      <c r="R79" s="38">
        <f t="shared" ref="R79" si="195">SUM(R73:R78)</f>
        <v>0</v>
      </c>
      <c r="S79" s="31">
        <f t="shared" ref="S79" si="196">SUM(S73:S78)</f>
        <v>113</v>
      </c>
      <c r="T79" s="38">
        <f t="shared" ref="T79" si="197">SUM(T73:T78)</f>
        <v>21.605760000000004</v>
      </c>
      <c r="U79" s="31">
        <f t="shared" ref="U79" si="198">SUM(U73:U78)</f>
        <v>0</v>
      </c>
      <c r="V79" s="38">
        <f t="shared" ref="V79" si="199">SUM(V73:V78)</f>
        <v>-3.9600000000000524E-2</v>
      </c>
      <c r="X79" s="29"/>
    </row>
    <row r="80" spans="1:24">
      <c r="A80" s="26" t="s">
        <v>13</v>
      </c>
      <c r="B80" s="26" t="s">
        <v>52</v>
      </c>
      <c r="C80" s="30">
        <v>21.7</v>
      </c>
      <c r="D80" s="27">
        <v>8.6999999999999993</v>
      </c>
      <c r="E80" s="28">
        <v>21</v>
      </c>
      <c r="F80" s="16">
        <f t="shared" ref="F80:F87" si="200">(C80*D80*E80/1000)</f>
        <v>3.9645899999999998</v>
      </c>
      <c r="G80" s="17" t="s">
        <v>86</v>
      </c>
      <c r="H80" s="18">
        <v>17</v>
      </c>
      <c r="I80" s="19">
        <f t="shared" ref="I80:I87" si="201">(C80*D80*H80/1000)</f>
        <v>3.2094299999999998</v>
      </c>
      <c r="J80" s="17" t="s">
        <v>111</v>
      </c>
      <c r="K80" s="18"/>
      <c r="L80" s="19">
        <f t="shared" ref="L80:L87" si="202">(C80*D80*K80/1000)</f>
        <v>0</v>
      </c>
      <c r="M80" s="17" t="s">
        <v>295</v>
      </c>
      <c r="N80" s="18"/>
      <c r="O80" s="19">
        <f t="shared" ref="O80:O87" si="203">(C80*D80*N80/1000)</f>
        <v>0</v>
      </c>
      <c r="P80" s="16"/>
      <c r="Q80" s="18"/>
      <c r="R80" s="19">
        <f t="shared" ref="R80:R87" si="204">(C80*D80*Q80/1000)</f>
        <v>0</v>
      </c>
      <c r="S80" s="20">
        <f t="shared" ref="S80:T87" si="205">+H80+K80+Q80+N80</f>
        <v>17</v>
      </c>
      <c r="T80" s="19">
        <f t="shared" si="205"/>
        <v>3.2094299999999998</v>
      </c>
      <c r="U80" s="21">
        <f t="shared" ref="U80:V87" si="206">E80-S80</f>
        <v>4</v>
      </c>
      <c r="V80" s="19">
        <f t="shared" si="206"/>
        <v>0.75516000000000005</v>
      </c>
      <c r="X80" s="29"/>
    </row>
    <row r="81" spans="1:24">
      <c r="A81" s="26" t="s">
        <v>13</v>
      </c>
      <c r="B81" s="26" t="s">
        <v>52</v>
      </c>
      <c r="C81" s="30">
        <v>21.7</v>
      </c>
      <c r="D81" s="27">
        <v>11.2</v>
      </c>
      <c r="E81" s="28">
        <v>22</v>
      </c>
      <c r="F81" s="16">
        <f t="shared" si="200"/>
        <v>5.3468799999999996</v>
      </c>
      <c r="G81" s="17" t="s">
        <v>316</v>
      </c>
      <c r="H81" s="18">
        <v>10</v>
      </c>
      <c r="I81" s="19">
        <f t="shared" si="201"/>
        <v>2.4303999999999997</v>
      </c>
      <c r="J81" s="17" t="s">
        <v>321</v>
      </c>
      <c r="K81" s="18">
        <v>11</v>
      </c>
      <c r="L81" s="19">
        <f t="shared" si="202"/>
        <v>2.6734399999999998</v>
      </c>
      <c r="M81" s="17" t="s">
        <v>324</v>
      </c>
      <c r="N81" s="18"/>
      <c r="O81" s="19">
        <f t="shared" si="203"/>
        <v>0</v>
      </c>
      <c r="P81" s="16"/>
      <c r="Q81" s="18"/>
      <c r="R81" s="19">
        <f t="shared" si="204"/>
        <v>0</v>
      </c>
      <c r="S81" s="20">
        <f t="shared" si="205"/>
        <v>21</v>
      </c>
      <c r="T81" s="19">
        <f t="shared" si="205"/>
        <v>5.1038399999999999</v>
      </c>
      <c r="U81" s="21">
        <f t="shared" si="206"/>
        <v>1</v>
      </c>
      <c r="V81" s="19">
        <f t="shared" si="206"/>
        <v>0.2430399999999997</v>
      </c>
      <c r="X81" s="29"/>
    </row>
    <row r="82" spans="1:24">
      <c r="A82" s="26" t="s">
        <v>13</v>
      </c>
      <c r="B82" s="26" t="s">
        <v>52</v>
      </c>
      <c r="C82" s="30">
        <v>21.7</v>
      </c>
      <c r="D82" s="27">
        <v>12</v>
      </c>
      <c r="E82" s="28">
        <v>2</v>
      </c>
      <c r="F82" s="16">
        <f t="shared" ref="F82:F86" si="207">(C82*D82*E82/1000)</f>
        <v>0.52079999999999993</v>
      </c>
      <c r="G82" s="17"/>
      <c r="H82" s="18">
        <v>1</v>
      </c>
      <c r="I82" s="19">
        <f t="shared" ref="I82:I86" si="208">(C82*D82*H82/1000)</f>
        <v>0.26039999999999996</v>
      </c>
      <c r="J82" s="16"/>
      <c r="K82" s="18">
        <v>2</v>
      </c>
      <c r="L82" s="19">
        <f t="shared" ref="L82:L86" si="209">(C82*D82*K82/1000)</f>
        <v>0.52079999999999993</v>
      </c>
      <c r="M82" s="16"/>
      <c r="N82" s="18">
        <v>1</v>
      </c>
      <c r="O82" s="19">
        <f t="shared" ref="O82:O86" si="210">(C82*D82*N82/1000)</f>
        <v>0.26039999999999996</v>
      </c>
      <c r="P82" s="16"/>
      <c r="Q82" s="18"/>
      <c r="R82" s="19">
        <f t="shared" ref="R82:R86" si="211">(C82*D82*Q82/1000)</f>
        <v>0</v>
      </c>
      <c r="S82" s="20">
        <f>+H82+K82+Q82+N82</f>
        <v>4</v>
      </c>
      <c r="T82" s="19">
        <f t="shared" ref="T82:T86" si="212">+I82+L82+R82+O82</f>
        <v>1.0415999999999999</v>
      </c>
      <c r="U82" s="21">
        <f t="shared" ref="U82:U86" si="213">E82-S82</f>
        <v>-2</v>
      </c>
      <c r="V82" s="19">
        <f t="shared" ref="V82:V86" si="214">F82-T82</f>
        <v>-0.52079999999999993</v>
      </c>
      <c r="X82" s="29"/>
    </row>
    <row r="83" spans="1:24">
      <c r="A83" s="26" t="s">
        <v>13</v>
      </c>
      <c r="B83" s="26" t="s">
        <v>52</v>
      </c>
      <c r="C83" s="30">
        <v>21.7</v>
      </c>
      <c r="D83" s="27">
        <v>10.9</v>
      </c>
      <c r="E83" s="28"/>
      <c r="F83" s="16">
        <f t="shared" si="207"/>
        <v>0</v>
      </c>
      <c r="G83" s="17"/>
      <c r="H83" s="18"/>
      <c r="I83" s="19">
        <f t="shared" si="208"/>
        <v>0</v>
      </c>
      <c r="J83" s="16"/>
      <c r="K83" s="18">
        <v>1</v>
      </c>
      <c r="L83" s="19">
        <f t="shared" si="209"/>
        <v>0.23652999999999999</v>
      </c>
      <c r="M83" s="16"/>
      <c r="N83" s="18"/>
      <c r="O83" s="19">
        <f t="shared" si="210"/>
        <v>0</v>
      </c>
      <c r="P83" s="16"/>
      <c r="Q83" s="18"/>
      <c r="R83" s="19">
        <f t="shared" si="211"/>
        <v>0</v>
      </c>
      <c r="S83" s="20">
        <f t="shared" ref="S83:S86" si="215">+H83+K83+Q83+N83</f>
        <v>1</v>
      </c>
      <c r="T83" s="19">
        <f t="shared" si="212"/>
        <v>0.23652999999999999</v>
      </c>
      <c r="U83" s="21">
        <f t="shared" si="213"/>
        <v>-1</v>
      </c>
      <c r="V83" s="19">
        <f t="shared" si="214"/>
        <v>-0.23652999999999999</v>
      </c>
      <c r="X83" s="29"/>
    </row>
    <row r="84" spans="1:24">
      <c r="A84" s="26" t="s">
        <v>13</v>
      </c>
      <c r="B84" s="26" t="s">
        <v>52</v>
      </c>
      <c r="C84" s="30">
        <v>21.7</v>
      </c>
      <c r="D84" s="27">
        <v>10.3</v>
      </c>
      <c r="E84" s="28"/>
      <c r="F84" s="16">
        <f t="shared" si="207"/>
        <v>0</v>
      </c>
      <c r="G84" s="17"/>
      <c r="H84" s="18"/>
      <c r="I84" s="19">
        <f t="shared" si="208"/>
        <v>0</v>
      </c>
      <c r="J84" s="16"/>
      <c r="K84" s="18"/>
      <c r="L84" s="19">
        <f t="shared" si="209"/>
        <v>0</v>
      </c>
      <c r="M84" s="16"/>
      <c r="N84" s="18">
        <v>1</v>
      </c>
      <c r="O84" s="19">
        <f t="shared" si="210"/>
        <v>0.22351000000000001</v>
      </c>
      <c r="P84" s="16"/>
      <c r="Q84" s="18"/>
      <c r="R84" s="19">
        <f t="shared" si="211"/>
        <v>0</v>
      </c>
      <c r="S84" s="20">
        <f t="shared" si="215"/>
        <v>1</v>
      </c>
      <c r="T84" s="19">
        <f t="shared" si="212"/>
        <v>0.22351000000000001</v>
      </c>
      <c r="U84" s="21">
        <f t="shared" si="213"/>
        <v>-1</v>
      </c>
      <c r="V84" s="19">
        <f t="shared" si="214"/>
        <v>-0.22351000000000001</v>
      </c>
      <c r="X84" s="29"/>
    </row>
    <row r="85" spans="1:24">
      <c r="A85" s="26" t="s">
        <v>13</v>
      </c>
      <c r="B85" s="26" t="s">
        <v>52</v>
      </c>
      <c r="C85" s="30">
        <v>21.7</v>
      </c>
      <c r="D85" s="27">
        <v>11</v>
      </c>
      <c r="E85" s="28"/>
      <c r="F85" s="16">
        <f t="shared" si="207"/>
        <v>0</v>
      </c>
      <c r="G85" s="17"/>
      <c r="H85" s="18"/>
      <c r="I85" s="19">
        <f t="shared" si="208"/>
        <v>0</v>
      </c>
      <c r="J85" s="16"/>
      <c r="K85" s="18"/>
      <c r="L85" s="19">
        <f t="shared" si="209"/>
        <v>0</v>
      </c>
      <c r="M85" s="16"/>
      <c r="N85" s="18">
        <v>1</v>
      </c>
      <c r="O85" s="19">
        <f t="shared" si="210"/>
        <v>0.2387</v>
      </c>
      <c r="P85" s="16"/>
      <c r="Q85" s="18"/>
      <c r="R85" s="19">
        <f t="shared" si="211"/>
        <v>0</v>
      </c>
      <c r="S85" s="20">
        <f t="shared" si="215"/>
        <v>1</v>
      </c>
      <c r="T85" s="19">
        <f t="shared" si="212"/>
        <v>0.2387</v>
      </c>
      <c r="U85" s="21">
        <f t="shared" si="213"/>
        <v>-1</v>
      </c>
      <c r="V85" s="19">
        <f t="shared" si="214"/>
        <v>-0.2387</v>
      </c>
      <c r="X85" s="29"/>
    </row>
    <row r="86" spans="1:24">
      <c r="A86" s="26" t="s">
        <v>13</v>
      </c>
      <c r="B86" s="26" t="s">
        <v>52</v>
      </c>
      <c r="C86" s="30">
        <v>21.7</v>
      </c>
      <c r="D86" s="27"/>
      <c r="E86" s="28"/>
      <c r="F86" s="16">
        <f t="shared" si="207"/>
        <v>0</v>
      </c>
      <c r="G86" s="17"/>
      <c r="H86" s="18"/>
      <c r="I86" s="19">
        <f t="shared" si="208"/>
        <v>0</v>
      </c>
      <c r="J86" s="16"/>
      <c r="K86" s="18"/>
      <c r="L86" s="19">
        <f t="shared" si="209"/>
        <v>0</v>
      </c>
      <c r="M86" s="16"/>
      <c r="N86" s="18"/>
      <c r="O86" s="19">
        <f t="shared" si="210"/>
        <v>0</v>
      </c>
      <c r="P86" s="16"/>
      <c r="Q86" s="18"/>
      <c r="R86" s="19">
        <f t="shared" si="211"/>
        <v>0</v>
      </c>
      <c r="S86" s="20">
        <f t="shared" si="215"/>
        <v>0</v>
      </c>
      <c r="T86" s="19">
        <f t="shared" si="212"/>
        <v>0</v>
      </c>
      <c r="U86" s="21">
        <f t="shared" si="213"/>
        <v>0</v>
      </c>
      <c r="V86" s="19">
        <f t="shared" si="214"/>
        <v>0</v>
      </c>
      <c r="X86" s="29"/>
    </row>
    <row r="87" spans="1:24">
      <c r="A87" s="26" t="s">
        <v>13</v>
      </c>
      <c r="B87" s="26" t="s">
        <v>52</v>
      </c>
      <c r="C87" s="30">
        <v>21.7</v>
      </c>
      <c r="D87" s="27"/>
      <c r="E87" s="28"/>
      <c r="F87" s="16">
        <f t="shared" si="200"/>
        <v>0</v>
      </c>
      <c r="G87" s="17"/>
      <c r="H87" s="18"/>
      <c r="I87" s="19">
        <f t="shared" si="201"/>
        <v>0</v>
      </c>
      <c r="J87" s="16"/>
      <c r="K87" s="18"/>
      <c r="L87" s="19">
        <f t="shared" si="202"/>
        <v>0</v>
      </c>
      <c r="M87" s="16"/>
      <c r="N87" s="18"/>
      <c r="O87" s="19">
        <f t="shared" si="203"/>
        <v>0</v>
      </c>
      <c r="P87" s="16"/>
      <c r="Q87" s="18"/>
      <c r="R87" s="19">
        <f t="shared" si="204"/>
        <v>0</v>
      </c>
      <c r="S87" s="20">
        <f>+H87+K87+Q87+N87</f>
        <v>0</v>
      </c>
      <c r="T87" s="19">
        <f t="shared" si="205"/>
        <v>0</v>
      </c>
      <c r="U87" s="21">
        <f t="shared" si="206"/>
        <v>0</v>
      </c>
      <c r="V87" s="19">
        <f t="shared" si="206"/>
        <v>0</v>
      </c>
      <c r="X87" s="29"/>
    </row>
    <row r="88" spans="1:24">
      <c r="A88" s="36"/>
      <c r="B88" s="36"/>
      <c r="C88" s="37"/>
      <c r="D88" s="38"/>
      <c r="E88" s="31">
        <f t="shared" ref="E88:F88" si="216">SUM(E80:E87)</f>
        <v>45</v>
      </c>
      <c r="F88" s="38">
        <f t="shared" si="216"/>
        <v>9.8322699999999994</v>
      </c>
      <c r="G88" s="17"/>
      <c r="H88" s="31">
        <f t="shared" ref="H88" si="217">SUM(H80:H87)</f>
        <v>28</v>
      </c>
      <c r="I88" s="38">
        <f t="shared" ref="I88" si="218">SUM(I80:I87)</f>
        <v>5.9002299999999996</v>
      </c>
      <c r="J88" s="16"/>
      <c r="K88" s="31">
        <f t="shared" ref="K88" si="219">SUM(K80:K87)</f>
        <v>14</v>
      </c>
      <c r="L88" s="38">
        <f t="shared" ref="L88" si="220">SUM(L80:L87)</f>
        <v>3.4307699999999999</v>
      </c>
      <c r="M88" s="16"/>
      <c r="N88" s="31">
        <f t="shared" ref="N88" si="221">SUM(N80:N87)</f>
        <v>3</v>
      </c>
      <c r="O88" s="38">
        <f t="shared" ref="O88" si="222">SUM(O80:O87)</f>
        <v>0.72260999999999997</v>
      </c>
      <c r="P88" s="16"/>
      <c r="Q88" s="31">
        <f t="shared" ref="Q88" si="223">SUM(Q80:Q87)</f>
        <v>0</v>
      </c>
      <c r="R88" s="38">
        <f t="shared" ref="R88" si="224">SUM(R80:R87)</f>
        <v>0</v>
      </c>
      <c r="S88" s="31">
        <f t="shared" ref="S88" si="225">SUM(S80:S87)</f>
        <v>45</v>
      </c>
      <c r="T88" s="38">
        <f t="shared" ref="T88" si="226">SUM(T80:T87)</f>
        <v>10.053609999999997</v>
      </c>
      <c r="U88" s="31">
        <f t="shared" ref="U88" si="227">SUM(U80:U87)</f>
        <v>0</v>
      </c>
      <c r="V88" s="38">
        <f t="shared" ref="V88" si="228">SUM(V80:V87)</f>
        <v>-0.22134000000000018</v>
      </c>
      <c r="X88" s="29"/>
    </row>
    <row r="89" spans="1:24">
      <c r="A89" s="26" t="s">
        <v>13</v>
      </c>
      <c r="B89" s="26" t="s">
        <v>53</v>
      </c>
      <c r="C89" s="30">
        <v>23.6</v>
      </c>
      <c r="D89" s="27">
        <v>7.1</v>
      </c>
      <c r="E89" s="28">
        <v>3</v>
      </c>
      <c r="F89" s="16">
        <f t="shared" ref="F89:F90" si="229">(C89*D89*E89/1000)</f>
        <v>0.50268000000000002</v>
      </c>
      <c r="G89" s="17" t="s">
        <v>295</v>
      </c>
      <c r="H89" s="18">
        <v>3</v>
      </c>
      <c r="I89" s="19">
        <f t="shared" ref="I89:I90" si="230">(C89*D89*H89/1000)</f>
        <v>0.50268000000000002</v>
      </c>
      <c r="J89" s="16"/>
      <c r="K89" s="18"/>
      <c r="L89" s="19">
        <f t="shared" ref="L89:L90" si="231">(C89*D89*K89/1000)</f>
        <v>0</v>
      </c>
      <c r="M89" s="16"/>
      <c r="N89" s="18"/>
      <c r="O89" s="19">
        <f t="shared" ref="O89:O90" si="232">(C89*D89*N89/1000)</f>
        <v>0</v>
      </c>
      <c r="P89" s="16"/>
      <c r="Q89" s="18"/>
      <c r="R89" s="19">
        <f t="shared" ref="R89:R90" si="233">(C89*D89*Q89/1000)</f>
        <v>0</v>
      </c>
      <c r="S89" s="20">
        <f>+H89+K89+Q89+N89</f>
        <v>3</v>
      </c>
      <c r="T89" s="19">
        <f>+I89+L89+R89+O89</f>
        <v>0.50268000000000002</v>
      </c>
      <c r="U89" s="21">
        <f>E89-S89</f>
        <v>0</v>
      </c>
      <c r="V89" s="19">
        <f>F89-T89</f>
        <v>0</v>
      </c>
      <c r="X89" s="29"/>
    </row>
    <row r="90" spans="1:24">
      <c r="A90" s="26" t="s">
        <v>13</v>
      </c>
      <c r="B90" s="26" t="s">
        <v>53</v>
      </c>
      <c r="C90" s="30">
        <v>23.6</v>
      </c>
      <c r="D90" s="27">
        <v>9.3000000000000007</v>
      </c>
      <c r="E90" s="28">
        <v>5</v>
      </c>
      <c r="F90" s="16">
        <f t="shared" si="229"/>
        <v>1.0974000000000002</v>
      </c>
      <c r="G90" s="17" t="s">
        <v>302</v>
      </c>
      <c r="H90" s="18">
        <v>5</v>
      </c>
      <c r="I90" s="19">
        <f t="shared" si="230"/>
        <v>1.0974000000000002</v>
      </c>
      <c r="J90" s="16"/>
      <c r="K90" s="18"/>
      <c r="L90" s="19">
        <f t="shared" si="231"/>
        <v>0</v>
      </c>
      <c r="M90" s="16"/>
      <c r="N90" s="18"/>
      <c r="O90" s="19">
        <f t="shared" si="232"/>
        <v>0</v>
      </c>
      <c r="P90" s="16"/>
      <c r="Q90" s="18"/>
      <c r="R90" s="19">
        <f t="shared" si="233"/>
        <v>0</v>
      </c>
      <c r="S90" s="20">
        <f>+H90+K90+Q90+N90</f>
        <v>5</v>
      </c>
      <c r="T90" s="19">
        <f>+I90+L90+R90+O90</f>
        <v>1.0974000000000002</v>
      </c>
      <c r="U90" s="21">
        <f>E90-S90</f>
        <v>0</v>
      </c>
      <c r="V90" s="19">
        <f>F90-T90</f>
        <v>0</v>
      </c>
      <c r="X90" s="29"/>
    </row>
    <row r="91" spans="1:24">
      <c r="A91" s="36"/>
      <c r="B91" s="36"/>
      <c r="C91" s="37"/>
      <c r="D91" s="38"/>
      <c r="E91" s="31">
        <f t="shared" ref="E91:F91" si="234">SUM(E89:E90)</f>
        <v>8</v>
      </c>
      <c r="F91" s="38">
        <f t="shared" si="234"/>
        <v>1.6000800000000002</v>
      </c>
      <c r="G91" s="17"/>
      <c r="H91" s="31">
        <f t="shared" ref="H91" si="235">SUM(H89:H90)</f>
        <v>8</v>
      </c>
      <c r="I91" s="38">
        <f t="shared" ref="I91" si="236">SUM(I89:I90)</f>
        <v>1.6000800000000002</v>
      </c>
      <c r="J91" s="16"/>
      <c r="K91" s="31">
        <f t="shared" ref="K91" si="237">SUM(K89:K90)</f>
        <v>0</v>
      </c>
      <c r="L91" s="38">
        <f t="shared" ref="L91" si="238">SUM(L89:L90)</f>
        <v>0</v>
      </c>
      <c r="M91" s="16"/>
      <c r="N91" s="31">
        <f t="shared" ref="N91" si="239">SUM(N89:N90)</f>
        <v>0</v>
      </c>
      <c r="O91" s="38">
        <f t="shared" ref="O91" si="240">SUM(O89:O90)</f>
        <v>0</v>
      </c>
      <c r="P91" s="16"/>
      <c r="Q91" s="31">
        <f t="shared" ref="Q91" si="241">SUM(Q89:Q90)</f>
        <v>0</v>
      </c>
      <c r="R91" s="38">
        <f t="shared" ref="R91" si="242">SUM(R89:R90)</f>
        <v>0</v>
      </c>
      <c r="S91" s="31">
        <f t="shared" ref="S91" si="243">SUM(S89:S90)</f>
        <v>8</v>
      </c>
      <c r="T91" s="38">
        <f t="shared" ref="T91" si="244">SUM(T89:T90)</f>
        <v>1.6000800000000002</v>
      </c>
      <c r="U91" s="31">
        <f t="shared" ref="U91" si="245">SUM(U89:U90)</f>
        <v>0</v>
      </c>
      <c r="V91" s="38">
        <f t="shared" ref="V91" si="246">SUM(V89:V90)</f>
        <v>0</v>
      </c>
      <c r="X91" s="29"/>
    </row>
    <row r="92" spans="1:24">
      <c r="A92" s="26" t="s">
        <v>13</v>
      </c>
      <c r="B92" s="26" t="s">
        <v>254</v>
      </c>
      <c r="C92" s="30">
        <v>16</v>
      </c>
      <c r="D92" s="27">
        <v>7.3</v>
      </c>
      <c r="E92" s="28">
        <v>51</v>
      </c>
      <c r="F92" s="16">
        <f t="shared" ref="F92:F100" si="247">(C92*D92*E92/1000)</f>
        <v>5.9568000000000003</v>
      </c>
      <c r="G92" s="17" t="s">
        <v>318</v>
      </c>
      <c r="H92" s="18">
        <v>62</v>
      </c>
      <c r="I92" s="19">
        <f t="shared" ref="I92:I100" si="248">(C92*D92*H92/1000)</f>
        <v>7.2415999999999991</v>
      </c>
      <c r="J92" s="16"/>
      <c r="K92" s="18"/>
      <c r="L92" s="19">
        <f t="shared" ref="L92:L100" si="249">(C92*D92*K92/1000)</f>
        <v>0</v>
      </c>
      <c r="M92" s="16"/>
      <c r="N92" s="18"/>
      <c r="O92" s="19">
        <f t="shared" ref="O92:O100" si="250">(C92*D92*N92/1000)</f>
        <v>0</v>
      </c>
      <c r="P92" s="16"/>
      <c r="Q92" s="18"/>
      <c r="R92" s="19">
        <f t="shared" ref="R92:R100" si="251">(C92*D92*Q92/1000)</f>
        <v>0</v>
      </c>
      <c r="S92" s="20">
        <f t="shared" ref="S92:T100" si="252">+H92+K92+Q92+N92</f>
        <v>62</v>
      </c>
      <c r="T92" s="19">
        <f t="shared" si="252"/>
        <v>7.2415999999999991</v>
      </c>
      <c r="U92" s="21">
        <f t="shared" ref="U92:V100" si="253">E92-S92</f>
        <v>-11</v>
      </c>
      <c r="V92" s="19">
        <f t="shared" si="253"/>
        <v>-1.2847999999999988</v>
      </c>
      <c r="X92" s="29"/>
    </row>
    <row r="93" spans="1:24">
      <c r="A93" s="26" t="s">
        <v>13</v>
      </c>
      <c r="B93" s="26" t="s">
        <v>254</v>
      </c>
      <c r="C93" s="30">
        <v>16</v>
      </c>
      <c r="D93" s="27">
        <v>10.35</v>
      </c>
      <c r="E93" s="28">
        <v>24</v>
      </c>
      <c r="F93" s="16">
        <f t="shared" si="247"/>
        <v>3.9743999999999997</v>
      </c>
      <c r="G93" s="17" t="s">
        <v>317</v>
      </c>
      <c r="H93" s="18">
        <v>13</v>
      </c>
      <c r="I93" s="19">
        <f t="shared" si="248"/>
        <v>2.1527999999999996</v>
      </c>
      <c r="J93" s="16"/>
      <c r="K93" s="18"/>
      <c r="L93" s="19">
        <f t="shared" si="249"/>
        <v>0</v>
      </c>
      <c r="M93" s="16"/>
      <c r="N93" s="18"/>
      <c r="O93" s="19">
        <f t="shared" si="250"/>
        <v>0</v>
      </c>
      <c r="P93" s="16"/>
      <c r="Q93" s="18"/>
      <c r="R93" s="19">
        <f t="shared" si="251"/>
        <v>0</v>
      </c>
      <c r="S93" s="20">
        <f t="shared" si="252"/>
        <v>13</v>
      </c>
      <c r="T93" s="19">
        <f t="shared" si="252"/>
        <v>2.1527999999999996</v>
      </c>
      <c r="U93" s="21">
        <f t="shared" si="253"/>
        <v>11</v>
      </c>
      <c r="V93" s="19">
        <f t="shared" si="253"/>
        <v>1.8216000000000001</v>
      </c>
      <c r="X93" s="29"/>
    </row>
    <row r="94" spans="1:24">
      <c r="A94" s="26" t="s">
        <v>13</v>
      </c>
      <c r="B94" s="26" t="s">
        <v>254</v>
      </c>
      <c r="C94" s="30">
        <v>16</v>
      </c>
      <c r="D94" s="27">
        <v>12</v>
      </c>
      <c r="E94" s="28">
        <v>11</v>
      </c>
      <c r="F94" s="16">
        <f t="shared" ref="F94:F99" si="254">(C94*D94*E94/1000)</f>
        <v>2.1120000000000001</v>
      </c>
      <c r="G94" s="17"/>
      <c r="H94" s="18">
        <v>12</v>
      </c>
      <c r="I94" s="19">
        <f t="shared" ref="I94:I99" si="255">(C94*D94*H94/1000)</f>
        <v>2.3039999999999998</v>
      </c>
      <c r="J94" s="16"/>
      <c r="K94" s="18"/>
      <c r="L94" s="19">
        <f t="shared" ref="L94:L99" si="256">(C94*D94*K94/1000)</f>
        <v>0</v>
      </c>
      <c r="M94" s="16"/>
      <c r="N94" s="18"/>
      <c r="O94" s="19">
        <f t="shared" ref="O94:O99" si="257">(C94*D94*N94/1000)</f>
        <v>0</v>
      </c>
      <c r="P94" s="16"/>
      <c r="Q94" s="18"/>
      <c r="R94" s="19">
        <f t="shared" ref="R94:R99" si="258">(C94*D94*Q94/1000)</f>
        <v>0</v>
      </c>
      <c r="S94" s="20">
        <f t="shared" ref="S94:S99" si="259">+H94+K94+Q94+N94</f>
        <v>12</v>
      </c>
      <c r="T94" s="19">
        <f t="shared" ref="T94:T99" si="260">+I94+L94+R94+O94</f>
        <v>2.3039999999999998</v>
      </c>
      <c r="U94" s="21">
        <f t="shared" ref="U94:U99" si="261">E94-S94</f>
        <v>-1</v>
      </c>
      <c r="V94" s="19">
        <f t="shared" ref="V94:V99" si="262">F94-T94</f>
        <v>-0.19199999999999973</v>
      </c>
      <c r="X94" s="29"/>
    </row>
    <row r="95" spans="1:24">
      <c r="A95" s="26" t="s">
        <v>13</v>
      </c>
      <c r="B95" s="26" t="s">
        <v>254</v>
      </c>
      <c r="C95" s="30">
        <v>16</v>
      </c>
      <c r="D95" s="27">
        <v>9.1</v>
      </c>
      <c r="E95" s="28"/>
      <c r="F95" s="16">
        <f t="shared" ref="F95:F98" si="263">(C95*D95*E95/1000)</f>
        <v>0</v>
      </c>
      <c r="G95" s="17"/>
      <c r="H95" s="18">
        <v>2</v>
      </c>
      <c r="I95" s="19">
        <f t="shared" ref="I95:I98" si="264">(C95*D95*H95/1000)</f>
        <v>0.29120000000000001</v>
      </c>
      <c r="J95" s="16"/>
      <c r="K95" s="18"/>
      <c r="L95" s="19">
        <f t="shared" ref="L95:L98" si="265">(C95*D95*K95/1000)</f>
        <v>0</v>
      </c>
      <c r="M95" s="16"/>
      <c r="N95" s="18"/>
      <c r="O95" s="19">
        <f t="shared" ref="O95:O98" si="266">(C95*D95*N95/1000)</f>
        <v>0</v>
      </c>
      <c r="P95" s="16"/>
      <c r="Q95" s="18"/>
      <c r="R95" s="19">
        <f t="shared" ref="R95:R98" si="267">(C95*D95*Q95/1000)</f>
        <v>0</v>
      </c>
      <c r="S95" s="20">
        <f t="shared" ref="S95:S98" si="268">+H95+K95+Q95+N95</f>
        <v>2</v>
      </c>
      <c r="T95" s="19">
        <f t="shared" ref="T95:T98" si="269">+I95+L95+R95+O95</f>
        <v>0.29120000000000001</v>
      </c>
      <c r="U95" s="21">
        <f t="shared" ref="U95:U98" si="270">E95-S95</f>
        <v>-2</v>
      </c>
      <c r="V95" s="19">
        <f t="shared" ref="V95:V98" si="271">F95-T95</f>
        <v>-0.29120000000000001</v>
      </c>
      <c r="X95" s="29"/>
    </row>
    <row r="96" spans="1:24">
      <c r="A96" s="26" t="s">
        <v>13</v>
      </c>
      <c r="B96" s="26" t="s">
        <v>254</v>
      </c>
      <c r="C96" s="30">
        <v>16</v>
      </c>
      <c r="D96" s="27">
        <v>9.5</v>
      </c>
      <c r="E96" s="28"/>
      <c r="F96" s="16">
        <f t="shared" si="263"/>
        <v>0</v>
      </c>
      <c r="G96" s="17"/>
      <c r="H96" s="18">
        <v>1</v>
      </c>
      <c r="I96" s="19">
        <f t="shared" si="264"/>
        <v>0.152</v>
      </c>
      <c r="J96" s="16"/>
      <c r="K96" s="18"/>
      <c r="L96" s="19">
        <f t="shared" si="265"/>
        <v>0</v>
      </c>
      <c r="M96" s="16"/>
      <c r="N96" s="18"/>
      <c r="O96" s="19">
        <f t="shared" si="266"/>
        <v>0</v>
      </c>
      <c r="P96" s="16"/>
      <c r="Q96" s="18"/>
      <c r="R96" s="19">
        <f t="shared" si="267"/>
        <v>0</v>
      </c>
      <c r="S96" s="20">
        <f t="shared" si="268"/>
        <v>1</v>
      </c>
      <c r="T96" s="19">
        <f t="shared" si="269"/>
        <v>0.152</v>
      </c>
      <c r="U96" s="21">
        <f t="shared" si="270"/>
        <v>-1</v>
      </c>
      <c r="V96" s="19">
        <f t="shared" si="271"/>
        <v>-0.152</v>
      </c>
      <c r="X96" s="29"/>
    </row>
    <row r="97" spans="1:24">
      <c r="A97" s="26" t="s">
        <v>13</v>
      </c>
      <c r="B97" s="26" t="s">
        <v>254</v>
      </c>
      <c r="C97" s="30">
        <v>16</v>
      </c>
      <c r="D97" s="27">
        <v>9.9</v>
      </c>
      <c r="E97" s="28"/>
      <c r="F97" s="16">
        <f t="shared" si="263"/>
        <v>0</v>
      </c>
      <c r="G97" s="17"/>
      <c r="H97" s="18">
        <v>1</v>
      </c>
      <c r="I97" s="19">
        <f t="shared" si="264"/>
        <v>0.15840000000000001</v>
      </c>
      <c r="J97" s="16"/>
      <c r="K97" s="18"/>
      <c r="L97" s="19">
        <f t="shared" si="265"/>
        <v>0</v>
      </c>
      <c r="M97" s="16"/>
      <c r="N97" s="18"/>
      <c r="O97" s="19">
        <f t="shared" si="266"/>
        <v>0</v>
      </c>
      <c r="P97" s="16"/>
      <c r="Q97" s="18"/>
      <c r="R97" s="19">
        <f t="shared" si="267"/>
        <v>0</v>
      </c>
      <c r="S97" s="20">
        <f t="shared" si="268"/>
        <v>1</v>
      </c>
      <c r="T97" s="19">
        <f t="shared" si="269"/>
        <v>0.15840000000000001</v>
      </c>
      <c r="U97" s="21">
        <f t="shared" si="270"/>
        <v>-1</v>
      </c>
      <c r="V97" s="19">
        <f t="shared" si="271"/>
        <v>-0.15840000000000001</v>
      </c>
      <c r="X97" s="29"/>
    </row>
    <row r="98" spans="1:24">
      <c r="A98" s="26" t="s">
        <v>13</v>
      </c>
      <c r="B98" s="26" t="s">
        <v>254</v>
      </c>
      <c r="C98" s="30">
        <v>16</v>
      </c>
      <c r="D98" s="27">
        <v>6.9</v>
      </c>
      <c r="E98" s="28"/>
      <c r="F98" s="16">
        <f t="shared" si="263"/>
        <v>0</v>
      </c>
      <c r="G98" s="17"/>
      <c r="H98" s="18">
        <v>1</v>
      </c>
      <c r="I98" s="19">
        <f t="shared" si="264"/>
        <v>0.11040000000000001</v>
      </c>
      <c r="J98" s="16"/>
      <c r="K98" s="18"/>
      <c r="L98" s="19">
        <f t="shared" si="265"/>
        <v>0</v>
      </c>
      <c r="M98" s="16"/>
      <c r="N98" s="18"/>
      <c r="O98" s="19">
        <f t="shared" si="266"/>
        <v>0</v>
      </c>
      <c r="P98" s="16"/>
      <c r="Q98" s="18"/>
      <c r="R98" s="19">
        <f t="shared" si="267"/>
        <v>0</v>
      </c>
      <c r="S98" s="20">
        <f t="shared" si="268"/>
        <v>1</v>
      </c>
      <c r="T98" s="19">
        <f t="shared" si="269"/>
        <v>0.11040000000000001</v>
      </c>
      <c r="U98" s="21">
        <f t="shared" si="270"/>
        <v>-1</v>
      </c>
      <c r="V98" s="19">
        <f t="shared" si="271"/>
        <v>-0.11040000000000001</v>
      </c>
      <c r="X98" s="29"/>
    </row>
    <row r="99" spans="1:24">
      <c r="A99" s="26" t="s">
        <v>13</v>
      </c>
      <c r="B99" s="26" t="s">
        <v>254</v>
      </c>
      <c r="C99" s="30">
        <v>16</v>
      </c>
      <c r="D99" s="27"/>
      <c r="E99" s="28"/>
      <c r="F99" s="16">
        <f t="shared" si="254"/>
        <v>0</v>
      </c>
      <c r="G99" s="17"/>
      <c r="H99" s="18"/>
      <c r="I99" s="19">
        <f t="shared" si="255"/>
        <v>0</v>
      </c>
      <c r="J99" s="16"/>
      <c r="K99" s="18"/>
      <c r="L99" s="19">
        <f t="shared" si="256"/>
        <v>0</v>
      </c>
      <c r="M99" s="16"/>
      <c r="N99" s="18"/>
      <c r="O99" s="19">
        <f t="shared" si="257"/>
        <v>0</v>
      </c>
      <c r="P99" s="16"/>
      <c r="Q99" s="18"/>
      <c r="R99" s="19">
        <f t="shared" si="258"/>
        <v>0</v>
      </c>
      <c r="S99" s="20">
        <f t="shared" si="259"/>
        <v>0</v>
      </c>
      <c r="T99" s="19">
        <f t="shared" si="260"/>
        <v>0</v>
      </c>
      <c r="U99" s="21">
        <f t="shared" si="261"/>
        <v>0</v>
      </c>
      <c r="V99" s="19">
        <f t="shared" si="262"/>
        <v>0</v>
      </c>
      <c r="X99" s="29"/>
    </row>
    <row r="100" spans="1:24">
      <c r="A100" s="26" t="s">
        <v>13</v>
      </c>
      <c r="B100" s="26" t="s">
        <v>254</v>
      </c>
      <c r="C100" s="30">
        <v>16</v>
      </c>
      <c r="D100" s="27"/>
      <c r="E100" s="28"/>
      <c r="F100" s="16">
        <f t="shared" si="247"/>
        <v>0</v>
      </c>
      <c r="G100" s="17"/>
      <c r="H100" s="18"/>
      <c r="I100" s="19">
        <f t="shared" si="248"/>
        <v>0</v>
      </c>
      <c r="J100" s="16"/>
      <c r="K100" s="18"/>
      <c r="L100" s="19">
        <f t="shared" si="249"/>
        <v>0</v>
      </c>
      <c r="M100" s="16"/>
      <c r="N100" s="18"/>
      <c r="O100" s="19">
        <f t="shared" si="250"/>
        <v>0</v>
      </c>
      <c r="P100" s="16"/>
      <c r="Q100" s="18"/>
      <c r="R100" s="19">
        <f t="shared" si="251"/>
        <v>0</v>
      </c>
      <c r="S100" s="20">
        <f t="shared" si="252"/>
        <v>0</v>
      </c>
      <c r="T100" s="19">
        <f t="shared" si="252"/>
        <v>0</v>
      </c>
      <c r="U100" s="21">
        <f t="shared" si="253"/>
        <v>0</v>
      </c>
      <c r="V100" s="19">
        <f t="shared" si="253"/>
        <v>0</v>
      </c>
      <c r="X100" s="29"/>
    </row>
    <row r="101" spans="1:24">
      <c r="A101" s="36"/>
      <c r="B101" s="36"/>
      <c r="C101" s="37"/>
      <c r="D101" s="38"/>
      <c r="E101" s="31">
        <f t="shared" ref="E101:F101" si="272">SUM(E92:E100)</f>
        <v>86</v>
      </c>
      <c r="F101" s="38">
        <f t="shared" si="272"/>
        <v>12.043200000000001</v>
      </c>
      <c r="G101" s="17"/>
      <c r="H101" s="31">
        <f t="shared" ref="H101" si="273">SUM(H92:H100)</f>
        <v>92</v>
      </c>
      <c r="I101" s="38">
        <f t="shared" ref="I101" si="274">SUM(I92:I100)</f>
        <v>12.410399999999999</v>
      </c>
      <c r="J101" s="16"/>
      <c r="K101" s="31">
        <f t="shared" ref="K101" si="275">SUM(K92:K100)</f>
        <v>0</v>
      </c>
      <c r="L101" s="38">
        <f t="shared" ref="L101" si="276">SUM(L92:L100)</f>
        <v>0</v>
      </c>
      <c r="M101" s="16"/>
      <c r="N101" s="31">
        <f t="shared" ref="N101" si="277">SUM(N92:N100)</f>
        <v>0</v>
      </c>
      <c r="O101" s="38">
        <f t="shared" ref="O101" si="278">SUM(O92:O100)</f>
        <v>0</v>
      </c>
      <c r="P101" s="16"/>
      <c r="Q101" s="31">
        <f t="shared" ref="Q101" si="279">SUM(Q92:Q100)</f>
        <v>0</v>
      </c>
      <c r="R101" s="38">
        <f t="shared" ref="R101" si="280">SUM(R92:R100)</f>
        <v>0</v>
      </c>
      <c r="S101" s="31">
        <f t="shared" ref="S101" si="281">SUM(S92:S100)</f>
        <v>92</v>
      </c>
      <c r="T101" s="38">
        <f t="shared" ref="T101" si="282">SUM(T92:T100)</f>
        <v>12.410399999999999</v>
      </c>
      <c r="U101" s="31">
        <f t="shared" ref="U101" si="283">SUM(U92:U100)</f>
        <v>-6</v>
      </c>
      <c r="V101" s="38">
        <f t="shared" ref="V101" si="284">SUM(V92:V100)</f>
        <v>-0.36719999999999847</v>
      </c>
      <c r="X101" s="29"/>
    </row>
    <row r="102" spans="1:24">
      <c r="A102" s="26" t="s">
        <v>13</v>
      </c>
      <c r="B102" s="26" t="s">
        <v>56</v>
      </c>
      <c r="C102" s="30">
        <v>17.899999999999999</v>
      </c>
      <c r="D102" s="27">
        <v>7.3</v>
      </c>
      <c r="E102" s="28">
        <v>4</v>
      </c>
      <c r="F102" s="16">
        <f t="shared" ref="F102:F106" si="285">(C102*D102*E102/1000)</f>
        <v>0.52267999999999992</v>
      </c>
      <c r="G102" s="17" t="s">
        <v>88</v>
      </c>
      <c r="H102" s="18">
        <v>2</v>
      </c>
      <c r="I102" s="19">
        <f t="shared" ref="I102:I106" si="286">(C102*D102*H102/1000)</f>
        <v>0.26133999999999996</v>
      </c>
      <c r="J102" s="17" t="s">
        <v>318</v>
      </c>
      <c r="K102" s="18">
        <v>1</v>
      </c>
      <c r="L102" s="19">
        <f t="shared" ref="L102:L106" si="287">(C102*D102*K102/1000)</f>
        <v>0.13066999999999998</v>
      </c>
      <c r="M102" s="16"/>
      <c r="N102" s="18"/>
      <c r="O102" s="19">
        <f t="shared" ref="O102:O106" si="288">(C102*D102*N102/1000)</f>
        <v>0</v>
      </c>
      <c r="P102" s="16"/>
      <c r="Q102" s="18"/>
      <c r="R102" s="19">
        <f t="shared" ref="R102:R106" si="289">(C102*D102*Q102/1000)</f>
        <v>0</v>
      </c>
      <c r="S102" s="20">
        <f t="shared" ref="S102:T106" si="290">+H102+K102+Q102+N102</f>
        <v>3</v>
      </c>
      <c r="T102" s="19">
        <f t="shared" si="290"/>
        <v>0.39200999999999997</v>
      </c>
      <c r="U102" s="21">
        <f t="shared" ref="U102:V106" si="291">E102-S102</f>
        <v>1</v>
      </c>
      <c r="V102" s="19">
        <f t="shared" si="291"/>
        <v>0.13066999999999995</v>
      </c>
      <c r="X102" s="29"/>
    </row>
    <row r="103" spans="1:24">
      <c r="A103" s="26" t="s">
        <v>13</v>
      </c>
      <c r="B103" s="26" t="s">
        <v>56</v>
      </c>
      <c r="C103" s="30">
        <v>17.899999999999999</v>
      </c>
      <c r="D103" s="27">
        <v>7.8</v>
      </c>
      <c r="E103" s="28">
        <v>29</v>
      </c>
      <c r="F103" s="16">
        <f t="shared" si="285"/>
        <v>4.0489799999999994</v>
      </c>
      <c r="G103" s="17" t="s">
        <v>304</v>
      </c>
      <c r="H103" s="18">
        <v>5</v>
      </c>
      <c r="I103" s="19">
        <f t="shared" si="286"/>
        <v>0.69809999999999994</v>
      </c>
      <c r="J103" s="17" t="s">
        <v>317</v>
      </c>
      <c r="K103" s="18">
        <v>25</v>
      </c>
      <c r="L103" s="19">
        <f t="shared" si="287"/>
        <v>3.4904999999999995</v>
      </c>
      <c r="M103" s="16"/>
      <c r="N103" s="18"/>
      <c r="O103" s="19">
        <f t="shared" si="288"/>
        <v>0</v>
      </c>
      <c r="P103" s="16"/>
      <c r="Q103" s="18"/>
      <c r="R103" s="19">
        <f t="shared" si="289"/>
        <v>0</v>
      </c>
      <c r="S103" s="20">
        <f t="shared" si="290"/>
        <v>30</v>
      </c>
      <c r="T103" s="19">
        <f t="shared" si="290"/>
        <v>4.1885999999999992</v>
      </c>
      <c r="U103" s="21">
        <f t="shared" si="291"/>
        <v>-1</v>
      </c>
      <c r="V103" s="19">
        <f t="shared" si="291"/>
        <v>-0.13961999999999986</v>
      </c>
      <c r="X103" s="29"/>
    </row>
    <row r="104" spans="1:24">
      <c r="A104" s="26" t="s">
        <v>13</v>
      </c>
      <c r="B104" s="26" t="s">
        <v>56</v>
      </c>
      <c r="C104" s="30">
        <v>17.899999999999999</v>
      </c>
      <c r="D104" s="27">
        <v>10</v>
      </c>
      <c r="E104" s="28">
        <v>2</v>
      </c>
      <c r="F104" s="16">
        <f t="shared" si="285"/>
        <v>0.35799999999999998</v>
      </c>
      <c r="G104" s="17"/>
      <c r="H104" s="18">
        <v>2</v>
      </c>
      <c r="I104" s="19">
        <f t="shared" si="286"/>
        <v>0.35799999999999998</v>
      </c>
      <c r="J104" s="16"/>
      <c r="K104" s="18"/>
      <c r="L104" s="19">
        <f t="shared" si="287"/>
        <v>0</v>
      </c>
      <c r="M104" s="16"/>
      <c r="N104" s="18"/>
      <c r="O104" s="19">
        <f t="shared" si="288"/>
        <v>0</v>
      </c>
      <c r="P104" s="16"/>
      <c r="Q104" s="18"/>
      <c r="R104" s="19">
        <f t="shared" si="289"/>
        <v>0</v>
      </c>
      <c r="S104" s="20">
        <f t="shared" si="290"/>
        <v>2</v>
      </c>
      <c r="T104" s="19">
        <f t="shared" si="290"/>
        <v>0.35799999999999998</v>
      </c>
      <c r="U104" s="21">
        <f t="shared" si="291"/>
        <v>0</v>
      </c>
      <c r="V104" s="19">
        <f t="shared" si="291"/>
        <v>0</v>
      </c>
      <c r="X104" s="29"/>
    </row>
    <row r="105" spans="1:24">
      <c r="A105" s="26" t="s">
        <v>13</v>
      </c>
      <c r="B105" s="26" t="s">
        <v>56</v>
      </c>
      <c r="C105" s="30">
        <v>17.899999999999999</v>
      </c>
      <c r="D105" s="27">
        <v>11.3</v>
      </c>
      <c r="E105" s="28">
        <v>38</v>
      </c>
      <c r="F105" s="16">
        <f t="shared" si="285"/>
        <v>7.6862599999999999</v>
      </c>
      <c r="G105" s="17"/>
      <c r="H105" s="18">
        <f>1+17</f>
        <v>18</v>
      </c>
      <c r="I105" s="19">
        <f t="shared" si="286"/>
        <v>3.64086</v>
      </c>
      <c r="J105" s="16"/>
      <c r="K105" s="18">
        <v>13</v>
      </c>
      <c r="L105" s="19">
        <f t="shared" si="287"/>
        <v>2.6295100000000002</v>
      </c>
      <c r="M105" s="16"/>
      <c r="N105" s="18"/>
      <c r="O105" s="19">
        <f t="shared" si="288"/>
        <v>0</v>
      </c>
      <c r="P105" s="16"/>
      <c r="Q105" s="18"/>
      <c r="R105" s="19">
        <f t="shared" si="289"/>
        <v>0</v>
      </c>
      <c r="S105" s="20">
        <f t="shared" si="290"/>
        <v>31</v>
      </c>
      <c r="T105" s="19">
        <f t="shared" si="290"/>
        <v>6.2703699999999998</v>
      </c>
      <c r="U105" s="21">
        <f t="shared" si="291"/>
        <v>7</v>
      </c>
      <c r="V105" s="19">
        <f t="shared" si="291"/>
        <v>1.4158900000000001</v>
      </c>
      <c r="X105" s="29"/>
    </row>
    <row r="106" spans="1:24">
      <c r="A106" s="26" t="s">
        <v>13</v>
      </c>
      <c r="B106" s="26" t="s">
        <v>56</v>
      </c>
      <c r="C106" s="30">
        <v>17.899999999999999</v>
      </c>
      <c r="D106" s="27">
        <v>12</v>
      </c>
      <c r="E106" s="28">
        <v>30</v>
      </c>
      <c r="F106" s="16">
        <f t="shared" si="285"/>
        <v>6.4439999999999991</v>
      </c>
      <c r="G106" s="17"/>
      <c r="H106" s="18">
        <v>30</v>
      </c>
      <c r="I106" s="19">
        <f t="shared" si="286"/>
        <v>6.4439999999999991</v>
      </c>
      <c r="J106" s="16"/>
      <c r="K106" s="18">
        <v>7</v>
      </c>
      <c r="L106" s="19">
        <f t="shared" si="287"/>
        <v>1.5035999999999998</v>
      </c>
      <c r="M106" s="16"/>
      <c r="N106" s="18"/>
      <c r="O106" s="19">
        <f t="shared" si="288"/>
        <v>0</v>
      </c>
      <c r="P106" s="16"/>
      <c r="Q106" s="18"/>
      <c r="R106" s="19">
        <f t="shared" si="289"/>
        <v>0</v>
      </c>
      <c r="S106" s="20">
        <f t="shared" si="290"/>
        <v>37</v>
      </c>
      <c r="T106" s="19">
        <f t="shared" si="290"/>
        <v>7.9475999999999987</v>
      </c>
      <c r="U106" s="21">
        <f t="shared" si="291"/>
        <v>-7</v>
      </c>
      <c r="V106" s="19">
        <f t="shared" si="291"/>
        <v>-1.5035999999999996</v>
      </c>
      <c r="X106" s="29"/>
    </row>
    <row r="107" spans="1:24">
      <c r="A107" s="36"/>
      <c r="B107" s="36"/>
      <c r="C107" s="37"/>
      <c r="D107" s="38"/>
      <c r="E107" s="31">
        <f t="shared" ref="E107:F107" si="292">SUM(E102:E106)</f>
        <v>103</v>
      </c>
      <c r="F107" s="38">
        <f t="shared" si="292"/>
        <v>19.059919999999998</v>
      </c>
      <c r="G107" s="17"/>
      <c r="H107" s="31">
        <f t="shared" ref="H107" si="293">SUM(H102:H106)</f>
        <v>57</v>
      </c>
      <c r="I107" s="38">
        <f t="shared" ref="I107" si="294">SUM(I102:I106)</f>
        <v>11.402299999999999</v>
      </c>
      <c r="J107" s="16"/>
      <c r="K107" s="31">
        <f t="shared" ref="K107" si="295">SUM(K102:K106)</f>
        <v>46</v>
      </c>
      <c r="L107" s="38">
        <f t="shared" ref="L107" si="296">SUM(L102:L106)</f>
        <v>7.7542799999999987</v>
      </c>
      <c r="M107" s="16"/>
      <c r="N107" s="31">
        <f t="shared" ref="N107" si="297">SUM(N102:N106)</f>
        <v>0</v>
      </c>
      <c r="O107" s="38">
        <f t="shared" ref="O107" si="298">SUM(O102:O106)</f>
        <v>0</v>
      </c>
      <c r="P107" s="16"/>
      <c r="Q107" s="31">
        <f t="shared" ref="Q107" si="299">SUM(Q102:Q106)</f>
        <v>0</v>
      </c>
      <c r="R107" s="38">
        <f t="shared" ref="R107" si="300">SUM(R102:R106)</f>
        <v>0</v>
      </c>
      <c r="S107" s="31">
        <f t="shared" ref="S107" si="301">SUM(S102:S106)</f>
        <v>103</v>
      </c>
      <c r="T107" s="38">
        <f t="shared" ref="T107" si="302">SUM(T102:T106)</f>
        <v>19.156579999999998</v>
      </c>
      <c r="U107" s="31">
        <f t="shared" ref="U107" si="303">SUM(U102:U106)</f>
        <v>0</v>
      </c>
      <c r="V107" s="38">
        <f t="shared" ref="V107" si="304">SUM(V102:V106)</f>
        <v>-9.6659999999999524E-2</v>
      </c>
      <c r="X107" s="29"/>
    </row>
    <row r="108" spans="1:24">
      <c r="A108" s="26" t="s">
        <v>13</v>
      </c>
      <c r="B108" s="26" t="s">
        <v>255</v>
      </c>
      <c r="C108" s="30">
        <v>25.2</v>
      </c>
      <c r="D108" s="27">
        <v>11.7</v>
      </c>
      <c r="E108" s="28">
        <v>61</v>
      </c>
      <c r="F108" s="16">
        <f>(C108*D108*E108/1000)</f>
        <v>17.985239999999997</v>
      </c>
      <c r="G108" s="17" t="s">
        <v>86</v>
      </c>
      <c r="H108" s="18">
        <v>21</v>
      </c>
      <c r="I108" s="19">
        <f>(C108*D108*H108/1000)</f>
        <v>6.1916399999999996</v>
      </c>
      <c r="J108" s="17" t="s">
        <v>93</v>
      </c>
      <c r="K108" s="18">
        <v>34</v>
      </c>
      <c r="L108" s="19">
        <f>(C108*D108*K108/1000)</f>
        <v>10.024559999999999</v>
      </c>
      <c r="M108" s="16"/>
      <c r="N108" s="18"/>
      <c r="O108" s="19">
        <f>(C108*D108*N108/1000)</f>
        <v>0</v>
      </c>
      <c r="P108" s="16"/>
      <c r="Q108" s="18"/>
      <c r="R108" s="19">
        <f>(C108*D108*Q108/1000)</f>
        <v>0</v>
      </c>
      <c r="S108" s="20">
        <f>+H108+K108+Q108+N108</f>
        <v>55</v>
      </c>
      <c r="T108" s="19">
        <f>+I108+L108+R108+O108</f>
        <v>16.216200000000001</v>
      </c>
      <c r="U108" s="21">
        <f>E108-S108</f>
        <v>6</v>
      </c>
      <c r="V108" s="19">
        <f>F108-T108</f>
        <v>1.7690399999999968</v>
      </c>
      <c r="X108" s="29"/>
    </row>
    <row r="109" spans="1:24">
      <c r="A109" s="26" t="s">
        <v>13</v>
      </c>
      <c r="B109" s="26" t="s">
        <v>255</v>
      </c>
      <c r="C109" s="30">
        <v>25.2</v>
      </c>
      <c r="D109" s="27">
        <v>11.5</v>
      </c>
      <c r="E109" s="28"/>
      <c r="F109" s="16">
        <f t="shared" ref="F109:F114" si="305">(C109*D109*E109/1000)</f>
        <v>0</v>
      </c>
      <c r="G109" s="17" t="s">
        <v>327</v>
      </c>
      <c r="H109" s="18"/>
      <c r="I109" s="19">
        <f t="shared" ref="I109:I114" si="306">(C109*D109*H109/1000)</f>
        <v>0</v>
      </c>
      <c r="J109" s="17" t="s">
        <v>328</v>
      </c>
      <c r="K109" s="18">
        <v>4</v>
      </c>
      <c r="L109" s="19">
        <f t="shared" ref="L109:L114" si="307">(C109*D109*K109/1000)</f>
        <v>1.1592</v>
      </c>
      <c r="M109" s="16"/>
      <c r="N109" s="18"/>
      <c r="O109" s="19">
        <f t="shared" ref="O109:O114" si="308">(C109*D109*N109/1000)</f>
        <v>0</v>
      </c>
      <c r="P109" s="16"/>
      <c r="Q109" s="18"/>
      <c r="R109" s="19">
        <f t="shared" ref="R109:R114" si="309">(C109*D109*Q109/1000)</f>
        <v>0</v>
      </c>
      <c r="S109" s="20">
        <f t="shared" ref="S109:S114" si="310">+H109+K109+Q109+N109</f>
        <v>4</v>
      </c>
      <c r="T109" s="19">
        <f t="shared" ref="T109:T114" si="311">+I109+L109+R109+O109</f>
        <v>1.1592</v>
      </c>
      <c r="U109" s="21">
        <f t="shared" ref="U109:U114" si="312">E109-S109</f>
        <v>-4</v>
      </c>
      <c r="V109" s="19">
        <f t="shared" ref="V109:V114" si="313">F109-T109</f>
        <v>-1.1592</v>
      </c>
      <c r="X109" s="29"/>
    </row>
    <row r="110" spans="1:24">
      <c r="A110" s="26" t="s">
        <v>13</v>
      </c>
      <c r="B110" s="26" t="s">
        <v>255</v>
      </c>
      <c r="C110" s="30">
        <v>25.2</v>
      </c>
      <c r="D110" s="27">
        <v>10.7</v>
      </c>
      <c r="E110" s="28"/>
      <c r="F110" s="16">
        <f t="shared" si="305"/>
        <v>0</v>
      </c>
      <c r="G110" s="17"/>
      <c r="H110" s="18"/>
      <c r="I110" s="19">
        <f t="shared" si="306"/>
        <v>0</v>
      </c>
      <c r="J110" s="17"/>
      <c r="K110" s="18">
        <v>1</v>
      </c>
      <c r="L110" s="19">
        <f t="shared" si="307"/>
        <v>0.26963999999999999</v>
      </c>
      <c r="M110" s="16"/>
      <c r="N110" s="18"/>
      <c r="O110" s="19">
        <f t="shared" si="308"/>
        <v>0</v>
      </c>
      <c r="P110" s="16"/>
      <c r="Q110" s="18"/>
      <c r="R110" s="19">
        <f t="shared" si="309"/>
        <v>0</v>
      </c>
      <c r="S110" s="20">
        <f t="shared" si="310"/>
        <v>1</v>
      </c>
      <c r="T110" s="19">
        <f t="shared" si="311"/>
        <v>0.26963999999999999</v>
      </c>
      <c r="U110" s="21">
        <f t="shared" si="312"/>
        <v>-1</v>
      </c>
      <c r="V110" s="19">
        <f t="shared" si="313"/>
        <v>-0.26963999999999999</v>
      </c>
      <c r="X110" s="29"/>
    </row>
    <row r="111" spans="1:24">
      <c r="A111" s="26" t="s">
        <v>13</v>
      </c>
      <c r="B111" s="26" t="s">
        <v>255</v>
      </c>
      <c r="C111" s="30">
        <v>25.2</v>
      </c>
      <c r="D111" s="27">
        <v>10.3</v>
      </c>
      <c r="E111" s="28"/>
      <c r="F111" s="16">
        <f t="shared" si="305"/>
        <v>0</v>
      </c>
      <c r="G111" s="17"/>
      <c r="H111" s="18"/>
      <c r="I111" s="19">
        <f t="shared" si="306"/>
        <v>0</v>
      </c>
      <c r="J111" s="17"/>
      <c r="K111" s="18">
        <v>1</v>
      </c>
      <c r="L111" s="19">
        <f t="shared" si="307"/>
        <v>0.25956000000000001</v>
      </c>
      <c r="M111" s="16"/>
      <c r="N111" s="18"/>
      <c r="O111" s="19">
        <f t="shared" si="308"/>
        <v>0</v>
      </c>
      <c r="P111" s="16"/>
      <c r="Q111" s="18"/>
      <c r="R111" s="19">
        <f t="shared" si="309"/>
        <v>0</v>
      </c>
      <c r="S111" s="20">
        <f t="shared" si="310"/>
        <v>1</v>
      </c>
      <c r="T111" s="19">
        <f t="shared" si="311"/>
        <v>0.25956000000000001</v>
      </c>
      <c r="U111" s="21">
        <f t="shared" si="312"/>
        <v>-1</v>
      </c>
      <c r="V111" s="19">
        <f t="shared" si="313"/>
        <v>-0.25956000000000001</v>
      </c>
      <c r="X111" s="29"/>
    </row>
    <row r="112" spans="1:24">
      <c r="A112" s="26" t="s">
        <v>13</v>
      </c>
      <c r="B112" s="26" t="s">
        <v>255</v>
      </c>
      <c r="C112" s="30">
        <v>25.2</v>
      </c>
      <c r="D112" s="27"/>
      <c r="E112" s="28"/>
      <c r="F112" s="16">
        <f t="shared" si="305"/>
        <v>0</v>
      </c>
      <c r="G112" s="17"/>
      <c r="H112" s="18"/>
      <c r="I112" s="19">
        <f t="shared" si="306"/>
        <v>0</v>
      </c>
      <c r="J112" s="17"/>
      <c r="K112" s="18"/>
      <c r="L112" s="19">
        <f t="shared" si="307"/>
        <v>0</v>
      </c>
      <c r="M112" s="16"/>
      <c r="N112" s="18"/>
      <c r="O112" s="19">
        <f t="shared" si="308"/>
        <v>0</v>
      </c>
      <c r="P112" s="16"/>
      <c r="Q112" s="18"/>
      <c r="R112" s="19">
        <f t="shared" si="309"/>
        <v>0</v>
      </c>
      <c r="S112" s="20">
        <f t="shared" si="310"/>
        <v>0</v>
      </c>
      <c r="T112" s="19">
        <f t="shared" si="311"/>
        <v>0</v>
      </c>
      <c r="U112" s="21">
        <f t="shared" si="312"/>
        <v>0</v>
      </c>
      <c r="V112" s="19">
        <f t="shared" si="313"/>
        <v>0</v>
      </c>
      <c r="X112" s="29"/>
    </row>
    <row r="113" spans="1:24">
      <c r="A113" s="26" t="s">
        <v>13</v>
      </c>
      <c r="B113" s="26" t="s">
        <v>255</v>
      </c>
      <c r="C113" s="30">
        <v>25.2</v>
      </c>
      <c r="D113" s="27"/>
      <c r="E113" s="28"/>
      <c r="F113" s="16">
        <f t="shared" si="305"/>
        <v>0</v>
      </c>
      <c r="G113" s="17"/>
      <c r="H113" s="18"/>
      <c r="I113" s="19">
        <f t="shared" si="306"/>
        <v>0</v>
      </c>
      <c r="J113" s="17"/>
      <c r="K113" s="18"/>
      <c r="L113" s="19">
        <f t="shared" si="307"/>
        <v>0</v>
      </c>
      <c r="M113" s="16"/>
      <c r="N113" s="18"/>
      <c r="O113" s="19">
        <f t="shared" si="308"/>
        <v>0</v>
      </c>
      <c r="P113" s="16"/>
      <c r="Q113" s="18"/>
      <c r="R113" s="19">
        <f t="shared" si="309"/>
        <v>0</v>
      </c>
      <c r="S113" s="20">
        <f t="shared" si="310"/>
        <v>0</v>
      </c>
      <c r="T113" s="19">
        <f t="shared" si="311"/>
        <v>0</v>
      </c>
      <c r="U113" s="21">
        <f t="shared" si="312"/>
        <v>0</v>
      </c>
      <c r="V113" s="19">
        <f t="shared" si="313"/>
        <v>0</v>
      </c>
      <c r="X113" s="29"/>
    </row>
    <row r="114" spans="1:24">
      <c r="A114" s="26" t="s">
        <v>13</v>
      </c>
      <c r="B114" s="26" t="s">
        <v>255</v>
      </c>
      <c r="C114" s="30">
        <v>25.2</v>
      </c>
      <c r="D114" s="27"/>
      <c r="E114" s="28"/>
      <c r="F114" s="16">
        <f t="shared" si="305"/>
        <v>0</v>
      </c>
      <c r="G114" s="17"/>
      <c r="H114" s="18"/>
      <c r="I114" s="19">
        <f t="shared" si="306"/>
        <v>0</v>
      </c>
      <c r="J114" s="17"/>
      <c r="K114" s="18"/>
      <c r="L114" s="19">
        <f t="shared" si="307"/>
        <v>0</v>
      </c>
      <c r="M114" s="16"/>
      <c r="N114" s="18"/>
      <c r="O114" s="19">
        <f t="shared" si="308"/>
        <v>0</v>
      </c>
      <c r="P114" s="16"/>
      <c r="Q114" s="18"/>
      <c r="R114" s="19">
        <f t="shared" si="309"/>
        <v>0</v>
      </c>
      <c r="S114" s="20">
        <f t="shared" si="310"/>
        <v>0</v>
      </c>
      <c r="T114" s="19">
        <f t="shared" si="311"/>
        <v>0</v>
      </c>
      <c r="U114" s="21">
        <f t="shared" si="312"/>
        <v>0</v>
      </c>
      <c r="V114" s="19">
        <f t="shared" si="313"/>
        <v>0</v>
      </c>
      <c r="X114" s="29"/>
    </row>
    <row r="115" spans="1:24">
      <c r="A115" s="36"/>
      <c r="B115" s="36"/>
      <c r="C115" s="37"/>
      <c r="D115" s="38"/>
      <c r="E115" s="31">
        <f t="shared" ref="E115:F115" si="314">SUM(E108:E114)</f>
        <v>61</v>
      </c>
      <c r="F115" s="38">
        <f t="shared" si="314"/>
        <v>17.985239999999997</v>
      </c>
      <c r="G115" s="17"/>
      <c r="H115" s="31">
        <f t="shared" ref="H115" si="315">SUM(H108:H114)</f>
        <v>21</v>
      </c>
      <c r="I115" s="38">
        <f t="shared" ref="I115" si="316">SUM(I108:I114)</f>
        <v>6.1916399999999996</v>
      </c>
      <c r="J115" s="17"/>
      <c r="K115" s="31">
        <f t="shared" ref="K115" si="317">SUM(K108:K114)</f>
        <v>40</v>
      </c>
      <c r="L115" s="38">
        <f t="shared" ref="L115" si="318">SUM(L108:L114)</f>
        <v>11.712960000000001</v>
      </c>
      <c r="M115" s="16"/>
      <c r="N115" s="31">
        <f t="shared" ref="N115" si="319">SUM(N108:N114)</f>
        <v>0</v>
      </c>
      <c r="O115" s="38">
        <f t="shared" ref="O115" si="320">SUM(O108:O114)</f>
        <v>0</v>
      </c>
      <c r="P115" s="16"/>
      <c r="Q115" s="31">
        <f t="shared" ref="Q115" si="321">SUM(Q108:Q114)</f>
        <v>0</v>
      </c>
      <c r="R115" s="38">
        <f t="shared" ref="R115" si="322">SUM(R108:R114)</f>
        <v>0</v>
      </c>
      <c r="S115" s="31">
        <f t="shared" ref="S115" si="323">SUM(S108:S114)</f>
        <v>61</v>
      </c>
      <c r="T115" s="38">
        <f t="shared" ref="T115" si="324">SUM(T108:T114)</f>
        <v>17.904599999999999</v>
      </c>
      <c r="U115" s="31">
        <f t="shared" ref="U115" si="325">SUM(U108:U114)</f>
        <v>0</v>
      </c>
      <c r="V115" s="38">
        <f t="shared" ref="V115" si="326">SUM(V108:V114)</f>
        <v>8.0639999999996825E-2</v>
      </c>
      <c r="X115" s="29"/>
    </row>
    <row r="116" spans="1:24">
      <c r="A116" s="26" t="s">
        <v>13</v>
      </c>
      <c r="B116" s="26" t="s">
        <v>125</v>
      </c>
      <c r="C116" s="30">
        <v>27.3</v>
      </c>
      <c r="D116" s="27">
        <v>6.85</v>
      </c>
      <c r="E116" s="28">
        <v>4</v>
      </c>
      <c r="F116" s="16">
        <f t="shared" ref="F116:F121" si="327">(C116*D116*E116/1000)</f>
        <v>0.74802000000000002</v>
      </c>
      <c r="G116" s="16" t="s">
        <v>86</v>
      </c>
      <c r="H116" s="18"/>
      <c r="I116" s="19">
        <f t="shared" ref="I116:I121" si="328">(C116*D116*H116/1000)</f>
        <v>0</v>
      </c>
      <c r="J116" s="17" t="s">
        <v>318</v>
      </c>
      <c r="K116" s="18">
        <v>1</v>
      </c>
      <c r="L116" s="19">
        <f t="shared" ref="L116:L121" si="329">(C116*D116*K116/1000)</f>
        <v>0.187005</v>
      </c>
      <c r="M116" s="16" t="s">
        <v>86</v>
      </c>
      <c r="N116" s="18"/>
      <c r="O116" s="19">
        <f t="shared" ref="O116:O121" si="330">(C116*D116*N116/1000)</f>
        <v>0</v>
      </c>
      <c r="P116" s="16"/>
      <c r="Q116" s="18"/>
      <c r="R116" s="19">
        <f t="shared" ref="R116:R121" si="331">(C116*D116*Q116/1000)</f>
        <v>0</v>
      </c>
      <c r="S116" s="20">
        <f t="shared" ref="S116:T121" si="332">+H116+K116+Q116+N116</f>
        <v>1</v>
      </c>
      <c r="T116" s="19">
        <f t="shared" si="332"/>
        <v>0.187005</v>
      </c>
      <c r="U116" s="21">
        <f t="shared" ref="U116:V121" si="333">E116-S116</f>
        <v>3</v>
      </c>
      <c r="V116" s="19">
        <f t="shared" si="333"/>
        <v>0.56101500000000004</v>
      </c>
      <c r="X116" s="29"/>
    </row>
    <row r="117" spans="1:24">
      <c r="A117" s="26" t="s">
        <v>13</v>
      </c>
      <c r="B117" s="26" t="s">
        <v>125</v>
      </c>
      <c r="C117" s="30">
        <v>27.3</v>
      </c>
      <c r="D117" s="27">
        <v>7.6</v>
      </c>
      <c r="E117" s="28">
        <v>8</v>
      </c>
      <c r="F117" s="16">
        <f t="shared" si="327"/>
        <v>1.65984</v>
      </c>
      <c r="G117" s="16" t="s">
        <v>343</v>
      </c>
      <c r="H117" s="18"/>
      <c r="I117" s="19">
        <f t="shared" si="328"/>
        <v>0</v>
      </c>
      <c r="J117" s="17" t="s">
        <v>344</v>
      </c>
      <c r="K117" s="18">
        <v>1</v>
      </c>
      <c r="L117" s="19">
        <f t="shared" si="329"/>
        <v>0.20748</v>
      </c>
      <c r="M117" s="16" t="s">
        <v>328</v>
      </c>
      <c r="N117" s="18"/>
      <c r="O117" s="19">
        <f t="shared" si="330"/>
        <v>0</v>
      </c>
      <c r="P117" s="16"/>
      <c r="Q117" s="18"/>
      <c r="R117" s="19">
        <f t="shared" si="331"/>
        <v>0</v>
      </c>
      <c r="S117" s="20">
        <f t="shared" si="332"/>
        <v>1</v>
      </c>
      <c r="T117" s="19">
        <f t="shared" si="332"/>
        <v>0.20748</v>
      </c>
      <c r="U117" s="21">
        <f t="shared" si="333"/>
        <v>7</v>
      </c>
      <c r="V117" s="19">
        <f t="shared" si="333"/>
        <v>1.4523600000000001</v>
      </c>
      <c r="X117" s="29"/>
    </row>
    <row r="118" spans="1:24">
      <c r="A118" s="26" t="s">
        <v>13</v>
      </c>
      <c r="B118" s="26" t="s">
        <v>125</v>
      </c>
      <c r="C118" s="30">
        <v>27.3</v>
      </c>
      <c r="D118" s="27">
        <v>10</v>
      </c>
      <c r="E118" s="28">
        <v>3</v>
      </c>
      <c r="F118" s="16">
        <f t="shared" si="327"/>
        <v>0.81899999999999995</v>
      </c>
      <c r="G118" s="17"/>
      <c r="H118" s="18"/>
      <c r="I118" s="19">
        <f t="shared" si="328"/>
        <v>0</v>
      </c>
      <c r="J118" s="16"/>
      <c r="K118" s="18">
        <v>3</v>
      </c>
      <c r="L118" s="19">
        <f t="shared" si="329"/>
        <v>0.81899999999999995</v>
      </c>
      <c r="M118" s="16"/>
      <c r="N118" s="18"/>
      <c r="O118" s="19">
        <f t="shared" si="330"/>
        <v>0</v>
      </c>
      <c r="P118" s="16"/>
      <c r="Q118" s="18"/>
      <c r="R118" s="19">
        <f t="shared" si="331"/>
        <v>0</v>
      </c>
      <c r="S118" s="20">
        <f t="shared" si="332"/>
        <v>3</v>
      </c>
      <c r="T118" s="19">
        <f t="shared" si="332"/>
        <v>0.81899999999999995</v>
      </c>
      <c r="U118" s="21">
        <f t="shared" si="333"/>
        <v>0</v>
      </c>
      <c r="V118" s="19">
        <f t="shared" si="333"/>
        <v>0</v>
      </c>
      <c r="X118" s="29"/>
    </row>
    <row r="119" spans="1:24" ht="15.6">
      <c r="A119" s="26" t="s">
        <v>13</v>
      </c>
      <c r="B119" s="26" t="s">
        <v>125</v>
      </c>
      <c r="C119" s="30">
        <v>27.3</v>
      </c>
      <c r="D119" s="27">
        <v>10.9</v>
      </c>
      <c r="E119" s="28">
        <v>29</v>
      </c>
      <c r="F119" s="16">
        <f t="shared" ref="F119:F120" si="334">(C119*D119*E119/1000)</f>
        <v>8.6295300000000008</v>
      </c>
      <c r="G119" s="17"/>
      <c r="H119" s="18">
        <v>10</v>
      </c>
      <c r="I119" s="19">
        <f t="shared" ref="I119:I120" si="335">(C119*D119*H119/1000)</f>
        <v>2.9756999999999998</v>
      </c>
      <c r="J119" s="16"/>
      <c r="K119" s="18">
        <v>19</v>
      </c>
      <c r="L119" s="19">
        <f t="shared" ref="L119:L120" si="336">(C119*D119*K119/1000)</f>
        <v>5.6538300000000001</v>
      </c>
      <c r="M119" s="71" t="s">
        <v>350</v>
      </c>
      <c r="N119" s="72">
        <v>7</v>
      </c>
      <c r="O119" s="19">
        <f t="shared" ref="O119:O120" si="337">(C119*D119*N119/1000)</f>
        <v>2.0829899999999997</v>
      </c>
      <c r="P119" s="16"/>
      <c r="Q119" s="18"/>
      <c r="R119" s="19">
        <f t="shared" ref="R119:R120" si="338">(C119*D119*Q119/1000)</f>
        <v>0</v>
      </c>
      <c r="S119" s="20">
        <f t="shared" ref="S119:S120" si="339">+H119+K119+Q119+N119</f>
        <v>36</v>
      </c>
      <c r="T119" s="19">
        <f t="shared" ref="T119:T120" si="340">+I119+L119+R119+O119</f>
        <v>10.712519999999998</v>
      </c>
      <c r="U119" s="21">
        <f t="shared" ref="U119:U120" si="341">E119-S119</f>
        <v>-7</v>
      </c>
      <c r="V119" s="19">
        <f t="shared" ref="V119:V120" si="342">F119-T119</f>
        <v>-2.082989999999997</v>
      </c>
      <c r="X119" s="29"/>
    </row>
    <row r="120" spans="1:24">
      <c r="A120" s="26" t="s">
        <v>13</v>
      </c>
      <c r="B120" s="26" t="s">
        <v>125</v>
      </c>
      <c r="C120" s="30">
        <v>27.3</v>
      </c>
      <c r="D120" s="27">
        <v>8.5</v>
      </c>
      <c r="E120" s="28"/>
      <c r="F120" s="16">
        <f t="shared" si="334"/>
        <v>0</v>
      </c>
      <c r="G120" s="17"/>
      <c r="H120" s="18">
        <v>6</v>
      </c>
      <c r="I120" s="19">
        <f t="shared" si="335"/>
        <v>1.3923000000000001</v>
      </c>
      <c r="J120" s="16"/>
      <c r="K120" s="18">
        <v>2</v>
      </c>
      <c r="L120" s="19">
        <f t="shared" si="336"/>
        <v>0.46410000000000001</v>
      </c>
      <c r="M120" s="16"/>
      <c r="N120" s="18"/>
      <c r="O120" s="19">
        <f t="shared" si="337"/>
        <v>0</v>
      </c>
      <c r="P120" s="16"/>
      <c r="Q120" s="18"/>
      <c r="R120" s="19">
        <f t="shared" si="338"/>
        <v>0</v>
      </c>
      <c r="S120" s="20">
        <f t="shared" si="339"/>
        <v>8</v>
      </c>
      <c r="T120" s="19">
        <f t="shared" si="340"/>
        <v>1.8564000000000001</v>
      </c>
      <c r="U120" s="21">
        <f t="shared" si="341"/>
        <v>-8</v>
      </c>
      <c r="V120" s="19">
        <f t="shared" si="342"/>
        <v>-1.8564000000000001</v>
      </c>
      <c r="X120" s="29"/>
    </row>
    <row r="121" spans="1:24">
      <c r="A121" s="26" t="s">
        <v>13</v>
      </c>
      <c r="B121" s="26" t="s">
        <v>125</v>
      </c>
      <c r="C121" s="30">
        <v>27.3</v>
      </c>
      <c r="D121" s="27">
        <v>8.1999999999999993</v>
      </c>
      <c r="E121" s="28"/>
      <c r="F121" s="16">
        <f t="shared" si="327"/>
        <v>0</v>
      </c>
      <c r="G121" s="17"/>
      <c r="H121" s="18"/>
      <c r="I121" s="19">
        <f t="shared" si="328"/>
        <v>0</v>
      </c>
      <c r="J121" s="16"/>
      <c r="K121" s="18">
        <v>2</v>
      </c>
      <c r="L121" s="19">
        <f t="shared" si="329"/>
        <v>0.44771999999999995</v>
      </c>
      <c r="M121" s="16"/>
      <c r="N121" s="18"/>
      <c r="O121" s="19">
        <f t="shared" si="330"/>
        <v>0</v>
      </c>
      <c r="P121" s="16"/>
      <c r="Q121" s="18"/>
      <c r="R121" s="19">
        <f t="shared" si="331"/>
        <v>0</v>
      </c>
      <c r="S121" s="20">
        <f t="shared" si="332"/>
        <v>2</v>
      </c>
      <c r="T121" s="19">
        <f t="shared" si="332"/>
        <v>0.44771999999999995</v>
      </c>
      <c r="U121" s="21">
        <f t="shared" si="333"/>
        <v>-2</v>
      </c>
      <c r="V121" s="19">
        <f t="shared" si="333"/>
        <v>-0.44771999999999995</v>
      </c>
      <c r="X121" s="29"/>
    </row>
    <row r="122" spans="1:24">
      <c r="A122" s="36"/>
      <c r="B122" s="36"/>
      <c r="C122" s="37"/>
      <c r="D122" s="38"/>
      <c r="E122" s="31">
        <f t="shared" ref="E122:F122" si="343">SUM(E116:E121)</f>
        <v>44</v>
      </c>
      <c r="F122" s="38">
        <f t="shared" si="343"/>
        <v>11.856390000000001</v>
      </c>
      <c r="G122" s="17"/>
      <c r="H122" s="31">
        <f t="shared" ref="H122" si="344">SUM(H116:H121)</f>
        <v>16</v>
      </c>
      <c r="I122" s="38">
        <f t="shared" ref="I122" si="345">SUM(I116:I121)</f>
        <v>4.3680000000000003</v>
      </c>
      <c r="J122" s="16"/>
      <c r="K122" s="31">
        <f t="shared" ref="K122" si="346">SUM(K116:K121)</f>
        <v>28</v>
      </c>
      <c r="L122" s="38">
        <f t="shared" ref="L122" si="347">SUM(L116:L121)</f>
        <v>7.7791350000000001</v>
      </c>
      <c r="M122" s="16"/>
      <c r="N122" s="31">
        <f t="shared" ref="N122" si="348">SUM(N116:N121)</f>
        <v>7</v>
      </c>
      <c r="O122" s="38">
        <f t="shared" ref="O122" si="349">SUM(O116:O121)</f>
        <v>2.0829899999999997</v>
      </c>
      <c r="P122" s="16"/>
      <c r="Q122" s="31">
        <f t="shared" ref="Q122" si="350">SUM(Q116:Q121)</f>
        <v>0</v>
      </c>
      <c r="R122" s="38">
        <f t="shared" ref="R122" si="351">SUM(R116:R121)</f>
        <v>0</v>
      </c>
      <c r="S122" s="31">
        <f t="shared" ref="S122" si="352">SUM(S116:S121)</f>
        <v>51</v>
      </c>
      <c r="T122" s="38">
        <f t="shared" ref="T122" si="353">SUM(T116:T121)</f>
        <v>14.230124999999999</v>
      </c>
      <c r="U122" s="31">
        <f t="shared" ref="U122" si="354">SUM(U116:U121)</f>
        <v>-7</v>
      </c>
      <c r="V122" s="38">
        <f t="shared" ref="V122" si="355">SUM(V116:V121)</f>
        <v>-2.3737349999999973</v>
      </c>
      <c r="X122" s="29"/>
    </row>
    <row r="123" spans="1:24">
      <c r="A123" s="26" t="s">
        <v>13</v>
      </c>
      <c r="B123" s="26" t="s">
        <v>75</v>
      </c>
      <c r="C123" s="30">
        <v>31.6</v>
      </c>
      <c r="D123" s="27">
        <v>8</v>
      </c>
      <c r="E123" s="28">
        <v>1</v>
      </c>
      <c r="F123" s="16">
        <f t="shared" ref="F123:F142" si="356">(C123*D123*E123/1000)</f>
        <v>0.25280000000000002</v>
      </c>
      <c r="G123" s="17" t="s">
        <v>111</v>
      </c>
      <c r="H123" s="18"/>
      <c r="I123" s="19">
        <f t="shared" ref="I123:I142" si="357">(C123*D123*H123/1000)</f>
        <v>0</v>
      </c>
      <c r="J123" s="16" t="s">
        <v>323</v>
      </c>
      <c r="K123" s="18"/>
      <c r="L123" s="19">
        <f t="shared" ref="L123:L142" si="358">(C123*D123*K123/1000)</f>
        <v>0</v>
      </c>
      <c r="M123" s="16" t="s">
        <v>86</v>
      </c>
      <c r="N123" s="18"/>
      <c r="O123" s="19">
        <f t="shared" ref="O123:O142" si="359">(C123*D123*N123/1000)</f>
        <v>0</v>
      </c>
      <c r="P123" s="16" t="s">
        <v>93</v>
      </c>
      <c r="Q123" s="18"/>
      <c r="R123" s="19">
        <f t="shared" ref="R123:R142" si="360">(C123*D123*Q123/1000)</f>
        <v>0</v>
      </c>
      <c r="S123" s="20">
        <f>+H123+K123+Q123+N123</f>
        <v>0</v>
      </c>
      <c r="T123" s="19">
        <f>+I123+L123+R123+O123</f>
        <v>0</v>
      </c>
      <c r="U123" s="21">
        <f t="shared" ref="U123:V142" si="361">E123-S123</f>
        <v>1</v>
      </c>
      <c r="V123" s="19">
        <f t="shared" si="361"/>
        <v>0.25280000000000002</v>
      </c>
      <c r="X123" s="29"/>
    </row>
    <row r="124" spans="1:24">
      <c r="A124" s="26" t="s">
        <v>13</v>
      </c>
      <c r="B124" s="26" t="s">
        <v>75</v>
      </c>
      <c r="C124" s="30">
        <v>31.6</v>
      </c>
      <c r="D124" s="27">
        <v>9.6999999999999993</v>
      </c>
      <c r="E124" s="28">
        <v>116</v>
      </c>
      <c r="F124" s="16">
        <f t="shared" si="356"/>
        <v>35.556319999999999</v>
      </c>
      <c r="G124" s="17" t="s">
        <v>321</v>
      </c>
      <c r="H124" s="18">
        <f>6+33</f>
        <v>39</v>
      </c>
      <c r="I124" s="19">
        <f t="shared" si="357"/>
        <v>11.954279999999999</v>
      </c>
      <c r="J124" s="16" t="s">
        <v>324</v>
      </c>
      <c r="K124" s="18">
        <f>21+42</f>
        <v>63</v>
      </c>
      <c r="L124" s="19">
        <f t="shared" si="358"/>
        <v>19.310759999999998</v>
      </c>
      <c r="M124" s="16" t="s">
        <v>328</v>
      </c>
      <c r="N124" s="18">
        <f>1+4</f>
        <v>5</v>
      </c>
      <c r="O124" s="19">
        <f t="shared" si="359"/>
        <v>1.5326</v>
      </c>
      <c r="P124" s="16" t="s">
        <v>342</v>
      </c>
      <c r="Q124" s="18"/>
      <c r="R124" s="19">
        <f t="shared" si="360"/>
        <v>0</v>
      </c>
      <c r="S124" s="20">
        <f t="shared" ref="S124:T142" si="362">+H124+K124+Q124+N124</f>
        <v>107</v>
      </c>
      <c r="T124" s="19">
        <f t="shared" si="362"/>
        <v>32.797640000000001</v>
      </c>
      <c r="U124" s="21">
        <f t="shared" si="361"/>
        <v>9</v>
      </c>
      <c r="V124" s="19">
        <f t="shared" si="361"/>
        <v>2.7586799999999982</v>
      </c>
      <c r="X124" s="29"/>
    </row>
    <row r="125" spans="1:24" ht="15.6">
      <c r="A125" s="26" t="s">
        <v>13</v>
      </c>
      <c r="B125" s="26" t="s">
        <v>75</v>
      </c>
      <c r="C125" s="30">
        <v>31.6</v>
      </c>
      <c r="D125" s="27">
        <v>10.9</v>
      </c>
      <c r="E125" s="28">
        <v>116</v>
      </c>
      <c r="F125" s="16">
        <f t="shared" si="356"/>
        <v>39.955040000000011</v>
      </c>
      <c r="G125" s="16" t="s">
        <v>322</v>
      </c>
      <c r="H125" s="18">
        <f>8+42</f>
        <v>50</v>
      </c>
      <c r="I125" s="19">
        <f t="shared" si="357"/>
        <v>17.222000000000005</v>
      </c>
      <c r="J125" s="17" t="s">
        <v>295</v>
      </c>
      <c r="K125" s="18">
        <f>29+14</f>
        <v>43</v>
      </c>
      <c r="L125" s="19">
        <f t="shared" si="358"/>
        <v>14.810920000000001</v>
      </c>
      <c r="M125" s="71" t="s">
        <v>349</v>
      </c>
      <c r="N125" s="72">
        <f>11+11-7</f>
        <v>15</v>
      </c>
      <c r="O125" s="19">
        <f t="shared" si="359"/>
        <v>5.1666000000000007</v>
      </c>
      <c r="P125" s="16"/>
      <c r="Q125" s="18">
        <v>1</v>
      </c>
      <c r="R125" s="19">
        <f t="shared" si="360"/>
        <v>0.34444000000000008</v>
      </c>
      <c r="S125" s="20">
        <f t="shared" si="362"/>
        <v>109</v>
      </c>
      <c r="T125" s="19">
        <f t="shared" si="362"/>
        <v>37.543960000000006</v>
      </c>
      <c r="U125" s="21">
        <f t="shared" si="361"/>
        <v>7</v>
      </c>
      <c r="V125" s="19">
        <f t="shared" si="361"/>
        <v>2.4110800000000054</v>
      </c>
      <c r="X125" s="29"/>
    </row>
    <row r="126" spans="1:24">
      <c r="A126" s="26" t="s">
        <v>13</v>
      </c>
      <c r="B126" s="26" t="s">
        <v>75</v>
      </c>
      <c r="C126" s="30">
        <v>31.6</v>
      </c>
      <c r="D126" s="27">
        <v>12</v>
      </c>
      <c r="E126" s="28">
        <v>1</v>
      </c>
      <c r="F126" s="16">
        <f t="shared" ref="F126:F141" si="363">(C126*D126*E126/1000)</f>
        <v>0.37920000000000004</v>
      </c>
      <c r="G126" s="16" t="s">
        <v>321</v>
      </c>
      <c r="H126" s="18"/>
      <c r="I126" s="19">
        <f t="shared" ref="I126:I141" si="364">(C126*D126*H126/1000)</f>
        <v>0</v>
      </c>
      <c r="J126" s="17" t="s">
        <v>324</v>
      </c>
      <c r="K126" s="18"/>
      <c r="L126" s="19">
        <f t="shared" ref="L126:L141" si="365">(C126*D126*K126/1000)</f>
        <v>0</v>
      </c>
      <c r="M126" s="17" t="s">
        <v>107</v>
      </c>
      <c r="N126" s="18"/>
      <c r="O126" s="19">
        <f t="shared" ref="O126:O141" si="366">(C126*D126*N126/1000)</f>
        <v>0</v>
      </c>
      <c r="P126" s="16"/>
      <c r="Q126" s="18">
        <v>1</v>
      </c>
      <c r="R126" s="19">
        <f t="shared" ref="R126:R141" si="367">(C126*D126*Q126/1000)</f>
        <v>0.37920000000000004</v>
      </c>
      <c r="S126" s="20">
        <f t="shared" ref="S126:S141" si="368">+H126+K126+Q126+N126</f>
        <v>1</v>
      </c>
      <c r="T126" s="19">
        <f t="shared" ref="T126:T141" si="369">+I126+L126+R126+O126</f>
        <v>0.37920000000000004</v>
      </c>
      <c r="U126" s="21">
        <f t="shared" ref="U126:U141" si="370">E126-S126</f>
        <v>0</v>
      </c>
      <c r="V126" s="19">
        <f t="shared" ref="V126:V141" si="371">F126-T126</f>
        <v>0</v>
      </c>
      <c r="X126" s="29"/>
    </row>
    <row r="127" spans="1:24">
      <c r="A127" s="26" t="s">
        <v>13</v>
      </c>
      <c r="B127" s="26" t="s">
        <v>75</v>
      </c>
      <c r="C127" s="30">
        <v>31.6</v>
      </c>
      <c r="D127" s="27">
        <v>11</v>
      </c>
      <c r="E127" s="28"/>
      <c r="F127" s="16">
        <f t="shared" si="363"/>
        <v>0</v>
      </c>
      <c r="G127" s="17"/>
      <c r="H127" s="18"/>
      <c r="I127" s="19">
        <f t="shared" si="364"/>
        <v>0</v>
      </c>
      <c r="J127" s="16"/>
      <c r="K127" s="18">
        <v>1</v>
      </c>
      <c r="L127" s="19">
        <f t="shared" si="365"/>
        <v>0.34760000000000002</v>
      </c>
      <c r="M127" s="17" t="s">
        <v>348</v>
      </c>
      <c r="N127" s="18"/>
      <c r="O127" s="19">
        <f t="shared" si="366"/>
        <v>0</v>
      </c>
      <c r="P127" s="16"/>
      <c r="Q127" s="18"/>
      <c r="R127" s="19">
        <f t="shared" si="367"/>
        <v>0</v>
      </c>
      <c r="S127" s="20">
        <f t="shared" si="368"/>
        <v>1</v>
      </c>
      <c r="T127" s="19">
        <f t="shared" si="369"/>
        <v>0.34760000000000002</v>
      </c>
      <c r="U127" s="21">
        <f t="shared" si="370"/>
        <v>-1</v>
      </c>
      <c r="V127" s="19">
        <f t="shared" si="371"/>
        <v>-0.34760000000000002</v>
      </c>
      <c r="X127" s="29"/>
    </row>
    <row r="128" spans="1:24">
      <c r="A128" s="26" t="s">
        <v>13</v>
      </c>
      <c r="B128" s="26" t="s">
        <v>75</v>
      </c>
      <c r="C128" s="30">
        <v>31.6</v>
      </c>
      <c r="D128" s="27">
        <v>9</v>
      </c>
      <c r="E128" s="28"/>
      <c r="F128" s="16">
        <f t="shared" si="363"/>
        <v>0</v>
      </c>
      <c r="G128" s="17"/>
      <c r="H128" s="18"/>
      <c r="I128" s="19">
        <f t="shared" si="364"/>
        <v>0</v>
      </c>
      <c r="J128" s="16"/>
      <c r="K128" s="18"/>
      <c r="L128" s="19">
        <f t="shared" si="365"/>
        <v>0</v>
      </c>
      <c r="M128" s="16"/>
      <c r="N128" s="18">
        <f>1+4</f>
        <v>5</v>
      </c>
      <c r="O128" s="19">
        <f t="shared" si="366"/>
        <v>1.4220000000000002</v>
      </c>
      <c r="P128" s="16"/>
      <c r="Q128" s="18">
        <v>3</v>
      </c>
      <c r="R128" s="19">
        <f t="shared" si="367"/>
        <v>0.85320000000000007</v>
      </c>
      <c r="S128" s="20">
        <f t="shared" si="368"/>
        <v>8</v>
      </c>
      <c r="T128" s="19">
        <f t="shared" si="369"/>
        <v>2.2752000000000003</v>
      </c>
      <c r="U128" s="21">
        <f t="shared" si="370"/>
        <v>-8</v>
      </c>
      <c r="V128" s="19">
        <f t="shared" si="371"/>
        <v>-2.2752000000000003</v>
      </c>
      <c r="X128" s="29"/>
    </row>
    <row r="129" spans="1:24">
      <c r="A129" s="26" t="s">
        <v>13</v>
      </c>
      <c r="B129" s="26" t="s">
        <v>75</v>
      </c>
      <c r="C129" s="30">
        <v>31.6</v>
      </c>
      <c r="D129" s="27">
        <v>9.4</v>
      </c>
      <c r="E129" s="28"/>
      <c r="F129" s="16">
        <f t="shared" si="363"/>
        <v>0</v>
      </c>
      <c r="G129" s="17"/>
      <c r="H129" s="18"/>
      <c r="I129" s="19">
        <f t="shared" si="364"/>
        <v>0</v>
      </c>
      <c r="J129" s="16"/>
      <c r="K129" s="18"/>
      <c r="L129" s="19">
        <f t="shared" si="365"/>
        <v>0</v>
      </c>
      <c r="M129" s="16"/>
      <c r="N129" s="18">
        <v>1</v>
      </c>
      <c r="O129" s="19">
        <f t="shared" si="366"/>
        <v>0.29704000000000003</v>
      </c>
      <c r="P129" s="16"/>
      <c r="Q129" s="18"/>
      <c r="R129" s="19">
        <f t="shared" si="367"/>
        <v>0</v>
      </c>
      <c r="S129" s="20">
        <f t="shared" si="368"/>
        <v>1</v>
      </c>
      <c r="T129" s="19">
        <f t="shared" si="369"/>
        <v>0.29704000000000003</v>
      </c>
      <c r="U129" s="21">
        <f t="shared" si="370"/>
        <v>-1</v>
      </c>
      <c r="V129" s="19">
        <f t="shared" si="371"/>
        <v>-0.29704000000000003</v>
      </c>
      <c r="X129" s="29"/>
    </row>
    <row r="130" spans="1:24">
      <c r="A130" s="26" t="s">
        <v>13</v>
      </c>
      <c r="B130" s="26" t="s">
        <v>75</v>
      </c>
      <c r="C130" s="30">
        <v>31.6</v>
      </c>
      <c r="D130" s="27">
        <v>8.5</v>
      </c>
      <c r="E130" s="28"/>
      <c r="F130" s="16">
        <f t="shared" si="363"/>
        <v>0</v>
      </c>
      <c r="G130" s="17"/>
      <c r="H130" s="18"/>
      <c r="I130" s="19">
        <f t="shared" si="364"/>
        <v>0</v>
      </c>
      <c r="J130" s="16"/>
      <c r="K130" s="18"/>
      <c r="L130" s="19">
        <f t="shared" si="365"/>
        <v>0</v>
      </c>
      <c r="M130" s="16"/>
      <c r="N130" s="18">
        <v>1</v>
      </c>
      <c r="O130" s="19">
        <f t="shared" si="366"/>
        <v>0.26860000000000001</v>
      </c>
      <c r="P130" s="16"/>
      <c r="Q130" s="18"/>
      <c r="R130" s="19">
        <f t="shared" si="367"/>
        <v>0</v>
      </c>
      <c r="S130" s="20">
        <f t="shared" si="368"/>
        <v>1</v>
      </c>
      <c r="T130" s="19">
        <f t="shared" si="369"/>
        <v>0.26860000000000001</v>
      </c>
      <c r="U130" s="21">
        <f t="shared" si="370"/>
        <v>-1</v>
      </c>
      <c r="V130" s="19">
        <f t="shared" si="371"/>
        <v>-0.26860000000000001</v>
      </c>
      <c r="X130" s="29"/>
    </row>
    <row r="131" spans="1:24">
      <c r="A131" s="26" t="s">
        <v>13</v>
      </c>
      <c r="B131" s="26" t="s">
        <v>75</v>
      </c>
      <c r="C131" s="30">
        <v>31.6</v>
      </c>
      <c r="D131" s="27">
        <v>5</v>
      </c>
      <c r="E131" s="28"/>
      <c r="F131" s="16">
        <f t="shared" si="363"/>
        <v>0</v>
      </c>
      <c r="G131" s="17"/>
      <c r="H131" s="18"/>
      <c r="I131" s="19">
        <f t="shared" si="364"/>
        <v>0</v>
      </c>
      <c r="J131" s="16"/>
      <c r="K131" s="18"/>
      <c r="L131" s="19">
        <f t="shared" si="365"/>
        <v>0</v>
      </c>
      <c r="M131" s="16"/>
      <c r="N131" s="18">
        <v>1</v>
      </c>
      <c r="O131" s="19">
        <f t="shared" si="366"/>
        <v>0.158</v>
      </c>
      <c r="P131" s="16"/>
      <c r="Q131" s="18"/>
      <c r="R131" s="19">
        <f t="shared" si="367"/>
        <v>0</v>
      </c>
      <c r="S131" s="20">
        <f t="shared" si="368"/>
        <v>1</v>
      </c>
      <c r="T131" s="19">
        <f t="shared" si="369"/>
        <v>0.158</v>
      </c>
      <c r="U131" s="21">
        <f t="shared" si="370"/>
        <v>-1</v>
      </c>
      <c r="V131" s="19">
        <f t="shared" si="371"/>
        <v>-0.158</v>
      </c>
      <c r="X131" s="29"/>
    </row>
    <row r="132" spans="1:24">
      <c r="A132" s="26" t="s">
        <v>13</v>
      </c>
      <c r="B132" s="26" t="s">
        <v>75</v>
      </c>
      <c r="C132" s="30">
        <v>31.6</v>
      </c>
      <c r="D132" s="27">
        <v>6.2</v>
      </c>
      <c r="E132" s="28"/>
      <c r="F132" s="16">
        <f t="shared" si="363"/>
        <v>0</v>
      </c>
      <c r="G132" s="17"/>
      <c r="H132" s="18"/>
      <c r="I132" s="19">
        <f t="shared" si="364"/>
        <v>0</v>
      </c>
      <c r="J132" s="16"/>
      <c r="K132" s="18"/>
      <c r="L132" s="19">
        <f t="shared" si="365"/>
        <v>0</v>
      </c>
      <c r="M132" s="16"/>
      <c r="N132" s="18"/>
      <c r="O132" s="19">
        <f t="shared" si="366"/>
        <v>0</v>
      </c>
      <c r="P132" s="16"/>
      <c r="Q132" s="18">
        <v>1</v>
      </c>
      <c r="R132" s="19">
        <f t="shared" si="367"/>
        <v>0.19592000000000001</v>
      </c>
      <c r="S132" s="20">
        <f t="shared" si="368"/>
        <v>1</v>
      </c>
      <c r="T132" s="19">
        <f t="shared" si="369"/>
        <v>0.19592000000000001</v>
      </c>
      <c r="U132" s="21">
        <f t="shared" si="370"/>
        <v>-1</v>
      </c>
      <c r="V132" s="19">
        <f t="shared" si="371"/>
        <v>-0.19592000000000001</v>
      </c>
      <c r="X132" s="29"/>
    </row>
    <row r="133" spans="1:24">
      <c r="A133" s="26" t="s">
        <v>13</v>
      </c>
      <c r="B133" s="26" t="s">
        <v>75</v>
      </c>
      <c r="C133" s="30">
        <v>31.6</v>
      </c>
      <c r="D133" s="27">
        <v>6.7</v>
      </c>
      <c r="E133" s="28"/>
      <c r="F133" s="16">
        <f t="shared" si="363"/>
        <v>0</v>
      </c>
      <c r="G133" s="17"/>
      <c r="H133" s="18"/>
      <c r="I133" s="19">
        <f t="shared" si="364"/>
        <v>0</v>
      </c>
      <c r="J133" s="16"/>
      <c r="K133" s="18"/>
      <c r="L133" s="19">
        <f t="shared" si="365"/>
        <v>0</v>
      </c>
      <c r="M133" s="16"/>
      <c r="N133" s="18"/>
      <c r="O133" s="19">
        <f t="shared" si="366"/>
        <v>0</v>
      </c>
      <c r="P133" s="16"/>
      <c r="Q133" s="18">
        <v>1</v>
      </c>
      <c r="R133" s="19">
        <f t="shared" si="367"/>
        <v>0.21172000000000002</v>
      </c>
      <c r="S133" s="20">
        <f t="shared" si="368"/>
        <v>1</v>
      </c>
      <c r="T133" s="19">
        <f t="shared" si="369"/>
        <v>0.21172000000000002</v>
      </c>
      <c r="U133" s="21">
        <f t="shared" si="370"/>
        <v>-1</v>
      </c>
      <c r="V133" s="19">
        <f t="shared" si="371"/>
        <v>-0.21172000000000002</v>
      </c>
      <c r="X133" s="29"/>
    </row>
    <row r="134" spans="1:24">
      <c r="A134" s="26" t="s">
        <v>13</v>
      </c>
      <c r="B134" s="26" t="s">
        <v>75</v>
      </c>
      <c r="C134" s="30">
        <v>31.6</v>
      </c>
      <c r="D134" s="27">
        <v>7</v>
      </c>
      <c r="E134" s="28"/>
      <c r="F134" s="16">
        <f t="shared" si="363"/>
        <v>0</v>
      </c>
      <c r="G134" s="17"/>
      <c r="H134" s="18"/>
      <c r="I134" s="19">
        <f t="shared" si="364"/>
        <v>0</v>
      </c>
      <c r="J134" s="16"/>
      <c r="K134" s="18"/>
      <c r="L134" s="19">
        <f t="shared" si="365"/>
        <v>0</v>
      </c>
      <c r="M134" s="16"/>
      <c r="N134" s="18"/>
      <c r="O134" s="19">
        <f t="shared" si="366"/>
        <v>0</v>
      </c>
      <c r="P134" s="16"/>
      <c r="Q134" s="18">
        <v>1</v>
      </c>
      <c r="R134" s="19">
        <f t="shared" si="367"/>
        <v>0.22120000000000001</v>
      </c>
      <c r="S134" s="20">
        <f t="shared" si="368"/>
        <v>1</v>
      </c>
      <c r="T134" s="19">
        <f t="shared" si="369"/>
        <v>0.22120000000000001</v>
      </c>
      <c r="U134" s="21">
        <f t="shared" si="370"/>
        <v>-1</v>
      </c>
      <c r="V134" s="19">
        <f t="shared" si="371"/>
        <v>-0.22120000000000001</v>
      </c>
      <c r="X134" s="29"/>
    </row>
    <row r="135" spans="1:24">
      <c r="A135" s="26" t="s">
        <v>13</v>
      </c>
      <c r="B135" s="26" t="s">
        <v>75</v>
      </c>
      <c r="C135" s="30">
        <v>31.6</v>
      </c>
      <c r="D135" s="27">
        <v>8.3000000000000007</v>
      </c>
      <c r="E135" s="28"/>
      <c r="F135" s="16">
        <f t="shared" si="363"/>
        <v>0</v>
      </c>
      <c r="G135" s="17"/>
      <c r="H135" s="18"/>
      <c r="I135" s="19">
        <f t="shared" si="364"/>
        <v>0</v>
      </c>
      <c r="J135" s="16"/>
      <c r="K135" s="18"/>
      <c r="L135" s="19">
        <f t="shared" si="365"/>
        <v>0</v>
      </c>
      <c r="M135" s="16"/>
      <c r="N135" s="18"/>
      <c r="O135" s="19">
        <f t="shared" si="366"/>
        <v>0</v>
      </c>
      <c r="P135" s="16"/>
      <c r="Q135" s="18">
        <v>2</v>
      </c>
      <c r="R135" s="19">
        <f t="shared" si="367"/>
        <v>0.52456000000000003</v>
      </c>
      <c r="S135" s="20">
        <f t="shared" si="368"/>
        <v>2</v>
      </c>
      <c r="T135" s="19">
        <f t="shared" si="369"/>
        <v>0.52456000000000003</v>
      </c>
      <c r="U135" s="21">
        <f t="shared" si="370"/>
        <v>-2</v>
      </c>
      <c r="V135" s="19">
        <f t="shared" si="371"/>
        <v>-0.52456000000000003</v>
      </c>
      <c r="X135" s="29"/>
    </row>
    <row r="136" spans="1:24">
      <c r="A136" s="26" t="s">
        <v>13</v>
      </c>
      <c r="B136" s="26" t="s">
        <v>75</v>
      </c>
      <c r="C136" s="30">
        <v>31.6</v>
      </c>
      <c r="D136" s="27">
        <v>9.1999999999999993</v>
      </c>
      <c r="E136" s="28"/>
      <c r="F136" s="16">
        <f t="shared" si="363"/>
        <v>0</v>
      </c>
      <c r="G136" s="17"/>
      <c r="H136" s="18"/>
      <c r="I136" s="19">
        <f t="shared" si="364"/>
        <v>0</v>
      </c>
      <c r="J136" s="16"/>
      <c r="K136" s="18"/>
      <c r="L136" s="19">
        <f t="shared" si="365"/>
        <v>0</v>
      </c>
      <c r="M136" s="16"/>
      <c r="N136" s="18"/>
      <c r="O136" s="19">
        <f t="shared" si="366"/>
        <v>0</v>
      </c>
      <c r="P136" s="16"/>
      <c r="Q136" s="18">
        <v>1</v>
      </c>
      <c r="R136" s="19">
        <f t="shared" si="367"/>
        <v>0.29071999999999998</v>
      </c>
      <c r="S136" s="20">
        <f t="shared" si="368"/>
        <v>1</v>
      </c>
      <c r="T136" s="19">
        <f t="shared" si="369"/>
        <v>0.29071999999999998</v>
      </c>
      <c r="U136" s="21">
        <f t="shared" si="370"/>
        <v>-1</v>
      </c>
      <c r="V136" s="19">
        <f t="shared" si="371"/>
        <v>-0.29071999999999998</v>
      </c>
      <c r="X136" s="29"/>
    </row>
    <row r="137" spans="1:24">
      <c r="A137" s="26" t="s">
        <v>13</v>
      </c>
      <c r="B137" s="26" t="s">
        <v>75</v>
      </c>
      <c r="C137" s="30">
        <v>31.6</v>
      </c>
      <c r="D137" s="27">
        <v>9.35</v>
      </c>
      <c r="E137" s="28"/>
      <c r="F137" s="16">
        <f t="shared" si="363"/>
        <v>0</v>
      </c>
      <c r="G137" s="17"/>
      <c r="H137" s="18"/>
      <c r="I137" s="19">
        <f t="shared" si="364"/>
        <v>0</v>
      </c>
      <c r="J137" s="16"/>
      <c r="K137" s="18"/>
      <c r="L137" s="19">
        <f t="shared" si="365"/>
        <v>0</v>
      </c>
      <c r="M137" s="16"/>
      <c r="N137" s="18"/>
      <c r="O137" s="19">
        <f t="shared" si="366"/>
        <v>0</v>
      </c>
      <c r="P137" s="16"/>
      <c r="Q137" s="18">
        <v>1</v>
      </c>
      <c r="R137" s="19">
        <f t="shared" si="367"/>
        <v>0.29546</v>
      </c>
      <c r="S137" s="20">
        <f t="shared" si="368"/>
        <v>1</v>
      </c>
      <c r="T137" s="19">
        <f t="shared" si="369"/>
        <v>0.29546</v>
      </c>
      <c r="U137" s="21">
        <f t="shared" si="370"/>
        <v>-1</v>
      </c>
      <c r="V137" s="19">
        <f t="shared" si="371"/>
        <v>-0.29546</v>
      </c>
      <c r="X137" s="29"/>
    </row>
    <row r="138" spans="1:24">
      <c r="A138" s="26" t="s">
        <v>13</v>
      </c>
      <c r="B138" s="26" t="s">
        <v>75</v>
      </c>
      <c r="C138" s="30">
        <v>31.6</v>
      </c>
      <c r="D138" s="27">
        <v>10</v>
      </c>
      <c r="E138" s="28"/>
      <c r="F138" s="16">
        <f t="shared" si="363"/>
        <v>0</v>
      </c>
      <c r="G138" s="17"/>
      <c r="H138" s="18"/>
      <c r="I138" s="19">
        <f t="shared" si="364"/>
        <v>0</v>
      </c>
      <c r="J138" s="16"/>
      <c r="K138" s="18"/>
      <c r="L138" s="19">
        <f t="shared" si="365"/>
        <v>0</v>
      </c>
      <c r="M138" s="16"/>
      <c r="N138" s="18"/>
      <c r="O138" s="19">
        <f t="shared" si="366"/>
        <v>0</v>
      </c>
      <c r="P138" s="16"/>
      <c r="Q138" s="18">
        <v>2</v>
      </c>
      <c r="R138" s="19">
        <f t="shared" si="367"/>
        <v>0.63200000000000001</v>
      </c>
      <c r="S138" s="20">
        <f t="shared" si="368"/>
        <v>2</v>
      </c>
      <c r="T138" s="19">
        <f t="shared" si="369"/>
        <v>0.63200000000000001</v>
      </c>
      <c r="U138" s="21">
        <f t="shared" si="370"/>
        <v>-2</v>
      </c>
      <c r="V138" s="19">
        <f t="shared" si="371"/>
        <v>-0.63200000000000001</v>
      </c>
      <c r="X138" s="29"/>
    </row>
    <row r="139" spans="1:24">
      <c r="A139" s="26" t="s">
        <v>13</v>
      </c>
      <c r="B139" s="26" t="s">
        <v>75</v>
      </c>
      <c r="C139" s="30">
        <v>31.6</v>
      </c>
      <c r="D139" s="27">
        <v>10.3</v>
      </c>
      <c r="E139" s="28"/>
      <c r="F139" s="16">
        <f t="shared" si="363"/>
        <v>0</v>
      </c>
      <c r="G139" s="17"/>
      <c r="H139" s="18"/>
      <c r="I139" s="19">
        <f t="shared" si="364"/>
        <v>0</v>
      </c>
      <c r="J139" s="16"/>
      <c r="K139" s="18"/>
      <c r="L139" s="19">
        <f t="shared" si="365"/>
        <v>0</v>
      </c>
      <c r="M139" s="16"/>
      <c r="N139" s="18"/>
      <c r="O139" s="19">
        <f t="shared" si="366"/>
        <v>0</v>
      </c>
      <c r="P139" s="16"/>
      <c r="Q139" s="18">
        <v>1</v>
      </c>
      <c r="R139" s="19">
        <f t="shared" si="367"/>
        <v>0.32547999999999999</v>
      </c>
      <c r="S139" s="20">
        <f t="shared" si="368"/>
        <v>1</v>
      </c>
      <c r="T139" s="19">
        <f t="shared" si="369"/>
        <v>0.32547999999999999</v>
      </c>
      <c r="U139" s="21">
        <f t="shared" si="370"/>
        <v>-1</v>
      </c>
      <c r="V139" s="19">
        <f t="shared" si="371"/>
        <v>-0.32547999999999999</v>
      </c>
      <c r="X139" s="29"/>
    </row>
    <row r="140" spans="1:24">
      <c r="A140" s="26" t="s">
        <v>13</v>
      </c>
      <c r="B140" s="26" t="s">
        <v>75</v>
      </c>
      <c r="C140" s="30">
        <v>31.6</v>
      </c>
      <c r="D140" s="27"/>
      <c r="E140" s="28"/>
      <c r="F140" s="16">
        <f t="shared" si="363"/>
        <v>0</v>
      </c>
      <c r="G140" s="17"/>
      <c r="H140" s="18"/>
      <c r="I140" s="19">
        <f t="shared" si="364"/>
        <v>0</v>
      </c>
      <c r="J140" s="16"/>
      <c r="K140" s="18"/>
      <c r="L140" s="19">
        <f t="shared" si="365"/>
        <v>0</v>
      </c>
      <c r="M140" s="16"/>
      <c r="N140" s="18"/>
      <c r="O140" s="19">
        <f t="shared" si="366"/>
        <v>0</v>
      </c>
      <c r="P140" s="16"/>
      <c r="Q140" s="18"/>
      <c r="R140" s="19">
        <f t="shared" si="367"/>
        <v>0</v>
      </c>
      <c r="S140" s="20">
        <f t="shared" si="368"/>
        <v>0</v>
      </c>
      <c r="T140" s="19">
        <f t="shared" si="369"/>
        <v>0</v>
      </c>
      <c r="U140" s="21">
        <f t="shared" si="370"/>
        <v>0</v>
      </c>
      <c r="V140" s="19">
        <f t="shared" si="371"/>
        <v>0</v>
      </c>
      <c r="X140" s="29"/>
    </row>
    <row r="141" spans="1:24">
      <c r="A141" s="26" t="s">
        <v>13</v>
      </c>
      <c r="B141" s="26" t="s">
        <v>75</v>
      </c>
      <c r="C141" s="30">
        <v>31.6</v>
      </c>
      <c r="D141" s="27"/>
      <c r="E141" s="28"/>
      <c r="F141" s="16">
        <f t="shared" si="363"/>
        <v>0</v>
      </c>
      <c r="G141" s="17"/>
      <c r="H141" s="18"/>
      <c r="I141" s="19">
        <f t="shared" si="364"/>
        <v>0</v>
      </c>
      <c r="J141" s="16"/>
      <c r="K141" s="18"/>
      <c r="L141" s="19">
        <f t="shared" si="365"/>
        <v>0</v>
      </c>
      <c r="M141" s="16"/>
      <c r="N141" s="18"/>
      <c r="O141" s="19">
        <f t="shared" si="366"/>
        <v>0</v>
      </c>
      <c r="P141" s="16"/>
      <c r="Q141" s="18"/>
      <c r="R141" s="19">
        <f t="shared" si="367"/>
        <v>0</v>
      </c>
      <c r="S141" s="20">
        <f t="shared" si="368"/>
        <v>0</v>
      </c>
      <c r="T141" s="19">
        <f t="shared" si="369"/>
        <v>0</v>
      </c>
      <c r="U141" s="21">
        <f t="shared" si="370"/>
        <v>0</v>
      </c>
      <c r="V141" s="19">
        <f t="shared" si="371"/>
        <v>0</v>
      </c>
      <c r="X141" s="29"/>
    </row>
    <row r="142" spans="1:24">
      <c r="A142" s="26" t="s">
        <v>13</v>
      </c>
      <c r="B142" s="26" t="s">
        <v>75</v>
      </c>
      <c r="C142" s="30">
        <v>31.6</v>
      </c>
      <c r="D142" s="27">
        <v>9.35</v>
      </c>
      <c r="E142" s="28"/>
      <c r="F142" s="16">
        <f t="shared" si="356"/>
        <v>0</v>
      </c>
      <c r="G142" s="17"/>
      <c r="H142" s="18"/>
      <c r="I142" s="19">
        <f t="shared" si="357"/>
        <v>0</v>
      </c>
      <c r="J142" s="16"/>
      <c r="K142" s="18"/>
      <c r="L142" s="19">
        <f t="shared" si="358"/>
        <v>0</v>
      </c>
      <c r="M142" s="16"/>
      <c r="N142" s="18"/>
      <c r="O142" s="19">
        <f t="shared" si="359"/>
        <v>0</v>
      </c>
      <c r="P142" s="16"/>
      <c r="Q142" s="18"/>
      <c r="R142" s="19">
        <f t="shared" si="360"/>
        <v>0</v>
      </c>
      <c r="S142" s="20">
        <f t="shared" si="362"/>
        <v>0</v>
      </c>
      <c r="T142" s="19">
        <f t="shared" si="362"/>
        <v>0</v>
      </c>
      <c r="U142" s="21">
        <f t="shared" si="361"/>
        <v>0</v>
      </c>
      <c r="V142" s="19">
        <f t="shared" si="361"/>
        <v>0</v>
      </c>
      <c r="X142" s="29"/>
    </row>
    <row r="143" spans="1:24">
      <c r="A143" s="36"/>
      <c r="B143" s="36"/>
      <c r="C143" s="37"/>
      <c r="D143" s="38"/>
      <c r="E143" s="31">
        <f t="shared" ref="E143:F143" si="372">SUM(E123:E142)</f>
        <v>234</v>
      </c>
      <c r="F143" s="38">
        <f t="shared" si="372"/>
        <v>76.143360000000001</v>
      </c>
      <c r="G143" s="17"/>
      <c r="H143" s="31">
        <f t="shared" ref="H143" si="373">SUM(H123:H142)</f>
        <v>89</v>
      </c>
      <c r="I143" s="38">
        <f t="shared" ref="I143" si="374">SUM(I123:I142)</f>
        <v>29.176280000000006</v>
      </c>
      <c r="J143" s="16"/>
      <c r="K143" s="31">
        <f t="shared" ref="K143" si="375">SUM(K123:K142)</f>
        <v>107</v>
      </c>
      <c r="L143" s="38">
        <f t="shared" ref="L143" si="376">SUM(L123:L142)</f>
        <v>34.469279999999998</v>
      </c>
      <c r="M143" s="16"/>
      <c r="N143" s="31">
        <f t="shared" ref="N143" si="377">SUM(N123:N142)</f>
        <v>28</v>
      </c>
      <c r="O143" s="38">
        <f t="shared" ref="O143" si="378">SUM(O123:O142)</f>
        <v>8.8448400000000014</v>
      </c>
      <c r="P143" s="16"/>
      <c r="Q143" s="31">
        <f t="shared" ref="Q143" si="379">SUM(Q123:Q142)</f>
        <v>15</v>
      </c>
      <c r="R143" s="38">
        <f t="shared" ref="R143" si="380">SUM(R123:R142)</f>
        <v>4.2739000000000003</v>
      </c>
      <c r="S143" s="31">
        <f t="shared" ref="S143" si="381">SUM(S123:S142)</f>
        <v>239</v>
      </c>
      <c r="T143" s="38">
        <f t="shared" ref="T143" si="382">SUM(T123:T142)</f>
        <v>76.764299999999992</v>
      </c>
      <c r="U143" s="31">
        <f t="shared" ref="U143" si="383">SUM(U123:U142)</f>
        <v>-5</v>
      </c>
      <c r="V143" s="38">
        <f t="shared" ref="V143" si="384">SUM(V123:V142)</f>
        <v>-0.62093999999999627</v>
      </c>
      <c r="X143" s="29"/>
    </row>
    <row r="144" spans="1:24">
      <c r="A144" s="26" t="s">
        <v>13</v>
      </c>
      <c r="B144" s="26" t="s">
        <v>126</v>
      </c>
      <c r="C144" s="30">
        <v>33.799999999999997</v>
      </c>
      <c r="D144" s="27">
        <v>8.1999999999999993</v>
      </c>
      <c r="E144" s="28">
        <v>2</v>
      </c>
      <c r="F144" s="16">
        <f t="shared" ref="F144:F146" si="385">(C144*D144*E144/1000)</f>
        <v>0.55431999999999992</v>
      </c>
      <c r="G144" s="17" t="s">
        <v>89</v>
      </c>
      <c r="H144" s="18">
        <v>2</v>
      </c>
      <c r="I144" s="19">
        <f t="shared" ref="I144:I146" si="386">(C144*D144*H144/1000)</f>
        <v>0.55431999999999992</v>
      </c>
      <c r="J144" s="16"/>
      <c r="K144" s="18"/>
      <c r="L144" s="19">
        <f t="shared" ref="L144:L146" si="387">(C144*D144*K144/1000)</f>
        <v>0</v>
      </c>
      <c r="M144" s="16"/>
      <c r="N144" s="18"/>
      <c r="O144" s="19">
        <f t="shared" ref="O144:O146" si="388">(C144*D144*N144/1000)</f>
        <v>0</v>
      </c>
      <c r="P144" s="16"/>
      <c r="Q144" s="18"/>
      <c r="R144" s="19">
        <f t="shared" ref="R144:R146" si="389">(C144*D144*Q144/1000)</f>
        <v>0</v>
      </c>
      <c r="S144" s="20">
        <f t="shared" ref="S144:T146" si="390">+H144+K144+Q144+N144</f>
        <v>2</v>
      </c>
      <c r="T144" s="19">
        <f t="shared" si="390"/>
        <v>0.55431999999999992</v>
      </c>
      <c r="U144" s="21">
        <f t="shared" ref="U144:V146" si="391">E144-S144</f>
        <v>0</v>
      </c>
      <c r="V144" s="19">
        <f t="shared" si="391"/>
        <v>0</v>
      </c>
      <c r="X144" s="29"/>
    </row>
    <row r="145" spans="1:24">
      <c r="A145" s="26" t="s">
        <v>13</v>
      </c>
      <c r="B145" s="26" t="s">
        <v>126</v>
      </c>
      <c r="C145" s="30">
        <v>33.799999999999997</v>
      </c>
      <c r="D145" s="27">
        <v>9.4</v>
      </c>
      <c r="E145" s="28">
        <v>2</v>
      </c>
      <c r="F145" s="16">
        <f t="shared" si="385"/>
        <v>0.63543999999999989</v>
      </c>
      <c r="G145" s="17" t="s">
        <v>321</v>
      </c>
      <c r="H145" s="18">
        <v>2</v>
      </c>
      <c r="I145" s="19">
        <f t="shared" si="386"/>
        <v>0.63543999999999989</v>
      </c>
      <c r="J145" s="16"/>
      <c r="K145" s="18"/>
      <c r="L145" s="19">
        <f t="shared" si="387"/>
        <v>0</v>
      </c>
      <c r="M145" s="16"/>
      <c r="N145" s="18"/>
      <c r="O145" s="19">
        <f t="shared" si="388"/>
        <v>0</v>
      </c>
      <c r="P145" s="16"/>
      <c r="Q145" s="18"/>
      <c r="R145" s="19">
        <f t="shared" si="389"/>
        <v>0</v>
      </c>
      <c r="S145" s="20">
        <f t="shared" si="390"/>
        <v>2</v>
      </c>
      <c r="T145" s="19">
        <f t="shared" si="390"/>
        <v>0.63543999999999989</v>
      </c>
      <c r="U145" s="21">
        <f t="shared" si="391"/>
        <v>0</v>
      </c>
      <c r="V145" s="19">
        <f t="shared" si="391"/>
        <v>0</v>
      </c>
      <c r="X145" s="29"/>
    </row>
    <row r="146" spans="1:24">
      <c r="A146" s="26" t="s">
        <v>13</v>
      </c>
      <c r="B146" s="26" t="s">
        <v>126</v>
      </c>
      <c r="C146" s="30">
        <v>33.799999999999997</v>
      </c>
      <c r="D146" s="27">
        <v>11.8</v>
      </c>
      <c r="E146" s="28">
        <v>6</v>
      </c>
      <c r="F146" s="16">
        <f t="shared" si="385"/>
        <v>2.3930400000000001</v>
      </c>
      <c r="G146" s="17"/>
      <c r="H146" s="18">
        <v>6</v>
      </c>
      <c r="I146" s="19">
        <f t="shared" si="386"/>
        <v>2.3930400000000001</v>
      </c>
      <c r="J146" s="16"/>
      <c r="K146" s="18"/>
      <c r="L146" s="19">
        <f t="shared" si="387"/>
        <v>0</v>
      </c>
      <c r="M146" s="16"/>
      <c r="N146" s="18"/>
      <c r="O146" s="19">
        <f t="shared" si="388"/>
        <v>0</v>
      </c>
      <c r="P146" s="16"/>
      <c r="Q146" s="18"/>
      <c r="R146" s="19">
        <f t="shared" si="389"/>
        <v>0</v>
      </c>
      <c r="S146" s="20">
        <f t="shared" si="390"/>
        <v>6</v>
      </c>
      <c r="T146" s="19">
        <f t="shared" si="390"/>
        <v>2.3930400000000001</v>
      </c>
      <c r="U146" s="21">
        <f t="shared" si="391"/>
        <v>0</v>
      </c>
      <c r="V146" s="19">
        <f t="shared" si="391"/>
        <v>0</v>
      </c>
      <c r="X146" s="29"/>
    </row>
    <row r="147" spans="1:24">
      <c r="A147" s="36"/>
      <c r="B147" s="36"/>
      <c r="C147" s="37"/>
      <c r="D147" s="38"/>
      <c r="E147" s="31">
        <f t="shared" ref="E147:F147" si="392">SUM(E144:E146)</f>
        <v>10</v>
      </c>
      <c r="F147" s="38">
        <f t="shared" si="392"/>
        <v>3.5827999999999998</v>
      </c>
      <c r="G147" s="17"/>
      <c r="H147" s="31">
        <f t="shared" ref="H147" si="393">SUM(H144:H146)</f>
        <v>10</v>
      </c>
      <c r="I147" s="38">
        <f t="shared" ref="I147" si="394">SUM(I144:I146)</f>
        <v>3.5827999999999998</v>
      </c>
      <c r="J147" s="16"/>
      <c r="K147" s="31">
        <f t="shared" ref="K147" si="395">SUM(K144:K146)</f>
        <v>0</v>
      </c>
      <c r="L147" s="38">
        <f t="shared" ref="L147" si="396">SUM(L144:L146)</f>
        <v>0</v>
      </c>
      <c r="M147" s="16"/>
      <c r="N147" s="31">
        <f t="shared" ref="N147" si="397">SUM(N144:N146)</f>
        <v>0</v>
      </c>
      <c r="O147" s="38">
        <f t="shared" ref="O147" si="398">SUM(O144:O146)</f>
        <v>0</v>
      </c>
      <c r="P147" s="16"/>
      <c r="Q147" s="31">
        <f t="shared" ref="Q147" si="399">SUM(Q144:Q146)</f>
        <v>0</v>
      </c>
      <c r="R147" s="38">
        <f t="shared" ref="R147" si="400">SUM(R144:R146)</f>
        <v>0</v>
      </c>
      <c r="S147" s="31">
        <f t="shared" ref="S147" si="401">SUM(S144:S146)</f>
        <v>10</v>
      </c>
      <c r="T147" s="38">
        <f t="shared" ref="T147" si="402">SUM(T144:T146)</f>
        <v>3.5827999999999998</v>
      </c>
      <c r="U147" s="31">
        <f t="shared" ref="U147" si="403">SUM(U144:U146)</f>
        <v>0</v>
      </c>
      <c r="V147" s="38">
        <f t="shared" ref="V147" si="404">SUM(V144:V146)</f>
        <v>0</v>
      </c>
      <c r="X147" s="29"/>
    </row>
    <row r="148" spans="1:24">
      <c r="A148" s="26" t="s">
        <v>13</v>
      </c>
      <c r="B148" s="26" t="s">
        <v>127</v>
      </c>
      <c r="C148" s="30">
        <v>35.9</v>
      </c>
      <c r="D148" s="27">
        <v>6.2</v>
      </c>
      <c r="E148" s="28">
        <v>44</v>
      </c>
      <c r="F148" s="16">
        <f t="shared" ref="F148:F153" si="405">(C148*D148*E148/1000)</f>
        <v>9.7935199999999991</v>
      </c>
      <c r="G148" s="17" t="s">
        <v>301</v>
      </c>
      <c r="H148" s="18">
        <f>11+9+9</f>
        <v>29</v>
      </c>
      <c r="I148" s="19">
        <f t="shared" ref="I148:I153" si="406">(C148*D148*H148/1000)</f>
        <v>6.4548199999999998</v>
      </c>
      <c r="J148" s="16" t="s">
        <v>86</v>
      </c>
      <c r="K148" s="18">
        <v>4</v>
      </c>
      <c r="L148" s="19">
        <f t="shared" ref="L148:L153" si="407">(C148*D148*K148/1000)</f>
        <v>0.89031999999999989</v>
      </c>
      <c r="M148" s="16" t="s">
        <v>93</v>
      </c>
      <c r="N148" s="18">
        <v>6</v>
      </c>
      <c r="O148" s="19">
        <f t="shared" ref="O148:O153" si="408">(C148*D148*N148/1000)</f>
        <v>1.33548</v>
      </c>
      <c r="P148" s="16"/>
      <c r="Q148" s="18"/>
      <c r="R148" s="19">
        <f t="shared" ref="R148:R153" si="409">(C148*D148*Q148/1000)</f>
        <v>0</v>
      </c>
      <c r="S148" s="20">
        <f t="shared" ref="S148:T153" si="410">+H148+K148+Q148+N148</f>
        <v>39</v>
      </c>
      <c r="T148" s="19">
        <f t="shared" si="410"/>
        <v>8.6806199999999993</v>
      </c>
      <c r="U148" s="21">
        <f t="shared" ref="U148:V153" si="411">E148-S148</f>
        <v>5</v>
      </c>
      <c r="V148" s="19">
        <f t="shared" si="411"/>
        <v>1.1128999999999998</v>
      </c>
      <c r="X148" s="29"/>
    </row>
    <row r="149" spans="1:24">
      <c r="A149" s="26" t="s">
        <v>13</v>
      </c>
      <c r="B149" s="26" t="s">
        <v>127</v>
      </c>
      <c r="C149" s="30">
        <v>35.9</v>
      </c>
      <c r="D149" s="27">
        <v>8.5</v>
      </c>
      <c r="E149" s="28">
        <v>9</v>
      </c>
      <c r="F149" s="16">
        <f t="shared" si="405"/>
        <v>2.7463500000000001</v>
      </c>
      <c r="G149" s="17" t="s">
        <v>324</v>
      </c>
      <c r="H149" s="18">
        <f>1+4</f>
        <v>5</v>
      </c>
      <c r="I149" s="19">
        <f t="shared" si="406"/>
        <v>1.5257499999999999</v>
      </c>
      <c r="J149" s="16" t="s">
        <v>328</v>
      </c>
      <c r="K149" s="18">
        <v>2</v>
      </c>
      <c r="L149" s="19">
        <f t="shared" si="407"/>
        <v>0.61029999999999995</v>
      </c>
      <c r="M149" s="16" t="s">
        <v>342</v>
      </c>
      <c r="N149" s="18">
        <v>1</v>
      </c>
      <c r="O149" s="19">
        <f t="shared" si="408"/>
        <v>0.30514999999999998</v>
      </c>
      <c r="P149" s="16"/>
      <c r="Q149" s="18"/>
      <c r="R149" s="19">
        <f t="shared" si="409"/>
        <v>0</v>
      </c>
      <c r="S149" s="20">
        <f t="shared" si="410"/>
        <v>8</v>
      </c>
      <c r="T149" s="19">
        <f t="shared" si="410"/>
        <v>2.4411999999999998</v>
      </c>
      <c r="U149" s="21">
        <f t="shared" si="411"/>
        <v>1</v>
      </c>
      <c r="V149" s="19">
        <f t="shared" si="411"/>
        <v>0.30515000000000025</v>
      </c>
      <c r="X149" s="29"/>
    </row>
    <row r="150" spans="1:24">
      <c r="A150" s="26" t="s">
        <v>13</v>
      </c>
      <c r="B150" s="26" t="s">
        <v>127</v>
      </c>
      <c r="C150" s="30">
        <v>35.9</v>
      </c>
      <c r="D150" s="27">
        <v>10.199999999999999</v>
      </c>
      <c r="E150" s="28">
        <v>25</v>
      </c>
      <c r="F150" s="16">
        <f t="shared" si="405"/>
        <v>9.1544999999999987</v>
      </c>
      <c r="G150" s="17"/>
      <c r="H150" s="18">
        <f>2+20</f>
        <v>22</v>
      </c>
      <c r="I150" s="19">
        <f t="shared" si="406"/>
        <v>8.0559599999999989</v>
      </c>
      <c r="J150" s="16"/>
      <c r="K150" s="18">
        <v>6</v>
      </c>
      <c r="L150" s="19">
        <f t="shared" si="407"/>
        <v>2.1970800000000001</v>
      </c>
      <c r="M150" s="16"/>
      <c r="N150" s="18"/>
      <c r="O150" s="19">
        <f t="shared" si="408"/>
        <v>0</v>
      </c>
      <c r="P150" s="16"/>
      <c r="Q150" s="18"/>
      <c r="R150" s="19">
        <f t="shared" si="409"/>
        <v>0</v>
      </c>
      <c r="S150" s="20">
        <f t="shared" si="410"/>
        <v>28</v>
      </c>
      <c r="T150" s="19">
        <f t="shared" si="410"/>
        <v>10.253039999999999</v>
      </c>
      <c r="U150" s="21">
        <f t="shared" si="411"/>
        <v>-3</v>
      </c>
      <c r="V150" s="19">
        <f t="shared" si="411"/>
        <v>-1.0985399999999998</v>
      </c>
      <c r="X150" s="29"/>
    </row>
    <row r="151" spans="1:24">
      <c r="A151" s="26" t="s">
        <v>13</v>
      </c>
      <c r="B151" s="26" t="s">
        <v>127</v>
      </c>
      <c r="C151" s="30">
        <v>35.9</v>
      </c>
      <c r="D151" s="27">
        <v>12</v>
      </c>
      <c r="E151" s="28">
        <v>14</v>
      </c>
      <c r="F151" s="16">
        <f t="shared" ref="F151:F152" si="412">(C151*D151*E151/1000)</f>
        <v>6.0311999999999992</v>
      </c>
      <c r="G151" s="17"/>
      <c r="H151" s="18">
        <v>9</v>
      </c>
      <c r="I151" s="19">
        <f t="shared" ref="I151:I152" si="413">(C151*D151*H151/1000)</f>
        <v>3.8771999999999998</v>
      </c>
      <c r="J151" s="16"/>
      <c r="K151" s="18">
        <v>4</v>
      </c>
      <c r="L151" s="19">
        <f t="shared" ref="L151:L152" si="414">(C151*D151*K151/1000)</f>
        <v>1.7231999999999998</v>
      </c>
      <c r="M151" s="16"/>
      <c r="N151" s="18"/>
      <c r="O151" s="19">
        <f t="shared" ref="O151:O152" si="415">(C151*D151*N151/1000)</f>
        <v>0</v>
      </c>
      <c r="P151" s="16"/>
      <c r="Q151" s="18"/>
      <c r="R151" s="19">
        <f t="shared" ref="R151:R152" si="416">(C151*D151*Q151/1000)</f>
        <v>0</v>
      </c>
      <c r="S151" s="20">
        <f t="shared" ref="S151:S152" si="417">+H151+K151+Q151+N151</f>
        <v>13</v>
      </c>
      <c r="T151" s="19">
        <f t="shared" ref="T151:T152" si="418">+I151+L151+R151+O151</f>
        <v>5.6003999999999996</v>
      </c>
      <c r="U151" s="21">
        <f t="shared" ref="U151:U152" si="419">E151-S151</f>
        <v>1</v>
      </c>
      <c r="V151" s="19">
        <f t="shared" ref="V151:V152" si="420">F151-T151</f>
        <v>0.43079999999999963</v>
      </c>
      <c r="X151" s="29"/>
    </row>
    <row r="152" spans="1:24">
      <c r="A152" s="26" t="s">
        <v>13</v>
      </c>
      <c r="B152" s="26" t="s">
        <v>127</v>
      </c>
      <c r="C152" s="30">
        <v>35.9</v>
      </c>
      <c r="D152" s="27">
        <v>8</v>
      </c>
      <c r="E152" s="28"/>
      <c r="F152" s="16">
        <f t="shared" si="412"/>
        <v>0</v>
      </c>
      <c r="G152" s="17"/>
      <c r="H152" s="18"/>
      <c r="I152" s="19">
        <f t="shared" si="413"/>
        <v>0</v>
      </c>
      <c r="J152" s="16"/>
      <c r="K152" s="18">
        <v>1</v>
      </c>
      <c r="L152" s="19">
        <f t="shared" si="414"/>
        <v>0.28720000000000001</v>
      </c>
      <c r="M152" s="16"/>
      <c r="N152" s="18"/>
      <c r="O152" s="19">
        <f t="shared" si="415"/>
        <v>0</v>
      </c>
      <c r="P152" s="16"/>
      <c r="Q152" s="18"/>
      <c r="R152" s="19">
        <f t="shared" si="416"/>
        <v>0</v>
      </c>
      <c r="S152" s="20">
        <f t="shared" si="417"/>
        <v>1</v>
      </c>
      <c r="T152" s="19">
        <f t="shared" si="418"/>
        <v>0.28720000000000001</v>
      </c>
      <c r="U152" s="21">
        <f t="shared" si="419"/>
        <v>-1</v>
      </c>
      <c r="V152" s="19">
        <f t="shared" si="420"/>
        <v>-0.28720000000000001</v>
      </c>
      <c r="X152" s="29"/>
    </row>
    <row r="153" spans="1:24">
      <c r="A153" s="26" t="s">
        <v>13</v>
      </c>
      <c r="B153" s="26" t="s">
        <v>127</v>
      </c>
      <c r="C153" s="30">
        <v>35.9</v>
      </c>
      <c r="D153" s="27">
        <v>9.5</v>
      </c>
      <c r="E153" s="28"/>
      <c r="F153" s="16">
        <f t="shared" si="405"/>
        <v>0</v>
      </c>
      <c r="G153" s="17"/>
      <c r="H153" s="18"/>
      <c r="I153" s="19">
        <f t="shared" si="406"/>
        <v>0</v>
      </c>
      <c r="J153" s="16"/>
      <c r="K153" s="18"/>
      <c r="L153" s="19">
        <f t="shared" si="407"/>
        <v>0</v>
      </c>
      <c r="M153" s="16"/>
      <c r="N153" s="18">
        <v>2</v>
      </c>
      <c r="O153" s="19">
        <f t="shared" si="408"/>
        <v>0.68210000000000004</v>
      </c>
      <c r="P153" s="16"/>
      <c r="Q153" s="18"/>
      <c r="R153" s="19">
        <f t="shared" si="409"/>
        <v>0</v>
      </c>
      <c r="S153" s="20">
        <f t="shared" si="410"/>
        <v>2</v>
      </c>
      <c r="T153" s="19">
        <f t="shared" si="410"/>
        <v>0.68210000000000004</v>
      </c>
      <c r="U153" s="21">
        <f t="shared" si="411"/>
        <v>-2</v>
      </c>
      <c r="V153" s="19">
        <f t="shared" si="411"/>
        <v>-0.68210000000000004</v>
      </c>
      <c r="X153" s="29"/>
    </row>
    <row r="154" spans="1:24">
      <c r="A154" s="36"/>
      <c r="B154" s="36"/>
      <c r="C154" s="37"/>
      <c r="D154" s="38"/>
      <c r="E154" s="31">
        <f t="shared" ref="E154:F154" si="421">SUM(E148:E153)</f>
        <v>92</v>
      </c>
      <c r="F154" s="38">
        <f t="shared" si="421"/>
        <v>27.725569999999998</v>
      </c>
      <c r="G154" s="17"/>
      <c r="H154" s="31">
        <f t="shared" ref="H154" si="422">SUM(H148:H153)</f>
        <v>65</v>
      </c>
      <c r="I154" s="38">
        <f t="shared" ref="I154" si="423">SUM(I148:I153)</f>
        <v>19.913729999999997</v>
      </c>
      <c r="J154" s="16"/>
      <c r="K154" s="31">
        <f>SUM(K148:K153)</f>
        <v>17</v>
      </c>
      <c r="L154" s="38">
        <f t="shared" ref="L154" si="424">SUM(L148:L153)</f>
        <v>5.7081</v>
      </c>
      <c r="M154" s="16"/>
      <c r="N154" s="31">
        <f t="shared" ref="N154" si="425">SUM(N148:N153)</f>
        <v>9</v>
      </c>
      <c r="O154" s="38">
        <f t="shared" ref="O154" si="426">SUM(O148:O153)</f>
        <v>2.32273</v>
      </c>
      <c r="P154" s="16"/>
      <c r="Q154" s="31">
        <f t="shared" ref="Q154" si="427">SUM(Q148:Q153)</f>
        <v>0</v>
      </c>
      <c r="R154" s="38">
        <f t="shared" ref="R154" si="428">SUM(R148:R153)</f>
        <v>0</v>
      </c>
      <c r="S154" s="31">
        <f t="shared" ref="S154" si="429">SUM(S148:S153)</f>
        <v>91</v>
      </c>
      <c r="T154" s="38">
        <f t="shared" ref="T154" si="430">SUM(T148:T153)</f>
        <v>27.944559999999996</v>
      </c>
      <c r="U154" s="31">
        <f t="shared" ref="U154" si="431">SUM(U148:U153)</f>
        <v>1</v>
      </c>
      <c r="V154" s="38">
        <f t="shared" ref="V154" si="432">SUM(V148:V153)</f>
        <v>-0.21899000000000024</v>
      </c>
      <c r="X154" s="29"/>
    </row>
    <row r="155" spans="1:24">
      <c r="A155" s="26" t="s">
        <v>13</v>
      </c>
      <c r="B155" s="26" t="s">
        <v>128</v>
      </c>
      <c r="C155" s="30">
        <v>40.1</v>
      </c>
      <c r="D155" s="27">
        <v>8.4</v>
      </c>
      <c r="E155" s="28">
        <v>2</v>
      </c>
      <c r="F155" s="16">
        <f t="shared" ref="F155:F157" si="433">(C155*D155*E155/1000)</f>
        <v>0.67368000000000006</v>
      </c>
      <c r="G155" s="16" t="s">
        <v>89</v>
      </c>
      <c r="H155" s="18"/>
      <c r="I155" s="19">
        <f t="shared" ref="I155:I157" si="434">(C155*D155*H155/1000)</f>
        <v>0</v>
      </c>
      <c r="J155" s="16"/>
      <c r="K155" s="18"/>
      <c r="L155" s="19">
        <f t="shared" ref="L155:L157" si="435">(C155*D155*K155/1000)</f>
        <v>0</v>
      </c>
      <c r="M155" s="16"/>
      <c r="N155" s="18"/>
      <c r="O155" s="19">
        <f t="shared" ref="O155:O157" si="436">(C155*D155*N155/1000)</f>
        <v>0</v>
      </c>
      <c r="P155" s="16"/>
      <c r="Q155" s="18"/>
      <c r="R155" s="19">
        <f t="shared" ref="R155:R157" si="437">(C155*D155*Q155/1000)</f>
        <v>0</v>
      </c>
      <c r="S155" s="20">
        <f t="shared" ref="S155:T157" si="438">+H155+K155+Q155+N155</f>
        <v>0</v>
      </c>
      <c r="T155" s="19">
        <f t="shared" si="438"/>
        <v>0</v>
      </c>
      <c r="U155" s="21">
        <f t="shared" ref="U155:V157" si="439">E155-S155</f>
        <v>2</v>
      </c>
      <c r="V155" s="19">
        <f t="shared" si="439"/>
        <v>0.67368000000000006</v>
      </c>
      <c r="X155" s="29"/>
    </row>
    <row r="156" spans="1:24">
      <c r="A156" s="26" t="s">
        <v>13</v>
      </c>
      <c r="B156" s="26" t="s">
        <v>128</v>
      </c>
      <c r="C156" s="30">
        <v>40.1</v>
      </c>
      <c r="D156" s="27">
        <v>9.8000000000000007</v>
      </c>
      <c r="E156" s="28">
        <v>5</v>
      </c>
      <c r="F156" s="16">
        <f t="shared" ref="F156" si="440">(C156*D156*E156/1000)</f>
        <v>1.9649000000000001</v>
      </c>
      <c r="G156" s="16" t="s">
        <v>320</v>
      </c>
      <c r="H156" s="18">
        <v>5</v>
      </c>
      <c r="I156" s="19">
        <f t="shared" ref="I156" si="441">(C156*D156*H156/1000)</f>
        <v>1.9649000000000001</v>
      </c>
      <c r="J156" s="16"/>
      <c r="K156" s="18"/>
      <c r="L156" s="19">
        <f t="shared" ref="L156" si="442">(C156*D156*K156/1000)</f>
        <v>0</v>
      </c>
      <c r="M156" s="16"/>
      <c r="N156" s="18"/>
      <c r="O156" s="19">
        <f t="shared" ref="O156" si="443">(C156*D156*N156/1000)</f>
        <v>0</v>
      </c>
      <c r="P156" s="16"/>
      <c r="Q156" s="18"/>
      <c r="R156" s="19">
        <f t="shared" ref="R156" si="444">(C156*D156*Q156/1000)</f>
        <v>0</v>
      </c>
      <c r="S156" s="20">
        <f t="shared" si="438"/>
        <v>5</v>
      </c>
      <c r="T156" s="19">
        <f t="shared" si="438"/>
        <v>1.9649000000000001</v>
      </c>
      <c r="U156" s="21">
        <f t="shared" si="439"/>
        <v>0</v>
      </c>
      <c r="V156" s="19">
        <f t="shared" si="439"/>
        <v>0</v>
      </c>
      <c r="X156" s="29"/>
    </row>
    <row r="157" spans="1:24">
      <c r="A157" s="26" t="s">
        <v>13</v>
      </c>
      <c r="B157" s="26" t="s">
        <v>128</v>
      </c>
      <c r="C157" s="30">
        <v>40.1</v>
      </c>
      <c r="D157" s="27">
        <v>8.5</v>
      </c>
      <c r="E157" s="28"/>
      <c r="F157" s="16">
        <f t="shared" si="433"/>
        <v>0</v>
      </c>
      <c r="G157" s="16"/>
      <c r="H157" s="18">
        <v>2</v>
      </c>
      <c r="I157" s="19">
        <f t="shared" si="434"/>
        <v>0.68170000000000008</v>
      </c>
      <c r="J157" s="16"/>
      <c r="K157" s="18"/>
      <c r="L157" s="19">
        <f t="shared" si="435"/>
        <v>0</v>
      </c>
      <c r="M157" s="16"/>
      <c r="N157" s="18"/>
      <c r="O157" s="19">
        <f t="shared" si="436"/>
        <v>0</v>
      </c>
      <c r="P157" s="16"/>
      <c r="Q157" s="18"/>
      <c r="R157" s="19">
        <f t="shared" si="437"/>
        <v>0</v>
      </c>
      <c r="S157" s="20">
        <f t="shared" si="438"/>
        <v>2</v>
      </c>
      <c r="T157" s="19">
        <f t="shared" si="438"/>
        <v>0.68170000000000008</v>
      </c>
      <c r="U157" s="21">
        <f t="shared" si="439"/>
        <v>-2</v>
      </c>
      <c r="V157" s="19">
        <f t="shared" si="439"/>
        <v>-0.68170000000000008</v>
      </c>
      <c r="X157" s="29"/>
    </row>
    <row r="158" spans="1:24">
      <c r="A158" s="36"/>
      <c r="B158" s="36"/>
      <c r="C158" s="37"/>
      <c r="D158" s="38"/>
      <c r="E158" s="31">
        <f t="shared" ref="E158:F158" si="445">SUM(E155:E157)</f>
        <v>7</v>
      </c>
      <c r="F158" s="38">
        <f t="shared" si="445"/>
        <v>2.6385800000000001</v>
      </c>
      <c r="G158" s="17"/>
      <c r="H158" s="31">
        <f t="shared" ref="H158" si="446">SUM(H155:H157)</f>
        <v>7</v>
      </c>
      <c r="I158" s="38">
        <f t="shared" ref="I158" si="447">SUM(I155:I157)</f>
        <v>2.6466000000000003</v>
      </c>
      <c r="J158" s="16"/>
      <c r="K158" s="31">
        <f t="shared" ref="K158" si="448">SUM(K155:K157)</f>
        <v>0</v>
      </c>
      <c r="L158" s="38">
        <f t="shared" ref="L158" si="449">SUM(L155:L157)</f>
        <v>0</v>
      </c>
      <c r="M158" s="16"/>
      <c r="N158" s="31">
        <f t="shared" ref="N158" si="450">SUM(N155:N157)</f>
        <v>0</v>
      </c>
      <c r="O158" s="38">
        <f t="shared" ref="O158" si="451">SUM(O155:O157)</f>
        <v>0</v>
      </c>
      <c r="P158" s="16"/>
      <c r="Q158" s="31">
        <f t="shared" ref="Q158" si="452">SUM(Q155:Q157)</f>
        <v>0</v>
      </c>
      <c r="R158" s="38">
        <f t="shared" ref="R158" si="453">SUM(R155:R157)</f>
        <v>0</v>
      </c>
      <c r="S158" s="31">
        <f t="shared" ref="S158" si="454">SUM(S155:S157)</f>
        <v>7</v>
      </c>
      <c r="T158" s="38">
        <f t="shared" ref="T158" si="455">SUM(T155:T157)</f>
        <v>2.6466000000000003</v>
      </c>
      <c r="U158" s="31">
        <f t="shared" ref="U158" si="456">SUM(U155:U157)</f>
        <v>0</v>
      </c>
      <c r="V158" s="38">
        <f t="shared" ref="V158" si="457">SUM(V155:V157)</f>
        <v>-8.0200000000000271E-3</v>
      </c>
      <c r="X158" s="29"/>
    </row>
    <row r="159" spans="1:24">
      <c r="A159" s="26" t="s">
        <v>13</v>
      </c>
      <c r="B159" s="26" t="s">
        <v>161</v>
      </c>
      <c r="C159" s="30">
        <v>44.2</v>
      </c>
      <c r="D159" s="27">
        <v>8.5</v>
      </c>
      <c r="E159" s="28">
        <v>3</v>
      </c>
      <c r="F159" s="16">
        <f>(C159*D159*E159/1000)</f>
        <v>1.1271000000000002</v>
      </c>
      <c r="G159" s="16" t="s">
        <v>93</v>
      </c>
      <c r="H159" s="18">
        <v>3</v>
      </c>
      <c r="I159" s="19">
        <f>(C159*D159*H159/1000)</f>
        <v>1.1271000000000002</v>
      </c>
      <c r="J159" s="16"/>
      <c r="K159" s="18"/>
      <c r="L159" s="19">
        <f>(C159*D159*K159/1000)</f>
        <v>0</v>
      </c>
      <c r="M159" s="16"/>
      <c r="N159" s="18"/>
      <c r="O159" s="19">
        <f>(C159*D159*N159/1000)</f>
        <v>0</v>
      </c>
      <c r="P159" s="16"/>
      <c r="Q159" s="18"/>
      <c r="R159" s="19">
        <f>(C159*D159*Q159/1000)</f>
        <v>0</v>
      </c>
      <c r="S159" s="20">
        <f>+H159+K159+Q159+N159</f>
        <v>3</v>
      </c>
      <c r="T159" s="19">
        <f>+I159+L159+R159+O159</f>
        <v>1.1271000000000002</v>
      </c>
      <c r="U159" s="21">
        <f>E159-S159</f>
        <v>0</v>
      </c>
      <c r="V159" s="19">
        <f>F159-T159</f>
        <v>0</v>
      </c>
      <c r="X159" s="29"/>
    </row>
    <row r="160" spans="1:24">
      <c r="A160" s="36"/>
      <c r="B160" s="36"/>
      <c r="C160" s="37"/>
      <c r="D160" s="38"/>
      <c r="E160" s="31">
        <f t="shared" ref="E160:F160" si="458">SUM(E159)</f>
        <v>3</v>
      </c>
      <c r="F160" s="38">
        <f t="shared" si="458"/>
        <v>1.1271000000000002</v>
      </c>
      <c r="G160" s="16" t="s">
        <v>351</v>
      </c>
      <c r="H160" s="31">
        <f t="shared" ref="H160" si="459">SUM(H159)</f>
        <v>3</v>
      </c>
      <c r="I160" s="38">
        <f t="shared" ref="I160" si="460">SUM(I159)</f>
        <v>1.1271000000000002</v>
      </c>
      <c r="J160" s="16"/>
      <c r="K160" s="31">
        <f t="shared" ref="K160" si="461">SUM(K159)</f>
        <v>0</v>
      </c>
      <c r="L160" s="38">
        <f t="shared" ref="L160" si="462">SUM(L159)</f>
        <v>0</v>
      </c>
      <c r="M160" s="16"/>
      <c r="N160" s="31">
        <f t="shared" ref="N160" si="463">SUM(N159)</f>
        <v>0</v>
      </c>
      <c r="O160" s="38">
        <f t="shared" ref="O160" si="464">SUM(O159)</f>
        <v>0</v>
      </c>
      <c r="P160" s="16"/>
      <c r="Q160" s="31">
        <f t="shared" ref="Q160" si="465">SUM(Q159)</f>
        <v>0</v>
      </c>
      <c r="R160" s="38">
        <f t="shared" ref="R160" si="466">SUM(R159)</f>
        <v>0</v>
      </c>
      <c r="S160" s="31">
        <f t="shared" ref="S160" si="467">SUM(S159)</f>
        <v>3</v>
      </c>
      <c r="T160" s="38">
        <f t="shared" ref="T160" si="468">SUM(T159)</f>
        <v>1.1271000000000002</v>
      </c>
      <c r="U160" s="31">
        <f t="shared" ref="U160" si="469">SUM(U159)</f>
        <v>0</v>
      </c>
      <c r="V160" s="38">
        <f t="shared" ref="V160" si="470">SUM(V159)</f>
        <v>0</v>
      </c>
      <c r="X160" s="29"/>
    </row>
    <row r="161" spans="1:24">
      <c r="A161" s="26" t="s">
        <v>13</v>
      </c>
      <c r="B161" s="26" t="s">
        <v>34</v>
      </c>
      <c r="C161" s="30">
        <v>5.76</v>
      </c>
      <c r="D161" s="27">
        <v>10</v>
      </c>
      <c r="E161" s="28">
        <v>10</v>
      </c>
      <c r="F161" s="16">
        <f t="shared" ref="F161:F167" si="471">(C161*D161*E161/1000)</f>
        <v>0.57599999999999996</v>
      </c>
      <c r="G161" s="17" t="s">
        <v>107</v>
      </c>
      <c r="H161" s="18">
        <v>6</v>
      </c>
      <c r="I161" s="19">
        <f t="shared" ref="I161:I167" si="472">(C161*D161*H161/1000)</f>
        <v>0.34559999999999996</v>
      </c>
      <c r="J161" s="16" t="s">
        <v>295</v>
      </c>
      <c r="K161" s="18">
        <v>4</v>
      </c>
      <c r="L161" s="19">
        <f t="shared" ref="L161:L167" si="473">(C161*D161*K161/1000)</f>
        <v>0.23039999999999997</v>
      </c>
      <c r="M161" s="16" t="s">
        <v>93</v>
      </c>
      <c r="N161" s="18"/>
      <c r="O161" s="19">
        <f t="shared" ref="O161:O167" si="474">(C161*D161*N161/1000)</f>
        <v>0</v>
      </c>
      <c r="P161" s="16" t="s">
        <v>89</v>
      </c>
      <c r="Q161" s="18"/>
      <c r="R161" s="19">
        <f t="shared" ref="R161:R167" si="475">(C161*D161*Q161/1000)</f>
        <v>0</v>
      </c>
      <c r="S161" s="20">
        <f t="shared" ref="S161:T167" si="476">+H161+K161+Q161+N161</f>
        <v>10</v>
      </c>
      <c r="T161" s="19">
        <f t="shared" si="476"/>
        <v>0.57599999999999996</v>
      </c>
      <c r="U161" s="21">
        <f t="shared" ref="U161:V167" si="477">E161-S161</f>
        <v>0</v>
      </c>
      <c r="V161" s="19">
        <f t="shared" si="477"/>
        <v>0</v>
      </c>
      <c r="X161" s="29"/>
    </row>
    <row r="162" spans="1:24">
      <c r="A162" s="26" t="s">
        <v>13</v>
      </c>
      <c r="B162" s="26" t="s">
        <v>34</v>
      </c>
      <c r="C162" s="30">
        <v>5.76</v>
      </c>
      <c r="D162" s="27">
        <v>10.5</v>
      </c>
      <c r="E162" s="28">
        <v>125</v>
      </c>
      <c r="F162" s="16">
        <f t="shared" si="471"/>
        <v>7.56</v>
      </c>
      <c r="G162" s="17" t="s">
        <v>348</v>
      </c>
      <c r="H162" s="18">
        <v>25</v>
      </c>
      <c r="I162" s="19">
        <f t="shared" si="472"/>
        <v>1.512</v>
      </c>
      <c r="J162" s="16" t="s">
        <v>352</v>
      </c>
      <c r="K162" s="18">
        <v>100</v>
      </c>
      <c r="L162" s="19">
        <f t="shared" si="473"/>
        <v>6.048</v>
      </c>
      <c r="M162" s="16" t="s">
        <v>352</v>
      </c>
      <c r="N162" s="18"/>
      <c r="O162" s="19">
        <f t="shared" si="474"/>
        <v>0</v>
      </c>
      <c r="P162" s="16" t="s">
        <v>342</v>
      </c>
      <c r="Q162" s="18"/>
      <c r="R162" s="19">
        <f t="shared" si="475"/>
        <v>0</v>
      </c>
      <c r="S162" s="20">
        <f t="shared" si="476"/>
        <v>125</v>
      </c>
      <c r="T162" s="19">
        <f t="shared" si="476"/>
        <v>7.5600000000000005</v>
      </c>
      <c r="U162" s="21">
        <f t="shared" si="477"/>
        <v>0</v>
      </c>
      <c r="V162" s="19">
        <f t="shared" si="477"/>
        <v>0</v>
      </c>
      <c r="X162" s="29"/>
    </row>
    <row r="163" spans="1:24">
      <c r="A163" s="26" t="s">
        <v>13</v>
      </c>
      <c r="B163" s="26" t="s">
        <v>34</v>
      </c>
      <c r="C163" s="30">
        <v>5.76</v>
      </c>
      <c r="D163" s="27">
        <v>11</v>
      </c>
      <c r="E163" s="28">
        <v>79</v>
      </c>
      <c r="F163" s="16">
        <f t="shared" si="471"/>
        <v>5.0054399999999992</v>
      </c>
      <c r="G163" s="17"/>
      <c r="H163" s="18">
        <v>27</v>
      </c>
      <c r="I163" s="19">
        <f t="shared" si="472"/>
        <v>1.71072</v>
      </c>
      <c r="J163" s="16"/>
      <c r="K163" s="18">
        <v>39</v>
      </c>
      <c r="L163" s="19">
        <f t="shared" si="473"/>
        <v>2.4710399999999999</v>
      </c>
      <c r="M163" s="16"/>
      <c r="N163" s="18">
        <v>13</v>
      </c>
      <c r="O163" s="19">
        <f t="shared" si="474"/>
        <v>0.82367999999999997</v>
      </c>
      <c r="P163" s="16"/>
      <c r="Q163" s="18"/>
      <c r="R163" s="19">
        <f t="shared" si="475"/>
        <v>0</v>
      </c>
      <c r="S163" s="20">
        <f t="shared" si="476"/>
        <v>79</v>
      </c>
      <c r="T163" s="19">
        <f t="shared" si="476"/>
        <v>5.0054400000000001</v>
      </c>
      <c r="U163" s="21">
        <f t="shared" si="477"/>
        <v>0</v>
      </c>
      <c r="V163" s="19">
        <f t="shared" si="477"/>
        <v>0</v>
      </c>
      <c r="X163" s="29"/>
    </row>
    <row r="164" spans="1:24">
      <c r="A164" s="26" t="s">
        <v>13</v>
      </c>
      <c r="B164" s="26" t="s">
        <v>34</v>
      </c>
      <c r="C164" s="30">
        <v>5.76</v>
      </c>
      <c r="D164" s="27">
        <v>11.5</v>
      </c>
      <c r="E164" s="28">
        <v>15</v>
      </c>
      <c r="F164" s="16">
        <f t="shared" si="471"/>
        <v>0.99359999999999993</v>
      </c>
      <c r="G164" s="17"/>
      <c r="H164" s="18">
        <v>15</v>
      </c>
      <c r="I164" s="19">
        <f t="shared" si="472"/>
        <v>0.99359999999999993</v>
      </c>
      <c r="J164" s="16"/>
      <c r="K164" s="18"/>
      <c r="L164" s="19">
        <f t="shared" si="473"/>
        <v>0</v>
      </c>
      <c r="M164" s="16"/>
      <c r="N164" s="18"/>
      <c r="O164" s="19">
        <f t="shared" si="474"/>
        <v>0</v>
      </c>
      <c r="P164" s="16"/>
      <c r="Q164" s="18"/>
      <c r="R164" s="19">
        <f t="shared" si="475"/>
        <v>0</v>
      </c>
      <c r="S164" s="20">
        <f t="shared" si="476"/>
        <v>15</v>
      </c>
      <c r="T164" s="19">
        <f t="shared" si="476"/>
        <v>0.99359999999999993</v>
      </c>
      <c r="U164" s="21">
        <f t="shared" si="477"/>
        <v>0</v>
      </c>
      <c r="V164" s="19">
        <f t="shared" si="477"/>
        <v>0</v>
      </c>
      <c r="X164" s="29"/>
    </row>
    <row r="165" spans="1:24">
      <c r="A165" s="26" t="s">
        <v>13</v>
      </c>
      <c r="B165" s="26" t="s">
        <v>34</v>
      </c>
      <c r="C165" s="30">
        <v>5.76</v>
      </c>
      <c r="D165" s="27">
        <v>12</v>
      </c>
      <c r="E165" s="28">
        <v>109</v>
      </c>
      <c r="F165" s="16">
        <f t="shared" ref="F165:F166" si="478">(C165*D165*E165/1000)</f>
        <v>7.5340800000000012</v>
      </c>
      <c r="G165" s="17"/>
      <c r="H165" s="18">
        <f t="shared" ref="H165" si="479">71+17</f>
        <v>88</v>
      </c>
      <c r="I165" s="19">
        <f t="shared" ref="I165:I166" si="480">(C165*D165*H165/1000)</f>
        <v>6.08256</v>
      </c>
      <c r="J165" s="16"/>
      <c r="K165" s="18">
        <v>14</v>
      </c>
      <c r="L165" s="19">
        <f t="shared" ref="L165:L166" si="481">(C165*D165*K165/1000)</f>
        <v>0.9676800000000001</v>
      </c>
      <c r="M165" s="16"/>
      <c r="N165" s="18"/>
      <c r="O165" s="19">
        <f t="shared" ref="O165:O166" si="482">(C165*D165*N165/1000)</f>
        <v>0</v>
      </c>
      <c r="P165" s="16"/>
      <c r="Q165" s="18">
        <v>3</v>
      </c>
      <c r="R165" s="19">
        <f t="shared" ref="R165:R166" si="483">(C165*D165*Q165/1000)</f>
        <v>0.20736000000000002</v>
      </c>
      <c r="S165" s="20">
        <f t="shared" ref="S165:S166" si="484">+H165+K165+Q165+N165</f>
        <v>105</v>
      </c>
      <c r="T165" s="19">
        <f t="shared" ref="T165:T166" si="485">+I165+L165+R165+O165</f>
        <v>7.2576000000000009</v>
      </c>
      <c r="U165" s="21">
        <f t="shared" ref="U165:U166" si="486">E165-S165</f>
        <v>4</v>
      </c>
      <c r="V165" s="19">
        <f t="shared" ref="V165:V166" si="487">F165-T165</f>
        <v>0.27648000000000028</v>
      </c>
      <c r="X165" s="29"/>
    </row>
    <row r="166" spans="1:24">
      <c r="A166" s="26" t="s">
        <v>13</v>
      </c>
      <c r="B166" s="26" t="s">
        <v>34</v>
      </c>
      <c r="C166" s="30">
        <v>5.76</v>
      </c>
      <c r="D166" s="27">
        <v>11.7</v>
      </c>
      <c r="E166" s="28"/>
      <c r="F166" s="16">
        <f t="shared" si="478"/>
        <v>0</v>
      </c>
      <c r="G166" s="17"/>
      <c r="H166" s="18"/>
      <c r="I166" s="19">
        <f t="shared" si="480"/>
        <v>0</v>
      </c>
      <c r="J166" s="16"/>
      <c r="K166" s="18"/>
      <c r="L166" s="19">
        <f t="shared" si="481"/>
        <v>0</v>
      </c>
      <c r="M166" s="16"/>
      <c r="N166" s="18"/>
      <c r="O166" s="19">
        <f t="shared" si="482"/>
        <v>0</v>
      </c>
      <c r="P166" s="16"/>
      <c r="Q166" s="18">
        <v>5</v>
      </c>
      <c r="R166" s="19">
        <f t="shared" si="483"/>
        <v>0.33695999999999998</v>
      </c>
      <c r="S166" s="20">
        <f t="shared" si="484"/>
        <v>5</v>
      </c>
      <c r="T166" s="19">
        <f t="shared" si="485"/>
        <v>0.33695999999999998</v>
      </c>
      <c r="U166" s="21">
        <f t="shared" si="486"/>
        <v>-5</v>
      </c>
      <c r="V166" s="19">
        <f t="shared" si="487"/>
        <v>-0.33695999999999998</v>
      </c>
      <c r="X166" s="29"/>
    </row>
    <row r="167" spans="1:24">
      <c r="A167" s="26" t="s">
        <v>13</v>
      </c>
      <c r="B167" s="26" t="s">
        <v>34</v>
      </c>
      <c r="C167" s="30">
        <v>5.76</v>
      </c>
      <c r="D167" s="27"/>
      <c r="E167" s="28"/>
      <c r="F167" s="16">
        <f t="shared" si="471"/>
        <v>0</v>
      </c>
      <c r="G167" s="17"/>
      <c r="H167" s="18"/>
      <c r="I167" s="19">
        <f t="shared" si="472"/>
        <v>0</v>
      </c>
      <c r="J167" s="16"/>
      <c r="K167" s="18"/>
      <c r="L167" s="19">
        <f t="shared" si="473"/>
        <v>0</v>
      </c>
      <c r="M167" s="16"/>
      <c r="N167" s="18"/>
      <c r="O167" s="19">
        <f t="shared" si="474"/>
        <v>0</v>
      </c>
      <c r="P167" s="16"/>
      <c r="Q167" s="18"/>
      <c r="R167" s="19">
        <f t="shared" si="475"/>
        <v>0</v>
      </c>
      <c r="S167" s="20">
        <f t="shared" si="476"/>
        <v>0</v>
      </c>
      <c r="T167" s="19">
        <f t="shared" si="476"/>
        <v>0</v>
      </c>
      <c r="U167" s="21">
        <f t="shared" si="477"/>
        <v>0</v>
      </c>
      <c r="V167" s="19">
        <f t="shared" si="477"/>
        <v>0</v>
      </c>
      <c r="X167" s="29"/>
    </row>
    <row r="168" spans="1:24">
      <c r="A168" s="36"/>
      <c r="B168" s="36"/>
      <c r="C168" s="37"/>
      <c r="D168" s="38"/>
      <c r="E168" s="31">
        <f t="shared" ref="E168:F168" si="488">SUM(E161:E167)</f>
        <v>338</v>
      </c>
      <c r="F168" s="38">
        <f t="shared" si="488"/>
        <v>21.669119999999999</v>
      </c>
      <c r="G168" s="17"/>
      <c r="H168" s="31">
        <f t="shared" ref="H168" si="489">SUM(H161:H167)</f>
        <v>161</v>
      </c>
      <c r="I168" s="38">
        <f t="shared" ref="I168" si="490">SUM(I161:I167)</f>
        <v>10.64448</v>
      </c>
      <c r="J168" s="16"/>
      <c r="K168" s="31">
        <f t="shared" ref="K168" si="491">SUM(K161:K167)</f>
        <v>157</v>
      </c>
      <c r="L168" s="38">
        <f t="shared" ref="L168" si="492">SUM(L161:L167)</f>
        <v>9.7171199999999995</v>
      </c>
      <c r="M168" s="16"/>
      <c r="N168" s="31">
        <f t="shared" ref="N168" si="493">SUM(N161:N167)</f>
        <v>13</v>
      </c>
      <c r="O168" s="38">
        <f t="shared" ref="O168" si="494">SUM(O161:O167)</f>
        <v>0.82367999999999997</v>
      </c>
      <c r="P168" s="16"/>
      <c r="Q168" s="31">
        <f t="shared" ref="Q168" si="495">SUM(Q161:Q167)</f>
        <v>8</v>
      </c>
      <c r="R168" s="38">
        <f t="shared" ref="R168" si="496">SUM(R161:R167)</f>
        <v>0.54432000000000003</v>
      </c>
      <c r="S168" s="31">
        <f t="shared" ref="S168" si="497">SUM(S161:S167)</f>
        <v>339</v>
      </c>
      <c r="T168" s="38">
        <f t="shared" ref="T168" si="498">SUM(T161:T167)</f>
        <v>21.729600000000005</v>
      </c>
      <c r="U168" s="31">
        <f t="shared" ref="U168" si="499">SUM(U161:U167)</f>
        <v>-1</v>
      </c>
      <c r="V168" s="38">
        <f t="shared" ref="V168" si="500">SUM(V161:V167)</f>
        <v>-6.0479999999999701E-2</v>
      </c>
      <c r="X168" s="29"/>
    </row>
    <row r="169" spans="1:24">
      <c r="A169" s="26" t="s">
        <v>13</v>
      </c>
      <c r="B169" s="26" t="s">
        <v>35</v>
      </c>
      <c r="C169" s="30">
        <v>6.85</v>
      </c>
      <c r="D169" s="27">
        <v>9.5</v>
      </c>
      <c r="E169" s="28">
        <v>5</v>
      </c>
      <c r="F169" s="16">
        <f t="shared" ref="F169:F176" si="501">(C169*D169*E169/1000)</f>
        <v>0.32537500000000003</v>
      </c>
      <c r="G169" s="17" t="s">
        <v>346</v>
      </c>
      <c r="H169" s="18"/>
      <c r="I169" s="19">
        <f t="shared" ref="I169:I176" si="502">(C169*D169*H169/1000)</f>
        <v>0</v>
      </c>
      <c r="J169" s="16" t="s">
        <v>93</v>
      </c>
      <c r="K169" s="18"/>
      <c r="L169" s="19">
        <f t="shared" ref="L169:L176" si="503">(C169*D169*K169/1000)</f>
        <v>0</v>
      </c>
      <c r="M169" s="16"/>
      <c r="N169" s="18"/>
      <c r="O169" s="19">
        <f t="shared" ref="O169:O176" si="504">(C169*D169*N169/1000)</f>
        <v>0</v>
      </c>
      <c r="P169" s="16"/>
      <c r="Q169" s="18"/>
      <c r="R169" s="19">
        <f t="shared" ref="R169:R176" si="505">(C169*D169*Q169/1000)</f>
        <v>0</v>
      </c>
      <c r="S169" s="20">
        <f t="shared" ref="S169:T176" si="506">+H169+K169+Q169+N169</f>
        <v>0</v>
      </c>
      <c r="T169" s="19">
        <f t="shared" si="506"/>
        <v>0</v>
      </c>
      <c r="U169" s="21">
        <f t="shared" ref="U169:V176" si="507">E169-S169</f>
        <v>5</v>
      </c>
      <c r="V169" s="19">
        <f t="shared" si="507"/>
        <v>0.32537500000000003</v>
      </c>
      <c r="X169" s="29"/>
    </row>
    <row r="170" spans="1:24">
      <c r="A170" s="26" t="s">
        <v>13</v>
      </c>
      <c r="B170" s="26" t="s">
        <v>35</v>
      </c>
      <c r="C170" s="30">
        <v>6.85</v>
      </c>
      <c r="D170" s="27">
        <v>10</v>
      </c>
      <c r="E170" s="28">
        <v>6</v>
      </c>
      <c r="F170" s="16">
        <f t="shared" si="501"/>
        <v>0.41099999999999998</v>
      </c>
      <c r="G170" s="17" t="s">
        <v>345</v>
      </c>
      <c r="H170" s="18"/>
      <c r="I170" s="19">
        <f t="shared" si="502"/>
        <v>0</v>
      </c>
      <c r="J170" s="16" t="s">
        <v>351</v>
      </c>
      <c r="K170" s="18">
        <v>11</v>
      </c>
      <c r="L170" s="19">
        <f t="shared" si="503"/>
        <v>0.75349999999999995</v>
      </c>
      <c r="M170" s="16"/>
      <c r="N170" s="18"/>
      <c r="O170" s="19">
        <f t="shared" si="504"/>
        <v>0</v>
      </c>
      <c r="P170" s="16"/>
      <c r="Q170" s="18"/>
      <c r="R170" s="19">
        <f t="shared" si="505"/>
        <v>0</v>
      </c>
      <c r="S170" s="20">
        <f t="shared" si="506"/>
        <v>11</v>
      </c>
      <c r="T170" s="19">
        <f t="shared" si="506"/>
        <v>0.75349999999999995</v>
      </c>
      <c r="U170" s="21">
        <f t="shared" si="507"/>
        <v>-5</v>
      </c>
      <c r="V170" s="19">
        <f t="shared" si="507"/>
        <v>-0.34249999999999997</v>
      </c>
      <c r="X170" s="29"/>
    </row>
    <row r="171" spans="1:24">
      <c r="A171" s="26" t="s">
        <v>13</v>
      </c>
      <c r="B171" s="26" t="s">
        <v>35</v>
      </c>
      <c r="C171" s="30">
        <v>6.85</v>
      </c>
      <c r="D171" s="27">
        <v>10.5</v>
      </c>
      <c r="E171" s="28">
        <v>11</v>
      </c>
      <c r="F171" s="16">
        <f t="shared" si="501"/>
        <v>0.79117499999999996</v>
      </c>
      <c r="G171" s="17"/>
      <c r="H171" s="18">
        <v>8</v>
      </c>
      <c r="I171" s="19">
        <f t="shared" si="502"/>
        <v>0.57540000000000002</v>
      </c>
      <c r="J171" s="16"/>
      <c r="K171" s="18">
        <v>3</v>
      </c>
      <c r="L171" s="19">
        <f t="shared" si="503"/>
        <v>0.21577499999999997</v>
      </c>
      <c r="M171" s="16"/>
      <c r="N171" s="18"/>
      <c r="O171" s="19">
        <f t="shared" si="504"/>
        <v>0</v>
      </c>
      <c r="P171" s="16"/>
      <c r="Q171" s="18"/>
      <c r="R171" s="19">
        <f t="shared" si="505"/>
        <v>0</v>
      </c>
      <c r="S171" s="20">
        <f t="shared" si="506"/>
        <v>11</v>
      </c>
      <c r="T171" s="19">
        <f t="shared" si="506"/>
        <v>0.79117499999999996</v>
      </c>
      <c r="U171" s="21">
        <f t="shared" si="507"/>
        <v>0</v>
      </c>
      <c r="V171" s="19">
        <f t="shared" si="507"/>
        <v>0</v>
      </c>
      <c r="X171" s="29"/>
    </row>
    <row r="172" spans="1:24">
      <c r="A172" s="26" t="s">
        <v>13</v>
      </c>
      <c r="B172" s="26" t="s">
        <v>35</v>
      </c>
      <c r="C172" s="30">
        <v>6.85</v>
      </c>
      <c r="D172" s="27">
        <v>10.8</v>
      </c>
      <c r="E172" s="28">
        <v>84</v>
      </c>
      <c r="F172" s="16">
        <f t="shared" si="501"/>
        <v>6.2143200000000007</v>
      </c>
      <c r="G172" s="17"/>
      <c r="H172" s="18">
        <v>67</v>
      </c>
      <c r="I172" s="19">
        <f t="shared" si="502"/>
        <v>4.9566600000000003</v>
      </c>
      <c r="J172" s="16"/>
      <c r="K172" s="18">
        <v>13</v>
      </c>
      <c r="L172" s="19">
        <f t="shared" si="503"/>
        <v>0.96174000000000004</v>
      </c>
      <c r="M172" s="16"/>
      <c r="N172" s="18"/>
      <c r="O172" s="19">
        <f t="shared" si="504"/>
        <v>0</v>
      </c>
      <c r="P172" s="16"/>
      <c r="Q172" s="18"/>
      <c r="R172" s="19">
        <f t="shared" si="505"/>
        <v>0</v>
      </c>
      <c r="S172" s="20">
        <f t="shared" si="506"/>
        <v>80</v>
      </c>
      <c r="T172" s="19">
        <f t="shared" si="506"/>
        <v>5.9184000000000001</v>
      </c>
      <c r="U172" s="21">
        <f t="shared" si="507"/>
        <v>4</v>
      </c>
      <c r="V172" s="19">
        <f t="shared" si="507"/>
        <v>0.29592000000000063</v>
      </c>
      <c r="X172" s="29"/>
    </row>
    <row r="173" spans="1:24">
      <c r="A173" s="26" t="s">
        <v>13</v>
      </c>
      <c r="B173" s="26" t="s">
        <v>35</v>
      </c>
      <c r="C173" s="30">
        <v>6.85</v>
      </c>
      <c r="D173" s="27">
        <v>11</v>
      </c>
      <c r="E173" s="28">
        <v>44</v>
      </c>
      <c r="F173" s="16">
        <f t="shared" si="501"/>
        <v>3.3153999999999995</v>
      </c>
      <c r="G173" s="17"/>
      <c r="H173" s="18">
        <v>44</v>
      </c>
      <c r="I173" s="19">
        <f t="shared" si="502"/>
        <v>3.3153999999999995</v>
      </c>
      <c r="J173" s="16"/>
      <c r="K173" s="18"/>
      <c r="L173" s="19">
        <f t="shared" si="503"/>
        <v>0</v>
      </c>
      <c r="M173" s="16"/>
      <c r="N173" s="18"/>
      <c r="O173" s="19">
        <f t="shared" si="504"/>
        <v>0</v>
      </c>
      <c r="P173" s="16"/>
      <c r="Q173" s="18"/>
      <c r="R173" s="19">
        <f t="shared" si="505"/>
        <v>0</v>
      </c>
      <c r="S173" s="20">
        <f t="shared" si="506"/>
        <v>44</v>
      </c>
      <c r="T173" s="19">
        <f t="shared" si="506"/>
        <v>3.3153999999999995</v>
      </c>
      <c r="U173" s="21">
        <f t="shared" si="507"/>
        <v>0</v>
      </c>
      <c r="V173" s="19">
        <f t="shared" si="507"/>
        <v>0</v>
      </c>
      <c r="X173" s="29"/>
    </row>
    <row r="174" spans="1:24">
      <c r="A174" s="26" t="s">
        <v>13</v>
      </c>
      <c r="B174" s="26" t="s">
        <v>35</v>
      </c>
      <c r="C174" s="30">
        <v>6.85</v>
      </c>
      <c r="D174" s="27">
        <v>11.5</v>
      </c>
      <c r="E174" s="28">
        <v>13</v>
      </c>
      <c r="F174" s="16">
        <f t="shared" si="501"/>
        <v>1.0240749999999998</v>
      </c>
      <c r="G174" s="17"/>
      <c r="H174" s="18"/>
      <c r="I174" s="19">
        <f t="shared" si="502"/>
        <v>0</v>
      </c>
      <c r="J174" s="16"/>
      <c r="K174" s="18">
        <f>13+4</f>
        <v>17</v>
      </c>
      <c r="L174" s="19">
        <f t="shared" si="503"/>
        <v>1.339175</v>
      </c>
      <c r="M174" s="16"/>
      <c r="N174" s="18"/>
      <c r="O174" s="19">
        <f t="shared" si="504"/>
        <v>0</v>
      </c>
      <c r="P174" s="16"/>
      <c r="Q174" s="18"/>
      <c r="R174" s="19">
        <f t="shared" si="505"/>
        <v>0</v>
      </c>
      <c r="S174" s="20">
        <f t="shared" si="506"/>
        <v>17</v>
      </c>
      <c r="T174" s="19">
        <f t="shared" si="506"/>
        <v>1.339175</v>
      </c>
      <c r="U174" s="21">
        <f t="shared" si="507"/>
        <v>-4</v>
      </c>
      <c r="V174" s="19">
        <f t="shared" si="507"/>
        <v>-0.31510000000000016</v>
      </c>
      <c r="X174" s="29"/>
    </row>
    <row r="175" spans="1:24">
      <c r="A175" s="26" t="s">
        <v>13</v>
      </c>
      <c r="B175" s="26" t="s">
        <v>35</v>
      </c>
      <c r="C175" s="30">
        <v>6.85</v>
      </c>
      <c r="D175" s="27">
        <v>11.7</v>
      </c>
      <c r="E175" s="28">
        <v>152</v>
      </c>
      <c r="F175" s="16">
        <f t="shared" si="501"/>
        <v>12.182039999999999</v>
      </c>
      <c r="G175" s="17"/>
      <c r="H175" s="18">
        <v>73</v>
      </c>
      <c r="I175" s="19">
        <f t="shared" si="502"/>
        <v>5.8505849999999997</v>
      </c>
      <c r="J175" s="16"/>
      <c r="K175" s="18">
        <v>79</v>
      </c>
      <c r="L175" s="19">
        <f t="shared" si="503"/>
        <v>6.3314550000000001</v>
      </c>
      <c r="M175" s="16"/>
      <c r="N175" s="18"/>
      <c r="O175" s="19">
        <f t="shared" si="504"/>
        <v>0</v>
      </c>
      <c r="P175" s="16"/>
      <c r="Q175" s="18"/>
      <c r="R175" s="19">
        <f t="shared" si="505"/>
        <v>0</v>
      </c>
      <c r="S175" s="20">
        <f t="shared" si="506"/>
        <v>152</v>
      </c>
      <c r="T175" s="19">
        <f t="shared" si="506"/>
        <v>12.182040000000001</v>
      </c>
      <c r="U175" s="21">
        <f t="shared" si="507"/>
        <v>0</v>
      </c>
      <c r="V175" s="19">
        <f t="shared" si="507"/>
        <v>0</v>
      </c>
      <c r="X175" s="29"/>
    </row>
    <row r="176" spans="1:24">
      <c r="A176" s="26" t="s">
        <v>13</v>
      </c>
      <c r="B176" s="26" t="s">
        <v>35</v>
      </c>
      <c r="C176" s="30">
        <v>6.85</v>
      </c>
      <c r="D176" s="27">
        <v>12</v>
      </c>
      <c r="E176" s="28">
        <v>15</v>
      </c>
      <c r="F176" s="16">
        <f t="shared" si="501"/>
        <v>1.2329999999999999</v>
      </c>
      <c r="G176" s="17"/>
      <c r="H176" s="18">
        <v>15</v>
      </c>
      <c r="I176" s="19">
        <f t="shared" si="502"/>
        <v>1.2329999999999999</v>
      </c>
      <c r="J176" s="16"/>
      <c r="K176" s="18"/>
      <c r="L176" s="19">
        <f t="shared" si="503"/>
        <v>0</v>
      </c>
      <c r="M176" s="16"/>
      <c r="N176" s="18"/>
      <c r="O176" s="19">
        <f t="shared" si="504"/>
        <v>0</v>
      </c>
      <c r="P176" s="16"/>
      <c r="Q176" s="18"/>
      <c r="R176" s="19">
        <f t="shared" si="505"/>
        <v>0</v>
      </c>
      <c r="S176" s="20">
        <f t="shared" si="506"/>
        <v>15</v>
      </c>
      <c r="T176" s="19">
        <f t="shared" si="506"/>
        <v>1.2329999999999999</v>
      </c>
      <c r="U176" s="21">
        <f t="shared" si="507"/>
        <v>0</v>
      </c>
      <c r="V176" s="19">
        <f t="shared" si="507"/>
        <v>0</v>
      </c>
      <c r="X176" s="29"/>
    </row>
    <row r="177" spans="1:24">
      <c r="A177" s="36"/>
      <c r="B177" s="36"/>
      <c r="C177" s="37"/>
      <c r="D177" s="38"/>
      <c r="E177" s="31">
        <f t="shared" ref="E177:F177" si="508">SUM(E169:E176)</f>
        <v>330</v>
      </c>
      <c r="F177" s="38">
        <f t="shared" si="508"/>
        <v>25.496385</v>
      </c>
      <c r="G177" s="17"/>
      <c r="H177" s="31">
        <f t="shared" ref="H177" si="509">SUM(H169:H176)</f>
        <v>207</v>
      </c>
      <c r="I177" s="38">
        <f t="shared" ref="I177" si="510">SUM(I169:I176)</f>
        <v>15.931045000000001</v>
      </c>
      <c r="J177" s="16"/>
      <c r="K177" s="31">
        <f t="shared" ref="K177" si="511">SUM(K169:K176)</f>
        <v>123</v>
      </c>
      <c r="L177" s="38">
        <f t="shared" ref="L177" si="512">SUM(L169:L176)</f>
        <v>9.6016449999999995</v>
      </c>
      <c r="M177" s="16"/>
      <c r="N177" s="31">
        <f t="shared" ref="N177" si="513">SUM(N169:N176)</f>
        <v>0</v>
      </c>
      <c r="O177" s="38">
        <f t="shared" ref="O177" si="514">SUM(O169:O176)</f>
        <v>0</v>
      </c>
      <c r="P177" s="16"/>
      <c r="Q177" s="31">
        <f t="shared" ref="Q177" si="515">SUM(Q169:Q176)</f>
        <v>0</v>
      </c>
      <c r="R177" s="38">
        <f t="shared" ref="R177" si="516">SUM(R169:R176)</f>
        <v>0</v>
      </c>
      <c r="S177" s="31">
        <f t="shared" ref="S177" si="517">SUM(S169:S176)</f>
        <v>330</v>
      </c>
      <c r="T177" s="38">
        <f t="shared" ref="T177" si="518">SUM(T169:T176)</f>
        <v>25.532690000000002</v>
      </c>
      <c r="U177" s="31">
        <f t="shared" ref="U177" si="519">SUM(U169:U176)</f>
        <v>0</v>
      </c>
      <c r="V177" s="38">
        <f t="shared" ref="V177" si="520">SUM(V169:V176)</f>
        <v>-3.6304999999999477E-2</v>
      </c>
      <c r="X177" s="29"/>
    </row>
    <row r="178" spans="1:24">
      <c r="A178" s="26" t="s">
        <v>13</v>
      </c>
      <c r="B178" s="26" t="s">
        <v>256</v>
      </c>
      <c r="C178" s="30">
        <v>6.17</v>
      </c>
      <c r="D178" s="27">
        <v>8.85</v>
      </c>
      <c r="E178" s="28">
        <v>58</v>
      </c>
      <c r="F178" s="16">
        <f t="shared" ref="F178:F187" si="521">(C178*D178*E178/1000)</f>
        <v>3.1670609999999999</v>
      </c>
      <c r="G178" s="16" t="s">
        <v>111</v>
      </c>
      <c r="H178" s="18">
        <v>12</v>
      </c>
      <c r="I178" s="19">
        <f t="shared" ref="I178:I187" si="522">(C178*D178*H178/1000)</f>
        <v>0.65525399999999989</v>
      </c>
      <c r="J178" s="16" t="s">
        <v>93</v>
      </c>
      <c r="K178" s="18">
        <v>32</v>
      </c>
      <c r="L178" s="19">
        <f t="shared" ref="L178:L187" si="523">(C178*D178*K178/1000)</f>
        <v>1.7473439999999998</v>
      </c>
      <c r="M178" s="16"/>
      <c r="N178" s="18"/>
      <c r="O178" s="19">
        <f t="shared" ref="O178:O187" si="524">(C178*D178*N178/1000)</f>
        <v>0</v>
      </c>
      <c r="P178" s="16"/>
      <c r="Q178" s="18"/>
      <c r="R178" s="19">
        <f t="shared" ref="R178:R187" si="525">(C178*D178*Q178/1000)</f>
        <v>0</v>
      </c>
      <c r="S178" s="20">
        <f t="shared" ref="S178:T187" si="526">+H178+K178+Q178+N178</f>
        <v>44</v>
      </c>
      <c r="T178" s="19">
        <f t="shared" si="526"/>
        <v>2.4025979999999998</v>
      </c>
      <c r="U178" s="21">
        <f t="shared" ref="U178:V187" si="527">E178-S178</f>
        <v>14</v>
      </c>
      <c r="V178" s="19">
        <f t="shared" si="527"/>
        <v>0.76446300000000011</v>
      </c>
      <c r="X178" s="29"/>
    </row>
    <row r="179" spans="1:24">
      <c r="A179" s="26" t="s">
        <v>13</v>
      </c>
      <c r="B179" s="26" t="s">
        <v>256</v>
      </c>
      <c r="C179" s="30">
        <v>6.17</v>
      </c>
      <c r="D179" s="27">
        <v>11.3</v>
      </c>
      <c r="E179" s="28">
        <v>12</v>
      </c>
      <c r="F179" s="16">
        <f t="shared" si="521"/>
        <v>0.83665200000000006</v>
      </c>
      <c r="G179" s="16" t="s">
        <v>356</v>
      </c>
      <c r="H179" s="18">
        <v>10</v>
      </c>
      <c r="I179" s="19">
        <f t="shared" si="522"/>
        <v>0.69721</v>
      </c>
      <c r="J179" s="16" t="s">
        <v>356</v>
      </c>
      <c r="K179" s="18"/>
      <c r="L179" s="19">
        <f t="shared" si="523"/>
        <v>0</v>
      </c>
      <c r="M179" s="16"/>
      <c r="N179" s="18"/>
      <c r="O179" s="19">
        <f t="shared" si="524"/>
        <v>0</v>
      </c>
      <c r="P179" s="16"/>
      <c r="Q179" s="18"/>
      <c r="R179" s="19">
        <f t="shared" si="525"/>
        <v>0</v>
      </c>
      <c r="S179" s="20">
        <f t="shared" si="526"/>
        <v>10</v>
      </c>
      <c r="T179" s="19">
        <f t="shared" si="526"/>
        <v>0.69721</v>
      </c>
      <c r="U179" s="21">
        <f t="shared" si="527"/>
        <v>2</v>
      </c>
      <c r="V179" s="19">
        <f t="shared" si="527"/>
        <v>0.13944200000000007</v>
      </c>
      <c r="X179" s="29"/>
    </row>
    <row r="180" spans="1:24">
      <c r="A180" s="26" t="s">
        <v>13</v>
      </c>
      <c r="B180" s="26" t="s">
        <v>256</v>
      </c>
      <c r="C180" s="30">
        <v>6.17</v>
      </c>
      <c r="D180" s="27">
        <v>12</v>
      </c>
      <c r="E180" s="28">
        <v>11</v>
      </c>
      <c r="F180" s="16">
        <f t="shared" ref="F180:F186" si="528">(C180*D180*E180/1000)</f>
        <v>0.81443999999999994</v>
      </c>
      <c r="G180" s="17"/>
      <c r="H180" s="18">
        <v>9</v>
      </c>
      <c r="I180" s="19">
        <f t="shared" ref="I180:I186" si="529">(C180*D180*H180/1000)</f>
        <v>0.66635999999999995</v>
      </c>
      <c r="J180" s="16"/>
      <c r="K180" s="18">
        <v>3</v>
      </c>
      <c r="L180" s="19">
        <f t="shared" ref="L180:L186" si="530">(C180*D180*K180/1000)</f>
        <v>0.22211999999999998</v>
      </c>
      <c r="M180" s="16"/>
      <c r="N180" s="18"/>
      <c r="O180" s="19">
        <f t="shared" ref="O180:O186" si="531">(C180*D180*N180/1000)</f>
        <v>0</v>
      </c>
      <c r="P180" s="16"/>
      <c r="Q180" s="18"/>
      <c r="R180" s="19">
        <f t="shared" ref="R180:R186" si="532">(C180*D180*Q180/1000)</f>
        <v>0</v>
      </c>
      <c r="S180" s="20">
        <f t="shared" ref="S180:S186" si="533">+H180+K180+Q180+N180</f>
        <v>12</v>
      </c>
      <c r="T180" s="19">
        <f t="shared" ref="T180:T186" si="534">+I180+L180+R180+O180</f>
        <v>0.88847999999999994</v>
      </c>
      <c r="U180" s="21">
        <f t="shared" ref="U180:U186" si="535">E180-S180</f>
        <v>-1</v>
      </c>
      <c r="V180" s="19">
        <f t="shared" ref="V180:V186" si="536">F180-T180</f>
        <v>-7.4039999999999995E-2</v>
      </c>
      <c r="X180" s="29"/>
    </row>
    <row r="181" spans="1:24">
      <c r="A181" s="26" t="s">
        <v>13</v>
      </c>
      <c r="B181" s="26" t="s">
        <v>256</v>
      </c>
      <c r="C181" s="30">
        <v>6.17</v>
      </c>
      <c r="D181" s="27">
        <v>11</v>
      </c>
      <c r="E181" s="28"/>
      <c r="F181" s="16">
        <f t="shared" si="528"/>
        <v>0</v>
      </c>
      <c r="G181" s="17"/>
      <c r="H181" s="18"/>
      <c r="I181" s="19">
        <f t="shared" si="529"/>
        <v>0</v>
      </c>
      <c r="J181" s="16"/>
      <c r="K181" s="18">
        <v>5</v>
      </c>
      <c r="L181" s="19">
        <f t="shared" si="530"/>
        <v>0.33935000000000004</v>
      </c>
      <c r="M181" s="16"/>
      <c r="N181" s="18"/>
      <c r="O181" s="19">
        <f t="shared" si="531"/>
        <v>0</v>
      </c>
      <c r="P181" s="16"/>
      <c r="Q181" s="18"/>
      <c r="R181" s="19">
        <f t="shared" si="532"/>
        <v>0</v>
      </c>
      <c r="S181" s="20">
        <f t="shared" si="533"/>
        <v>5</v>
      </c>
      <c r="T181" s="19">
        <f t="shared" si="534"/>
        <v>0.33935000000000004</v>
      </c>
      <c r="U181" s="21">
        <f t="shared" si="535"/>
        <v>-5</v>
      </c>
      <c r="V181" s="19">
        <f t="shared" si="536"/>
        <v>-0.33935000000000004</v>
      </c>
      <c r="X181" s="29"/>
    </row>
    <row r="182" spans="1:24">
      <c r="A182" s="26" t="s">
        <v>13</v>
      </c>
      <c r="B182" s="26" t="s">
        <v>256</v>
      </c>
      <c r="C182" s="30">
        <v>6.17</v>
      </c>
      <c r="D182" s="27">
        <v>10</v>
      </c>
      <c r="E182" s="28"/>
      <c r="F182" s="16">
        <f t="shared" si="528"/>
        <v>0</v>
      </c>
      <c r="G182" s="17"/>
      <c r="H182" s="18"/>
      <c r="I182" s="19">
        <f t="shared" si="529"/>
        <v>0</v>
      </c>
      <c r="J182" s="16"/>
      <c r="K182" s="18">
        <v>1</v>
      </c>
      <c r="L182" s="19">
        <f t="shared" si="530"/>
        <v>6.1700000000000005E-2</v>
      </c>
      <c r="M182" s="16"/>
      <c r="N182" s="18"/>
      <c r="O182" s="19">
        <f t="shared" si="531"/>
        <v>0</v>
      </c>
      <c r="P182" s="16"/>
      <c r="Q182" s="18"/>
      <c r="R182" s="19">
        <f t="shared" si="532"/>
        <v>0</v>
      </c>
      <c r="S182" s="20">
        <f t="shared" si="533"/>
        <v>1</v>
      </c>
      <c r="T182" s="19">
        <f t="shared" si="534"/>
        <v>6.1700000000000005E-2</v>
      </c>
      <c r="U182" s="21">
        <f t="shared" si="535"/>
        <v>-1</v>
      </c>
      <c r="V182" s="19">
        <f t="shared" si="536"/>
        <v>-6.1700000000000005E-2</v>
      </c>
      <c r="X182" s="29"/>
    </row>
    <row r="183" spans="1:24">
      <c r="A183" s="26" t="s">
        <v>13</v>
      </c>
      <c r="B183" s="26" t="s">
        <v>256</v>
      </c>
      <c r="C183" s="30">
        <v>6.17</v>
      </c>
      <c r="D183" s="27">
        <v>9.5</v>
      </c>
      <c r="E183" s="28"/>
      <c r="F183" s="16">
        <f t="shared" si="528"/>
        <v>0</v>
      </c>
      <c r="G183" s="17"/>
      <c r="H183" s="18"/>
      <c r="I183" s="19">
        <f t="shared" si="529"/>
        <v>0</v>
      </c>
      <c r="J183" s="16"/>
      <c r="K183" s="18">
        <v>3</v>
      </c>
      <c r="L183" s="19">
        <f t="shared" si="530"/>
        <v>0.175845</v>
      </c>
      <c r="M183" s="16"/>
      <c r="N183" s="18"/>
      <c r="O183" s="19">
        <f t="shared" si="531"/>
        <v>0</v>
      </c>
      <c r="P183" s="16"/>
      <c r="Q183" s="18"/>
      <c r="R183" s="19">
        <f t="shared" si="532"/>
        <v>0</v>
      </c>
      <c r="S183" s="20">
        <f t="shared" si="533"/>
        <v>3</v>
      </c>
      <c r="T183" s="19">
        <f t="shared" si="534"/>
        <v>0.175845</v>
      </c>
      <c r="U183" s="21">
        <f t="shared" si="535"/>
        <v>-3</v>
      </c>
      <c r="V183" s="19">
        <f t="shared" si="536"/>
        <v>-0.175845</v>
      </c>
      <c r="X183" s="29"/>
    </row>
    <row r="184" spans="1:24">
      <c r="A184" s="26" t="s">
        <v>13</v>
      </c>
      <c r="B184" s="26" t="s">
        <v>256</v>
      </c>
      <c r="C184" s="30">
        <v>6.17</v>
      </c>
      <c r="D184" s="27">
        <v>8.9</v>
      </c>
      <c r="E184" s="28"/>
      <c r="F184" s="16">
        <f t="shared" si="528"/>
        <v>0</v>
      </c>
      <c r="G184" s="17"/>
      <c r="H184" s="18"/>
      <c r="I184" s="19">
        <f t="shared" si="529"/>
        <v>0</v>
      </c>
      <c r="J184" s="16"/>
      <c r="K184" s="18">
        <v>2</v>
      </c>
      <c r="L184" s="19">
        <f t="shared" si="530"/>
        <v>0.10982600000000001</v>
      </c>
      <c r="M184" s="16"/>
      <c r="N184" s="18"/>
      <c r="O184" s="19">
        <f t="shared" si="531"/>
        <v>0</v>
      </c>
      <c r="P184" s="16"/>
      <c r="Q184" s="18"/>
      <c r="R184" s="19">
        <f t="shared" si="532"/>
        <v>0</v>
      </c>
      <c r="S184" s="20">
        <f t="shared" si="533"/>
        <v>2</v>
      </c>
      <c r="T184" s="19">
        <f t="shared" si="534"/>
        <v>0.10982600000000001</v>
      </c>
      <c r="U184" s="21">
        <f t="shared" si="535"/>
        <v>-2</v>
      </c>
      <c r="V184" s="19">
        <f t="shared" si="536"/>
        <v>-0.10982600000000001</v>
      </c>
      <c r="X184" s="29"/>
    </row>
    <row r="185" spans="1:24">
      <c r="A185" s="26" t="s">
        <v>13</v>
      </c>
      <c r="B185" s="26" t="s">
        <v>256</v>
      </c>
      <c r="C185" s="30">
        <v>6.17</v>
      </c>
      <c r="D185" s="27">
        <v>7.8</v>
      </c>
      <c r="E185" s="28"/>
      <c r="F185" s="16">
        <f t="shared" si="528"/>
        <v>0</v>
      </c>
      <c r="G185" s="17"/>
      <c r="H185" s="18"/>
      <c r="I185" s="19">
        <f t="shared" si="529"/>
        <v>0</v>
      </c>
      <c r="J185" s="16"/>
      <c r="K185" s="18">
        <v>2</v>
      </c>
      <c r="L185" s="19">
        <f t="shared" si="530"/>
        <v>9.625199999999999E-2</v>
      </c>
      <c r="M185" s="16"/>
      <c r="N185" s="18"/>
      <c r="O185" s="19">
        <f t="shared" si="531"/>
        <v>0</v>
      </c>
      <c r="P185" s="16"/>
      <c r="Q185" s="18"/>
      <c r="R185" s="19">
        <f t="shared" si="532"/>
        <v>0</v>
      </c>
      <c r="S185" s="20">
        <f t="shared" si="533"/>
        <v>2</v>
      </c>
      <c r="T185" s="19">
        <f t="shared" si="534"/>
        <v>9.625199999999999E-2</v>
      </c>
      <c r="U185" s="21">
        <f t="shared" si="535"/>
        <v>-2</v>
      </c>
      <c r="V185" s="19">
        <f t="shared" si="536"/>
        <v>-9.625199999999999E-2</v>
      </c>
      <c r="X185" s="29"/>
    </row>
    <row r="186" spans="1:24">
      <c r="A186" s="26" t="s">
        <v>13</v>
      </c>
      <c r="B186" s="26" t="s">
        <v>256</v>
      </c>
      <c r="C186" s="30">
        <v>6.17</v>
      </c>
      <c r="D186" s="27">
        <v>7.6</v>
      </c>
      <c r="E186" s="28"/>
      <c r="F186" s="16">
        <f t="shared" si="528"/>
        <v>0</v>
      </c>
      <c r="G186" s="17"/>
      <c r="H186" s="18"/>
      <c r="I186" s="19">
        <f t="shared" si="529"/>
        <v>0</v>
      </c>
      <c r="J186" s="16"/>
      <c r="K186" s="18">
        <v>2</v>
      </c>
      <c r="L186" s="19">
        <f t="shared" si="530"/>
        <v>9.3783999999999992E-2</v>
      </c>
      <c r="M186" s="16"/>
      <c r="N186" s="18"/>
      <c r="O186" s="19">
        <f t="shared" si="531"/>
        <v>0</v>
      </c>
      <c r="P186" s="16"/>
      <c r="Q186" s="18"/>
      <c r="R186" s="19">
        <f t="shared" si="532"/>
        <v>0</v>
      </c>
      <c r="S186" s="20">
        <f t="shared" si="533"/>
        <v>2</v>
      </c>
      <c r="T186" s="19">
        <f t="shared" si="534"/>
        <v>9.3783999999999992E-2</v>
      </c>
      <c r="U186" s="21">
        <f t="shared" si="535"/>
        <v>-2</v>
      </c>
      <c r="V186" s="19">
        <f t="shared" si="536"/>
        <v>-9.3783999999999992E-2</v>
      </c>
      <c r="X186" s="29"/>
    </row>
    <row r="187" spans="1:24">
      <c r="A187" s="26" t="s">
        <v>13</v>
      </c>
      <c r="B187" s="26" t="s">
        <v>256</v>
      </c>
      <c r="C187" s="30">
        <v>6.17</v>
      </c>
      <c r="D187" s="27">
        <v>10.5</v>
      </c>
      <c r="E187" s="28"/>
      <c r="F187" s="16">
        <f t="shared" si="521"/>
        <v>0</v>
      </c>
      <c r="G187" s="17"/>
      <c r="H187" s="18"/>
      <c r="I187" s="19">
        <f t="shared" si="522"/>
        <v>0</v>
      </c>
      <c r="J187" s="16"/>
      <c r="K187" s="18">
        <v>3</v>
      </c>
      <c r="L187" s="19">
        <f t="shared" si="523"/>
        <v>0.194355</v>
      </c>
      <c r="M187" s="16"/>
      <c r="N187" s="18"/>
      <c r="O187" s="19">
        <f t="shared" si="524"/>
        <v>0</v>
      </c>
      <c r="P187" s="16"/>
      <c r="Q187" s="18"/>
      <c r="R187" s="19">
        <f t="shared" si="525"/>
        <v>0</v>
      </c>
      <c r="S187" s="20">
        <f t="shared" si="526"/>
        <v>3</v>
      </c>
      <c r="T187" s="19">
        <f t="shared" si="526"/>
        <v>0.194355</v>
      </c>
      <c r="U187" s="21">
        <f t="shared" si="527"/>
        <v>-3</v>
      </c>
      <c r="V187" s="19">
        <f t="shared" si="527"/>
        <v>-0.194355</v>
      </c>
      <c r="X187" s="29"/>
    </row>
    <row r="188" spans="1:24">
      <c r="A188" s="36"/>
      <c r="B188" s="36"/>
      <c r="C188" s="37"/>
      <c r="D188" s="38"/>
      <c r="E188" s="31">
        <f t="shared" ref="E188:F188" si="537">SUM(E178:E187)</f>
        <v>81</v>
      </c>
      <c r="F188" s="38">
        <f t="shared" si="537"/>
        <v>4.8181530000000006</v>
      </c>
      <c r="G188" s="17"/>
      <c r="H188" s="31">
        <f t="shared" ref="H188" si="538">SUM(H178:H187)</f>
        <v>31</v>
      </c>
      <c r="I188" s="38">
        <f t="shared" ref="I188" si="539">SUM(I178:I187)</f>
        <v>2.018824</v>
      </c>
      <c r="J188" s="16"/>
      <c r="K188" s="31">
        <f t="shared" ref="K188" si="540">SUM(K178:K187)</f>
        <v>53</v>
      </c>
      <c r="L188" s="38">
        <f t="shared" ref="L188" si="541">SUM(L178:L187)</f>
        <v>3.0405759999999993</v>
      </c>
      <c r="M188" s="16"/>
      <c r="N188" s="31">
        <f t="shared" ref="N188" si="542">SUM(N178:N187)</f>
        <v>0</v>
      </c>
      <c r="O188" s="38">
        <f t="shared" ref="O188" si="543">SUM(O178:O187)</f>
        <v>0</v>
      </c>
      <c r="P188" s="16"/>
      <c r="Q188" s="31">
        <f t="shared" ref="Q188" si="544">SUM(Q178:Q187)</f>
        <v>0</v>
      </c>
      <c r="R188" s="38">
        <f t="shared" ref="R188" si="545">SUM(R178:R187)</f>
        <v>0</v>
      </c>
      <c r="S188" s="31">
        <f t="shared" ref="S188" si="546">SUM(S178:S187)</f>
        <v>84</v>
      </c>
      <c r="T188" s="38">
        <f t="shared" ref="T188" si="547">SUM(T178:T187)</f>
        <v>5.0594000000000001</v>
      </c>
      <c r="U188" s="31">
        <f t="shared" ref="U188" si="548">SUM(U178:U187)</f>
        <v>-3</v>
      </c>
      <c r="V188" s="38">
        <f t="shared" ref="V188" si="549">SUM(V178:V187)</f>
        <v>-0.24124699999999985</v>
      </c>
      <c r="X188" s="29"/>
    </row>
    <row r="189" spans="1:24">
      <c r="A189" s="26" t="s">
        <v>13</v>
      </c>
      <c r="B189" s="26" t="s">
        <v>58</v>
      </c>
      <c r="C189" s="30">
        <v>7.34</v>
      </c>
      <c r="D189" s="27">
        <v>10</v>
      </c>
      <c r="E189" s="28">
        <v>61</v>
      </c>
      <c r="F189" s="16">
        <f t="shared" ref="F189:F193" si="550">(C189*D189*E189/1000)</f>
        <v>4.4774000000000003</v>
      </c>
      <c r="G189" s="17" t="s">
        <v>205</v>
      </c>
      <c r="H189" s="18">
        <v>33</v>
      </c>
      <c r="I189" s="19">
        <f t="shared" ref="I189:I193" si="551">(C189*D189*H189/1000)</f>
        <v>2.4222000000000001</v>
      </c>
      <c r="J189" s="17" t="s">
        <v>111</v>
      </c>
      <c r="K189" s="18"/>
      <c r="L189" s="19">
        <f t="shared" ref="L189:L193" si="552">(C189*D189*K189/1000)</f>
        <v>0</v>
      </c>
      <c r="M189" s="16" t="s">
        <v>295</v>
      </c>
      <c r="N189" s="18">
        <v>23</v>
      </c>
      <c r="O189" s="19">
        <f t="shared" ref="O189:O193" si="553">(C189*D189*N189/1000)</f>
        <v>1.6882000000000001</v>
      </c>
      <c r="P189" s="16"/>
      <c r="Q189" s="18"/>
      <c r="R189" s="19">
        <f t="shared" ref="R189:R193" si="554">(C189*D189*Q189/1000)</f>
        <v>0</v>
      </c>
      <c r="S189" s="20">
        <f t="shared" ref="S189:T193" si="555">+H189+K189+Q189+N189</f>
        <v>56</v>
      </c>
      <c r="T189" s="19">
        <f t="shared" si="555"/>
        <v>4.1104000000000003</v>
      </c>
      <c r="U189" s="21">
        <f t="shared" ref="U189:V193" si="556">E189-S189</f>
        <v>5</v>
      </c>
      <c r="V189" s="19">
        <f t="shared" si="556"/>
        <v>0.36699999999999999</v>
      </c>
      <c r="X189" s="29"/>
    </row>
    <row r="190" spans="1:24">
      <c r="A190" s="26" t="s">
        <v>13</v>
      </c>
      <c r="B190" s="26" t="s">
        <v>58</v>
      </c>
      <c r="C190" s="30">
        <v>7.34</v>
      </c>
      <c r="D190" s="27">
        <v>11</v>
      </c>
      <c r="E190" s="28">
        <v>101</v>
      </c>
      <c r="F190" s="16">
        <f t="shared" si="550"/>
        <v>8.1547400000000003</v>
      </c>
      <c r="G190" s="17" t="s">
        <v>351</v>
      </c>
      <c r="H190" s="18">
        <v>39</v>
      </c>
      <c r="I190" s="19">
        <f t="shared" si="551"/>
        <v>3.1488599999999995</v>
      </c>
      <c r="J190" s="17" t="s">
        <v>351</v>
      </c>
      <c r="K190" s="18">
        <v>66</v>
      </c>
      <c r="L190" s="19">
        <f t="shared" si="552"/>
        <v>5.3288399999999996</v>
      </c>
      <c r="M190" s="16" t="s">
        <v>352</v>
      </c>
      <c r="N190" s="18"/>
      <c r="O190" s="19">
        <f t="shared" si="553"/>
        <v>0</v>
      </c>
      <c r="P190" s="16"/>
      <c r="Q190" s="18"/>
      <c r="R190" s="19">
        <f t="shared" si="554"/>
        <v>0</v>
      </c>
      <c r="S190" s="20">
        <f t="shared" si="555"/>
        <v>105</v>
      </c>
      <c r="T190" s="19">
        <f t="shared" si="555"/>
        <v>8.4776999999999987</v>
      </c>
      <c r="U190" s="21">
        <f t="shared" si="556"/>
        <v>-4</v>
      </c>
      <c r="V190" s="19">
        <f t="shared" si="556"/>
        <v>-0.32295999999999836</v>
      </c>
      <c r="X190" s="29"/>
    </row>
    <row r="191" spans="1:24">
      <c r="A191" s="26" t="s">
        <v>13</v>
      </c>
      <c r="B191" s="26" t="s">
        <v>58</v>
      </c>
      <c r="C191" s="30">
        <v>7.34</v>
      </c>
      <c r="D191" s="27">
        <v>11.5</v>
      </c>
      <c r="E191" s="28">
        <v>41</v>
      </c>
      <c r="F191" s="16">
        <f t="shared" si="550"/>
        <v>3.4608099999999999</v>
      </c>
      <c r="G191" s="17"/>
      <c r="H191" s="18">
        <v>2</v>
      </c>
      <c r="I191" s="19">
        <f t="shared" si="551"/>
        <v>0.16882</v>
      </c>
      <c r="J191" s="16"/>
      <c r="K191" s="18">
        <f>19+20</f>
        <v>39</v>
      </c>
      <c r="L191" s="19">
        <f t="shared" si="552"/>
        <v>3.2919899999999997</v>
      </c>
      <c r="M191" s="16"/>
      <c r="N191" s="18"/>
      <c r="O191" s="19">
        <f t="shared" si="553"/>
        <v>0</v>
      </c>
      <c r="P191" s="16"/>
      <c r="Q191" s="18"/>
      <c r="R191" s="19">
        <f t="shared" si="554"/>
        <v>0</v>
      </c>
      <c r="S191" s="20">
        <f t="shared" si="555"/>
        <v>41</v>
      </c>
      <c r="T191" s="19">
        <f t="shared" si="555"/>
        <v>3.4608099999999999</v>
      </c>
      <c r="U191" s="21">
        <f t="shared" si="556"/>
        <v>0</v>
      </c>
      <c r="V191" s="19">
        <f t="shared" si="556"/>
        <v>0</v>
      </c>
      <c r="X191" s="29"/>
    </row>
    <row r="192" spans="1:24">
      <c r="A192" s="26" t="s">
        <v>13</v>
      </c>
      <c r="B192" s="26" t="s">
        <v>58</v>
      </c>
      <c r="C192" s="30">
        <v>7.34</v>
      </c>
      <c r="D192" s="27">
        <v>12</v>
      </c>
      <c r="E192" s="28">
        <v>99</v>
      </c>
      <c r="F192" s="16">
        <f t="shared" ref="F192" si="557">(C192*D192*E192/1000)</f>
        <v>8.7199200000000001</v>
      </c>
      <c r="G192" s="17"/>
      <c r="H192" s="18">
        <v>99</v>
      </c>
      <c r="I192" s="19">
        <f t="shared" ref="I192" si="558">(C192*D192*H192/1000)</f>
        <v>8.7199200000000001</v>
      </c>
      <c r="J192" s="16"/>
      <c r="K192" s="18"/>
      <c r="L192" s="19">
        <f t="shared" ref="L192" si="559">(C192*D192*K192/1000)</f>
        <v>0</v>
      </c>
      <c r="M192" s="16"/>
      <c r="N192" s="18"/>
      <c r="O192" s="19">
        <f t="shared" ref="O192" si="560">(C192*D192*N192/1000)</f>
        <v>0</v>
      </c>
      <c r="P192" s="16"/>
      <c r="Q192" s="18"/>
      <c r="R192" s="19">
        <f t="shared" ref="R192" si="561">(C192*D192*Q192/1000)</f>
        <v>0</v>
      </c>
      <c r="S192" s="20">
        <f t="shared" ref="S192" si="562">+H192+K192+Q192+N192</f>
        <v>99</v>
      </c>
      <c r="T192" s="19">
        <f t="shared" ref="T192" si="563">+I192+L192+R192+O192</f>
        <v>8.7199200000000001</v>
      </c>
      <c r="U192" s="21">
        <f t="shared" ref="U192" si="564">E192-S192</f>
        <v>0</v>
      </c>
      <c r="V192" s="19">
        <f t="shared" ref="V192" si="565">F192-T192</f>
        <v>0</v>
      </c>
      <c r="X192" s="29"/>
    </row>
    <row r="193" spans="1:24">
      <c r="A193" s="26" t="s">
        <v>13</v>
      </c>
      <c r="B193" s="26" t="s">
        <v>58</v>
      </c>
      <c r="C193" s="30">
        <v>7.34</v>
      </c>
      <c r="D193" s="27">
        <v>8.9</v>
      </c>
      <c r="E193" s="28"/>
      <c r="F193" s="16">
        <f t="shared" si="550"/>
        <v>0</v>
      </c>
      <c r="G193" s="17"/>
      <c r="H193" s="18"/>
      <c r="I193" s="19">
        <f t="shared" si="551"/>
        <v>0</v>
      </c>
      <c r="J193" s="16"/>
      <c r="K193" s="18"/>
      <c r="L193" s="19">
        <f t="shared" si="552"/>
        <v>0</v>
      </c>
      <c r="M193" s="16"/>
      <c r="N193" s="18">
        <v>2</v>
      </c>
      <c r="O193" s="19">
        <f t="shared" si="553"/>
        <v>0.13065200000000002</v>
      </c>
      <c r="P193" s="16"/>
      <c r="Q193" s="18"/>
      <c r="R193" s="19">
        <f t="shared" si="554"/>
        <v>0</v>
      </c>
      <c r="S193" s="20">
        <f t="shared" si="555"/>
        <v>2</v>
      </c>
      <c r="T193" s="19">
        <f t="shared" si="555"/>
        <v>0.13065200000000002</v>
      </c>
      <c r="U193" s="21">
        <f t="shared" si="556"/>
        <v>-2</v>
      </c>
      <c r="V193" s="19">
        <f t="shared" si="556"/>
        <v>-0.13065200000000002</v>
      </c>
      <c r="X193" s="29"/>
    </row>
    <row r="194" spans="1:24">
      <c r="A194" s="36"/>
      <c r="B194" s="36"/>
      <c r="C194" s="37"/>
      <c r="D194" s="38"/>
      <c r="E194" s="31">
        <f t="shared" ref="E194:F194" si="566">SUM(E189:E193)</f>
        <v>302</v>
      </c>
      <c r="F194" s="38">
        <f t="shared" si="566"/>
        <v>24.812869999999997</v>
      </c>
      <c r="G194" s="17"/>
      <c r="H194" s="31">
        <f t="shared" ref="H194" si="567">SUM(H189:H193)</f>
        <v>173</v>
      </c>
      <c r="I194" s="38">
        <f t="shared" ref="I194" si="568">SUM(I189:I193)</f>
        <v>14.4598</v>
      </c>
      <c r="J194" s="16"/>
      <c r="K194" s="31">
        <f t="shared" ref="K194" si="569">SUM(K189:K193)</f>
        <v>105</v>
      </c>
      <c r="L194" s="38">
        <f t="shared" ref="L194" si="570">SUM(L189:L193)</f>
        <v>8.6208299999999998</v>
      </c>
      <c r="M194" s="16"/>
      <c r="N194" s="31">
        <f t="shared" ref="N194" si="571">SUM(N189:N193)</f>
        <v>25</v>
      </c>
      <c r="O194" s="38">
        <f t="shared" ref="O194" si="572">SUM(O189:O193)</f>
        <v>1.8188520000000001</v>
      </c>
      <c r="P194" s="16"/>
      <c r="Q194" s="31">
        <f t="shared" ref="Q194" si="573">SUM(Q189:Q193)</f>
        <v>0</v>
      </c>
      <c r="R194" s="38">
        <f t="shared" ref="R194" si="574">SUM(R189:R193)</f>
        <v>0</v>
      </c>
      <c r="S194" s="31">
        <f t="shared" ref="S194" si="575">SUM(S189:S193)</f>
        <v>303</v>
      </c>
      <c r="T194" s="38">
        <f t="shared" ref="T194" si="576">SUM(T189:T193)</f>
        <v>24.899482000000003</v>
      </c>
      <c r="U194" s="31">
        <f t="shared" ref="U194" si="577">SUM(U189:U193)</f>
        <v>-1</v>
      </c>
      <c r="V194" s="38">
        <f t="shared" ref="V194" si="578">SUM(V189:V193)</f>
        <v>-8.6611999999998385E-2</v>
      </c>
      <c r="X194" s="29"/>
    </row>
    <row r="195" spans="1:24">
      <c r="A195" s="26" t="s">
        <v>14</v>
      </c>
      <c r="B195" s="26" t="s">
        <v>58</v>
      </c>
      <c r="C195" s="30">
        <v>7.34</v>
      </c>
      <c r="D195" s="27">
        <v>10.5</v>
      </c>
      <c r="E195" s="28">
        <v>6</v>
      </c>
      <c r="F195" s="16">
        <f>(C195*D195*E195/1000)</f>
        <v>0.46241999999999994</v>
      </c>
      <c r="G195" s="16" t="s">
        <v>93</v>
      </c>
      <c r="H195" s="18"/>
      <c r="I195" s="19">
        <f>(C195*D195*H195/1000)</f>
        <v>0</v>
      </c>
      <c r="J195" s="16"/>
      <c r="K195" s="18"/>
      <c r="L195" s="19">
        <f>(C195*D195*K195/1000)</f>
        <v>0</v>
      </c>
      <c r="M195" s="16"/>
      <c r="N195" s="18"/>
      <c r="O195" s="19">
        <f>(C195*D195*N195/1000)</f>
        <v>0</v>
      </c>
      <c r="P195" s="16"/>
      <c r="Q195" s="18"/>
      <c r="R195" s="19">
        <f>(C195*D195*Q195/1000)</f>
        <v>0</v>
      </c>
      <c r="S195" s="20">
        <f>+H195+K195+Q195+N195</f>
        <v>0</v>
      </c>
      <c r="T195" s="19">
        <f>+I195+L195+R195+O195</f>
        <v>0</v>
      </c>
      <c r="U195" s="21">
        <f>E195-S195</f>
        <v>6</v>
      </c>
      <c r="V195" s="19">
        <f>F195-T195</f>
        <v>0.46241999999999994</v>
      </c>
      <c r="X195" s="29"/>
    </row>
    <row r="196" spans="1:24">
      <c r="A196" s="26" t="s">
        <v>14</v>
      </c>
      <c r="B196" s="26" t="s">
        <v>58</v>
      </c>
      <c r="C196" s="30">
        <v>7.34</v>
      </c>
      <c r="D196" s="27">
        <v>12</v>
      </c>
      <c r="E196" s="28"/>
      <c r="F196" s="16">
        <f>(C196*D196*E196/1000)</f>
        <v>0</v>
      </c>
      <c r="G196" s="16" t="s">
        <v>342</v>
      </c>
      <c r="H196" s="18">
        <v>6</v>
      </c>
      <c r="I196" s="19">
        <f>(C196*D196*H196/1000)</f>
        <v>0.52848000000000006</v>
      </c>
      <c r="J196" s="16"/>
      <c r="K196" s="18"/>
      <c r="L196" s="19">
        <f>(C196*D196*K196/1000)</f>
        <v>0</v>
      </c>
      <c r="M196" s="16"/>
      <c r="N196" s="18"/>
      <c r="O196" s="19">
        <f>(C196*D196*N196/1000)</f>
        <v>0</v>
      </c>
      <c r="P196" s="16"/>
      <c r="Q196" s="18"/>
      <c r="R196" s="19">
        <f>(C196*D196*Q196/1000)</f>
        <v>0</v>
      </c>
      <c r="S196" s="20">
        <f>+H196+K196+Q196+N196</f>
        <v>6</v>
      </c>
      <c r="T196" s="19">
        <f>+I196+L196+R196+O196</f>
        <v>0.52848000000000006</v>
      </c>
      <c r="U196" s="21">
        <f>E196-S196</f>
        <v>-6</v>
      </c>
      <c r="V196" s="19">
        <f>F196-T196</f>
        <v>-0.52848000000000006</v>
      </c>
      <c r="X196" s="29"/>
    </row>
    <row r="197" spans="1:24">
      <c r="A197" s="36"/>
      <c r="B197" s="36"/>
      <c r="C197" s="37"/>
      <c r="D197" s="38"/>
      <c r="E197" s="31">
        <f t="shared" ref="E197:F197" si="579">SUM(E195:E196)</f>
        <v>6</v>
      </c>
      <c r="F197" s="38">
        <f t="shared" si="579"/>
        <v>0.46241999999999994</v>
      </c>
      <c r="G197" s="16"/>
      <c r="H197" s="31">
        <f t="shared" ref="H197" si="580">SUM(H195:H196)</f>
        <v>6</v>
      </c>
      <c r="I197" s="38">
        <f t="shared" ref="I197" si="581">SUM(I195:I196)</f>
        <v>0.52848000000000006</v>
      </c>
      <c r="J197" s="16"/>
      <c r="K197" s="31">
        <f t="shared" ref="K197" si="582">SUM(K195:K196)</f>
        <v>0</v>
      </c>
      <c r="L197" s="38">
        <f t="shared" ref="L197" si="583">SUM(L195:L196)</f>
        <v>0</v>
      </c>
      <c r="M197" s="16"/>
      <c r="N197" s="31">
        <f t="shared" ref="N197" si="584">SUM(N195:N196)</f>
        <v>0</v>
      </c>
      <c r="O197" s="38">
        <f t="shared" ref="O197" si="585">SUM(O195:O196)</f>
        <v>0</v>
      </c>
      <c r="P197" s="16"/>
      <c r="Q197" s="31">
        <f t="shared" ref="Q197" si="586">SUM(Q195:Q196)</f>
        <v>0</v>
      </c>
      <c r="R197" s="38">
        <f t="shared" ref="R197" si="587">SUM(R195:R196)</f>
        <v>0</v>
      </c>
      <c r="S197" s="31">
        <f t="shared" ref="S197" si="588">SUM(S195:S196)</f>
        <v>6</v>
      </c>
      <c r="T197" s="38">
        <f t="shared" ref="T197" si="589">SUM(T195:T196)</f>
        <v>0.52848000000000006</v>
      </c>
      <c r="U197" s="31">
        <f t="shared" ref="U197" si="590">SUM(U195:U196)</f>
        <v>0</v>
      </c>
      <c r="V197" s="38">
        <f t="shared" ref="V197" si="591">SUM(V195:V196)</f>
        <v>-6.6060000000000119E-2</v>
      </c>
      <c r="X197" s="29"/>
    </row>
    <row r="198" spans="1:24">
      <c r="A198" s="33"/>
      <c r="B198" s="33"/>
      <c r="C198" s="34"/>
      <c r="D198" s="34"/>
      <c r="E198" s="34">
        <f t="shared" ref="E198:F198" si="592">SUM(E197,E194,E188,E177,E168,E160,E158,E154,E147,E143,E122,E115,E107,E101,E91,E88,E79,E72,E61,E52,E38,E36,E28,E14)</f>
        <v>2732</v>
      </c>
      <c r="F198" s="35">
        <f t="shared" si="592"/>
        <v>408.72370800000004</v>
      </c>
      <c r="G198" s="26"/>
      <c r="H198" s="34">
        <f t="shared" ref="H198" si="593">SUM(H197,H194,H188,H177,H168,H160,H158,H154,H147,H143,H122,H115,H107,H101,H91,H88,H79,H72,H61,H52,H38,H36,H28,H14)</f>
        <v>1473</v>
      </c>
      <c r="I198" s="35">
        <f t="shared" ref="I198" si="594">SUM(I197,I194,I188,I177,I168,I160,I158,I154,I147,I143,I122,I115,I107,I101,I91,I88,I79,I72,I61,I52,I38,I36,I28,I14)</f>
        <v>218.44367899999997</v>
      </c>
      <c r="J198" s="26"/>
      <c r="K198" s="34">
        <f t="shared" ref="K198" si="595">SUM(K197,K194,K188,K177,K168,K160,K158,K154,K147,K143,K122,K115,K107,K101,K91,K88,K79,K72,K61,K52,K38,K36,K28,K14)</f>
        <v>1023</v>
      </c>
      <c r="L198" s="35">
        <f t="shared" ref="L198" si="596">SUM(L197,L194,L188,L177,L168,L160,L158,L154,L147,L143,L122,L115,L107,L101,L91,L88,L79,L72,L61,L52,L38,L36,L28,L14)</f>
        <v>149.080106</v>
      </c>
      <c r="M198" s="26"/>
      <c r="N198" s="34">
        <f t="shared" ref="N198" si="597">SUM(N197,N194,N188,N177,N168,N160,N158,N154,N147,N143,N122,N115,N107,N101,N91,N88,N79,N72,N61,N52,N38,N36,N28,N14)</f>
        <v>210</v>
      </c>
      <c r="O198" s="35">
        <f t="shared" ref="O198" si="598">SUM(O197,O194,O188,O177,O168,O160,O158,O154,O147,O143,O122,O115,O107,O101,O91,O88,O79,O72,O61,O52,O38,O36,O28,O14)</f>
        <v>37.361911999999997</v>
      </c>
      <c r="P198" s="26"/>
      <c r="Q198" s="34">
        <f t="shared" ref="Q198" si="599">SUM(Q197,Q194,Q188,Q177,Q168,Q160,Q158,Q154,Q147,Q143,Q122,Q115,Q107,Q101,Q91,Q88,Q79,Q72,Q61,Q52,Q38,Q36,Q28,Q14)</f>
        <v>50</v>
      </c>
      <c r="R198" s="35">
        <f t="shared" ref="R198" si="600">SUM(R197,R194,R188,R177,R168,R160,R158,R154,R147,R143,R122,R115,R107,R101,R91,R88,R79,R72,R61,R52,R38,R36,R28,R14)</f>
        <v>8.75488</v>
      </c>
      <c r="S198" s="34">
        <f t="shared" ref="S198" si="601">SUM(S197,S194,S188,S177,S168,S160,S158,S154,S147,S143,S122,S115,S107,S101,S91,S88,S79,S72,S61,S52,S38,S36,S28,S14)</f>
        <v>2756</v>
      </c>
      <c r="T198" s="35">
        <f t="shared" ref="T198" si="602">SUM(T197,T194,T188,T177,T168,T160,T158,T154,T147,T143,T122,T115,T107,T101,T91,T88,T79,T72,T61,T52,T38,T36,T28,T14)</f>
        <v>413.64057699999995</v>
      </c>
      <c r="U198" s="34">
        <f t="shared" ref="U198" si="603">SUM(U197,U194,U188,U177,U168,U160,U158,U154,U147,U143,U122,U115,U107,U101,U91,U88,U79,U72,U61,U52,U38,U36,U28,U14)</f>
        <v>-24</v>
      </c>
      <c r="V198" s="35">
        <f t="shared" ref="V198" si="604">SUM(V197,V194,V188,V177,V168,V160,V158,V154,V147,V143,V122,V115,V107,V101,V91,V88,V79,V72,V61,V52,V38,V36,V28,V14)</f>
        <v>-4.9168689999999948</v>
      </c>
    </row>
    <row r="203" spans="1:24">
      <c r="A203" s="26" t="s">
        <v>13</v>
      </c>
      <c r="B203" s="26" t="s">
        <v>253</v>
      </c>
      <c r="C203" s="30">
        <v>16.5</v>
      </c>
      <c r="D203" s="27">
        <v>6.4</v>
      </c>
      <c r="E203" s="28">
        <v>1</v>
      </c>
      <c r="F203" s="16">
        <f t="shared" ref="F203:F220" si="605">(C203*D203*E203/1000)</f>
        <v>0.10560000000000001</v>
      </c>
      <c r="J203" s="27">
        <v>6.9</v>
      </c>
      <c r="K203">
        <v>17</v>
      </c>
    </row>
    <row r="204" spans="1:24">
      <c r="A204" s="26" t="s">
        <v>13</v>
      </c>
      <c r="B204" s="26" t="s">
        <v>253</v>
      </c>
      <c r="C204" s="30">
        <v>16.5</v>
      </c>
      <c r="D204" s="27">
        <v>6.9</v>
      </c>
      <c r="E204" s="28">
        <v>10</v>
      </c>
      <c r="F204" s="16">
        <f t="shared" si="605"/>
        <v>1.1385000000000001</v>
      </c>
      <c r="G204">
        <v>17</v>
      </c>
      <c r="J204" s="27">
        <v>8.3000000000000007</v>
      </c>
      <c r="K204">
        <v>0</v>
      </c>
    </row>
    <row r="205" spans="1:24">
      <c r="A205" s="26" t="s">
        <v>13</v>
      </c>
      <c r="B205" s="26" t="s">
        <v>253</v>
      </c>
      <c r="C205" s="30">
        <v>16.5</v>
      </c>
      <c r="D205" s="27">
        <v>8.1</v>
      </c>
      <c r="E205" s="28">
        <v>1</v>
      </c>
      <c r="F205" s="16">
        <f t="shared" ref="F205:F217" si="606">(C205*D205*E205/1000)</f>
        <v>0.13365000000000002</v>
      </c>
      <c r="J205" s="27">
        <v>8.3000000000000007</v>
      </c>
      <c r="K205">
        <v>0</v>
      </c>
    </row>
    <row r="206" spans="1:24">
      <c r="A206" s="26" t="s">
        <v>13</v>
      </c>
      <c r="B206" s="26" t="s">
        <v>253</v>
      </c>
      <c r="C206" s="30">
        <v>16.5</v>
      </c>
      <c r="D206" s="27">
        <v>9.1999999999999993</v>
      </c>
      <c r="E206" s="28">
        <v>17</v>
      </c>
      <c r="F206" s="16">
        <f t="shared" si="606"/>
        <v>2.5806</v>
      </c>
      <c r="G206">
        <v>23</v>
      </c>
      <c r="J206" s="27">
        <v>9.1999999999999993</v>
      </c>
      <c r="K206">
        <v>22</v>
      </c>
    </row>
    <row r="207" spans="1:24">
      <c r="A207" s="26" t="s">
        <v>13</v>
      </c>
      <c r="B207" s="26" t="s">
        <v>253</v>
      </c>
      <c r="C207" s="30">
        <v>16.5</v>
      </c>
      <c r="D207" s="27">
        <v>10.5</v>
      </c>
      <c r="E207" s="28">
        <v>6</v>
      </c>
      <c r="F207" s="16">
        <f t="shared" si="606"/>
        <v>1.0395000000000001</v>
      </c>
      <c r="J207" s="27">
        <v>9.1999999999999993</v>
      </c>
      <c r="K207">
        <v>1</v>
      </c>
    </row>
    <row r="208" spans="1:24">
      <c r="A208" s="26" t="s">
        <v>13</v>
      </c>
      <c r="B208" s="26" t="s">
        <v>253</v>
      </c>
      <c r="C208" s="30">
        <v>16.5</v>
      </c>
      <c r="D208" s="27">
        <v>11</v>
      </c>
      <c r="E208" s="28">
        <v>8</v>
      </c>
      <c r="F208" s="16">
        <f t="shared" si="606"/>
        <v>1.452</v>
      </c>
      <c r="G208">
        <v>6</v>
      </c>
      <c r="J208" s="27">
        <v>9.6</v>
      </c>
      <c r="K208">
        <v>6</v>
      </c>
    </row>
    <row r="209" spans="1:11">
      <c r="A209" s="26" t="s">
        <v>13</v>
      </c>
      <c r="B209" s="26" t="s">
        <v>253</v>
      </c>
      <c r="C209" s="30">
        <v>16.5</v>
      </c>
      <c r="D209" s="27">
        <v>11.1</v>
      </c>
      <c r="E209" s="28">
        <v>2</v>
      </c>
      <c r="F209" s="16">
        <f t="shared" si="606"/>
        <v>0.36630000000000001</v>
      </c>
      <c r="J209" s="27">
        <v>11</v>
      </c>
      <c r="K209">
        <v>0</v>
      </c>
    </row>
    <row r="210" spans="1:11">
      <c r="A210" s="26" t="s">
        <v>13</v>
      </c>
      <c r="B210" s="26" t="s">
        <v>253</v>
      </c>
      <c r="C210" s="30">
        <v>16.5</v>
      </c>
      <c r="D210" s="27">
        <v>11.5</v>
      </c>
      <c r="E210" s="28">
        <v>1</v>
      </c>
      <c r="F210" s="16">
        <f t="shared" si="606"/>
        <v>0.18975</v>
      </c>
      <c r="J210" s="27">
        <v>11</v>
      </c>
      <c r="K210">
        <v>6</v>
      </c>
    </row>
    <row r="211" spans="1:11">
      <c r="A211" s="26" t="s">
        <v>13</v>
      </c>
      <c r="B211" s="26" t="s">
        <v>253</v>
      </c>
      <c r="C211" s="30">
        <v>16.5</v>
      </c>
      <c r="D211" s="27">
        <v>9.6</v>
      </c>
      <c r="E211" s="28"/>
      <c r="F211" s="16">
        <f t="shared" si="606"/>
        <v>0</v>
      </c>
      <c r="G211">
        <v>6</v>
      </c>
      <c r="J211" s="27">
        <v>12</v>
      </c>
      <c r="K211">
        <v>0</v>
      </c>
    </row>
    <row r="212" spans="1:11">
      <c r="A212" s="26" t="s">
        <v>13</v>
      </c>
      <c r="B212" s="26" t="s">
        <v>253</v>
      </c>
      <c r="C212" s="30">
        <v>16.5</v>
      </c>
      <c r="D212" s="27">
        <v>12</v>
      </c>
      <c r="E212" s="28"/>
      <c r="F212" s="16">
        <f t="shared" si="606"/>
        <v>0</v>
      </c>
      <c r="G212">
        <v>2</v>
      </c>
      <c r="J212" s="27">
        <v>12</v>
      </c>
      <c r="K212">
        <v>2</v>
      </c>
    </row>
    <row r="213" spans="1:11">
      <c r="A213" s="26" t="s">
        <v>13</v>
      </c>
      <c r="B213" s="26" t="s">
        <v>253</v>
      </c>
      <c r="C213" s="30">
        <v>16.5</v>
      </c>
      <c r="D213" s="27"/>
      <c r="E213" s="28"/>
      <c r="F213" s="16">
        <f t="shared" si="606"/>
        <v>0</v>
      </c>
    </row>
    <row r="214" spans="1:11">
      <c r="A214" s="26" t="s">
        <v>13</v>
      </c>
      <c r="B214" s="26" t="s">
        <v>253</v>
      </c>
      <c r="C214" s="30">
        <v>16.5</v>
      </c>
      <c r="D214" s="27"/>
      <c r="E214" s="28"/>
      <c r="F214" s="16">
        <f t="shared" si="606"/>
        <v>0</v>
      </c>
    </row>
    <row r="215" spans="1:11">
      <c r="A215" s="26" t="s">
        <v>13</v>
      </c>
      <c r="B215" s="26" t="s">
        <v>253</v>
      </c>
      <c r="C215" s="30">
        <v>16.5</v>
      </c>
      <c r="D215" s="27"/>
      <c r="E215" s="28"/>
      <c r="F215" s="16">
        <f t="shared" si="606"/>
        <v>0</v>
      </c>
    </row>
    <row r="216" spans="1:11">
      <c r="A216" s="26" t="s">
        <v>13</v>
      </c>
      <c r="B216" s="26" t="s">
        <v>253</v>
      </c>
      <c r="C216" s="30">
        <v>16.5</v>
      </c>
      <c r="D216" s="27"/>
      <c r="E216" s="28"/>
      <c r="F216" s="16">
        <f t="shared" si="606"/>
        <v>0</v>
      </c>
    </row>
    <row r="217" spans="1:11">
      <c r="A217" s="26" t="s">
        <v>13</v>
      </c>
      <c r="B217" s="26" t="s">
        <v>253</v>
      </c>
      <c r="C217" s="30">
        <v>16.5</v>
      </c>
      <c r="D217" s="27"/>
      <c r="E217" s="28"/>
      <c r="F217" s="16">
        <f t="shared" si="606"/>
        <v>0</v>
      </c>
    </row>
    <row r="218" spans="1:11">
      <c r="A218" s="26" t="s">
        <v>13</v>
      </c>
      <c r="B218" s="26" t="s">
        <v>253</v>
      </c>
      <c r="C218" s="30">
        <v>16.5</v>
      </c>
      <c r="D218" s="27"/>
      <c r="E218" s="28"/>
      <c r="F218" s="16">
        <f t="shared" si="605"/>
        <v>0</v>
      </c>
    </row>
    <row r="219" spans="1:11">
      <c r="A219" s="26" t="s">
        <v>13</v>
      </c>
      <c r="B219" s="26" t="s">
        <v>253</v>
      </c>
      <c r="C219" s="30">
        <v>16.5</v>
      </c>
      <c r="D219" s="27"/>
      <c r="E219" s="28"/>
      <c r="F219" s="16">
        <f t="shared" si="605"/>
        <v>0</v>
      </c>
    </row>
    <row r="220" spans="1:11">
      <c r="A220" s="26" t="s">
        <v>13</v>
      </c>
      <c r="B220" s="26" t="s">
        <v>253</v>
      </c>
      <c r="C220" s="30">
        <v>16.5</v>
      </c>
      <c r="D220" s="27"/>
      <c r="E220" s="28"/>
      <c r="F220" s="16">
        <f t="shared" si="605"/>
        <v>0</v>
      </c>
    </row>
    <row r="221" spans="1:11">
      <c r="A221" s="36"/>
      <c r="B221" s="36"/>
      <c r="C221" s="37"/>
      <c r="D221" s="38"/>
      <c r="E221" s="31">
        <f t="shared" ref="E221:F221" si="607">SUM(E203:E220)</f>
        <v>46</v>
      </c>
      <c r="F221" s="38">
        <f t="shared" si="607"/>
        <v>7.0059000000000005</v>
      </c>
      <c r="G221">
        <v>7.8620000000000001</v>
      </c>
      <c r="H221" s="29">
        <f>F221-G221</f>
        <v>-0.85609999999999964</v>
      </c>
    </row>
    <row r="226" spans="18:18">
      <c r="R226" s="29"/>
    </row>
  </sheetData>
  <sortState ref="D139:E146">
    <sortCondition ref="D139:D146"/>
  </sortState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49"/>
  <dimension ref="A1:X337"/>
  <sheetViews>
    <sheetView zoomScale="75" zoomScaleNormal="75" workbookViewId="0">
      <pane ySplit="5" topLeftCell="A67" activePane="bottomLeft" state="frozen"/>
      <selection pane="bottomLeft" activeCell="P78" sqref="P78:P7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3" t="s">
        <v>241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LOI-498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242</v>
      </c>
      <c r="B2" s="8"/>
      <c r="C2" s="9"/>
      <c r="D2" s="9"/>
      <c r="E2" s="10"/>
      <c r="F2" s="146" t="s">
        <v>270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LOI-498  03.07.23</v>
      </c>
      <c r="V2" s="146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6.6</v>
      </c>
      <c r="E6" s="28">
        <v>38</v>
      </c>
      <c r="F6" s="16">
        <f t="shared" ref="F6:F10" si="0">(C6*D6*E6/1000)</f>
        <v>3.762</v>
      </c>
      <c r="G6" s="17" t="s">
        <v>88</v>
      </c>
      <c r="H6" s="18"/>
      <c r="I6" s="19">
        <f t="shared" ref="I6:I10" si="1">(C6*D6*H6/1000)</f>
        <v>0</v>
      </c>
      <c r="J6" s="16" t="s">
        <v>93</v>
      </c>
      <c r="K6" s="18">
        <v>20</v>
      </c>
      <c r="L6" s="19">
        <f t="shared" ref="L6:L10" si="2">(C6*D6*K6/1000)</f>
        <v>1.98</v>
      </c>
      <c r="M6" s="16" t="s">
        <v>89</v>
      </c>
      <c r="N6" s="18">
        <v>18</v>
      </c>
      <c r="O6" s="19">
        <f t="shared" ref="O6:O10" si="3">(C6*D6*N6/1000)</f>
        <v>1.782</v>
      </c>
      <c r="P6" s="16" t="s">
        <v>111</v>
      </c>
      <c r="Q6" s="18"/>
      <c r="R6" s="19">
        <f t="shared" ref="R6:R10" si="4">(C6*D6*Q6/1000)</f>
        <v>0</v>
      </c>
      <c r="S6" s="20">
        <f t="shared" ref="S6:T10" si="5">+H6+K6+Q6+N6</f>
        <v>38</v>
      </c>
      <c r="T6" s="19">
        <f t="shared" si="5"/>
        <v>3.762</v>
      </c>
      <c r="U6" s="21">
        <f t="shared" ref="U6:V10" si="6">E6-S6</f>
        <v>0</v>
      </c>
      <c r="V6" s="19">
        <f t="shared" si="6"/>
        <v>0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8.1999999999999993</v>
      </c>
      <c r="E7" s="28">
        <v>28</v>
      </c>
      <c r="F7" s="16">
        <f t="shared" si="0"/>
        <v>3.4439999999999995</v>
      </c>
      <c r="G7" s="17" t="s">
        <v>286</v>
      </c>
      <c r="H7" s="18">
        <v>8</v>
      </c>
      <c r="I7" s="19">
        <f t="shared" si="1"/>
        <v>0.98399999999999987</v>
      </c>
      <c r="J7" s="16" t="s">
        <v>287</v>
      </c>
      <c r="K7" s="18">
        <v>20</v>
      </c>
      <c r="L7" s="19">
        <f t="shared" si="2"/>
        <v>2.4599999999999995</v>
      </c>
      <c r="M7" s="16" t="s">
        <v>287</v>
      </c>
      <c r="N7" s="18"/>
      <c r="O7" s="19">
        <f t="shared" si="3"/>
        <v>0</v>
      </c>
      <c r="P7" s="16" t="s">
        <v>289</v>
      </c>
      <c r="Q7" s="18"/>
      <c r="R7" s="19">
        <f t="shared" si="4"/>
        <v>0</v>
      </c>
      <c r="S7" s="20">
        <f t="shared" si="5"/>
        <v>28</v>
      </c>
      <c r="T7" s="19">
        <f t="shared" si="5"/>
        <v>3.4439999999999995</v>
      </c>
      <c r="U7" s="21">
        <f t="shared" si="6"/>
        <v>0</v>
      </c>
      <c r="V7" s="19">
        <f t="shared" si="6"/>
        <v>0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8.6999999999999993</v>
      </c>
      <c r="E8" s="28">
        <v>24</v>
      </c>
      <c r="F8" s="16">
        <f t="shared" si="0"/>
        <v>3.1320000000000001</v>
      </c>
      <c r="G8" s="17"/>
      <c r="H8" s="18">
        <v>9</v>
      </c>
      <c r="I8" s="19">
        <f t="shared" si="1"/>
        <v>1.1745000000000001</v>
      </c>
      <c r="J8" s="16"/>
      <c r="K8" s="18">
        <v>15</v>
      </c>
      <c r="L8" s="19">
        <f t="shared" si="2"/>
        <v>1.9575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24</v>
      </c>
      <c r="T8" s="19">
        <f t="shared" si="5"/>
        <v>3.1320000000000001</v>
      </c>
      <c r="U8" s="21">
        <f t="shared" si="6"/>
        <v>0</v>
      </c>
      <c r="V8" s="19">
        <f t="shared" si="6"/>
        <v>0</v>
      </c>
      <c r="X8" s="29"/>
    </row>
    <row r="9" spans="1:24">
      <c r="A9" s="26" t="s">
        <v>13</v>
      </c>
      <c r="B9" s="26" t="s">
        <v>60</v>
      </c>
      <c r="C9" s="30">
        <v>15</v>
      </c>
      <c r="D9" s="27">
        <v>11.1</v>
      </c>
      <c r="E9" s="28">
        <v>8</v>
      </c>
      <c r="F9" s="16">
        <f t="shared" si="0"/>
        <v>1.3320000000000001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>
        <v>8</v>
      </c>
      <c r="R9" s="19">
        <f t="shared" si="4"/>
        <v>1.3320000000000001</v>
      </c>
      <c r="S9" s="20">
        <f t="shared" si="5"/>
        <v>8</v>
      </c>
      <c r="T9" s="19">
        <f t="shared" si="5"/>
        <v>1.3320000000000001</v>
      </c>
      <c r="U9" s="21">
        <f t="shared" si="6"/>
        <v>0</v>
      </c>
      <c r="V9" s="19">
        <f t="shared" si="6"/>
        <v>0</v>
      </c>
      <c r="X9" s="29"/>
    </row>
    <row r="10" spans="1:24">
      <c r="A10" s="26" t="s">
        <v>13</v>
      </c>
      <c r="B10" s="26" t="s">
        <v>60</v>
      </c>
      <c r="C10" s="30">
        <v>15</v>
      </c>
      <c r="D10" s="27">
        <v>12</v>
      </c>
      <c r="E10" s="28">
        <v>29</v>
      </c>
      <c r="F10" s="16">
        <f t="shared" si="0"/>
        <v>5.22</v>
      </c>
      <c r="G10" s="17"/>
      <c r="H10" s="18"/>
      <c r="I10" s="19">
        <f t="shared" si="1"/>
        <v>0</v>
      </c>
      <c r="J10" s="16"/>
      <c r="K10" s="18">
        <v>29</v>
      </c>
      <c r="L10" s="19">
        <f t="shared" si="2"/>
        <v>5.22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29</v>
      </c>
      <c r="T10" s="19">
        <f t="shared" si="5"/>
        <v>5.22</v>
      </c>
      <c r="U10" s="21">
        <f t="shared" si="6"/>
        <v>0</v>
      </c>
      <c r="V10" s="19">
        <f t="shared" si="6"/>
        <v>0</v>
      </c>
      <c r="X10" s="29"/>
    </row>
    <row r="11" spans="1:24">
      <c r="A11" s="36"/>
      <c r="B11" s="36"/>
      <c r="C11" s="30"/>
      <c r="D11" s="38"/>
      <c r="E11" s="31">
        <f t="shared" ref="E11" si="7">SUM(E6:E10)</f>
        <v>127</v>
      </c>
      <c r="F11" s="38">
        <f>SUM(F6:F10)</f>
        <v>16.89</v>
      </c>
      <c r="G11" s="17"/>
      <c r="H11" s="31">
        <f t="shared" ref="H11" si="8">SUM(H6:H10)</f>
        <v>17</v>
      </c>
      <c r="I11" s="38">
        <f t="shared" ref="I11" si="9">SUM(I6:I10)</f>
        <v>2.1585000000000001</v>
      </c>
      <c r="J11" s="16"/>
      <c r="K11" s="31">
        <f t="shared" ref="K11" si="10">SUM(K6:K10)</f>
        <v>84</v>
      </c>
      <c r="L11" s="38">
        <f t="shared" ref="L11" si="11">SUM(L6:L10)</f>
        <v>11.6175</v>
      </c>
      <c r="M11" s="16"/>
      <c r="N11" s="31">
        <f t="shared" ref="N11" si="12">SUM(N6:N10)</f>
        <v>18</v>
      </c>
      <c r="O11" s="38">
        <f t="shared" ref="O11" si="13">SUM(O6:O10)</f>
        <v>1.782</v>
      </c>
      <c r="P11" s="16"/>
      <c r="Q11" s="31">
        <f t="shared" ref="Q11" si="14">SUM(Q6:Q10)</f>
        <v>8</v>
      </c>
      <c r="R11" s="38">
        <f t="shared" ref="R11" si="15">SUM(R6:R10)</f>
        <v>1.3320000000000001</v>
      </c>
      <c r="S11" s="31">
        <f t="shared" ref="S11" si="16">SUM(S6:S10)</f>
        <v>127</v>
      </c>
      <c r="T11" s="38">
        <f t="shared" ref="T11" si="17">SUM(T6:T10)</f>
        <v>16.89</v>
      </c>
      <c r="U11" s="31">
        <f t="shared" ref="U11" si="18">SUM(U6:U10)</f>
        <v>0</v>
      </c>
      <c r="V11" s="38">
        <f t="shared" ref="V11" si="19">SUM(V6:V10)</f>
        <v>0</v>
      </c>
      <c r="X11" s="29"/>
    </row>
    <row r="12" spans="1:24">
      <c r="A12" s="26" t="s">
        <v>13</v>
      </c>
      <c r="B12" s="26" t="s">
        <v>45</v>
      </c>
      <c r="C12" s="30">
        <v>9.26</v>
      </c>
      <c r="D12" s="27">
        <v>6.7</v>
      </c>
      <c r="E12" s="28">
        <v>8</v>
      </c>
      <c r="F12" s="16">
        <f t="shared" ref="F12:F31" si="20">(C12*D12*E12/1000)</f>
        <v>0.496336</v>
      </c>
      <c r="G12" s="16" t="s">
        <v>111</v>
      </c>
      <c r="H12" s="18"/>
      <c r="I12" s="19">
        <f t="shared" ref="I12:I31" si="21">(C12*D12*H12/1000)</f>
        <v>0</v>
      </c>
      <c r="J12" s="16" t="s">
        <v>88</v>
      </c>
      <c r="K12" s="18"/>
      <c r="L12" s="19">
        <f t="shared" ref="L12:L31" si="22">(C12*D12*K12/1000)</f>
        <v>0</v>
      </c>
      <c r="M12" s="17" t="s">
        <v>93</v>
      </c>
      <c r="N12" s="18">
        <v>7</v>
      </c>
      <c r="O12" s="19">
        <f t="shared" ref="O12:O31" si="23">(C12*D12*N12/1000)</f>
        <v>0.43429399999999996</v>
      </c>
      <c r="P12" s="16" t="s">
        <v>293</v>
      </c>
      <c r="Q12" s="18"/>
      <c r="R12" s="19">
        <f t="shared" ref="R12:R31" si="24">(C12*D12*Q12/1000)</f>
        <v>0</v>
      </c>
      <c r="S12" s="20">
        <f t="shared" ref="S12:S31" si="25">+H12+K12+Q12+N12</f>
        <v>7</v>
      </c>
      <c r="T12" s="19">
        <f t="shared" ref="T12:T31" si="26">+I12+L12+R12+O12</f>
        <v>0.43429399999999996</v>
      </c>
      <c r="U12" s="21">
        <f t="shared" ref="U12:U31" si="27">E12-S12</f>
        <v>1</v>
      </c>
      <c r="V12" s="19">
        <f t="shared" ref="V12:V31" si="28">F12-T12</f>
        <v>6.2042000000000042E-2</v>
      </c>
      <c r="X12" s="29"/>
    </row>
    <row r="13" spans="1:24">
      <c r="A13" s="26" t="s">
        <v>13</v>
      </c>
      <c r="B13" s="26" t="s">
        <v>45</v>
      </c>
      <c r="C13" s="30">
        <v>9.26</v>
      </c>
      <c r="D13" s="27">
        <v>9.1</v>
      </c>
      <c r="E13" s="28">
        <v>17</v>
      </c>
      <c r="F13" s="16">
        <f t="shared" si="20"/>
        <v>1.4325219999999999</v>
      </c>
      <c r="G13" s="16" t="s">
        <v>289</v>
      </c>
      <c r="H13" s="18"/>
      <c r="I13" s="19">
        <f t="shared" si="21"/>
        <v>0</v>
      </c>
      <c r="J13" s="16" t="s">
        <v>290</v>
      </c>
      <c r="K13" s="18">
        <v>1</v>
      </c>
      <c r="L13" s="19">
        <f t="shared" si="22"/>
        <v>8.4265999999999994E-2</v>
      </c>
      <c r="M13" s="17" t="s">
        <v>290</v>
      </c>
      <c r="N13" s="18">
        <v>16</v>
      </c>
      <c r="O13" s="19">
        <f t="shared" si="23"/>
        <v>1.3482559999999999</v>
      </c>
      <c r="P13" s="16" t="s">
        <v>294</v>
      </c>
      <c r="Q13" s="18"/>
      <c r="R13" s="19">
        <f t="shared" si="24"/>
        <v>0</v>
      </c>
      <c r="S13" s="20">
        <f t="shared" si="25"/>
        <v>17</v>
      </c>
      <c r="T13" s="19">
        <f t="shared" si="26"/>
        <v>1.4325219999999999</v>
      </c>
      <c r="U13" s="21">
        <f t="shared" si="27"/>
        <v>0</v>
      </c>
      <c r="V13" s="19">
        <f t="shared" si="28"/>
        <v>0</v>
      </c>
      <c r="X13" s="29"/>
    </row>
    <row r="14" spans="1:24">
      <c r="A14" s="26" t="s">
        <v>13</v>
      </c>
      <c r="B14" s="26" t="s">
        <v>45</v>
      </c>
      <c r="C14" s="30">
        <v>9.26</v>
      </c>
      <c r="D14" s="27">
        <v>9.3000000000000007</v>
      </c>
      <c r="E14" s="28">
        <v>22</v>
      </c>
      <c r="F14" s="16">
        <f t="shared" si="20"/>
        <v>1.8945960000000002</v>
      </c>
      <c r="G14" s="17"/>
      <c r="H14" s="18"/>
      <c r="I14" s="19">
        <f t="shared" si="21"/>
        <v>0</v>
      </c>
      <c r="J14" s="16"/>
      <c r="K14" s="18"/>
      <c r="L14" s="19">
        <f t="shared" si="22"/>
        <v>0</v>
      </c>
      <c r="M14" s="16"/>
      <c r="N14" s="18">
        <v>22</v>
      </c>
      <c r="O14" s="19">
        <f t="shared" si="23"/>
        <v>1.8945960000000002</v>
      </c>
      <c r="P14" s="16"/>
      <c r="Q14" s="18"/>
      <c r="R14" s="19">
        <f t="shared" si="24"/>
        <v>0</v>
      </c>
      <c r="S14" s="20">
        <f t="shared" si="25"/>
        <v>22</v>
      </c>
      <c r="T14" s="19">
        <f t="shared" si="26"/>
        <v>1.8945960000000002</v>
      </c>
      <c r="U14" s="21">
        <f t="shared" si="27"/>
        <v>0</v>
      </c>
      <c r="V14" s="19">
        <f t="shared" si="28"/>
        <v>0</v>
      </c>
      <c r="X14" s="29"/>
    </row>
    <row r="15" spans="1:24">
      <c r="A15" s="26" t="s">
        <v>13</v>
      </c>
      <c r="B15" s="26" t="s">
        <v>45</v>
      </c>
      <c r="C15" s="30">
        <v>9.26</v>
      </c>
      <c r="D15" s="27">
        <v>9.6</v>
      </c>
      <c r="E15" s="28">
        <v>31</v>
      </c>
      <c r="F15" s="16">
        <f t="shared" si="20"/>
        <v>2.755776</v>
      </c>
      <c r="G15" s="17"/>
      <c r="H15" s="18">
        <v>14</v>
      </c>
      <c r="I15" s="19">
        <f t="shared" si="21"/>
        <v>1.2445440000000001</v>
      </c>
      <c r="J15" s="16"/>
      <c r="K15" s="18"/>
      <c r="L15" s="19">
        <f t="shared" si="22"/>
        <v>0</v>
      </c>
      <c r="M15" s="16"/>
      <c r="N15" s="18">
        <v>16</v>
      </c>
      <c r="O15" s="19">
        <f t="shared" si="23"/>
        <v>1.422336</v>
      </c>
      <c r="P15" s="16"/>
      <c r="Q15" s="18"/>
      <c r="R15" s="19">
        <f t="shared" si="24"/>
        <v>0</v>
      </c>
      <c r="S15" s="20">
        <f t="shared" si="25"/>
        <v>30</v>
      </c>
      <c r="T15" s="19">
        <f t="shared" si="26"/>
        <v>2.6668799999999999</v>
      </c>
      <c r="U15" s="21">
        <f t="shared" si="27"/>
        <v>1</v>
      </c>
      <c r="V15" s="19">
        <f t="shared" si="28"/>
        <v>8.8896000000000086E-2</v>
      </c>
      <c r="X15" s="29"/>
    </row>
    <row r="16" spans="1:24">
      <c r="A16" s="26" t="s">
        <v>13</v>
      </c>
      <c r="B16" s="26" t="s">
        <v>45</v>
      </c>
      <c r="C16" s="30">
        <v>9.26</v>
      </c>
      <c r="D16" s="27">
        <v>10.3</v>
      </c>
      <c r="E16" s="28">
        <v>97</v>
      </c>
      <c r="F16" s="16">
        <f t="shared" si="20"/>
        <v>9.2516659999999984</v>
      </c>
      <c r="G16" s="17"/>
      <c r="H16" s="18">
        <v>17</v>
      </c>
      <c r="I16" s="19">
        <f t="shared" si="21"/>
        <v>1.621426</v>
      </c>
      <c r="J16" s="16"/>
      <c r="K16" s="18">
        <v>24</v>
      </c>
      <c r="L16" s="19">
        <f t="shared" si="22"/>
        <v>2.289072</v>
      </c>
      <c r="M16" s="16"/>
      <c r="N16" s="18">
        <v>20</v>
      </c>
      <c r="O16" s="19">
        <f t="shared" si="23"/>
        <v>1.9075599999999999</v>
      </c>
      <c r="P16" s="16"/>
      <c r="Q16" s="18"/>
      <c r="R16" s="19">
        <f t="shared" si="24"/>
        <v>0</v>
      </c>
      <c r="S16" s="20">
        <f t="shared" si="25"/>
        <v>61</v>
      </c>
      <c r="T16" s="19">
        <f t="shared" si="26"/>
        <v>5.8180579999999997</v>
      </c>
      <c r="U16" s="21">
        <f t="shared" si="27"/>
        <v>36</v>
      </c>
      <c r="V16" s="19">
        <f t="shared" si="28"/>
        <v>3.4336079999999987</v>
      </c>
      <c r="X16" s="29"/>
    </row>
    <row r="17" spans="1:24">
      <c r="A17" s="26" t="s">
        <v>13</v>
      </c>
      <c r="B17" s="26" t="s">
        <v>45</v>
      </c>
      <c r="C17" s="30">
        <v>9.26</v>
      </c>
      <c r="D17" s="27">
        <v>10.7</v>
      </c>
      <c r="E17" s="28">
        <v>44</v>
      </c>
      <c r="F17" s="16">
        <f t="shared" si="20"/>
        <v>4.3596080000000006</v>
      </c>
      <c r="G17" s="17"/>
      <c r="H17" s="18"/>
      <c r="I17" s="19">
        <f t="shared" si="21"/>
        <v>0</v>
      </c>
      <c r="J17" s="16"/>
      <c r="K17" s="18">
        <v>35</v>
      </c>
      <c r="L17" s="19">
        <f t="shared" si="22"/>
        <v>3.46787</v>
      </c>
      <c r="M17" s="16"/>
      <c r="N17" s="18">
        <v>16</v>
      </c>
      <c r="O17" s="19">
        <f t="shared" si="23"/>
        <v>1.5853119999999998</v>
      </c>
      <c r="P17" s="16"/>
      <c r="Q17" s="18"/>
      <c r="R17" s="19">
        <f t="shared" si="24"/>
        <v>0</v>
      </c>
      <c r="S17" s="20">
        <f t="shared" si="25"/>
        <v>51</v>
      </c>
      <c r="T17" s="19">
        <f t="shared" si="26"/>
        <v>5.0531819999999996</v>
      </c>
      <c r="U17" s="21">
        <f t="shared" si="27"/>
        <v>-7</v>
      </c>
      <c r="V17" s="19">
        <f t="shared" si="28"/>
        <v>-0.69357399999999902</v>
      </c>
      <c r="X17" s="29"/>
    </row>
    <row r="18" spans="1:24">
      <c r="A18" s="26" t="s">
        <v>13</v>
      </c>
      <c r="B18" s="26" t="s">
        <v>45</v>
      </c>
      <c r="C18" s="30">
        <v>9.26</v>
      </c>
      <c r="D18" s="27">
        <v>11</v>
      </c>
      <c r="E18" s="28">
        <v>56</v>
      </c>
      <c r="F18" s="16">
        <f t="shared" si="20"/>
        <v>5.7041599999999999</v>
      </c>
      <c r="G18" s="17"/>
      <c r="H18" s="18"/>
      <c r="I18" s="19">
        <f t="shared" si="21"/>
        <v>0</v>
      </c>
      <c r="J18" s="16"/>
      <c r="K18" s="18">
        <v>36</v>
      </c>
      <c r="L18" s="19">
        <f t="shared" si="22"/>
        <v>3.66696</v>
      </c>
      <c r="M18" s="16"/>
      <c r="N18" s="18">
        <v>36</v>
      </c>
      <c r="O18" s="19">
        <f t="shared" si="23"/>
        <v>3.66696</v>
      </c>
      <c r="P18" s="16"/>
      <c r="Q18" s="18"/>
      <c r="R18" s="19">
        <f t="shared" si="24"/>
        <v>0</v>
      </c>
      <c r="S18" s="20">
        <f t="shared" si="25"/>
        <v>72</v>
      </c>
      <c r="T18" s="19">
        <f t="shared" si="26"/>
        <v>7.33392</v>
      </c>
      <c r="U18" s="21">
        <f t="shared" si="27"/>
        <v>-16</v>
      </c>
      <c r="V18" s="19">
        <f t="shared" si="28"/>
        <v>-1.6297600000000001</v>
      </c>
      <c r="X18" s="29"/>
    </row>
    <row r="19" spans="1:24">
      <c r="A19" s="26" t="s">
        <v>13</v>
      </c>
      <c r="B19" s="26" t="s">
        <v>45</v>
      </c>
      <c r="C19" s="30">
        <v>9.26</v>
      </c>
      <c r="D19" s="27">
        <v>11.5</v>
      </c>
      <c r="E19" s="28">
        <v>4</v>
      </c>
      <c r="F19" s="16">
        <f t="shared" si="20"/>
        <v>0.42596000000000001</v>
      </c>
      <c r="G19" s="17"/>
      <c r="H19" s="18"/>
      <c r="I19" s="19">
        <f t="shared" si="21"/>
        <v>0</v>
      </c>
      <c r="J19" s="16"/>
      <c r="K19" s="18"/>
      <c r="L19" s="19">
        <f t="shared" si="22"/>
        <v>0</v>
      </c>
      <c r="M19" s="16"/>
      <c r="N19" s="18"/>
      <c r="O19" s="19">
        <f t="shared" si="23"/>
        <v>0</v>
      </c>
      <c r="P19" s="16"/>
      <c r="Q19" s="18"/>
      <c r="R19" s="19">
        <f t="shared" si="24"/>
        <v>0</v>
      </c>
      <c r="S19" s="20">
        <f t="shared" si="25"/>
        <v>0</v>
      </c>
      <c r="T19" s="19">
        <f t="shared" si="26"/>
        <v>0</v>
      </c>
      <c r="U19" s="21">
        <f t="shared" si="27"/>
        <v>4</v>
      </c>
      <c r="V19" s="19">
        <f t="shared" si="28"/>
        <v>0.42596000000000001</v>
      </c>
      <c r="X19" s="29"/>
    </row>
    <row r="20" spans="1:24">
      <c r="A20" s="26" t="s">
        <v>13</v>
      </c>
      <c r="B20" s="26" t="s">
        <v>45</v>
      </c>
      <c r="C20" s="30">
        <v>9.26</v>
      </c>
      <c r="D20" s="27">
        <v>11.8</v>
      </c>
      <c r="E20" s="28">
        <v>23</v>
      </c>
      <c r="F20" s="16">
        <f t="shared" si="20"/>
        <v>2.5131640000000002</v>
      </c>
      <c r="G20" s="17"/>
      <c r="H20" s="18">
        <v>10</v>
      </c>
      <c r="I20" s="19">
        <f t="shared" si="21"/>
        <v>1.0926800000000001</v>
      </c>
      <c r="J20" s="16"/>
      <c r="K20" s="18"/>
      <c r="L20" s="19">
        <f t="shared" si="22"/>
        <v>0</v>
      </c>
      <c r="M20" s="16"/>
      <c r="N20" s="18">
        <v>18</v>
      </c>
      <c r="O20" s="19">
        <f t="shared" si="23"/>
        <v>1.9668240000000001</v>
      </c>
      <c r="P20" s="16"/>
      <c r="Q20" s="18"/>
      <c r="R20" s="19">
        <f t="shared" si="24"/>
        <v>0</v>
      </c>
      <c r="S20" s="20">
        <f t="shared" si="25"/>
        <v>28</v>
      </c>
      <c r="T20" s="19">
        <f t="shared" si="26"/>
        <v>3.0595040000000004</v>
      </c>
      <c r="U20" s="21">
        <f t="shared" si="27"/>
        <v>-5</v>
      </c>
      <c r="V20" s="19">
        <f t="shared" si="28"/>
        <v>-0.54634000000000027</v>
      </c>
      <c r="X20" s="29"/>
    </row>
    <row r="21" spans="1:24">
      <c r="A21" s="26" t="s">
        <v>13</v>
      </c>
      <c r="B21" s="26" t="s">
        <v>45</v>
      </c>
      <c r="C21" s="30">
        <v>9.26</v>
      </c>
      <c r="D21" s="27">
        <v>12</v>
      </c>
      <c r="E21" s="28">
        <v>16</v>
      </c>
      <c r="F21" s="16">
        <f t="shared" ref="F21:F30" si="29">(C21*D21*E21/1000)</f>
        <v>1.7779200000000002</v>
      </c>
      <c r="G21" s="17"/>
      <c r="H21" s="18"/>
      <c r="I21" s="19">
        <f t="shared" ref="I21:I30" si="30">(C21*D21*H21/1000)</f>
        <v>0</v>
      </c>
      <c r="J21" s="16"/>
      <c r="K21" s="18">
        <v>12</v>
      </c>
      <c r="L21" s="19">
        <f t="shared" ref="L21:L30" si="31">(C21*D21*K21/1000)</f>
        <v>1.33344</v>
      </c>
      <c r="M21" s="16"/>
      <c r="N21" s="18">
        <v>4</v>
      </c>
      <c r="O21" s="19">
        <f t="shared" ref="O21:O30" si="32">(C21*D21*N21/1000)</f>
        <v>0.44448000000000004</v>
      </c>
      <c r="P21" s="16"/>
      <c r="Q21" s="18">
        <v>1</v>
      </c>
      <c r="R21" s="19">
        <f t="shared" ref="R21:R30" si="33">(C21*D21*Q21/1000)</f>
        <v>0.11112000000000001</v>
      </c>
      <c r="S21" s="20">
        <f t="shared" ref="S21:S30" si="34">+H21+K21+Q21+N21</f>
        <v>17</v>
      </c>
      <c r="T21" s="19">
        <f t="shared" ref="T21:T30" si="35">+I21+L21+R21+O21</f>
        <v>1.8890400000000001</v>
      </c>
      <c r="U21" s="21">
        <f t="shared" ref="U21:U30" si="36">E21-S21</f>
        <v>-1</v>
      </c>
      <c r="V21" s="19">
        <f t="shared" ref="V21:V30" si="37">F21-T21</f>
        <v>-0.11111999999999989</v>
      </c>
      <c r="X21" s="29"/>
    </row>
    <row r="22" spans="1:24">
      <c r="A22" s="26" t="s">
        <v>13</v>
      </c>
      <c r="B22" s="26" t="s">
        <v>45</v>
      </c>
      <c r="C22" s="30">
        <v>9.26</v>
      </c>
      <c r="D22" s="27">
        <v>7.75</v>
      </c>
      <c r="E22" s="28"/>
      <c r="F22" s="16">
        <f t="shared" si="29"/>
        <v>0</v>
      </c>
      <c r="G22" s="17"/>
      <c r="H22" s="18"/>
      <c r="I22" s="19">
        <f t="shared" si="30"/>
        <v>0</v>
      </c>
      <c r="J22" s="16"/>
      <c r="K22" s="18"/>
      <c r="L22" s="19">
        <f t="shared" si="31"/>
        <v>0</v>
      </c>
      <c r="M22" s="16"/>
      <c r="N22" s="18"/>
      <c r="O22" s="19">
        <f t="shared" si="32"/>
        <v>0</v>
      </c>
      <c r="P22" s="16"/>
      <c r="Q22" s="18">
        <v>2</v>
      </c>
      <c r="R22" s="19">
        <f t="shared" si="33"/>
        <v>0.14352999999999999</v>
      </c>
      <c r="S22" s="20">
        <f t="shared" si="34"/>
        <v>2</v>
      </c>
      <c r="T22" s="19">
        <f t="shared" si="35"/>
        <v>0.14352999999999999</v>
      </c>
      <c r="U22" s="21">
        <f t="shared" si="36"/>
        <v>-2</v>
      </c>
      <c r="V22" s="19">
        <f t="shared" si="37"/>
        <v>-0.14352999999999999</v>
      </c>
      <c r="X22" s="29"/>
    </row>
    <row r="23" spans="1:24">
      <c r="A23" s="26" t="s">
        <v>13</v>
      </c>
      <c r="B23" s="26" t="s">
        <v>45</v>
      </c>
      <c r="C23" s="30">
        <v>9.26</v>
      </c>
      <c r="D23" s="27">
        <v>8</v>
      </c>
      <c r="E23" s="28"/>
      <c r="F23" s="16">
        <f t="shared" si="29"/>
        <v>0</v>
      </c>
      <c r="G23" s="17"/>
      <c r="H23" s="18"/>
      <c r="I23" s="19">
        <f t="shared" si="30"/>
        <v>0</v>
      </c>
      <c r="J23" s="16"/>
      <c r="K23" s="18"/>
      <c r="L23" s="19">
        <f t="shared" si="31"/>
        <v>0</v>
      </c>
      <c r="M23" s="16"/>
      <c r="N23" s="18"/>
      <c r="O23" s="19">
        <f t="shared" si="32"/>
        <v>0</v>
      </c>
      <c r="P23" s="16"/>
      <c r="Q23" s="18">
        <v>5</v>
      </c>
      <c r="R23" s="19">
        <f t="shared" si="33"/>
        <v>0.37039999999999995</v>
      </c>
      <c r="S23" s="20">
        <f t="shared" si="34"/>
        <v>5</v>
      </c>
      <c r="T23" s="19">
        <f t="shared" si="35"/>
        <v>0.37039999999999995</v>
      </c>
      <c r="U23" s="21">
        <f t="shared" si="36"/>
        <v>-5</v>
      </c>
      <c r="V23" s="19">
        <f t="shared" si="37"/>
        <v>-0.37039999999999995</v>
      </c>
      <c r="X23" s="29"/>
    </row>
    <row r="24" spans="1:24">
      <c r="A24" s="26" t="s">
        <v>13</v>
      </c>
      <c r="B24" s="26" t="s">
        <v>45</v>
      </c>
      <c r="C24" s="30">
        <v>9.26</v>
      </c>
      <c r="D24" s="27">
        <v>8.3000000000000007</v>
      </c>
      <c r="E24" s="28"/>
      <c r="F24" s="16">
        <f t="shared" si="29"/>
        <v>0</v>
      </c>
      <c r="G24" s="17"/>
      <c r="H24" s="18"/>
      <c r="I24" s="19">
        <f t="shared" si="30"/>
        <v>0</v>
      </c>
      <c r="J24" s="16"/>
      <c r="K24" s="18"/>
      <c r="L24" s="19">
        <f t="shared" si="31"/>
        <v>0</v>
      </c>
      <c r="M24" s="16"/>
      <c r="N24" s="18"/>
      <c r="O24" s="19">
        <f t="shared" si="32"/>
        <v>0</v>
      </c>
      <c r="P24" s="16"/>
      <c r="Q24" s="18">
        <v>1</v>
      </c>
      <c r="R24" s="19">
        <f t="shared" si="33"/>
        <v>7.685800000000001E-2</v>
      </c>
      <c r="S24" s="20">
        <f t="shared" si="34"/>
        <v>1</v>
      </c>
      <c r="T24" s="19">
        <f t="shared" si="35"/>
        <v>7.685800000000001E-2</v>
      </c>
      <c r="U24" s="21">
        <f t="shared" si="36"/>
        <v>-1</v>
      </c>
      <c r="V24" s="19">
        <f t="shared" si="37"/>
        <v>-7.685800000000001E-2</v>
      </c>
      <c r="X24" s="29"/>
    </row>
    <row r="25" spans="1:24">
      <c r="A25" s="26" t="s">
        <v>13</v>
      </c>
      <c r="B25" s="26" t="s">
        <v>45</v>
      </c>
      <c r="C25" s="30">
        <v>9.26</v>
      </c>
      <c r="D25" s="27">
        <v>8.5</v>
      </c>
      <c r="E25" s="28"/>
      <c r="F25" s="16">
        <f t="shared" si="29"/>
        <v>0</v>
      </c>
      <c r="G25" s="17"/>
      <c r="H25" s="18"/>
      <c r="I25" s="19">
        <f t="shared" si="30"/>
        <v>0</v>
      </c>
      <c r="J25" s="16"/>
      <c r="K25" s="18"/>
      <c r="L25" s="19">
        <f t="shared" si="31"/>
        <v>0</v>
      </c>
      <c r="M25" s="16"/>
      <c r="N25" s="18"/>
      <c r="O25" s="19">
        <f t="shared" si="32"/>
        <v>0</v>
      </c>
      <c r="P25" s="16"/>
      <c r="Q25" s="18">
        <v>1</v>
      </c>
      <c r="R25" s="19">
        <f t="shared" si="33"/>
        <v>7.8709999999999988E-2</v>
      </c>
      <c r="S25" s="20">
        <f t="shared" si="34"/>
        <v>1</v>
      </c>
      <c r="T25" s="19">
        <f t="shared" si="35"/>
        <v>7.8709999999999988E-2</v>
      </c>
      <c r="U25" s="21">
        <f t="shared" si="36"/>
        <v>-1</v>
      </c>
      <c r="V25" s="19">
        <f t="shared" si="37"/>
        <v>-7.8709999999999988E-2</v>
      </c>
      <c r="X25" s="29"/>
    </row>
    <row r="26" spans="1:24">
      <c r="A26" s="26" t="s">
        <v>13</v>
      </c>
      <c r="B26" s="26" t="s">
        <v>45</v>
      </c>
      <c r="C26" s="30">
        <v>9.26</v>
      </c>
      <c r="D26" s="27">
        <v>9</v>
      </c>
      <c r="E26" s="28"/>
      <c r="F26" s="16">
        <f t="shared" si="29"/>
        <v>0</v>
      </c>
      <c r="G26" s="17"/>
      <c r="H26" s="18"/>
      <c r="I26" s="19">
        <f t="shared" si="30"/>
        <v>0</v>
      </c>
      <c r="J26" s="16"/>
      <c r="K26" s="18"/>
      <c r="L26" s="19">
        <f t="shared" si="31"/>
        <v>0</v>
      </c>
      <c r="M26" s="16"/>
      <c r="N26" s="18"/>
      <c r="O26" s="19">
        <f t="shared" si="32"/>
        <v>0</v>
      </c>
      <c r="P26" s="16"/>
      <c r="Q26" s="18">
        <v>1</v>
      </c>
      <c r="R26" s="19">
        <f t="shared" si="33"/>
        <v>8.3339999999999997E-2</v>
      </c>
      <c r="S26" s="20">
        <f t="shared" si="34"/>
        <v>1</v>
      </c>
      <c r="T26" s="19">
        <f t="shared" si="35"/>
        <v>8.3339999999999997E-2</v>
      </c>
      <c r="U26" s="21">
        <f t="shared" si="36"/>
        <v>-1</v>
      </c>
      <c r="V26" s="19">
        <f t="shared" si="37"/>
        <v>-8.3339999999999997E-2</v>
      </c>
      <c r="X26" s="29"/>
    </row>
    <row r="27" spans="1:24">
      <c r="A27" s="26" t="s">
        <v>13</v>
      </c>
      <c r="B27" s="26" t="s">
        <v>45</v>
      </c>
      <c r="C27" s="30">
        <v>9.26</v>
      </c>
      <c r="D27" s="27">
        <v>10</v>
      </c>
      <c r="E27" s="28"/>
      <c r="F27" s="16">
        <f t="shared" si="29"/>
        <v>0</v>
      </c>
      <c r="G27" s="17"/>
      <c r="H27" s="18"/>
      <c r="I27" s="19">
        <f t="shared" si="30"/>
        <v>0</v>
      </c>
      <c r="J27" s="16"/>
      <c r="K27" s="18"/>
      <c r="L27" s="19">
        <f t="shared" si="31"/>
        <v>0</v>
      </c>
      <c r="M27" s="16"/>
      <c r="N27" s="18"/>
      <c r="O27" s="19">
        <f t="shared" si="32"/>
        <v>0</v>
      </c>
      <c r="P27" s="16"/>
      <c r="Q27" s="18">
        <v>1</v>
      </c>
      <c r="R27" s="19">
        <f t="shared" si="33"/>
        <v>9.2599999999999988E-2</v>
      </c>
      <c r="S27" s="20">
        <f t="shared" si="34"/>
        <v>1</v>
      </c>
      <c r="T27" s="19">
        <f t="shared" si="35"/>
        <v>9.2599999999999988E-2</v>
      </c>
      <c r="U27" s="21">
        <f t="shared" si="36"/>
        <v>-1</v>
      </c>
      <c r="V27" s="19">
        <f t="shared" si="37"/>
        <v>-9.2599999999999988E-2</v>
      </c>
      <c r="X27" s="29"/>
    </row>
    <row r="28" spans="1:24">
      <c r="A28" s="26" t="s">
        <v>13</v>
      </c>
      <c r="B28" s="26" t="s">
        <v>45</v>
      </c>
      <c r="C28" s="30">
        <v>9.26</v>
      </c>
      <c r="D28" s="27">
        <v>11.1</v>
      </c>
      <c r="E28" s="28"/>
      <c r="F28" s="16">
        <f t="shared" si="29"/>
        <v>0</v>
      </c>
      <c r="G28" s="17"/>
      <c r="H28" s="18"/>
      <c r="I28" s="19">
        <f t="shared" si="30"/>
        <v>0</v>
      </c>
      <c r="J28" s="16"/>
      <c r="K28" s="18"/>
      <c r="L28" s="19">
        <f t="shared" si="31"/>
        <v>0</v>
      </c>
      <c r="M28" s="16"/>
      <c r="N28" s="18"/>
      <c r="O28" s="19">
        <f t="shared" si="32"/>
        <v>0</v>
      </c>
      <c r="P28" s="16"/>
      <c r="Q28" s="18">
        <v>1</v>
      </c>
      <c r="R28" s="19">
        <f t="shared" si="33"/>
        <v>0.102786</v>
      </c>
      <c r="S28" s="20">
        <f t="shared" si="34"/>
        <v>1</v>
      </c>
      <c r="T28" s="19">
        <f t="shared" si="35"/>
        <v>0.102786</v>
      </c>
      <c r="U28" s="21">
        <f t="shared" si="36"/>
        <v>-1</v>
      </c>
      <c r="V28" s="19">
        <f t="shared" si="37"/>
        <v>-0.102786</v>
      </c>
      <c r="X28" s="29"/>
    </row>
    <row r="29" spans="1:24">
      <c r="A29" s="26" t="s">
        <v>13</v>
      </c>
      <c r="B29" s="26" t="s">
        <v>45</v>
      </c>
      <c r="C29" s="30">
        <v>9.26</v>
      </c>
      <c r="D29" s="27">
        <v>11.6</v>
      </c>
      <c r="E29" s="28"/>
      <c r="F29" s="16">
        <f t="shared" si="29"/>
        <v>0</v>
      </c>
      <c r="G29" s="17"/>
      <c r="H29" s="18"/>
      <c r="I29" s="19">
        <f t="shared" si="30"/>
        <v>0</v>
      </c>
      <c r="J29" s="16"/>
      <c r="K29" s="18"/>
      <c r="L29" s="19">
        <f t="shared" si="31"/>
        <v>0</v>
      </c>
      <c r="M29" s="16"/>
      <c r="N29" s="18"/>
      <c r="O29" s="19">
        <f t="shared" si="32"/>
        <v>0</v>
      </c>
      <c r="P29" s="16"/>
      <c r="Q29" s="18">
        <v>1</v>
      </c>
      <c r="R29" s="19">
        <f t="shared" si="33"/>
        <v>0.107416</v>
      </c>
      <c r="S29" s="20">
        <f t="shared" si="34"/>
        <v>1</v>
      </c>
      <c r="T29" s="19">
        <f t="shared" si="35"/>
        <v>0.107416</v>
      </c>
      <c r="U29" s="21">
        <f t="shared" si="36"/>
        <v>-1</v>
      </c>
      <c r="V29" s="19">
        <f t="shared" si="37"/>
        <v>-0.107416</v>
      </c>
      <c r="X29" s="29"/>
    </row>
    <row r="30" spans="1:24">
      <c r="A30" s="26" t="s">
        <v>13</v>
      </c>
      <c r="B30" s="26" t="s">
        <v>45</v>
      </c>
      <c r="C30" s="30">
        <v>9.26</v>
      </c>
      <c r="D30" s="27">
        <v>10.4</v>
      </c>
      <c r="E30" s="28"/>
      <c r="F30" s="16">
        <f t="shared" si="29"/>
        <v>0</v>
      </c>
      <c r="G30" s="17"/>
      <c r="H30" s="18"/>
      <c r="I30" s="19">
        <f t="shared" si="30"/>
        <v>0</v>
      </c>
      <c r="J30" s="16"/>
      <c r="K30" s="18"/>
      <c r="L30" s="19">
        <f t="shared" si="31"/>
        <v>0</v>
      </c>
      <c r="M30" s="16"/>
      <c r="N30" s="18"/>
      <c r="O30" s="19">
        <f t="shared" si="32"/>
        <v>0</v>
      </c>
      <c r="P30" s="16"/>
      <c r="Q30" s="18">
        <v>1</v>
      </c>
      <c r="R30" s="19">
        <f t="shared" si="33"/>
        <v>9.6304000000000001E-2</v>
      </c>
      <c r="S30" s="20">
        <f t="shared" si="34"/>
        <v>1</v>
      </c>
      <c r="T30" s="19">
        <f t="shared" si="35"/>
        <v>9.6304000000000001E-2</v>
      </c>
      <c r="U30" s="21">
        <f t="shared" si="36"/>
        <v>-1</v>
      </c>
      <c r="V30" s="19">
        <f t="shared" si="37"/>
        <v>-9.6304000000000001E-2</v>
      </c>
      <c r="X30" s="29"/>
    </row>
    <row r="31" spans="1:24">
      <c r="A31" s="26" t="s">
        <v>13</v>
      </c>
      <c r="B31" s="26" t="s">
        <v>45</v>
      </c>
      <c r="C31" s="30">
        <v>9.26</v>
      </c>
      <c r="D31" s="27"/>
      <c r="E31" s="28"/>
      <c r="F31" s="16">
        <f t="shared" si="20"/>
        <v>0</v>
      </c>
      <c r="G31" s="17"/>
      <c r="H31" s="18"/>
      <c r="I31" s="19">
        <f t="shared" si="21"/>
        <v>0</v>
      </c>
      <c r="J31" s="16"/>
      <c r="K31" s="18"/>
      <c r="L31" s="19">
        <f t="shared" si="22"/>
        <v>0</v>
      </c>
      <c r="M31" s="16"/>
      <c r="N31" s="18"/>
      <c r="O31" s="19">
        <f t="shared" si="23"/>
        <v>0</v>
      </c>
      <c r="P31" s="16"/>
      <c r="Q31" s="18"/>
      <c r="R31" s="19">
        <f t="shared" si="24"/>
        <v>0</v>
      </c>
      <c r="S31" s="20">
        <f t="shared" si="25"/>
        <v>0</v>
      </c>
      <c r="T31" s="19">
        <f t="shared" si="26"/>
        <v>0</v>
      </c>
      <c r="U31" s="21">
        <f t="shared" si="27"/>
        <v>0</v>
      </c>
      <c r="V31" s="19">
        <f t="shared" si="28"/>
        <v>0</v>
      </c>
      <c r="X31" s="29"/>
    </row>
    <row r="32" spans="1:24">
      <c r="A32" s="36"/>
      <c r="B32" s="36"/>
      <c r="C32" s="30"/>
      <c r="D32" s="38"/>
      <c r="E32" s="31">
        <f t="shared" ref="E32:F32" si="38">SUM(E12:E31)</f>
        <v>318</v>
      </c>
      <c r="F32" s="38">
        <f t="shared" si="38"/>
        <v>30.611708</v>
      </c>
      <c r="G32" s="17"/>
      <c r="H32" s="31">
        <f>SUM(H12:H31)</f>
        <v>41</v>
      </c>
      <c r="I32" s="38">
        <f>SUM(I12:I31)</f>
        <v>3.95865</v>
      </c>
      <c r="J32" s="16"/>
      <c r="K32" s="31">
        <f>SUM(K12:K31)</f>
        <v>108</v>
      </c>
      <c r="L32" s="38">
        <f>SUM(L12:L31)</f>
        <v>10.841607999999999</v>
      </c>
      <c r="M32" s="16"/>
      <c r="N32" s="31">
        <f>SUM(N12:N31)</f>
        <v>155</v>
      </c>
      <c r="O32" s="38">
        <f>SUM(O12:O31)</f>
        <v>14.670618000000001</v>
      </c>
      <c r="P32" s="16"/>
      <c r="Q32" s="31">
        <f t="shared" ref="Q32:V32" si="39">SUM(Q12:Q31)</f>
        <v>15</v>
      </c>
      <c r="R32" s="38">
        <f t="shared" si="39"/>
        <v>1.2630639999999997</v>
      </c>
      <c r="S32" s="31">
        <f t="shared" si="39"/>
        <v>319</v>
      </c>
      <c r="T32" s="38">
        <f t="shared" si="39"/>
        <v>30.73394</v>
      </c>
      <c r="U32" s="31">
        <f t="shared" si="39"/>
        <v>-1</v>
      </c>
      <c r="V32" s="38">
        <f t="shared" si="39"/>
        <v>-0.12223200000000059</v>
      </c>
      <c r="X32" s="29"/>
    </row>
    <row r="33" spans="1:24">
      <c r="A33" s="26" t="s">
        <v>13</v>
      </c>
      <c r="B33" s="26" t="s">
        <v>61</v>
      </c>
      <c r="C33" s="30">
        <v>12.2</v>
      </c>
      <c r="D33" s="27">
        <v>6.5</v>
      </c>
      <c r="E33" s="28">
        <v>7</v>
      </c>
      <c r="F33" s="16">
        <f t="shared" ref="F33:F41" si="40">(C33*D33*E33/1000)</f>
        <v>0.55510000000000004</v>
      </c>
      <c r="G33" s="17" t="s">
        <v>111</v>
      </c>
      <c r="H33" s="18"/>
      <c r="I33" s="19">
        <f t="shared" ref="I33:I41" si="41">(C33*D33*H33/1000)</f>
        <v>0</v>
      </c>
      <c r="J33" s="17" t="s">
        <v>88</v>
      </c>
      <c r="K33" s="18">
        <v>9</v>
      </c>
      <c r="L33" s="19">
        <f t="shared" ref="L33:L41" si="42">(C33*D33*K33/1000)</f>
        <v>0.71369999999999989</v>
      </c>
      <c r="M33" s="16" t="s">
        <v>293</v>
      </c>
      <c r="N33" s="18"/>
      <c r="O33" s="19">
        <f t="shared" ref="O33:O41" si="43">(C33*D33*N33/1000)</f>
        <v>0</v>
      </c>
      <c r="P33" s="16"/>
      <c r="Q33" s="18"/>
      <c r="R33" s="19">
        <f t="shared" ref="R33:R41" si="44">(C33*D33*Q33/1000)</f>
        <v>0</v>
      </c>
      <c r="S33" s="20">
        <f t="shared" ref="S33:T41" si="45">+H33+K33+Q33+N33</f>
        <v>9</v>
      </c>
      <c r="T33" s="19">
        <f t="shared" si="45"/>
        <v>0.71369999999999989</v>
      </c>
      <c r="U33" s="21">
        <f t="shared" ref="U33:V41" si="46">E33-S33</f>
        <v>-2</v>
      </c>
      <c r="V33" s="19">
        <f t="shared" si="46"/>
        <v>-0.15859999999999985</v>
      </c>
      <c r="X33" s="29"/>
    </row>
    <row r="34" spans="1:24">
      <c r="A34" s="26" t="s">
        <v>13</v>
      </c>
      <c r="B34" s="26" t="s">
        <v>61</v>
      </c>
      <c r="C34" s="30">
        <v>12.2</v>
      </c>
      <c r="D34" s="27">
        <v>8.5</v>
      </c>
      <c r="E34" s="28">
        <v>11</v>
      </c>
      <c r="F34" s="16">
        <f t="shared" si="40"/>
        <v>1.1406999999999998</v>
      </c>
      <c r="G34" s="17" t="s">
        <v>291</v>
      </c>
      <c r="H34" s="18">
        <v>4</v>
      </c>
      <c r="I34" s="19">
        <f t="shared" si="41"/>
        <v>0.41479999999999995</v>
      </c>
      <c r="J34" s="17" t="s">
        <v>291</v>
      </c>
      <c r="K34" s="18">
        <v>7</v>
      </c>
      <c r="L34" s="19">
        <f t="shared" si="42"/>
        <v>0.72589999999999988</v>
      </c>
      <c r="M34" s="16" t="s">
        <v>294</v>
      </c>
      <c r="N34" s="18"/>
      <c r="O34" s="19">
        <f t="shared" si="43"/>
        <v>0</v>
      </c>
      <c r="P34" s="16"/>
      <c r="Q34" s="18"/>
      <c r="R34" s="19">
        <f t="shared" si="44"/>
        <v>0</v>
      </c>
      <c r="S34" s="20">
        <f t="shared" si="45"/>
        <v>11</v>
      </c>
      <c r="T34" s="19">
        <f t="shared" si="45"/>
        <v>1.1406999999999998</v>
      </c>
      <c r="U34" s="21">
        <f t="shared" si="46"/>
        <v>0</v>
      </c>
      <c r="V34" s="19">
        <f t="shared" si="46"/>
        <v>0</v>
      </c>
      <c r="X34" s="29"/>
    </row>
    <row r="35" spans="1:24">
      <c r="A35" s="26" t="s">
        <v>13</v>
      </c>
      <c r="B35" s="26" t="s">
        <v>61</v>
      </c>
      <c r="C35" s="30">
        <v>12.2</v>
      </c>
      <c r="D35" s="27">
        <v>10</v>
      </c>
      <c r="E35" s="28">
        <v>28</v>
      </c>
      <c r="F35" s="16">
        <f t="shared" si="40"/>
        <v>3.4159999999999999</v>
      </c>
      <c r="G35" s="17"/>
      <c r="H35" s="18"/>
      <c r="I35" s="19">
        <f t="shared" si="41"/>
        <v>0</v>
      </c>
      <c r="J35" s="16"/>
      <c r="K35" s="18">
        <v>28</v>
      </c>
      <c r="L35" s="19">
        <f t="shared" si="42"/>
        <v>3.4159999999999999</v>
      </c>
      <c r="M35" s="16"/>
      <c r="N35" s="18">
        <v>5</v>
      </c>
      <c r="O35" s="19">
        <f t="shared" si="43"/>
        <v>0.61</v>
      </c>
      <c r="P35" s="16"/>
      <c r="Q35" s="18"/>
      <c r="R35" s="19">
        <f t="shared" si="44"/>
        <v>0</v>
      </c>
      <c r="S35" s="20">
        <f t="shared" si="45"/>
        <v>33</v>
      </c>
      <c r="T35" s="19">
        <f t="shared" si="45"/>
        <v>4.0259999999999998</v>
      </c>
      <c r="U35" s="21">
        <f t="shared" si="46"/>
        <v>-5</v>
      </c>
      <c r="V35" s="19">
        <f t="shared" si="46"/>
        <v>-0.60999999999999988</v>
      </c>
      <c r="X35" s="29"/>
    </row>
    <row r="36" spans="1:24">
      <c r="A36" s="26" t="s">
        <v>13</v>
      </c>
      <c r="B36" s="26" t="s">
        <v>61</v>
      </c>
      <c r="C36" s="30">
        <v>12.2</v>
      </c>
      <c r="D36" s="27">
        <v>10.3</v>
      </c>
      <c r="E36" s="28">
        <v>24</v>
      </c>
      <c r="F36" s="16">
        <f t="shared" si="40"/>
        <v>3.0158400000000003</v>
      </c>
      <c r="G36" s="17"/>
      <c r="H36" s="18"/>
      <c r="I36" s="19">
        <f t="shared" si="41"/>
        <v>0</v>
      </c>
      <c r="J36" s="16"/>
      <c r="K36" s="18"/>
      <c r="L36" s="19">
        <f t="shared" si="42"/>
        <v>0</v>
      </c>
      <c r="M36" s="16"/>
      <c r="N36" s="18"/>
      <c r="O36" s="19">
        <f t="shared" si="43"/>
        <v>0</v>
      </c>
      <c r="P36" s="16"/>
      <c r="Q36" s="18"/>
      <c r="R36" s="19">
        <f t="shared" si="44"/>
        <v>0</v>
      </c>
      <c r="S36" s="20">
        <f t="shared" si="45"/>
        <v>0</v>
      </c>
      <c r="T36" s="19">
        <f t="shared" si="45"/>
        <v>0</v>
      </c>
      <c r="U36" s="21">
        <f t="shared" si="46"/>
        <v>24</v>
      </c>
      <c r="V36" s="19">
        <f t="shared" si="46"/>
        <v>3.0158400000000003</v>
      </c>
      <c r="X36" s="29"/>
    </row>
    <row r="37" spans="1:24">
      <c r="A37" s="26" t="s">
        <v>13</v>
      </c>
      <c r="B37" s="26" t="s">
        <v>61</v>
      </c>
      <c r="C37" s="30">
        <v>12.2</v>
      </c>
      <c r="D37" s="27">
        <v>11</v>
      </c>
      <c r="E37" s="28">
        <v>24</v>
      </c>
      <c r="F37" s="16">
        <f t="shared" si="40"/>
        <v>3.2207999999999997</v>
      </c>
      <c r="G37" s="17"/>
      <c r="H37" s="18"/>
      <c r="I37" s="19">
        <f t="shared" si="41"/>
        <v>0</v>
      </c>
      <c r="J37" s="16"/>
      <c r="K37" s="18">
        <v>23</v>
      </c>
      <c r="L37" s="19">
        <f t="shared" si="42"/>
        <v>3.0865999999999998</v>
      </c>
      <c r="M37" s="16"/>
      <c r="N37" s="18"/>
      <c r="O37" s="19">
        <f t="shared" si="43"/>
        <v>0</v>
      </c>
      <c r="P37" s="16"/>
      <c r="Q37" s="18"/>
      <c r="R37" s="19">
        <f t="shared" si="44"/>
        <v>0</v>
      </c>
      <c r="S37" s="20">
        <f t="shared" si="45"/>
        <v>23</v>
      </c>
      <c r="T37" s="19">
        <f t="shared" si="45"/>
        <v>3.0865999999999998</v>
      </c>
      <c r="U37" s="21">
        <f t="shared" si="46"/>
        <v>1</v>
      </c>
      <c r="V37" s="19">
        <f t="shared" si="46"/>
        <v>0.13419999999999987</v>
      </c>
      <c r="X37" s="29"/>
    </row>
    <row r="38" spans="1:24">
      <c r="A38" s="26" t="s">
        <v>13</v>
      </c>
      <c r="B38" s="26" t="s">
        <v>61</v>
      </c>
      <c r="C38" s="30">
        <v>12.2</v>
      </c>
      <c r="D38" s="27">
        <v>11.7</v>
      </c>
      <c r="E38" s="28">
        <v>43</v>
      </c>
      <c r="F38" s="16">
        <f t="shared" ref="F38:F40" si="47">(C38*D38*E38/1000)</f>
        <v>6.1378199999999987</v>
      </c>
      <c r="G38" s="17"/>
      <c r="H38" s="18"/>
      <c r="I38" s="19">
        <f t="shared" ref="I38:I40" si="48">(C38*D38*H38/1000)</f>
        <v>0</v>
      </c>
      <c r="J38" s="16"/>
      <c r="K38" s="18"/>
      <c r="L38" s="19">
        <f t="shared" ref="L38:L40" si="49">(C38*D38*K38/1000)</f>
        <v>0</v>
      </c>
      <c r="M38" s="16"/>
      <c r="N38" s="18"/>
      <c r="O38" s="19">
        <f t="shared" ref="O38:O40" si="50">(C38*D38*N38/1000)</f>
        <v>0</v>
      </c>
      <c r="P38" s="16"/>
      <c r="Q38" s="18"/>
      <c r="R38" s="19">
        <f t="shared" ref="R38:R40" si="51">(C38*D38*Q38/1000)</f>
        <v>0</v>
      </c>
      <c r="S38" s="20">
        <f t="shared" ref="S38:S40" si="52">+H38+K38+Q38+N38</f>
        <v>0</v>
      </c>
      <c r="T38" s="19">
        <f t="shared" ref="T38:T40" si="53">+I38+L38+R38+O38</f>
        <v>0</v>
      </c>
      <c r="U38" s="21">
        <f t="shared" ref="U38:U40" si="54">E38-S38</f>
        <v>43</v>
      </c>
      <c r="V38" s="19">
        <f t="shared" ref="V38:V40" si="55">F38-T38</f>
        <v>6.1378199999999987</v>
      </c>
      <c r="X38" s="29"/>
    </row>
    <row r="39" spans="1:24">
      <c r="A39" s="26" t="s">
        <v>13</v>
      </c>
      <c r="B39" s="26" t="s">
        <v>61</v>
      </c>
      <c r="C39" s="30">
        <v>12.2</v>
      </c>
      <c r="D39" s="27">
        <v>10.5</v>
      </c>
      <c r="E39" s="28"/>
      <c r="F39" s="16">
        <f t="shared" si="47"/>
        <v>0</v>
      </c>
      <c r="G39" s="17"/>
      <c r="H39" s="18"/>
      <c r="I39" s="19">
        <f t="shared" si="48"/>
        <v>0</v>
      </c>
      <c r="J39" s="16"/>
      <c r="K39" s="18">
        <v>22</v>
      </c>
      <c r="L39" s="19">
        <f t="shared" si="49"/>
        <v>2.8182</v>
      </c>
      <c r="M39" s="16"/>
      <c r="N39" s="18">
        <v>2</v>
      </c>
      <c r="O39" s="19">
        <f t="shared" si="50"/>
        <v>0.25619999999999998</v>
      </c>
      <c r="P39" s="16"/>
      <c r="Q39" s="18"/>
      <c r="R39" s="19">
        <f t="shared" si="51"/>
        <v>0</v>
      </c>
      <c r="S39" s="20">
        <f t="shared" si="52"/>
        <v>24</v>
      </c>
      <c r="T39" s="19">
        <f t="shared" si="53"/>
        <v>3.0743999999999998</v>
      </c>
      <c r="U39" s="21">
        <f t="shared" si="54"/>
        <v>-24</v>
      </c>
      <c r="V39" s="19">
        <f t="shared" si="55"/>
        <v>-3.0743999999999998</v>
      </c>
      <c r="X39" s="29"/>
    </row>
    <row r="40" spans="1:24">
      <c r="A40" s="26" t="s">
        <v>13</v>
      </c>
      <c r="B40" s="26" t="s">
        <v>61</v>
      </c>
      <c r="C40" s="30">
        <v>12.2</v>
      </c>
      <c r="D40" s="27">
        <v>10.4</v>
      </c>
      <c r="E40" s="28"/>
      <c r="F40" s="16">
        <f t="shared" si="47"/>
        <v>0</v>
      </c>
      <c r="G40" s="17"/>
      <c r="H40" s="18"/>
      <c r="I40" s="19">
        <f t="shared" si="48"/>
        <v>0</v>
      </c>
      <c r="J40" s="16"/>
      <c r="K40" s="18"/>
      <c r="L40" s="19">
        <f t="shared" si="49"/>
        <v>0</v>
      </c>
      <c r="M40" s="16"/>
      <c r="N40" s="18">
        <v>1</v>
      </c>
      <c r="O40" s="19">
        <f t="shared" si="50"/>
        <v>0.12687999999999999</v>
      </c>
      <c r="P40" s="16"/>
      <c r="Q40" s="18"/>
      <c r="R40" s="19">
        <f t="shared" si="51"/>
        <v>0</v>
      </c>
      <c r="S40" s="20">
        <f t="shared" si="52"/>
        <v>1</v>
      </c>
      <c r="T40" s="19">
        <f t="shared" si="53"/>
        <v>0.12687999999999999</v>
      </c>
      <c r="U40" s="21">
        <f t="shared" si="54"/>
        <v>-1</v>
      </c>
      <c r="V40" s="19">
        <f t="shared" si="55"/>
        <v>-0.12687999999999999</v>
      </c>
      <c r="X40" s="29"/>
    </row>
    <row r="41" spans="1:24">
      <c r="A41" s="26" t="s">
        <v>13</v>
      </c>
      <c r="B41" s="26" t="s">
        <v>61</v>
      </c>
      <c r="C41" s="30">
        <v>12.2</v>
      </c>
      <c r="D41" s="27"/>
      <c r="E41" s="28"/>
      <c r="F41" s="16">
        <f t="shared" si="40"/>
        <v>0</v>
      </c>
      <c r="G41" s="17"/>
      <c r="H41" s="18"/>
      <c r="I41" s="19">
        <f t="shared" si="41"/>
        <v>0</v>
      </c>
      <c r="J41" s="16"/>
      <c r="K41" s="18"/>
      <c r="L41" s="19">
        <f t="shared" si="42"/>
        <v>0</v>
      </c>
      <c r="M41" s="16"/>
      <c r="N41" s="18"/>
      <c r="O41" s="19">
        <f t="shared" si="43"/>
        <v>0</v>
      </c>
      <c r="P41" s="16"/>
      <c r="Q41" s="18"/>
      <c r="R41" s="19">
        <f t="shared" si="44"/>
        <v>0</v>
      </c>
      <c r="S41" s="20">
        <f t="shared" si="45"/>
        <v>0</v>
      </c>
      <c r="T41" s="19">
        <f t="shared" si="45"/>
        <v>0</v>
      </c>
      <c r="U41" s="21">
        <f t="shared" si="46"/>
        <v>0</v>
      </c>
      <c r="V41" s="19">
        <f t="shared" si="46"/>
        <v>0</v>
      </c>
      <c r="X41" s="29"/>
    </row>
    <row r="42" spans="1:24">
      <c r="A42" s="36"/>
      <c r="B42" s="36"/>
      <c r="C42" s="30"/>
      <c r="D42" s="38"/>
      <c r="E42" s="31">
        <f t="shared" ref="E42:F42" si="56">SUM(E33:E41)</f>
        <v>137</v>
      </c>
      <c r="F42" s="38">
        <f t="shared" si="56"/>
        <v>17.486259999999998</v>
      </c>
      <c r="G42" s="17"/>
      <c r="H42" s="31">
        <f t="shared" ref="H42" si="57">SUM(H33:H41)</f>
        <v>4</v>
      </c>
      <c r="I42" s="38">
        <f t="shared" ref="I42" si="58">SUM(I33:I41)</f>
        <v>0.41479999999999995</v>
      </c>
      <c r="J42" s="16"/>
      <c r="K42" s="31">
        <f t="shared" ref="K42" si="59">SUM(K33:K41)</f>
        <v>89</v>
      </c>
      <c r="L42" s="38">
        <f t="shared" ref="L42" si="60">SUM(L33:L41)</f>
        <v>10.760400000000001</v>
      </c>
      <c r="M42" s="16"/>
      <c r="N42" s="31">
        <f t="shared" ref="N42" si="61">SUM(N33:N41)</f>
        <v>8</v>
      </c>
      <c r="O42" s="38">
        <f t="shared" ref="O42" si="62">SUM(O33:O41)</f>
        <v>0.99307999999999996</v>
      </c>
      <c r="P42" s="16"/>
      <c r="Q42" s="31">
        <f t="shared" ref="Q42" si="63">SUM(Q33:Q41)</f>
        <v>0</v>
      </c>
      <c r="R42" s="38">
        <f t="shared" ref="R42" si="64">SUM(R33:R41)</f>
        <v>0</v>
      </c>
      <c r="S42" s="31">
        <f t="shared" ref="S42" si="65">SUM(S33:S41)</f>
        <v>101</v>
      </c>
      <c r="T42" s="38">
        <f t="shared" ref="T42" si="66">SUM(T33:T41)</f>
        <v>12.168279999999999</v>
      </c>
      <c r="U42" s="31">
        <f t="shared" ref="U42" si="67">SUM(U33:U41)</f>
        <v>36</v>
      </c>
      <c r="V42" s="38">
        <f t="shared" ref="V42" si="68">SUM(V33:V41)</f>
        <v>5.3179799999999995</v>
      </c>
      <c r="X42" s="29"/>
    </row>
    <row r="43" spans="1:24">
      <c r="A43" s="26" t="s">
        <v>13</v>
      </c>
      <c r="B43" s="26" t="s">
        <v>18</v>
      </c>
      <c r="C43" s="30">
        <v>16.600000000000001</v>
      </c>
      <c r="D43" s="27">
        <v>7.8</v>
      </c>
      <c r="E43" s="28">
        <v>1</v>
      </c>
      <c r="F43" s="16">
        <f t="shared" ref="F43:F57" si="69">(C43*D43*E43/1000)</f>
        <v>0.12948000000000001</v>
      </c>
      <c r="G43" s="17" t="s">
        <v>295</v>
      </c>
      <c r="H43" s="18"/>
      <c r="I43" s="19">
        <f t="shared" ref="I43:I57" si="70">(C43*D43*H43/1000)</f>
        <v>0</v>
      </c>
      <c r="J43" s="17" t="s">
        <v>295</v>
      </c>
      <c r="K43" s="18"/>
      <c r="L43" s="19">
        <f t="shared" ref="L43:L57" si="71">(C43*D43*K43/1000)</f>
        <v>0</v>
      </c>
      <c r="M43" s="16" t="s">
        <v>114</v>
      </c>
      <c r="N43" s="18"/>
      <c r="O43" s="19">
        <f t="shared" ref="O43:O57" si="72">(C43*D43*N43/1000)</f>
        <v>0</v>
      </c>
      <c r="P43" s="16" t="s">
        <v>93</v>
      </c>
      <c r="Q43" s="18"/>
      <c r="R43" s="19">
        <f t="shared" ref="R43:R57" si="73">(C43*D43*Q43/1000)</f>
        <v>0</v>
      </c>
      <c r="S43" s="20">
        <f t="shared" ref="S43:S57" si="74">+H43+K43+Q43+N43</f>
        <v>0</v>
      </c>
      <c r="T43" s="19">
        <f t="shared" ref="T43:T57" si="75">+I43+L43+R43+O43</f>
        <v>0</v>
      </c>
      <c r="U43" s="21">
        <f t="shared" ref="U43:U57" si="76">E43-S43</f>
        <v>1</v>
      </c>
      <c r="V43" s="19">
        <f t="shared" ref="V43:V57" si="77">F43-T43</f>
        <v>0.12948000000000001</v>
      </c>
      <c r="X43" s="29"/>
    </row>
    <row r="44" spans="1:24">
      <c r="A44" s="26" t="s">
        <v>13</v>
      </c>
      <c r="B44" s="26" t="s">
        <v>18</v>
      </c>
      <c r="C44" s="30">
        <v>16.600000000000001</v>
      </c>
      <c r="D44" s="27">
        <v>8</v>
      </c>
      <c r="E44" s="28">
        <v>12</v>
      </c>
      <c r="F44" s="16">
        <f t="shared" si="69"/>
        <v>1.5936000000000001</v>
      </c>
      <c r="G44" s="17" t="s">
        <v>399</v>
      </c>
      <c r="H44" s="18"/>
      <c r="I44" s="19">
        <f t="shared" si="70"/>
        <v>0</v>
      </c>
      <c r="J44" s="17" t="s">
        <v>401</v>
      </c>
      <c r="K44" s="18">
        <v>12</v>
      </c>
      <c r="L44" s="19">
        <f t="shared" si="71"/>
        <v>1.5936000000000001</v>
      </c>
      <c r="M44" s="16" t="s">
        <v>401</v>
      </c>
      <c r="N44" s="18"/>
      <c r="O44" s="19">
        <f t="shared" si="72"/>
        <v>0</v>
      </c>
      <c r="P44" s="16" t="s">
        <v>409</v>
      </c>
      <c r="Q44" s="18"/>
      <c r="R44" s="19">
        <f t="shared" si="73"/>
        <v>0</v>
      </c>
      <c r="S44" s="20">
        <f t="shared" si="74"/>
        <v>12</v>
      </c>
      <c r="T44" s="19">
        <f t="shared" si="75"/>
        <v>1.5936000000000001</v>
      </c>
      <c r="U44" s="21">
        <f t="shared" si="76"/>
        <v>0</v>
      </c>
      <c r="V44" s="19">
        <f t="shared" si="77"/>
        <v>0</v>
      </c>
      <c r="X44" s="29"/>
    </row>
    <row r="45" spans="1:24">
      <c r="A45" s="26" t="s">
        <v>13</v>
      </c>
      <c r="B45" s="26" t="s">
        <v>18</v>
      </c>
      <c r="C45" s="30">
        <v>16.600000000000001</v>
      </c>
      <c r="D45" s="27">
        <v>8.6999999999999993</v>
      </c>
      <c r="E45" s="28">
        <v>23</v>
      </c>
      <c r="F45" s="16">
        <f t="shared" si="69"/>
        <v>3.3216600000000001</v>
      </c>
      <c r="G45" s="17"/>
      <c r="H45" s="18">
        <v>12</v>
      </c>
      <c r="I45" s="19">
        <f t="shared" si="70"/>
        <v>1.7330399999999999</v>
      </c>
      <c r="J45" s="16"/>
      <c r="K45" s="18"/>
      <c r="L45" s="19">
        <f t="shared" si="71"/>
        <v>0</v>
      </c>
      <c r="M45" s="16"/>
      <c r="N45" s="18"/>
      <c r="O45" s="19">
        <f t="shared" si="72"/>
        <v>0</v>
      </c>
      <c r="P45" s="16"/>
      <c r="Q45" s="18">
        <v>8</v>
      </c>
      <c r="R45" s="19">
        <f t="shared" si="73"/>
        <v>1.1553599999999999</v>
      </c>
      <c r="S45" s="20">
        <f t="shared" si="74"/>
        <v>20</v>
      </c>
      <c r="T45" s="19">
        <f t="shared" si="75"/>
        <v>2.8883999999999999</v>
      </c>
      <c r="U45" s="21">
        <f t="shared" si="76"/>
        <v>3</v>
      </c>
      <c r="V45" s="19">
        <f t="shared" si="77"/>
        <v>0.4332600000000002</v>
      </c>
      <c r="X45" s="29"/>
    </row>
    <row r="46" spans="1:24">
      <c r="A46" s="26" t="s">
        <v>13</v>
      </c>
      <c r="B46" s="26" t="s">
        <v>18</v>
      </c>
      <c r="C46" s="30">
        <v>16.600000000000001</v>
      </c>
      <c r="D46" s="27">
        <v>10</v>
      </c>
      <c r="E46" s="28">
        <v>29</v>
      </c>
      <c r="F46" s="16">
        <f t="shared" si="69"/>
        <v>4.8140000000000001</v>
      </c>
      <c r="G46" s="17"/>
      <c r="H46" s="18">
        <v>2</v>
      </c>
      <c r="I46" s="19">
        <f t="shared" si="70"/>
        <v>0.33200000000000002</v>
      </c>
      <c r="J46" s="16"/>
      <c r="K46" s="18">
        <v>12</v>
      </c>
      <c r="L46" s="19">
        <f t="shared" si="71"/>
        <v>1.992</v>
      </c>
      <c r="M46" s="16"/>
      <c r="N46" s="18">
        <v>12</v>
      </c>
      <c r="O46" s="19">
        <f t="shared" si="72"/>
        <v>1.992</v>
      </c>
      <c r="P46" s="16"/>
      <c r="Q46" s="18">
        <v>1</v>
      </c>
      <c r="R46" s="19">
        <f t="shared" si="73"/>
        <v>0.16600000000000001</v>
      </c>
      <c r="S46" s="20">
        <f t="shared" si="74"/>
        <v>27</v>
      </c>
      <c r="T46" s="19">
        <f t="shared" si="75"/>
        <v>4.4819999999999993</v>
      </c>
      <c r="U46" s="21">
        <f t="shared" si="76"/>
        <v>2</v>
      </c>
      <c r="V46" s="19">
        <f t="shared" si="77"/>
        <v>0.33200000000000074</v>
      </c>
      <c r="X46" s="29"/>
    </row>
    <row r="47" spans="1:24">
      <c r="A47" s="26" t="s">
        <v>13</v>
      </c>
      <c r="B47" s="26" t="s">
        <v>18</v>
      </c>
      <c r="C47" s="30">
        <v>16.600000000000001</v>
      </c>
      <c r="D47" s="27">
        <v>10.8</v>
      </c>
      <c r="E47" s="28">
        <v>28</v>
      </c>
      <c r="F47" s="16">
        <f t="shared" si="69"/>
        <v>5.0198400000000012</v>
      </c>
      <c r="G47" s="17"/>
      <c r="H47" s="18">
        <v>17</v>
      </c>
      <c r="I47" s="19">
        <f t="shared" si="70"/>
        <v>3.0477600000000007</v>
      </c>
      <c r="J47" s="16"/>
      <c r="K47" s="18"/>
      <c r="L47" s="19">
        <f t="shared" si="71"/>
        <v>0</v>
      </c>
      <c r="M47" s="16"/>
      <c r="N47" s="18">
        <v>12</v>
      </c>
      <c r="O47" s="19">
        <f t="shared" si="72"/>
        <v>2.1513600000000004</v>
      </c>
      <c r="P47" s="16"/>
      <c r="Q47" s="18"/>
      <c r="R47" s="19">
        <f t="shared" si="73"/>
        <v>0</v>
      </c>
      <c r="S47" s="20">
        <f t="shared" si="74"/>
        <v>29</v>
      </c>
      <c r="T47" s="19">
        <f t="shared" si="75"/>
        <v>5.1991200000000006</v>
      </c>
      <c r="U47" s="21">
        <f t="shared" si="76"/>
        <v>-1</v>
      </c>
      <c r="V47" s="19">
        <f t="shared" si="77"/>
        <v>-0.17927999999999944</v>
      </c>
      <c r="X47" s="29"/>
    </row>
    <row r="48" spans="1:24">
      <c r="A48" s="26" t="s">
        <v>13</v>
      </c>
      <c r="B48" s="26" t="s">
        <v>18</v>
      </c>
      <c r="C48" s="30">
        <v>16.600000000000001</v>
      </c>
      <c r="D48" s="27">
        <v>11</v>
      </c>
      <c r="E48" s="28">
        <v>20</v>
      </c>
      <c r="F48" s="16">
        <f t="shared" si="69"/>
        <v>3.6520000000000006</v>
      </c>
      <c r="G48" s="17"/>
      <c r="H48" s="18"/>
      <c r="I48" s="19">
        <f t="shared" si="70"/>
        <v>0</v>
      </c>
      <c r="J48" s="16"/>
      <c r="K48" s="18">
        <v>12</v>
      </c>
      <c r="L48" s="19">
        <f t="shared" si="71"/>
        <v>2.1912000000000003</v>
      </c>
      <c r="M48" s="16"/>
      <c r="N48" s="18"/>
      <c r="O48" s="19">
        <f t="shared" si="72"/>
        <v>0</v>
      </c>
      <c r="P48" s="16"/>
      <c r="Q48" s="18">
        <v>4</v>
      </c>
      <c r="R48" s="19">
        <f t="shared" si="73"/>
        <v>0.73040000000000005</v>
      </c>
      <c r="S48" s="20">
        <f t="shared" si="74"/>
        <v>16</v>
      </c>
      <c r="T48" s="19">
        <f t="shared" si="75"/>
        <v>2.9216000000000002</v>
      </c>
      <c r="U48" s="21">
        <f t="shared" si="76"/>
        <v>4</v>
      </c>
      <c r="V48" s="19">
        <f t="shared" si="77"/>
        <v>0.73040000000000038</v>
      </c>
      <c r="X48" s="29"/>
    </row>
    <row r="49" spans="1:24">
      <c r="A49" s="26" t="s">
        <v>13</v>
      </c>
      <c r="B49" s="26" t="s">
        <v>18</v>
      </c>
      <c r="C49" s="30">
        <v>16.600000000000001</v>
      </c>
      <c r="D49" s="27">
        <v>11.2</v>
      </c>
      <c r="E49" s="28">
        <v>20</v>
      </c>
      <c r="F49" s="16">
        <f t="shared" si="69"/>
        <v>3.7184000000000004</v>
      </c>
      <c r="G49" s="17"/>
      <c r="H49" s="18">
        <v>19</v>
      </c>
      <c r="I49" s="19">
        <f t="shared" si="70"/>
        <v>3.5324800000000005</v>
      </c>
      <c r="J49" s="16"/>
      <c r="K49" s="18"/>
      <c r="L49" s="19">
        <f t="shared" si="71"/>
        <v>0</v>
      </c>
      <c r="M49" s="16"/>
      <c r="N49" s="18"/>
      <c r="O49" s="19">
        <f t="shared" si="72"/>
        <v>0</v>
      </c>
      <c r="P49" s="16"/>
      <c r="Q49" s="18">
        <v>3</v>
      </c>
      <c r="R49" s="19">
        <f t="shared" si="73"/>
        <v>0.55776000000000003</v>
      </c>
      <c r="S49" s="20">
        <f t="shared" si="74"/>
        <v>22</v>
      </c>
      <c r="T49" s="19">
        <f t="shared" si="75"/>
        <v>4.0902400000000005</v>
      </c>
      <c r="U49" s="21">
        <f t="shared" si="76"/>
        <v>-2</v>
      </c>
      <c r="V49" s="19">
        <f t="shared" si="77"/>
        <v>-0.37184000000000017</v>
      </c>
      <c r="X49" s="29"/>
    </row>
    <row r="50" spans="1:24">
      <c r="A50" s="26" t="s">
        <v>13</v>
      </c>
      <c r="B50" s="26" t="s">
        <v>18</v>
      </c>
      <c r="C50" s="30">
        <v>16.600000000000001</v>
      </c>
      <c r="D50" s="27">
        <v>11.3</v>
      </c>
      <c r="E50" s="28">
        <v>38</v>
      </c>
      <c r="F50" s="16">
        <f t="shared" si="69"/>
        <v>7.1280400000000022</v>
      </c>
      <c r="G50" s="17"/>
      <c r="H50" s="18">
        <v>13</v>
      </c>
      <c r="I50" s="19">
        <f t="shared" si="70"/>
        <v>2.4385400000000006</v>
      </c>
      <c r="J50" s="16"/>
      <c r="K50" s="18"/>
      <c r="L50" s="19">
        <f t="shared" si="71"/>
        <v>0</v>
      </c>
      <c r="M50" s="16"/>
      <c r="N50" s="18">
        <v>15</v>
      </c>
      <c r="O50" s="19">
        <f t="shared" si="72"/>
        <v>2.8137000000000008</v>
      </c>
      <c r="P50" s="16"/>
      <c r="Q50" s="18">
        <v>9</v>
      </c>
      <c r="R50" s="19">
        <f t="shared" si="73"/>
        <v>1.6882200000000003</v>
      </c>
      <c r="S50" s="20">
        <f t="shared" si="74"/>
        <v>37</v>
      </c>
      <c r="T50" s="19">
        <f t="shared" si="75"/>
        <v>6.9404600000000016</v>
      </c>
      <c r="U50" s="21">
        <f t="shared" si="76"/>
        <v>1</v>
      </c>
      <c r="V50" s="19">
        <f t="shared" si="77"/>
        <v>0.18758000000000052</v>
      </c>
      <c r="X50" s="29"/>
    </row>
    <row r="51" spans="1:24">
      <c r="A51" s="26" t="s">
        <v>13</v>
      </c>
      <c r="B51" s="26" t="s">
        <v>18</v>
      </c>
      <c r="C51" s="30">
        <v>16.600000000000001</v>
      </c>
      <c r="D51" s="27">
        <v>12</v>
      </c>
      <c r="E51" s="28">
        <v>47</v>
      </c>
      <c r="F51" s="16">
        <f t="shared" ref="F51:F56" si="78">(C51*D51*E51/1000)</f>
        <v>9.3624000000000009</v>
      </c>
      <c r="G51" s="17"/>
      <c r="H51" s="18"/>
      <c r="I51" s="19">
        <f t="shared" ref="I51:I56" si="79">(C51*D51*H51/1000)</f>
        <v>0</v>
      </c>
      <c r="J51" s="16"/>
      <c r="K51" s="18"/>
      <c r="L51" s="19">
        <f t="shared" ref="L51:L56" si="80">(C51*D51*K51/1000)</f>
        <v>0</v>
      </c>
      <c r="M51" s="16"/>
      <c r="N51" s="18">
        <v>16</v>
      </c>
      <c r="O51" s="19">
        <f t="shared" ref="O51:O56" si="81">(C51*D51*N51/1000)</f>
        <v>3.1872000000000003</v>
      </c>
      <c r="P51" s="16"/>
      <c r="Q51" s="18">
        <v>32</v>
      </c>
      <c r="R51" s="19">
        <f t="shared" ref="R51:R56" si="82">(C51*D51*Q51/1000)</f>
        <v>6.3744000000000005</v>
      </c>
      <c r="S51" s="20">
        <f t="shared" ref="S51:S56" si="83">+H51+K51+Q51+N51</f>
        <v>48</v>
      </c>
      <c r="T51" s="19">
        <f t="shared" ref="T51:T56" si="84">+I51+L51+R51+O51</f>
        <v>9.5616000000000003</v>
      </c>
      <c r="U51" s="21">
        <f t="shared" ref="U51:U56" si="85">E51-S51</f>
        <v>-1</v>
      </c>
      <c r="V51" s="19">
        <f t="shared" ref="V51:V56" si="86">F51-T51</f>
        <v>-0.19919999999999938</v>
      </c>
      <c r="X51" s="29"/>
    </row>
    <row r="52" spans="1:24">
      <c r="A52" s="26" t="s">
        <v>13</v>
      </c>
      <c r="B52" s="26" t="s">
        <v>18</v>
      </c>
      <c r="C52" s="30">
        <v>16.600000000000001</v>
      </c>
      <c r="D52" s="27">
        <v>10.4</v>
      </c>
      <c r="E52" s="28"/>
      <c r="F52" s="16">
        <f t="shared" si="78"/>
        <v>0</v>
      </c>
      <c r="G52" s="17"/>
      <c r="H52" s="18"/>
      <c r="I52" s="19">
        <f t="shared" si="79"/>
        <v>0</v>
      </c>
      <c r="J52" s="16"/>
      <c r="K52" s="18"/>
      <c r="L52" s="19">
        <f t="shared" si="80"/>
        <v>0</v>
      </c>
      <c r="M52" s="16"/>
      <c r="N52" s="18"/>
      <c r="O52" s="19">
        <f t="shared" si="81"/>
        <v>0</v>
      </c>
      <c r="P52" s="16"/>
      <c r="Q52" s="18">
        <v>2</v>
      </c>
      <c r="R52" s="19">
        <f t="shared" si="82"/>
        <v>0.34528000000000003</v>
      </c>
      <c r="S52" s="20">
        <f t="shared" si="83"/>
        <v>2</v>
      </c>
      <c r="T52" s="19">
        <f t="shared" si="84"/>
        <v>0.34528000000000003</v>
      </c>
      <c r="U52" s="21">
        <f t="shared" si="85"/>
        <v>-2</v>
      </c>
      <c r="V52" s="19">
        <f t="shared" si="86"/>
        <v>-0.34528000000000003</v>
      </c>
      <c r="X52" s="29"/>
    </row>
    <row r="53" spans="1:24">
      <c r="A53" s="26" t="s">
        <v>13</v>
      </c>
      <c r="B53" s="26" t="s">
        <v>18</v>
      </c>
      <c r="C53" s="30">
        <v>16.600000000000001</v>
      </c>
      <c r="D53" s="27">
        <v>10.5</v>
      </c>
      <c r="E53" s="28"/>
      <c r="F53" s="16">
        <f t="shared" si="78"/>
        <v>0</v>
      </c>
      <c r="G53" s="17"/>
      <c r="H53" s="18"/>
      <c r="I53" s="19">
        <f t="shared" si="79"/>
        <v>0</v>
      </c>
      <c r="J53" s="16"/>
      <c r="K53" s="18"/>
      <c r="L53" s="19">
        <f t="shared" si="80"/>
        <v>0</v>
      </c>
      <c r="M53" s="16"/>
      <c r="N53" s="18"/>
      <c r="O53" s="19">
        <f t="shared" si="81"/>
        <v>0</v>
      </c>
      <c r="P53" s="16"/>
      <c r="Q53" s="18">
        <v>5</v>
      </c>
      <c r="R53" s="19">
        <f t="shared" si="82"/>
        <v>0.87150000000000005</v>
      </c>
      <c r="S53" s="20">
        <f t="shared" si="83"/>
        <v>5</v>
      </c>
      <c r="T53" s="19">
        <f t="shared" si="84"/>
        <v>0.87150000000000005</v>
      </c>
      <c r="U53" s="21">
        <f t="shared" si="85"/>
        <v>-5</v>
      </c>
      <c r="V53" s="19">
        <f t="shared" si="86"/>
        <v>-0.87150000000000005</v>
      </c>
      <c r="X53" s="29"/>
    </row>
    <row r="54" spans="1:24">
      <c r="A54" s="26" t="s">
        <v>13</v>
      </c>
      <c r="B54" s="26" t="s">
        <v>18</v>
      </c>
      <c r="C54" s="30">
        <v>16.600000000000001</v>
      </c>
      <c r="D54" s="27"/>
      <c r="E54" s="28"/>
      <c r="F54" s="16">
        <f t="shared" si="78"/>
        <v>0</v>
      </c>
      <c r="G54" s="17"/>
      <c r="H54" s="18"/>
      <c r="I54" s="19">
        <f t="shared" si="79"/>
        <v>0</v>
      </c>
      <c r="J54" s="16"/>
      <c r="K54" s="18"/>
      <c r="L54" s="19">
        <f t="shared" si="80"/>
        <v>0</v>
      </c>
      <c r="M54" s="16"/>
      <c r="N54" s="18"/>
      <c r="O54" s="19">
        <f t="shared" si="81"/>
        <v>0</v>
      </c>
      <c r="P54" s="16"/>
      <c r="Q54" s="18"/>
      <c r="R54" s="19">
        <f t="shared" si="82"/>
        <v>0</v>
      </c>
      <c r="S54" s="20">
        <f t="shared" si="83"/>
        <v>0</v>
      </c>
      <c r="T54" s="19">
        <f t="shared" si="84"/>
        <v>0</v>
      </c>
      <c r="U54" s="21">
        <f t="shared" si="85"/>
        <v>0</v>
      </c>
      <c r="V54" s="19">
        <f t="shared" si="86"/>
        <v>0</v>
      </c>
      <c r="X54" s="29"/>
    </row>
    <row r="55" spans="1:24">
      <c r="A55" s="26" t="s">
        <v>13</v>
      </c>
      <c r="B55" s="26" t="s">
        <v>18</v>
      </c>
      <c r="C55" s="30">
        <v>16.600000000000001</v>
      </c>
      <c r="D55" s="27"/>
      <c r="E55" s="28"/>
      <c r="F55" s="16">
        <f t="shared" si="78"/>
        <v>0</v>
      </c>
      <c r="G55" s="17"/>
      <c r="H55" s="18"/>
      <c r="I55" s="19">
        <f t="shared" si="79"/>
        <v>0</v>
      </c>
      <c r="J55" s="16"/>
      <c r="K55" s="18"/>
      <c r="L55" s="19">
        <f t="shared" si="80"/>
        <v>0</v>
      </c>
      <c r="M55" s="16"/>
      <c r="N55" s="18"/>
      <c r="O55" s="19">
        <f t="shared" si="81"/>
        <v>0</v>
      </c>
      <c r="P55" s="16"/>
      <c r="Q55" s="18"/>
      <c r="R55" s="19">
        <f t="shared" si="82"/>
        <v>0</v>
      </c>
      <c r="S55" s="20">
        <f t="shared" si="83"/>
        <v>0</v>
      </c>
      <c r="T55" s="19">
        <f t="shared" si="84"/>
        <v>0</v>
      </c>
      <c r="U55" s="21">
        <f t="shared" si="85"/>
        <v>0</v>
      </c>
      <c r="V55" s="19">
        <f t="shared" si="86"/>
        <v>0</v>
      </c>
      <c r="X55" s="29"/>
    </row>
    <row r="56" spans="1:24">
      <c r="A56" s="26" t="s">
        <v>13</v>
      </c>
      <c r="B56" s="26" t="s">
        <v>18</v>
      </c>
      <c r="C56" s="30">
        <v>16.600000000000001</v>
      </c>
      <c r="D56" s="27"/>
      <c r="E56" s="28"/>
      <c r="F56" s="16">
        <f t="shared" si="78"/>
        <v>0</v>
      </c>
      <c r="G56" s="17"/>
      <c r="H56" s="18"/>
      <c r="I56" s="19">
        <f t="shared" si="79"/>
        <v>0</v>
      </c>
      <c r="J56" s="16"/>
      <c r="K56" s="18"/>
      <c r="L56" s="19">
        <f t="shared" si="80"/>
        <v>0</v>
      </c>
      <c r="M56" s="16"/>
      <c r="N56" s="18"/>
      <c r="O56" s="19">
        <f t="shared" si="81"/>
        <v>0</v>
      </c>
      <c r="P56" s="16"/>
      <c r="Q56" s="18"/>
      <c r="R56" s="19">
        <f t="shared" si="82"/>
        <v>0</v>
      </c>
      <c r="S56" s="20">
        <f t="shared" si="83"/>
        <v>0</v>
      </c>
      <c r="T56" s="19">
        <f t="shared" si="84"/>
        <v>0</v>
      </c>
      <c r="U56" s="21">
        <f t="shared" si="85"/>
        <v>0</v>
      </c>
      <c r="V56" s="19">
        <f t="shared" si="86"/>
        <v>0</v>
      </c>
      <c r="X56" s="29"/>
    </row>
    <row r="57" spans="1:24">
      <c r="A57" s="26" t="s">
        <v>13</v>
      </c>
      <c r="B57" s="26" t="s">
        <v>18</v>
      </c>
      <c r="C57" s="30">
        <v>16.600000000000001</v>
      </c>
      <c r="D57" s="27"/>
      <c r="E57" s="28"/>
      <c r="F57" s="16">
        <f t="shared" si="69"/>
        <v>0</v>
      </c>
      <c r="G57" s="17"/>
      <c r="H57" s="18"/>
      <c r="I57" s="19">
        <f t="shared" si="70"/>
        <v>0</v>
      </c>
      <c r="J57" s="16"/>
      <c r="K57" s="18"/>
      <c r="L57" s="19">
        <f t="shared" si="71"/>
        <v>0</v>
      </c>
      <c r="M57" s="16"/>
      <c r="N57" s="18"/>
      <c r="O57" s="19">
        <f t="shared" si="72"/>
        <v>0</v>
      </c>
      <c r="P57" s="16"/>
      <c r="Q57" s="18"/>
      <c r="R57" s="19">
        <f t="shared" si="73"/>
        <v>0</v>
      </c>
      <c r="S57" s="20">
        <f t="shared" si="74"/>
        <v>0</v>
      </c>
      <c r="T57" s="19">
        <f t="shared" si="75"/>
        <v>0</v>
      </c>
      <c r="U57" s="21">
        <f t="shared" si="76"/>
        <v>0</v>
      </c>
      <c r="V57" s="19">
        <f t="shared" si="77"/>
        <v>0</v>
      </c>
      <c r="X57" s="29"/>
    </row>
    <row r="58" spans="1:24">
      <c r="A58" s="36"/>
      <c r="B58" s="36"/>
      <c r="C58" s="30"/>
      <c r="D58" s="38"/>
      <c r="E58" s="31">
        <f>SUM(E43:E57)</f>
        <v>218</v>
      </c>
      <c r="F58" s="38">
        <f>SUM(F43:F57)</f>
        <v>38.73942000000001</v>
      </c>
      <c r="G58" s="17"/>
      <c r="H58" s="31">
        <f t="shared" ref="H58" si="87">SUM(H43:H57)</f>
        <v>63</v>
      </c>
      <c r="I58" s="38">
        <f t="shared" ref="I58" si="88">SUM(I43:I57)</f>
        <v>11.083819999999999</v>
      </c>
      <c r="J58" s="16"/>
      <c r="K58" s="31">
        <f t="shared" ref="K58" si="89">SUM(K43:K57)</f>
        <v>36</v>
      </c>
      <c r="L58" s="38">
        <f t="shared" ref="L58" si="90">SUM(L43:L57)</f>
        <v>5.7768000000000006</v>
      </c>
      <c r="M58" s="16"/>
      <c r="N58" s="31">
        <f t="shared" ref="N58" si="91">SUM(N43:N57)</f>
        <v>55</v>
      </c>
      <c r="O58" s="38">
        <f t="shared" ref="O58" si="92">SUM(O43:O57)</f>
        <v>10.144260000000001</v>
      </c>
      <c r="P58" s="16"/>
      <c r="Q58" s="31">
        <f t="shared" ref="Q58" si="93">SUM(Q43:Q57)</f>
        <v>64</v>
      </c>
      <c r="R58" s="38">
        <f t="shared" ref="R58" si="94">SUM(R43:R57)</f>
        <v>11.888920000000001</v>
      </c>
      <c r="S58" s="31">
        <f t="shared" ref="S58" si="95">SUM(S43:S57)</f>
        <v>218</v>
      </c>
      <c r="T58" s="38">
        <f t="shared" ref="T58" si="96">SUM(T43:T57)</f>
        <v>38.893800000000006</v>
      </c>
      <c r="U58" s="31">
        <f t="shared" ref="U58" si="97">SUM(U43:U57)</f>
        <v>0</v>
      </c>
      <c r="V58" s="38">
        <f t="shared" ref="V58" si="98">SUM(V43:V57)</f>
        <v>-0.15437999999999719</v>
      </c>
      <c r="X58" s="29"/>
    </row>
    <row r="59" spans="1:24">
      <c r="A59" s="26" t="s">
        <v>13</v>
      </c>
      <c r="B59" s="26" t="s">
        <v>31</v>
      </c>
      <c r="C59" s="30">
        <v>10.199999999999999</v>
      </c>
      <c r="D59" s="27">
        <v>7</v>
      </c>
      <c r="E59" s="28">
        <v>5</v>
      </c>
      <c r="F59" s="16">
        <f>(C59*D59*E59/1000)</f>
        <v>0.35699999999999993</v>
      </c>
      <c r="G59" s="17" t="s">
        <v>295</v>
      </c>
      <c r="H59" s="18"/>
      <c r="I59" s="19">
        <f>(C59*D59*H59/1000)</f>
        <v>0</v>
      </c>
      <c r="J59" s="16"/>
      <c r="K59" s="18"/>
      <c r="L59" s="19">
        <f>(C59*D59*K59/1000)</f>
        <v>0</v>
      </c>
      <c r="M59" s="16"/>
      <c r="N59" s="18"/>
      <c r="O59" s="19">
        <f>(C59*D59*N59/1000)</f>
        <v>0</v>
      </c>
      <c r="P59" s="16"/>
      <c r="Q59" s="18"/>
      <c r="R59" s="19">
        <f>(C59*D59*Q59/1000)</f>
        <v>0</v>
      </c>
      <c r="S59" s="20">
        <f>+H59+K59+Q59+N59</f>
        <v>0</v>
      </c>
      <c r="T59" s="19">
        <f>+I59+L59+R59+O59</f>
        <v>0</v>
      </c>
      <c r="U59" s="21">
        <f>E59-S59</f>
        <v>5</v>
      </c>
      <c r="V59" s="19">
        <f>F59-T59</f>
        <v>0.35699999999999993</v>
      </c>
      <c r="X59" s="29"/>
    </row>
    <row r="60" spans="1:24">
      <c r="A60" s="26" t="s">
        <v>13</v>
      </c>
      <c r="B60" s="26" t="s">
        <v>31</v>
      </c>
      <c r="C60" s="30">
        <v>10.199999999999999</v>
      </c>
      <c r="D60" s="27">
        <v>9.3000000000000007</v>
      </c>
      <c r="E60" s="28"/>
      <c r="F60" s="16">
        <f>(C60*D60*E60/1000)</f>
        <v>0</v>
      </c>
      <c r="G60" s="17" t="s">
        <v>296</v>
      </c>
      <c r="H60" s="18">
        <v>5</v>
      </c>
      <c r="I60" s="19">
        <f>(C60*D60*H60/1000)</f>
        <v>0.4743</v>
      </c>
      <c r="J60" s="16"/>
      <c r="K60" s="18"/>
      <c r="L60" s="19">
        <f>(C60*D60*K60/1000)</f>
        <v>0</v>
      </c>
      <c r="M60" s="16"/>
      <c r="N60" s="18"/>
      <c r="O60" s="19">
        <f>(C60*D60*N60/1000)</f>
        <v>0</v>
      </c>
      <c r="P60" s="16"/>
      <c r="Q60" s="18"/>
      <c r="R60" s="19">
        <f>(C60*D60*Q60/1000)</f>
        <v>0</v>
      </c>
      <c r="S60" s="20">
        <f>+H60+K60+Q60+N60</f>
        <v>5</v>
      </c>
      <c r="T60" s="19">
        <f>+I60+L60+R60+O60</f>
        <v>0.4743</v>
      </c>
      <c r="U60" s="21">
        <f>E60-S60</f>
        <v>-5</v>
      </c>
      <c r="V60" s="19">
        <f>F60-T60</f>
        <v>-0.4743</v>
      </c>
      <c r="X60" s="29"/>
    </row>
    <row r="61" spans="1:24">
      <c r="A61" s="36"/>
      <c r="B61" s="36"/>
      <c r="C61" s="30"/>
      <c r="D61" s="38"/>
      <c r="E61" s="31">
        <f t="shared" ref="E61:F61" si="99">SUM(E59:E60)</f>
        <v>5</v>
      </c>
      <c r="F61" s="38">
        <f t="shared" si="99"/>
        <v>0.35699999999999993</v>
      </c>
      <c r="G61" s="17"/>
      <c r="H61" s="31">
        <f t="shared" ref="H61" si="100">SUM(H59:H60)</f>
        <v>5</v>
      </c>
      <c r="I61" s="38">
        <f t="shared" ref="I61" si="101">SUM(I59:I60)</f>
        <v>0.4743</v>
      </c>
      <c r="J61" s="16"/>
      <c r="K61" s="31">
        <f t="shared" ref="K61" si="102">SUM(K59:K60)</f>
        <v>0</v>
      </c>
      <c r="L61" s="38">
        <f t="shared" ref="L61" si="103">SUM(L59:L60)</f>
        <v>0</v>
      </c>
      <c r="M61" s="16"/>
      <c r="N61" s="31">
        <f t="shared" ref="N61" si="104">SUM(N59:N60)</f>
        <v>0</v>
      </c>
      <c r="O61" s="38">
        <f t="shared" ref="O61" si="105">SUM(O59:O60)</f>
        <v>0</v>
      </c>
      <c r="P61" s="16"/>
      <c r="Q61" s="31">
        <f t="shared" ref="Q61" si="106">SUM(Q59:Q60)</f>
        <v>0</v>
      </c>
      <c r="R61" s="38">
        <f t="shared" ref="R61" si="107">SUM(R59:R60)</f>
        <v>0</v>
      </c>
      <c r="S61" s="31">
        <f t="shared" ref="S61" si="108">SUM(S59:S60)</f>
        <v>5</v>
      </c>
      <c r="T61" s="38">
        <f t="shared" ref="T61" si="109">SUM(T59:T60)</f>
        <v>0.4743</v>
      </c>
      <c r="U61" s="31">
        <f t="shared" ref="U61" si="110">SUM(U59:U60)</f>
        <v>0</v>
      </c>
      <c r="V61" s="38">
        <f t="shared" ref="V61" si="111">SUM(V59:V60)</f>
        <v>-0.11730000000000007</v>
      </c>
      <c r="X61" s="29"/>
    </row>
    <row r="62" spans="1:24">
      <c r="A62" s="26" t="s">
        <v>13</v>
      </c>
      <c r="B62" s="26" t="s">
        <v>32</v>
      </c>
      <c r="C62" s="30">
        <v>11.8</v>
      </c>
      <c r="D62" s="27">
        <v>7.3</v>
      </c>
      <c r="E62" s="28">
        <v>16</v>
      </c>
      <c r="F62" s="16">
        <f t="shared" ref="F62:F76" si="112">(C62*D62*E62/1000)</f>
        <v>1.3782399999999999</v>
      </c>
      <c r="G62" s="16" t="s">
        <v>111</v>
      </c>
      <c r="H62" s="18">
        <v>8</v>
      </c>
      <c r="I62" s="19">
        <f t="shared" ref="I62:I76" si="113">(C62*D62*H62/1000)</f>
        <v>0.68911999999999995</v>
      </c>
      <c r="J62" s="17" t="s">
        <v>295</v>
      </c>
      <c r="K62" s="18">
        <v>8</v>
      </c>
      <c r="L62" s="19">
        <f t="shared" ref="L62:L76" si="114">(C62*D62*K62/1000)</f>
        <v>0.68911999999999995</v>
      </c>
      <c r="M62" s="16" t="s">
        <v>111</v>
      </c>
      <c r="N62" s="18"/>
      <c r="O62" s="19">
        <f t="shared" ref="O62:O76" si="115">(C62*D62*N62/1000)</f>
        <v>0</v>
      </c>
      <c r="P62" s="16"/>
      <c r="Q62" s="18"/>
      <c r="R62" s="19">
        <f t="shared" ref="R62:R76" si="116">(C62*D62*Q62/1000)</f>
        <v>0</v>
      </c>
      <c r="S62" s="20">
        <f>+H62+K62+Q62+N62</f>
        <v>16</v>
      </c>
      <c r="T62" s="19">
        <f>+I62+L62+R62+O62</f>
        <v>1.3782399999999999</v>
      </c>
      <c r="U62" s="21">
        <f>E62-S62</f>
        <v>0</v>
      </c>
      <c r="V62" s="19">
        <f>F62-T62</f>
        <v>0</v>
      </c>
      <c r="X62" s="29"/>
    </row>
    <row r="63" spans="1:24">
      <c r="A63" s="26" t="s">
        <v>13</v>
      </c>
      <c r="B63" s="26" t="s">
        <v>32</v>
      </c>
      <c r="C63" s="30">
        <v>11.8</v>
      </c>
      <c r="D63" s="27">
        <v>8.6</v>
      </c>
      <c r="E63" s="28">
        <v>20</v>
      </c>
      <c r="F63" s="16">
        <f t="shared" si="112"/>
        <v>2.0296000000000003</v>
      </c>
      <c r="G63" s="16" t="s">
        <v>294</v>
      </c>
      <c r="H63" s="18">
        <v>5</v>
      </c>
      <c r="I63" s="19">
        <f t="shared" si="113"/>
        <v>0.50740000000000007</v>
      </c>
      <c r="J63" s="17" t="s">
        <v>296</v>
      </c>
      <c r="K63" s="18">
        <v>15</v>
      </c>
      <c r="L63" s="19">
        <f t="shared" si="114"/>
        <v>1.5222</v>
      </c>
      <c r="M63" s="16" t="s">
        <v>297</v>
      </c>
      <c r="N63" s="18"/>
      <c r="O63" s="19">
        <f t="shared" si="115"/>
        <v>0</v>
      </c>
      <c r="P63" s="16"/>
      <c r="Q63" s="18"/>
      <c r="R63" s="19">
        <f t="shared" si="116"/>
        <v>0</v>
      </c>
      <c r="S63" s="20">
        <f t="shared" ref="S63:S76" si="117">+H63+K63+Q63+N63</f>
        <v>20</v>
      </c>
      <c r="T63" s="19">
        <f t="shared" ref="T63:T76" si="118">+I63+L63+R63+O63</f>
        <v>2.0296000000000003</v>
      </c>
      <c r="U63" s="21">
        <f t="shared" ref="U63:U76" si="119">E63-S63</f>
        <v>0</v>
      </c>
      <c r="V63" s="19">
        <f t="shared" ref="V63:V76" si="120">F63-T63</f>
        <v>0</v>
      </c>
      <c r="X63" s="29"/>
    </row>
    <row r="64" spans="1:24">
      <c r="A64" s="26" t="s">
        <v>13</v>
      </c>
      <c r="B64" s="26" t="s">
        <v>32</v>
      </c>
      <c r="C64" s="30">
        <v>11.8</v>
      </c>
      <c r="D64" s="27">
        <v>10.3</v>
      </c>
      <c r="E64" s="28">
        <v>75</v>
      </c>
      <c r="F64" s="16">
        <f t="shared" si="112"/>
        <v>9.1155000000000026</v>
      </c>
      <c r="G64" s="17"/>
      <c r="H64" s="18">
        <f>12+12</f>
        <v>24</v>
      </c>
      <c r="I64" s="19">
        <f t="shared" si="113"/>
        <v>2.9169600000000004</v>
      </c>
      <c r="J64" s="16"/>
      <c r="K64" s="18">
        <f>9+25</f>
        <v>34</v>
      </c>
      <c r="L64" s="19">
        <f t="shared" si="114"/>
        <v>4.1323600000000003</v>
      </c>
      <c r="M64" s="16"/>
      <c r="N64" s="18"/>
      <c r="O64" s="19">
        <f t="shared" si="115"/>
        <v>0</v>
      </c>
      <c r="P64" s="16"/>
      <c r="Q64" s="18"/>
      <c r="R64" s="19">
        <f t="shared" si="116"/>
        <v>0</v>
      </c>
      <c r="S64" s="20">
        <f t="shared" si="117"/>
        <v>58</v>
      </c>
      <c r="T64" s="19">
        <f t="shared" si="118"/>
        <v>7.0493200000000007</v>
      </c>
      <c r="U64" s="21">
        <f t="shared" si="119"/>
        <v>17</v>
      </c>
      <c r="V64" s="19">
        <f t="shared" si="120"/>
        <v>2.0661800000000019</v>
      </c>
      <c r="X64" s="29"/>
    </row>
    <row r="65" spans="1:24">
      <c r="A65" s="26" t="s">
        <v>13</v>
      </c>
      <c r="B65" s="26" t="s">
        <v>32</v>
      </c>
      <c r="C65" s="30">
        <v>11.8</v>
      </c>
      <c r="D65" s="27">
        <v>10.6</v>
      </c>
      <c r="E65" s="28">
        <v>12</v>
      </c>
      <c r="F65" s="16">
        <f t="shared" si="112"/>
        <v>1.5009600000000001</v>
      </c>
      <c r="G65" s="17"/>
      <c r="H65" s="18">
        <f>1+18</f>
        <v>19</v>
      </c>
      <c r="I65" s="19">
        <f t="shared" si="113"/>
        <v>2.3765200000000002</v>
      </c>
      <c r="J65" s="16"/>
      <c r="K65" s="18"/>
      <c r="L65" s="19">
        <f t="shared" si="114"/>
        <v>0</v>
      </c>
      <c r="M65" s="16"/>
      <c r="N65" s="18"/>
      <c r="O65" s="19">
        <f t="shared" si="115"/>
        <v>0</v>
      </c>
      <c r="P65" s="16"/>
      <c r="Q65" s="18"/>
      <c r="R65" s="19">
        <f t="shared" si="116"/>
        <v>0</v>
      </c>
      <c r="S65" s="20">
        <f t="shared" si="117"/>
        <v>19</v>
      </c>
      <c r="T65" s="19">
        <f t="shared" si="118"/>
        <v>2.3765200000000002</v>
      </c>
      <c r="U65" s="21">
        <f t="shared" si="119"/>
        <v>-7</v>
      </c>
      <c r="V65" s="19">
        <f t="shared" si="120"/>
        <v>-0.87556000000000012</v>
      </c>
      <c r="X65" s="29"/>
    </row>
    <row r="66" spans="1:24">
      <c r="A66" s="26" t="s">
        <v>13</v>
      </c>
      <c r="B66" s="26" t="s">
        <v>32</v>
      </c>
      <c r="C66" s="30">
        <v>11.8</v>
      </c>
      <c r="D66" s="27">
        <v>11.2</v>
      </c>
      <c r="E66" s="28">
        <v>30</v>
      </c>
      <c r="F66" s="16">
        <f t="shared" si="112"/>
        <v>3.9647999999999999</v>
      </c>
      <c r="G66" s="17"/>
      <c r="H66" s="18">
        <v>21</v>
      </c>
      <c r="I66" s="19">
        <f t="shared" si="113"/>
        <v>2.77536</v>
      </c>
      <c r="J66" s="16"/>
      <c r="K66" s="18">
        <v>9</v>
      </c>
      <c r="L66" s="19">
        <f t="shared" si="114"/>
        <v>1.1894400000000001</v>
      </c>
      <c r="M66" s="16"/>
      <c r="N66" s="18"/>
      <c r="O66" s="19">
        <f t="shared" si="115"/>
        <v>0</v>
      </c>
      <c r="P66" s="16"/>
      <c r="Q66" s="18"/>
      <c r="R66" s="19">
        <f t="shared" si="116"/>
        <v>0</v>
      </c>
      <c r="S66" s="20">
        <f t="shared" si="117"/>
        <v>30</v>
      </c>
      <c r="T66" s="19">
        <f t="shared" si="118"/>
        <v>3.9648000000000003</v>
      </c>
      <c r="U66" s="21">
        <f t="shared" si="119"/>
        <v>0</v>
      </c>
      <c r="V66" s="19">
        <f t="shared" si="120"/>
        <v>0</v>
      </c>
      <c r="X66" s="29"/>
    </row>
    <row r="67" spans="1:24">
      <c r="A67" s="26" t="s">
        <v>13</v>
      </c>
      <c r="B67" s="26" t="s">
        <v>32</v>
      </c>
      <c r="C67" s="30">
        <v>11.8</v>
      </c>
      <c r="D67" s="27">
        <v>11.5</v>
      </c>
      <c r="E67" s="28">
        <v>24</v>
      </c>
      <c r="F67" s="16">
        <f t="shared" si="112"/>
        <v>3.2568000000000001</v>
      </c>
      <c r="G67" s="17"/>
      <c r="H67" s="18">
        <f>13+7</f>
        <v>20</v>
      </c>
      <c r="I67" s="19">
        <f t="shared" si="113"/>
        <v>2.7140000000000004</v>
      </c>
      <c r="J67" s="16"/>
      <c r="K67" s="18"/>
      <c r="L67" s="19">
        <f t="shared" si="114"/>
        <v>0</v>
      </c>
      <c r="M67" s="16"/>
      <c r="N67" s="18"/>
      <c r="O67" s="19">
        <f t="shared" si="115"/>
        <v>0</v>
      </c>
      <c r="P67" s="16"/>
      <c r="Q67" s="18"/>
      <c r="R67" s="19">
        <f t="shared" si="116"/>
        <v>0</v>
      </c>
      <c r="S67" s="20">
        <f t="shared" si="117"/>
        <v>20</v>
      </c>
      <c r="T67" s="19">
        <f t="shared" si="118"/>
        <v>2.7140000000000004</v>
      </c>
      <c r="U67" s="21">
        <f t="shared" si="119"/>
        <v>4</v>
      </c>
      <c r="V67" s="19">
        <f t="shared" si="120"/>
        <v>0.54279999999999973</v>
      </c>
      <c r="X67" s="29"/>
    </row>
    <row r="68" spans="1:24">
      <c r="A68" s="26" t="s">
        <v>13</v>
      </c>
      <c r="B68" s="26" t="s">
        <v>32</v>
      </c>
      <c r="C68" s="30">
        <v>11.8</v>
      </c>
      <c r="D68" s="27">
        <v>12</v>
      </c>
      <c r="E68" s="28">
        <v>25</v>
      </c>
      <c r="F68" s="16">
        <f t="shared" ref="F68:F75" si="121">(C68*D68*E68/1000)</f>
        <v>3.5400000000000005</v>
      </c>
      <c r="G68" s="17"/>
      <c r="H68" s="18"/>
      <c r="I68" s="19">
        <f t="shared" ref="I68:I75" si="122">(C68*D68*H68/1000)</f>
        <v>0</v>
      </c>
      <c r="J68" s="16"/>
      <c r="K68" s="18">
        <v>25</v>
      </c>
      <c r="L68" s="19">
        <f t="shared" ref="L68:L75" si="123">(C68*D68*K68/1000)</f>
        <v>3.5400000000000005</v>
      </c>
      <c r="M68" s="16"/>
      <c r="N68" s="18"/>
      <c r="O68" s="19">
        <f t="shared" ref="O68:O75" si="124">(C68*D68*N68/1000)</f>
        <v>0</v>
      </c>
      <c r="P68" s="16"/>
      <c r="Q68" s="18"/>
      <c r="R68" s="19">
        <f t="shared" ref="R68:R75" si="125">(C68*D68*Q68/1000)</f>
        <v>0</v>
      </c>
      <c r="S68" s="20">
        <f t="shared" ref="S68:S75" si="126">+H68+K68+Q68+N68</f>
        <v>25</v>
      </c>
      <c r="T68" s="19">
        <f t="shared" ref="T68:T75" si="127">+I68+L68+R68+O68</f>
        <v>3.5400000000000005</v>
      </c>
      <c r="U68" s="21">
        <f t="shared" ref="U68:U75" si="128">E68-S68</f>
        <v>0</v>
      </c>
      <c r="V68" s="19">
        <f t="shared" ref="V68:V75" si="129">F68-T68</f>
        <v>0</v>
      </c>
      <c r="X68" s="29"/>
    </row>
    <row r="69" spans="1:24">
      <c r="A69" s="26" t="s">
        <v>13</v>
      </c>
      <c r="B69" s="26" t="s">
        <v>32</v>
      </c>
      <c r="C69" s="30">
        <v>11.8</v>
      </c>
      <c r="D69" s="27">
        <v>11.7</v>
      </c>
      <c r="E69" s="28"/>
      <c r="F69" s="16">
        <f t="shared" si="121"/>
        <v>0</v>
      </c>
      <c r="G69" s="17"/>
      <c r="H69" s="18">
        <v>2</v>
      </c>
      <c r="I69" s="19">
        <f t="shared" si="122"/>
        <v>0.27612000000000003</v>
      </c>
      <c r="J69" s="16"/>
      <c r="K69" s="18"/>
      <c r="L69" s="19">
        <f t="shared" si="123"/>
        <v>0</v>
      </c>
      <c r="M69" s="16"/>
      <c r="N69" s="18"/>
      <c r="O69" s="19">
        <f t="shared" si="124"/>
        <v>0</v>
      </c>
      <c r="P69" s="16"/>
      <c r="Q69" s="18"/>
      <c r="R69" s="19">
        <f t="shared" si="125"/>
        <v>0</v>
      </c>
      <c r="S69" s="20">
        <f t="shared" si="126"/>
        <v>2</v>
      </c>
      <c r="T69" s="19">
        <f t="shared" si="127"/>
        <v>0.27612000000000003</v>
      </c>
      <c r="U69" s="21">
        <f t="shared" si="128"/>
        <v>-2</v>
      </c>
      <c r="V69" s="19">
        <f t="shared" si="129"/>
        <v>-0.27612000000000003</v>
      </c>
      <c r="X69" s="29"/>
    </row>
    <row r="70" spans="1:24">
      <c r="A70" s="26" t="s">
        <v>13</v>
      </c>
      <c r="B70" s="26" t="s">
        <v>32</v>
      </c>
      <c r="C70" s="30">
        <v>11.8</v>
      </c>
      <c r="D70" s="27">
        <v>9.9</v>
      </c>
      <c r="E70" s="28"/>
      <c r="F70" s="16">
        <f t="shared" si="121"/>
        <v>0</v>
      </c>
      <c r="G70" s="17"/>
      <c r="H70" s="18">
        <v>3</v>
      </c>
      <c r="I70" s="19">
        <f t="shared" si="122"/>
        <v>0.35046000000000005</v>
      </c>
      <c r="J70" s="16"/>
      <c r="K70" s="18"/>
      <c r="L70" s="19">
        <f t="shared" si="123"/>
        <v>0</v>
      </c>
      <c r="M70" s="16"/>
      <c r="N70" s="18"/>
      <c r="O70" s="19">
        <f t="shared" si="124"/>
        <v>0</v>
      </c>
      <c r="P70" s="16"/>
      <c r="Q70" s="18"/>
      <c r="R70" s="19">
        <f t="shared" si="125"/>
        <v>0</v>
      </c>
      <c r="S70" s="20">
        <f t="shared" si="126"/>
        <v>3</v>
      </c>
      <c r="T70" s="19">
        <f t="shared" si="127"/>
        <v>0.35046000000000005</v>
      </c>
      <c r="U70" s="21">
        <f t="shared" si="128"/>
        <v>-3</v>
      </c>
      <c r="V70" s="19">
        <f t="shared" si="129"/>
        <v>-0.35046000000000005</v>
      </c>
      <c r="X70" s="29"/>
    </row>
    <row r="71" spans="1:24">
      <c r="A71" s="26" t="s">
        <v>13</v>
      </c>
      <c r="B71" s="26" t="s">
        <v>32</v>
      </c>
      <c r="C71" s="30">
        <v>11.8</v>
      </c>
      <c r="D71" s="27">
        <v>9.5</v>
      </c>
      <c r="E71" s="28"/>
      <c r="F71" s="16">
        <f t="shared" si="121"/>
        <v>0</v>
      </c>
      <c r="G71" s="17"/>
      <c r="H71" s="18">
        <v>1</v>
      </c>
      <c r="I71" s="19">
        <f t="shared" si="122"/>
        <v>0.11210000000000001</v>
      </c>
      <c r="J71" s="16"/>
      <c r="K71" s="18"/>
      <c r="L71" s="19">
        <f t="shared" si="123"/>
        <v>0</v>
      </c>
      <c r="M71" s="16"/>
      <c r="N71" s="18"/>
      <c r="O71" s="19">
        <f t="shared" si="124"/>
        <v>0</v>
      </c>
      <c r="P71" s="16"/>
      <c r="Q71" s="18"/>
      <c r="R71" s="19">
        <f t="shared" si="125"/>
        <v>0</v>
      </c>
      <c r="S71" s="20">
        <f t="shared" si="126"/>
        <v>1</v>
      </c>
      <c r="T71" s="19">
        <f t="shared" si="127"/>
        <v>0.11210000000000001</v>
      </c>
      <c r="U71" s="21">
        <f t="shared" si="128"/>
        <v>-1</v>
      </c>
      <c r="V71" s="19">
        <f t="shared" si="129"/>
        <v>-0.11210000000000001</v>
      </c>
      <c r="X71" s="29"/>
    </row>
    <row r="72" spans="1:24">
      <c r="A72" s="26" t="s">
        <v>13</v>
      </c>
      <c r="B72" s="26" t="s">
        <v>32</v>
      </c>
      <c r="C72" s="30">
        <v>11.8</v>
      </c>
      <c r="D72" s="27">
        <v>9.4</v>
      </c>
      <c r="E72" s="28"/>
      <c r="F72" s="16">
        <f t="shared" si="121"/>
        <v>0</v>
      </c>
      <c r="G72" s="17"/>
      <c r="H72" s="18"/>
      <c r="I72" s="19">
        <f t="shared" si="122"/>
        <v>0</v>
      </c>
      <c r="J72" s="16"/>
      <c r="K72" s="18"/>
      <c r="L72" s="19">
        <f t="shared" si="123"/>
        <v>0</v>
      </c>
      <c r="M72" s="16"/>
      <c r="N72" s="18"/>
      <c r="O72" s="19">
        <f t="shared" si="124"/>
        <v>0</v>
      </c>
      <c r="P72" s="16"/>
      <c r="Q72" s="18">
        <v>3</v>
      </c>
      <c r="R72" s="19">
        <f t="shared" si="125"/>
        <v>0.33276000000000006</v>
      </c>
      <c r="S72" s="20">
        <f t="shared" si="126"/>
        <v>3</v>
      </c>
      <c r="T72" s="19">
        <f t="shared" si="127"/>
        <v>0.33276000000000006</v>
      </c>
      <c r="U72" s="21">
        <f t="shared" si="128"/>
        <v>-3</v>
      </c>
      <c r="V72" s="19">
        <f t="shared" si="129"/>
        <v>-0.33276000000000006</v>
      </c>
      <c r="X72" s="29"/>
    </row>
    <row r="73" spans="1:24">
      <c r="A73" s="26" t="s">
        <v>13</v>
      </c>
      <c r="B73" s="26" t="s">
        <v>32</v>
      </c>
      <c r="C73" s="30">
        <v>11.8</v>
      </c>
      <c r="D73" s="27">
        <v>9.6</v>
      </c>
      <c r="E73" s="28"/>
      <c r="F73" s="16">
        <f t="shared" si="121"/>
        <v>0</v>
      </c>
      <c r="G73" s="17"/>
      <c r="H73" s="18"/>
      <c r="I73" s="19">
        <f t="shared" si="122"/>
        <v>0</v>
      </c>
      <c r="J73" s="16"/>
      <c r="K73" s="18"/>
      <c r="L73" s="19">
        <f t="shared" si="123"/>
        <v>0</v>
      </c>
      <c r="M73" s="16"/>
      <c r="N73" s="18"/>
      <c r="O73" s="19">
        <f t="shared" si="124"/>
        <v>0</v>
      </c>
      <c r="P73" s="16"/>
      <c r="Q73" s="18">
        <v>1</v>
      </c>
      <c r="R73" s="19">
        <f t="shared" si="125"/>
        <v>0.11328000000000001</v>
      </c>
      <c r="S73" s="20">
        <f t="shared" si="126"/>
        <v>1</v>
      </c>
      <c r="T73" s="19">
        <f t="shared" si="127"/>
        <v>0.11328000000000001</v>
      </c>
      <c r="U73" s="21">
        <f t="shared" si="128"/>
        <v>-1</v>
      </c>
      <c r="V73" s="19">
        <f t="shared" si="129"/>
        <v>-0.11328000000000001</v>
      </c>
      <c r="X73" s="29"/>
    </row>
    <row r="74" spans="1:24">
      <c r="A74" s="26" t="s">
        <v>13</v>
      </c>
      <c r="B74" s="26" t="s">
        <v>32</v>
      </c>
      <c r="C74" s="30">
        <v>11.8</v>
      </c>
      <c r="D74" s="27">
        <v>10</v>
      </c>
      <c r="E74" s="28"/>
      <c r="F74" s="16">
        <f t="shared" si="121"/>
        <v>0</v>
      </c>
      <c r="G74" s="17"/>
      <c r="H74" s="18"/>
      <c r="I74" s="19">
        <f t="shared" si="122"/>
        <v>0</v>
      </c>
      <c r="J74" s="16"/>
      <c r="K74" s="18"/>
      <c r="L74" s="19">
        <f t="shared" si="123"/>
        <v>0</v>
      </c>
      <c r="M74" s="16"/>
      <c r="N74" s="18"/>
      <c r="O74" s="19">
        <f t="shared" si="124"/>
        <v>0</v>
      </c>
      <c r="P74" s="16"/>
      <c r="Q74" s="18">
        <v>6</v>
      </c>
      <c r="R74" s="19">
        <f t="shared" si="125"/>
        <v>0.70799999999999996</v>
      </c>
      <c r="S74" s="20">
        <f t="shared" si="126"/>
        <v>6</v>
      </c>
      <c r="T74" s="19">
        <f t="shared" si="127"/>
        <v>0.70799999999999996</v>
      </c>
      <c r="U74" s="21">
        <f t="shared" si="128"/>
        <v>-6</v>
      </c>
      <c r="V74" s="19">
        <f t="shared" si="129"/>
        <v>-0.70799999999999996</v>
      </c>
      <c r="X74" s="29"/>
    </row>
    <row r="75" spans="1:24">
      <c r="A75" s="26" t="s">
        <v>13</v>
      </c>
      <c r="B75" s="26" t="s">
        <v>32</v>
      </c>
      <c r="C75" s="30">
        <v>11.8</v>
      </c>
      <c r="D75" s="27"/>
      <c r="E75" s="28"/>
      <c r="F75" s="16">
        <f t="shared" si="121"/>
        <v>0</v>
      </c>
      <c r="G75" s="17"/>
      <c r="H75" s="18"/>
      <c r="I75" s="19">
        <f t="shared" si="122"/>
        <v>0</v>
      </c>
      <c r="J75" s="16"/>
      <c r="K75" s="18"/>
      <c r="L75" s="19">
        <f t="shared" si="123"/>
        <v>0</v>
      </c>
      <c r="M75" s="16"/>
      <c r="N75" s="18"/>
      <c r="O75" s="19">
        <f t="shared" si="124"/>
        <v>0</v>
      </c>
      <c r="P75" s="16"/>
      <c r="Q75" s="18"/>
      <c r="R75" s="19">
        <f t="shared" si="125"/>
        <v>0</v>
      </c>
      <c r="S75" s="20">
        <f t="shared" si="126"/>
        <v>0</v>
      </c>
      <c r="T75" s="19">
        <f t="shared" si="127"/>
        <v>0</v>
      </c>
      <c r="U75" s="21">
        <f t="shared" si="128"/>
        <v>0</v>
      </c>
      <c r="V75" s="19">
        <f t="shared" si="129"/>
        <v>0</v>
      </c>
      <c r="X75" s="29"/>
    </row>
    <row r="76" spans="1:24">
      <c r="A76" s="26" t="s">
        <v>13</v>
      </c>
      <c r="B76" s="26" t="s">
        <v>32</v>
      </c>
      <c r="C76" s="30">
        <v>11.8</v>
      </c>
      <c r="D76" s="27"/>
      <c r="E76" s="28"/>
      <c r="F76" s="16">
        <f t="shared" si="112"/>
        <v>0</v>
      </c>
      <c r="G76" s="17"/>
      <c r="H76" s="18"/>
      <c r="I76" s="19">
        <f t="shared" si="113"/>
        <v>0</v>
      </c>
      <c r="J76" s="16"/>
      <c r="K76" s="18"/>
      <c r="L76" s="19">
        <f t="shared" si="114"/>
        <v>0</v>
      </c>
      <c r="M76" s="16"/>
      <c r="N76" s="18"/>
      <c r="O76" s="19">
        <f t="shared" si="115"/>
        <v>0</v>
      </c>
      <c r="P76" s="16"/>
      <c r="Q76" s="18"/>
      <c r="R76" s="19">
        <f t="shared" si="116"/>
        <v>0</v>
      </c>
      <c r="S76" s="20">
        <f t="shared" si="117"/>
        <v>0</v>
      </c>
      <c r="T76" s="19">
        <f t="shared" si="118"/>
        <v>0</v>
      </c>
      <c r="U76" s="21">
        <f t="shared" si="119"/>
        <v>0</v>
      </c>
      <c r="V76" s="19">
        <f t="shared" si="120"/>
        <v>0</v>
      </c>
      <c r="X76" s="29"/>
    </row>
    <row r="77" spans="1:24">
      <c r="A77" s="36"/>
      <c r="B77" s="36"/>
      <c r="C77" s="30"/>
      <c r="D77" s="38"/>
      <c r="E77" s="31">
        <f t="shared" ref="E77:F77" si="130">SUM(E62:E76)</f>
        <v>202</v>
      </c>
      <c r="F77" s="38">
        <f t="shared" si="130"/>
        <v>24.785900000000005</v>
      </c>
      <c r="G77" s="17"/>
      <c r="H77" s="31">
        <f>SUM(H62:H76)</f>
        <v>103</v>
      </c>
      <c r="I77" s="38">
        <f>SUM(I62:I76)</f>
        <v>12.718040000000002</v>
      </c>
      <c r="J77" s="16"/>
      <c r="K77" s="31">
        <f t="shared" ref="K77" si="131">SUM(K62:K76)</f>
        <v>91</v>
      </c>
      <c r="L77" s="38">
        <f t="shared" ref="L77" si="132">SUM(L62:L76)</f>
        <v>11.073120000000001</v>
      </c>
      <c r="M77" s="16"/>
      <c r="N77" s="31">
        <f t="shared" ref="N77" si="133">SUM(N62:N76)</f>
        <v>0</v>
      </c>
      <c r="O77" s="38">
        <f t="shared" ref="O77" si="134">SUM(O62:O76)</f>
        <v>0</v>
      </c>
      <c r="P77" s="16"/>
      <c r="Q77" s="31">
        <f t="shared" ref="Q77" si="135">SUM(Q62:Q76)</f>
        <v>10</v>
      </c>
      <c r="R77" s="38">
        <f t="shared" ref="R77" si="136">SUM(R62:R76)</f>
        <v>1.15404</v>
      </c>
      <c r="S77" s="31">
        <f t="shared" ref="S77" si="137">SUM(S62:S76)</f>
        <v>204</v>
      </c>
      <c r="T77" s="38">
        <f t="shared" ref="T77" si="138">SUM(T62:T76)</f>
        <v>24.945200000000003</v>
      </c>
      <c r="U77" s="31">
        <f t="shared" ref="U77" si="139">SUM(U62:U76)</f>
        <v>-2</v>
      </c>
      <c r="V77" s="38">
        <f t="shared" ref="V77" si="140">SUM(V62:V76)</f>
        <v>-0.15929999999999866</v>
      </c>
      <c r="X77" s="29"/>
    </row>
    <row r="78" spans="1:24">
      <c r="A78" s="26" t="s">
        <v>13</v>
      </c>
      <c r="B78" s="26" t="s">
        <v>25</v>
      </c>
      <c r="C78" s="30">
        <v>13.4</v>
      </c>
      <c r="D78" s="27">
        <v>6.6</v>
      </c>
      <c r="E78" s="28">
        <v>2</v>
      </c>
      <c r="F78" s="16">
        <f t="shared" ref="F78:F87" si="141">(C78*D78*E78/1000)</f>
        <v>0.17687999999999998</v>
      </c>
      <c r="G78" s="17" t="s">
        <v>93</v>
      </c>
      <c r="H78" s="18"/>
      <c r="I78" s="19">
        <f t="shared" ref="I78:I87" si="142">(C78*D78*H78/1000)</f>
        <v>0</v>
      </c>
      <c r="J78" s="16" t="s">
        <v>89</v>
      </c>
      <c r="K78" s="18">
        <v>7</v>
      </c>
      <c r="L78" s="19">
        <f t="shared" ref="L78:L87" si="143">(C78*D78*K78/1000)</f>
        <v>0.61907999999999996</v>
      </c>
      <c r="M78" s="17" t="s">
        <v>114</v>
      </c>
      <c r="N78" s="18">
        <v>1</v>
      </c>
      <c r="O78" s="19">
        <f t="shared" ref="O78:O87" si="144">(C78*D78*N78/1000)</f>
        <v>8.8439999999999991E-2</v>
      </c>
      <c r="P78" s="16" t="s">
        <v>93</v>
      </c>
      <c r="Q78" s="18"/>
      <c r="R78" s="19">
        <f t="shared" ref="R78:R87" si="145">(C78*D78*Q78/1000)</f>
        <v>0</v>
      </c>
      <c r="S78" s="20">
        <f t="shared" ref="S78:S87" si="146">+H78+K78+Q78+N78</f>
        <v>8</v>
      </c>
      <c r="T78" s="19">
        <f t="shared" ref="T78:T87" si="147">+I78+L78+R78+O78</f>
        <v>0.70751999999999993</v>
      </c>
      <c r="U78" s="21">
        <f t="shared" ref="U78:U87" si="148">E78-S78</f>
        <v>-6</v>
      </c>
      <c r="V78" s="19">
        <f t="shared" ref="V78:V87" si="149">F78-T78</f>
        <v>-0.53064</v>
      </c>
      <c r="X78" s="29"/>
    </row>
    <row r="79" spans="1:24">
      <c r="A79" s="26" t="s">
        <v>13</v>
      </c>
      <c r="B79" s="26" t="s">
        <v>25</v>
      </c>
      <c r="C79" s="30">
        <v>13.4</v>
      </c>
      <c r="D79" s="27">
        <v>8.6</v>
      </c>
      <c r="E79" s="28">
        <v>23</v>
      </c>
      <c r="F79" s="16">
        <f t="shared" si="141"/>
        <v>2.6505199999999998</v>
      </c>
      <c r="G79" s="17" t="s">
        <v>401</v>
      </c>
      <c r="H79" s="18"/>
      <c r="I79" s="19">
        <f t="shared" si="142"/>
        <v>0</v>
      </c>
      <c r="J79" s="16" t="s">
        <v>409</v>
      </c>
      <c r="K79" s="18"/>
      <c r="L79" s="19">
        <f t="shared" si="143"/>
        <v>0</v>
      </c>
      <c r="M79" s="17" t="s">
        <v>409</v>
      </c>
      <c r="N79" s="18">
        <v>13</v>
      </c>
      <c r="O79" s="19">
        <f t="shared" si="144"/>
        <v>1.4981199999999999</v>
      </c>
      <c r="P79" s="16" t="s">
        <v>415</v>
      </c>
      <c r="Q79" s="18">
        <v>4</v>
      </c>
      <c r="R79" s="19">
        <f t="shared" si="145"/>
        <v>0.46095999999999998</v>
      </c>
      <c r="S79" s="20">
        <f t="shared" si="146"/>
        <v>17</v>
      </c>
      <c r="T79" s="19">
        <f t="shared" si="147"/>
        <v>1.9590799999999999</v>
      </c>
      <c r="U79" s="21">
        <f t="shared" si="148"/>
        <v>6</v>
      </c>
      <c r="V79" s="19">
        <f t="shared" si="149"/>
        <v>0.69143999999999983</v>
      </c>
      <c r="X79" s="29"/>
    </row>
    <row r="80" spans="1:24">
      <c r="A80" s="26" t="s">
        <v>13</v>
      </c>
      <c r="B80" s="26" t="s">
        <v>25</v>
      </c>
      <c r="C80" s="30">
        <v>13.4</v>
      </c>
      <c r="D80" s="27">
        <v>9.6</v>
      </c>
      <c r="E80" s="28">
        <v>9</v>
      </c>
      <c r="F80" s="16">
        <f t="shared" si="141"/>
        <v>1.1577599999999997</v>
      </c>
      <c r="G80" s="17"/>
      <c r="H80" s="18"/>
      <c r="I80" s="19">
        <f t="shared" si="142"/>
        <v>0</v>
      </c>
      <c r="J80" s="16"/>
      <c r="K80" s="18">
        <v>7</v>
      </c>
      <c r="L80" s="19">
        <f t="shared" si="143"/>
        <v>0.90047999999999995</v>
      </c>
      <c r="M80" s="16"/>
      <c r="N80" s="18">
        <v>2</v>
      </c>
      <c r="O80" s="19">
        <f t="shared" si="144"/>
        <v>0.25727999999999995</v>
      </c>
      <c r="P80" s="16"/>
      <c r="Q80" s="18"/>
      <c r="R80" s="19">
        <f t="shared" si="145"/>
        <v>0</v>
      </c>
      <c r="S80" s="20">
        <f t="shared" si="146"/>
        <v>9</v>
      </c>
      <c r="T80" s="19">
        <f t="shared" si="147"/>
        <v>1.1577599999999999</v>
      </c>
      <c r="U80" s="21">
        <f t="shared" si="148"/>
        <v>0</v>
      </c>
      <c r="V80" s="19">
        <f t="shared" si="149"/>
        <v>0</v>
      </c>
      <c r="X80" s="29"/>
    </row>
    <row r="81" spans="1:24">
      <c r="A81" s="26" t="s">
        <v>13</v>
      </c>
      <c r="B81" s="26" t="s">
        <v>25</v>
      </c>
      <c r="C81" s="30">
        <v>13.4</v>
      </c>
      <c r="D81" s="27">
        <v>9.8000000000000007</v>
      </c>
      <c r="E81" s="28">
        <v>56</v>
      </c>
      <c r="F81" s="16">
        <f t="shared" si="141"/>
        <v>7.3539200000000013</v>
      </c>
      <c r="G81" s="17"/>
      <c r="H81" s="18">
        <v>13</v>
      </c>
      <c r="I81" s="19">
        <f t="shared" si="142"/>
        <v>1.7071600000000002</v>
      </c>
      <c r="J81" s="16"/>
      <c r="K81" s="18"/>
      <c r="L81" s="19">
        <f t="shared" si="143"/>
        <v>0</v>
      </c>
      <c r="M81" s="16"/>
      <c r="N81" s="18">
        <v>25</v>
      </c>
      <c r="O81" s="19">
        <f t="shared" si="144"/>
        <v>3.2830000000000004</v>
      </c>
      <c r="P81" s="16"/>
      <c r="Q81" s="18">
        <v>8</v>
      </c>
      <c r="R81" s="19">
        <f t="shared" si="145"/>
        <v>1.0505600000000002</v>
      </c>
      <c r="S81" s="20">
        <f t="shared" si="146"/>
        <v>46</v>
      </c>
      <c r="T81" s="19">
        <f t="shared" si="147"/>
        <v>6.0407200000000003</v>
      </c>
      <c r="U81" s="21">
        <f t="shared" si="148"/>
        <v>10</v>
      </c>
      <c r="V81" s="19">
        <f t="shared" si="149"/>
        <v>1.313200000000001</v>
      </c>
      <c r="X81" s="29"/>
    </row>
    <row r="82" spans="1:24">
      <c r="A82" s="26" t="s">
        <v>13</v>
      </c>
      <c r="B82" s="26" t="s">
        <v>25</v>
      </c>
      <c r="C82" s="30">
        <v>13.4</v>
      </c>
      <c r="D82" s="27">
        <v>10</v>
      </c>
      <c r="E82" s="28">
        <v>56</v>
      </c>
      <c r="F82" s="16">
        <f t="shared" si="141"/>
        <v>7.5039999999999996</v>
      </c>
      <c r="G82" s="17"/>
      <c r="H82" s="18">
        <v>32</v>
      </c>
      <c r="I82" s="19">
        <f t="shared" si="142"/>
        <v>4.2880000000000003</v>
      </c>
      <c r="J82" s="16"/>
      <c r="K82" s="18"/>
      <c r="L82" s="19">
        <f t="shared" si="143"/>
        <v>0</v>
      </c>
      <c r="M82" s="16"/>
      <c r="N82" s="18">
        <v>28</v>
      </c>
      <c r="O82" s="19">
        <f t="shared" si="144"/>
        <v>3.7519999999999998</v>
      </c>
      <c r="P82" s="16"/>
      <c r="Q82" s="18"/>
      <c r="R82" s="19">
        <f t="shared" si="145"/>
        <v>0</v>
      </c>
      <c r="S82" s="20">
        <f t="shared" si="146"/>
        <v>60</v>
      </c>
      <c r="T82" s="19">
        <f t="shared" si="147"/>
        <v>8.0399999999999991</v>
      </c>
      <c r="U82" s="21">
        <f t="shared" si="148"/>
        <v>-4</v>
      </c>
      <c r="V82" s="19">
        <f t="shared" si="149"/>
        <v>-0.53599999999999959</v>
      </c>
      <c r="X82" s="29"/>
    </row>
    <row r="83" spans="1:24">
      <c r="A83" s="26" t="s">
        <v>13</v>
      </c>
      <c r="B83" s="26" t="s">
        <v>25</v>
      </c>
      <c r="C83" s="30">
        <v>13.4</v>
      </c>
      <c r="D83" s="27">
        <v>10.5</v>
      </c>
      <c r="E83" s="28">
        <v>21</v>
      </c>
      <c r="F83" s="16">
        <f t="shared" si="141"/>
        <v>2.9547000000000003</v>
      </c>
      <c r="G83" s="17"/>
      <c r="H83" s="18"/>
      <c r="I83" s="19">
        <f t="shared" si="142"/>
        <v>0</v>
      </c>
      <c r="J83" s="16"/>
      <c r="K83" s="18">
        <v>10</v>
      </c>
      <c r="L83" s="19">
        <f t="shared" si="143"/>
        <v>1.4070000000000003</v>
      </c>
      <c r="M83" s="16"/>
      <c r="N83" s="18">
        <v>18</v>
      </c>
      <c r="O83" s="19">
        <f t="shared" si="144"/>
        <v>2.5326000000000004</v>
      </c>
      <c r="P83" s="16"/>
      <c r="Q83" s="18"/>
      <c r="R83" s="19">
        <f t="shared" si="145"/>
        <v>0</v>
      </c>
      <c r="S83" s="20">
        <f t="shared" si="146"/>
        <v>28</v>
      </c>
      <c r="T83" s="19">
        <f t="shared" si="147"/>
        <v>3.9396000000000004</v>
      </c>
      <c r="U83" s="21">
        <f t="shared" si="148"/>
        <v>-7</v>
      </c>
      <c r="V83" s="19">
        <f t="shared" si="149"/>
        <v>-0.98490000000000011</v>
      </c>
      <c r="X83" s="29"/>
    </row>
    <row r="84" spans="1:24">
      <c r="A84" s="26" t="s">
        <v>13</v>
      </c>
      <c r="B84" s="26" t="s">
        <v>25</v>
      </c>
      <c r="C84" s="30">
        <v>13.4</v>
      </c>
      <c r="D84" s="27">
        <v>11.2</v>
      </c>
      <c r="E84" s="28">
        <v>8</v>
      </c>
      <c r="F84" s="16">
        <f t="shared" si="141"/>
        <v>1.2006399999999999</v>
      </c>
      <c r="G84" s="17"/>
      <c r="H84" s="18">
        <v>2</v>
      </c>
      <c r="I84" s="19">
        <f t="shared" si="142"/>
        <v>0.30015999999999998</v>
      </c>
      <c r="J84" s="16"/>
      <c r="K84" s="18"/>
      <c r="L84" s="19">
        <f t="shared" si="143"/>
        <v>0</v>
      </c>
      <c r="M84" s="16"/>
      <c r="N84" s="18">
        <v>4</v>
      </c>
      <c r="O84" s="19">
        <f t="shared" si="144"/>
        <v>0.60031999999999996</v>
      </c>
      <c r="P84" s="16"/>
      <c r="Q84" s="18"/>
      <c r="R84" s="19">
        <f t="shared" si="145"/>
        <v>0</v>
      </c>
      <c r="S84" s="20">
        <f t="shared" si="146"/>
        <v>6</v>
      </c>
      <c r="T84" s="19">
        <f t="shared" si="147"/>
        <v>0.90047999999999995</v>
      </c>
      <c r="U84" s="21">
        <f t="shared" si="148"/>
        <v>2</v>
      </c>
      <c r="V84" s="19">
        <f t="shared" si="149"/>
        <v>0.30015999999999998</v>
      </c>
      <c r="X84" s="29"/>
    </row>
    <row r="85" spans="1:24">
      <c r="A85" s="26" t="s">
        <v>13</v>
      </c>
      <c r="B85" s="26" t="s">
        <v>25</v>
      </c>
      <c r="C85" s="30">
        <v>13.4</v>
      </c>
      <c r="D85" s="27">
        <v>12</v>
      </c>
      <c r="E85" s="28">
        <v>46</v>
      </c>
      <c r="F85" s="16">
        <f t="shared" ref="F85:F86" si="150">(C85*D85*E85/1000)</f>
        <v>7.3967999999999998</v>
      </c>
      <c r="G85" s="17"/>
      <c r="H85" s="18"/>
      <c r="I85" s="19">
        <f t="shared" ref="I85:I86" si="151">(C85*D85*H85/1000)</f>
        <v>0</v>
      </c>
      <c r="J85" s="16"/>
      <c r="K85" s="18">
        <v>20</v>
      </c>
      <c r="L85" s="19">
        <f t="shared" ref="L85:L86" si="152">(C85*D85*K85/1000)</f>
        <v>3.2160000000000002</v>
      </c>
      <c r="M85" s="16"/>
      <c r="N85" s="18">
        <v>12</v>
      </c>
      <c r="O85" s="19">
        <f t="shared" ref="O85:O86" si="153">(C85*D85*N85/1000)</f>
        <v>1.9296000000000002</v>
      </c>
      <c r="P85" s="16"/>
      <c r="Q85" s="18">
        <v>14</v>
      </c>
      <c r="R85" s="19">
        <f t="shared" ref="R85:R86" si="154">(C85*D85*Q85/1000)</f>
        <v>2.2512000000000003</v>
      </c>
      <c r="S85" s="20">
        <f t="shared" ref="S85:S86" si="155">+H85+K85+Q85+N85</f>
        <v>46</v>
      </c>
      <c r="T85" s="19">
        <f t="shared" ref="T85:T86" si="156">+I85+L85+R85+O85</f>
        <v>7.3968000000000007</v>
      </c>
      <c r="U85" s="21">
        <f t="shared" ref="U85:U86" si="157">E85-S85</f>
        <v>0</v>
      </c>
      <c r="V85" s="19">
        <f t="shared" ref="V85:V86" si="158">F85-T85</f>
        <v>0</v>
      </c>
      <c r="X85" s="29"/>
    </row>
    <row r="86" spans="1:24">
      <c r="A86" s="26" t="s">
        <v>13</v>
      </c>
      <c r="B86" s="26" t="s">
        <v>25</v>
      </c>
      <c r="C86" s="30">
        <v>13.4</v>
      </c>
      <c r="D86" s="27">
        <v>11.5</v>
      </c>
      <c r="E86" s="28"/>
      <c r="F86" s="16">
        <f t="shared" si="150"/>
        <v>0</v>
      </c>
      <c r="G86" s="17"/>
      <c r="H86" s="18"/>
      <c r="I86" s="19">
        <f t="shared" si="151"/>
        <v>0</v>
      </c>
      <c r="J86" s="16"/>
      <c r="K86" s="18"/>
      <c r="L86" s="19">
        <f t="shared" si="152"/>
        <v>0</v>
      </c>
      <c r="M86" s="16"/>
      <c r="N86" s="18"/>
      <c r="O86" s="19">
        <f t="shared" si="153"/>
        <v>0</v>
      </c>
      <c r="P86" s="16"/>
      <c r="Q86" s="18">
        <v>1</v>
      </c>
      <c r="R86" s="19">
        <f t="shared" si="154"/>
        <v>0.15409999999999999</v>
      </c>
      <c r="S86" s="20">
        <f t="shared" si="155"/>
        <v>1</v>
      </c>
      <c r="T86" s="19">
        <f t="shared" si="156"/>
        <v>0.15409999999999999</v>
      </c>
      <c r="U86" s="21">
        <f t="shared" si="157"/>
        <v>-1</v>
      </c>
      <c r="V86" s="19">
        <f t="shared" si="158"/>
        <v>-0.15409999999999999</v>
      </c>
      <c r="X86" s="29"/>
    </row>
    <row r="87" spans="1:24">
      <c r="A87" s="26" t="s">
        <v>13</v>
      </c>
      <c r="B87" s="26" t="s">
        <v>25</v>
      </c>
      <c r="C87" s="30">
        <v>13.4</v>
      </c>
      <c r="D87" s="27">
        <v>10.5</v>
      </c>
      <c r="E87" s="28"/>
      <c r="F87" s="16">
        <f t="shared" si="141"/>
        <v>0</v>
      </c>
      <c r="G87" s="17"/>
      <c r="H87" s="18"/>
      <c r="I87" s="19">
        <f t="shared" si="142"/>
        <v>0</v>
      </c>
      <c r="J87" s="16"/>
      <c r="K87" s="18"/>
      <c r="L87" s="19">
        <f t="shared" si="143"/>
        <v>0</v>
      </c>
      <c r="M87" s="16"/>
      <c r="N87" s="18"/>
      <c r="O87" s="19">
        <f t="shared" si="144"/>
        <v>0</v>
      </c>
      <c r="P87" s="16"/>
      <c r="Q87" s="18">
        <v>1</v>
      </c>
      <c r="R87" s="19">
        <f t="shared" si="145"/>
        <v>0.14070000000000002</v>
      </c>
      <c r="S87" s="20">
        <f t="shared" si="146"/>
        <v>1</v>
      </c>
      <c r="T87" s="19">
        <f t="shared" si="147"/>
        <v>0.14070000000000002</v>
      </c>
      <c r="U87" s="21">
        <f t="shared" si="148"/>
        <v>-1</v>
      </c>
      <c r="V87" s="19">
        <f t="shared" si="149"/>
        <v>-0.14070000000000002</v>
      </c>
      <c r="X87" s="29"/>
    </row>
    <row r="88" spans="1:24">
      <c r="A88" s="36"/>
      <c r="B88" s="36"/>
      <c r="C88" s="30"/>
      <c r="D88" s="38"/>
      <c r="E88" s="31">
        <f>SUM(E78:E87)</f>
        <v>221</v>
      </c>
      <c r="F88" s="38">
        <f>SUM(F78:F87)</f>
        <v>30.395219999999998</v>
      </c>
      <c r="G88" s="17"/>
      <c r="H88" s="31">
        <f t="shared" ref="H88" si="159">SUM(H78:H87)</f>
        <v>47</v>
      </c>
      <c r="I88" s="38">
        <f t="shared" ref="I88" si="160">SUM(I78:I87)</f>
        <v>6.2953200000000002</v>
      </c>
      <c r="J88" s="16"/>
      <c r="K88" s="31">
        <f t="shared" ref="K88" si="161">SUM(K78:K87)</f>
        <v>44</v>
      </c>
      <c r="L88" s="38">
        <f t="shared" ref="L88" si="162">SUM(L78:L87)</f>
        <v>6.1425600000000005</v>
      </c>
      <c r="M88" s="16"/>
      <c r="N88" s="31">
        <f t="shared" ref="N88" si="163">SUM(N78:N87)</f>
        <v>103</v>
      </c>
      <c r="O88" s="38">
        <f t="shared" ref="O88" si="164">SUM(O78:O87)</f>
        <v>13.941360000000001</v>
      </c>
      <c r="P88" s="16"/>
      <c r="Q88" s="31">
        <f t="shared" ref="Q88" si="165">SUM(Q78:Q87)</f>
        <v>28</v>
      </c>
      <c r="R88" s="38">
        <f t="shared" ref="R88" si="166">SUM(R78:R87)</f>
        <v>4.0575200000000011</v>
      </c>
      <c r="S88" s="31">
        <f t="shared" ref="S88" si="167">SUM(S78:S87)</f>
        <v>222</v>
      </c>
      <c r="T88" s="38">
        <f t="shared" ref="T88" si="168">SUM(T78:T87)</f>
        <v>30.436759999999996</v>
      </c>
      <c r="U88" s="31">
        <f t="shared" ref="U88" si="169">SUM(U78:U87)</f>
        <v>-1</v>
      </c>
      <c r="V88" s="38">
        <f t="shared" ref="V88" si="170">SUM(V78:V87)</f>
        <v>-4.1539999999998856E-2</v>
      </c>
      <c r="X88" s="29"/>
    </row>
    <row r="89" spans="1:24">
      <c r="A89" s="26" t="s">
        <v>13</v>
      </c>
      <c r="B89" s="26" t="s">
        <v>47</v>
      </c>
      <c r="C89" s="30">
        <v>18.2</v>
      </c>
      <c r="D89" s="27">
        <v>6.9</v>
      </c>
      <c r="E89" s="28">
        <v>7</v>
      </c>
      <c r="F89" s="16">
        <f t="shared" ref="F89:F100" si="171">(C89*D89*E89/1000)</f>
        <v>0.87905999999999995</v>
      </c>
      <c r="G89" s="17" t="s">
        <v>89</v>
      </c>
      <c r="H89" s="18"/>
      <c r="I89" s="19">
        <f t="shared" ref="I89:I100" si="172">(C89*D89*H89/1000)</f>
        <v>0</v>
      </c>
      <c r="J89" s="16" t="s">
        <v>295</v>
      </c>
      <c r="K89" s="18"/>
      <c r="L89" s="19">
        <f t="shared" ref="L89:L100" si="173">(C89*D89*K89/1000)</f>
        <v>0</v>
      </c>
      <c r="M89" s="16" t="s">
        <v>64</v>
      </c>
      <c r="N89" s="18"/>
      <c r="O89" s="19">
        <f t="shared" ref="O89:O100" si="174">(C89*D89*N89/1000)</f>
        <v>0</v>
      </c>
      <c r="P89" s="16" t="s">
        <v>86</v>
      </c>
      <c r="Q89" s="18"/>
      <c r="R89" s="19">
        <f t="shared" ref="R89:R100" si="175">(C89*D89*Q89/1000)</f>
        <v>0</v>
      </c>
      <c r="S89" s="20">
        <f t="shared" ref="S89:S100" si="176">+H89+K89+Q89+N89</f>
        <v>0</v>
      </c>
      <c r="T89" s="19">
        <f t="shared" ref="T89:T100" si="177">+I89+L89+R89+O89</f>
        <v>0</v>
      </c>
      <c r="U89" s="21">
        <f t="shared" ref="U89:U100" si="178">E89-S89</f>
        <v>7</v>
      </c>
      <c r="V89" s="19">
        <f t="shared" ref="V89:V100" si="179">F89-T89</f>
        <v>0.87905999999999995</v>
      </c>
      <c r="X89" s="29"/>
    </row>
    <row r="90" spans="1:24">
      <c r="A90" s="26" t="s">
        <v>13</v>
      </c>
      <c r="B90" s="26" t="s">
        <v>47</v>
      </c>
      <c r="C90" s="30">
        <v>18.2</v>
      </c>
      <c r="D90" s="27">
        <v>7.5</v>
      </c>
      <c r="E90" s="28">
        <v>16</v>
      </c>
      <c r="F90" s="16">
        <f t="shared" si="171"/>
        <v>2.1840000000000002</v>
      </c>
      <c r="G90" s="17" t="s">
        <v>299</v>
      </c>
      <c r="H90" s="18"/>
      <c r="I90" s="19">
        <f t="shared" si="172"/>
        <v>0</v>
      </c>
      <c r="J90" s="16" t="s">
        <v>299</v>
      </c>
      <c r="K90" s="18"/>
      <c r="L90" s="19">
        <f t="shared" si="173"/>
        <v>0</v>
      </c>
      <c r="M90" s="16" t="s">
        <v>341</v>
      </c>
      <c r="N90" s="18">
        <v>11</v>
      </c>
      <c r="O90" s="19">
        <f t="shared" si="174"/>
        <v>1.5015000000000001</v>
      </c>
      <c r="P90" s="16" t="s">
        <v>343</v>
      </c>
      <c r="Q90" s="18"/>
      <c r="R90" s="19">
        <f t="shared" si="175"/>
        <v>0</v>
      </c>
      <c r="S90" s="20">
        <f t="shared" si="176"/>
        <v>11</v>
      </c>
      <c r="T90" s="19">
        <f t="shared" si="177"/>
        <v>1.5015000000000001</v>
      </c>
      <c r="U90" s="21">
        <f t="shared" si="178"/>
        <v>5</v>
      </c>
      <c r="V90" s="19">
        <f t="shared" si="179"/>
        <v>0.68250000000000011</v>
      </c>
      <c r="X90" s="29"/>
    </row>
    <row r="91" spans="1:24">
      <c r="A91" s="26" t="s">
        <v>13</v>
      </c>
      <c r="B91" s="26" t="s">
        <v>47</v>
      </c>
      <c r="C91" s="30">
        <v>18.2</v>
      </c>
      <c r="D91" s="27">
        <v>8.5</v>
      </c>
      <c r="E91" s="28">
        <v>13</v>
      </c>
      <c r="F91" s="16">
        <f t="shared" si="171"/>
        <v>2.0110999999999999</v>
      </c>
      <c r="G91" s="17"/>
      <c r="H91" s="18"/>
      <c r="I91" s="19">
        <f t="shared" si="172"/>
        <v>0</v>
      </c>
      <c r="J91" s="16"/>
      <c r="K91" s="18">
        <v>13</v>
      </c>
      <c r="L91" s="19">
        <f t="shared" si="173"/>
        <v>2.0110999999999999</v>
      </c>
      <c r="M91" s="16"/>
      <c r="N91" s="18"/>
      <c r="O91" s="19">
        <f t="shared" si="174"/>
        <v>0</v>
      </c>
      <c r="P91" s="16"/>
      <c r="Q91" s="18"/>
      <c r="R91" s="19">
        <f t="shared" si="175"/>
        <v>0</v>
      </c>
      <c r="S91" s="20">
        <f t="shared" si="176"/>
        <v>13</v>
      </c>
      <c r="T91" s="19">
        <f t="shared" si="177"/>
        <v>2.0110999999999999</v>
      </c>
      <c r="U91" s="21">
        <f t="shared" si="178"/>
        <v>0</v>
      </c>
      <c r="V91" s="19">
        <f t="shared" si="179"/>
        <v>0</v>
      </c>
      <c r="X91" s="29"/>
    </row>
    <row r="92" spans="1:24">
      <c r="A92" s="26" t="s">
        <v>13</v>
      </c>
      <c r="B92" s="26" t="s">
        <v>47</v>
      </c>
      <c r="C92" s="30">
        <v>18.2</v>
      </c>
      <c r="D92" s="27">
        <v>9.8000000000000007</v>
      </c>
      <c r="E92" s="28">
        <v>32</v>
      </c>
      <c r="F92" s="16">
        <f t="shared" si="171"/>
        <v>5.7075200000000006</v>
      </c>
      <c r="G92" s="17"/>
      <c r="H92" s="18">
        <v>28</v>
      </c>
      <c r="I92" s="19">
        <f t="shared" si="172"/>
        <v>4.9940800000000003</v>
      </c>
      <c r="J92" s="16"/>
      <c r="K92" s="18"/>
      <c r="L92" s="19">
        <f t="shared" si="173"/>
        <v>0</v>
      </c>
      <c r="M92" s="16"/>
      <c r="N92" s="18">
        <v>1</v>
      </c>
      <c r="O92" s="19">
        <f t="shared" si="174"/>
        <v>0.17836000000000002</v>
      </c>
      <c r="P92" s="16"/>
      <c r="Q92" s="18">
        <v>8</v>
      </c>
      <c r="R92" s="19">
        <f t="shared" si="175"/>
        <v>1.4268800000000001</v>
      </c>
      <c r="S92" s="20">
        <f t="shared" si="176"/>
        <v>37</v>
      </c>
      <c r="T92" s="19">
        <f t="shared" si="177"/>
        <v>6.5993200000000005</v>
      </c>
      <c r="U92" s="21">
        <f t="shared" si="178"/>
        <v>-5</v>
      </c>
      <c r="V92" s="19">
        <f t="shared" si="179"/>
        <v>-0.89179999999999993</v>
      </c>
      <c r="X92" s="29"/>
    </row>
    <row r="93" spans="1:24">
      <c r="A93" s="26" t="s">
        <v>13</v>
      </c>
      <c r="B93" s="26" t="s">
        <v>47</v>
      </c>
      <c r="C93" s="30">
        <v>18.2</v>
      </c>
      <c r="D93" s="27">
        <v>10.8</v>
      </c>
      <c r="E93" s="28">
        <v>16</v>
      </c>
      <c r="F93" s="16">
        <f t="shared" si="171"/>
        <v>3.1449600000000002</v>
      </c>
      <c r="G93" s="17"/>
      <c r="H93" s="18"/>
      <c r="I93" s="19">
        <f t="shared" si="172"/>
        <v>0</v>
      </c>
      <c r="J93" s="16"/>
      <c r="K93" s="18"/>
      <c r="L93" s="19">
        <f t="shared" si="173"/>
        <v>0</v>
      </c>
      <c r="M93" s="16"/>
      <c r="N93" s="18"/>
      <c r="O93" s="19">
        <f t="shared" si="174"/>
        <v>0</v>
      </c>
      <c r="P93" s="16"/>
      <c r="Q93" s="18"/>
      <c r="R93" s="19">
        <f t="shared" si="175"/>
        <v>0</v>
      </c>
      <c r="S93" s="20">
        <f t="shared" si="176"/>
        <v>0</v>
      </c>
      <c r="T93" s="19">
        <f t="shared" si="177"/>
        <v>0</v>
      </c>
      <c r="U93" s="21">
        <f t="shared" si="178"/>
        <v>16</v>
      </c>
      <c r="V93" s="19">
        <f t="shared" si="179"/>
        <v>3.1449600000000002</v>
      </c>
      <c r="X93" s="29"/>
    </row>
    <row r="94" spans="1:24">
      <c r="A94" s="26" t="s">
        <v>13</v>
      </c>
      <c r="B94" s="26" t="s">
        <v>47</v>
      </c>
      <c r="C94" s="30">
        <v>18.2</v>
      </c>
      <c r="D94" s="27">
        <v>11.1</v>
      </c>
      <c r="E94" s="28">
        <v>12</v>
      </c>
      <c r="F94" s="16">
        <f t="shared" ref="F94:F99" si="180">(C94*D94*E94/1000)</f>
        <v>2.4242399999999997</v>
      </c>
      <c r="G94" s="17"/>
      <c r="H94" s="18"/>
      <c r="I94" s="19">
        <f t="shared" ref="I94:I99" si="181">(C94*D94*H94/1000)</f>
        <v>0</v>
      </c>
      <c r="J94" s="16"/>
      <c r="K94" s="18"/>
      <c r="L94" s="19">
        <f t="shared" ref="L94:L99" si="182">(C94*D94*K94/1000)</f>
        <v>0</v>
      </c>
      <c r="M94" s="16"/>
      <c r="N94" s="18">
        <v>9</v>
      </c>
      <c r="O94" s="19">
        <f t="shared" ref="O94:O99" si="183">(C94*D94*N94/1000)</f>
        <v>1.8181799999999999</v>
      </c>
      <c r="P94" s="16"/>
      <c r="Q94" s="18">
        <v>11</v>
      </c>
      <c r="R94" s="19">
        <f t="shared" ref="R94:R99" si="184">(C94*D94*Q94/1000)</f>
        <v>2.2222199999999996</v>
      </c>
      <c r="S94" s="20">
        <f t="shared" ref="S94:S99" si="185">+H94+K94+Q94+N94</f>
        <v>20</v>
      </c>
      <c r="T94" s="19">
        <f t="shared" ref="T94:T99" si="186">+I94+L94+R94+O94</f>
        <v>4.0404</v>
      </c>
      <c r="U94" s="21">
        <f t="shared" ref="U94:U99" si="187">E94-S94</f>
        <v>-8</v>
      </c>
      <c r="V94" s="19">
        <f t="shared" ref="V94:V99" si="188">F94-T94</f>
        <v>-1.6161600000000003</v>
      </c>
      <c r="X94" s="29"/>
    </row>
    <row r="95" spans="1:24">
      <c r="A95" s="26" t="s">
        <v>13</v>
      </c>
      <c r="B95" s="26" t="s">
        <v>47</v>
      </c>
      <c r="C95" s="30">
        <v>18.2</v>
      </c>
      <c r="D95" s="27">
        <v>10</v>
      </c>
      <c r="E95" s="28"/>
      <c r="F95" s="16">
        <f t="shared" si="180"/>
        <v>0</v>
      </c>
      <c r="G95" s="17"/>
      <c r="H95" s="18"/>
      <c r="I95" s="19">
        <f t="shared" si="181"/>
        <v>0</v>
      </c>
      <c r="J95" s="16"/>
      <c r="K95" s="18"/>
      <c r="L95" s="19">
        <f t="shared" si="182"/>
        <v>0</v>
      </c>
      <c r="M95" s="16"/>
      <c r="N95" s="18"/>
      <c r="O95" s="19">
        <f t="shared" si="183"/>
        <v>0</v>
      </c>
      <c r="P95" s="16"/>
      <c r="Q95" s="18">
        <v>6</v>
      </c>
      <c r="R95" s="19">
        <f t="shared" si="184"/>
        <v>1.0920000000000001</v>
      </c>
      <c r="S95" s="20">
        <f t="shared" si="185"/>
        <v>6</v>
      </c>
      <c r="T95" s="19">
        <f t="shared" si="186"/>
        <v>1.0920000000000001</v>
      </c>
      <c r="U95" s="21">
        <f t="shared" si="187"/>
        <v>-6</v>
      </c>
      <c r="V95" s="19">
        <f t="shared" si="188"/>
        <v>-1.0920000000000001</v>
      </c>
      <c r="X95" s="29"/>
    </row>
    <row r="96" spans="1:24">
      <c r="A96" s="26" t="s">
        <v>13</v>
      </c>
      <c r="B96" s="26" t="s">
        <v>47</v>
      </c>
      <c r="C96" s="30">
        <v>18.2</v>
      </c>
      <c r="D96" s="27">
        <v>10.9</v>
      </c>
      <c r="E96" s="28"/>
      <c r="F96" s="16">
        <f t="shared" si="180"/>
        <v>0</v>
      </c>
      <c r="G96" s="17"/>
      <c r="H96" s="18"/>
      <c r="I96" s="19">
        <f t="shared" si="181"/>
        <v>0</v>
      </c>
      <c r="J96" s="16"/>
      <c r="K96" s="18"/>
      <c r="L96" s="19">
        <f t="shared" si="182"/>
        <v>0</v>
      </c>
      <c r="M96" s="16"/>
      <c r="N96" s="18"/>
      <c r="O96" s="19">
        <f t="shared" si="183"/>
        <v>0</v>
      </c>
      <c r="P96" s="16"/>
      <c r="Q96" s="18">
        <v>3</v>
      </c>
      <c r="R96" s="19">
        <f t="shared" si="184"/>
        <v>0.59514</v>
      </c>
      <c r="S96" s="20">
        <f t="shared" si="185"/>
        <v>3</v>
      </c>
      <c r="T96" s="19">
        <f t="shared" si="186"/>
        <v>0.59514</v>
      </c>
      <c r="U96" s="21">
        <f t="shared" si="187"/>
        <v>-3</v>
      </c>
      <c r="V96" s="19">
        <f t="shared" si="188"/>
        <v>-0.59514</v>
      </c>
      <c r="X96" s="29"/>
    </row>
    <row r="97" spans="1:24">
      <c r="A97" s="26" t="s">
        <v>13</v>
      </c>
      <c r="B97" s="26" t="s">
        <v>47</v>
      </c>
      <c r="C97" s="30">
        <v>18.2</v>
      </c>
      <c r="D97" s="27">
        <v>11.5</v>
      </c>
      <c r="E97" s="28"/>
      <c r="F97" s="16">
        <f t="shared" si="180"/>
        <v>0</v>
      </c>
      <c r="G97" s="17"/>
      <c r="H97" s="18"/>
      <c r="I97" s="19">
        <f t="shared" si="181"/>
        <v>0</v>
      </c>
      <c r="J97" s="16"/>
      <c r="K97" s="18"/>
      <c r="L97" s="19">
        <f t="shared" si="182"/>
        <v>0</v>
      </c>
      <c r="M97" s="16"/>
      <c r="N97" s="18"/>
      <c r="O97" s="19">
        <f t="shared" si="183"/>
        <v>0</v>
      </c>
      <c r="P97" s="16"/>
      <c r="Q97" s="18">
        <v>3</v>
      </c>
      <c r="R97" s="19">
        <f t="shared" si="184"/>
        <v>0.62790000000000001</v>
      </c>
      <c r="S97" s="20">
        <f t="shared" si="185"/>
        <v>3</v>
      </c>
      <c r="T97" s="19">
        <f t="shared" si="186"/>
        <v>0.62790000000000001</v>
      </c>
      <c r="U97" s="21">
        <f t="shared" si="187"/>
        <v>-3</v>
      </c>
      <c r="V97" s="19">
        <f t="shared" si="188"/>
        <v>-0.62790000000000001</v>
      </c>
      <c r="X97" s="29"/>
    </row>
    <row r="98" spans="1:24">
      <c r="A98" s="26" t="s">
        <v>13</v>
      </c>
      <c r="B98" s="26" t="s">
        <v>47</v>
      </c>
      <c r="C98" s="30">
        <v>18.2</v>
      </c>
      <c r="D98" s="27"/>
      <c r="E98" s="28"/>
      <c r="F98" s="16">
        <f t="shared" si="180"/>
        <v>0</v>
      </c>
      <c r="G98" s="17"/>
      <c r="H98" s="18"/>
      <c r="I98" s="19">
        <f t="shared" si="181"/>
        <v>0</v>
      </c>
      <c r="J98" s="16"/>
      <c r="K98" s="18"/>
      <c r="L98" s="19">
        <f t="shared" si="182"/>
        <v>0</v>
      </c>
      <c r="M98" s="16"/>
      <c r="N98" s="18"/>
      <c r="O98" s="19">
        <f t="shared" si="183"/>
        <v>0</v>
      </c>
      <c r="P98" s="16"/>
      <c r="Q98" s="18"/>
      <c r="R98" s="19">
        <f t="shared" si="184"/>
        <v>0</v>
      </c>
      <c r="S98" s="20">
        <f t="shared" si="185"/>
        <v>0</v>
      </c>
      <c r="T98" s="19">
        <f t="shared" si="186"/>
        <v>0</v>
      </c>
      <c r="U98" s="21">
        <f t="shared" si="187"/>
        <v>0</v>
      </c>
      <c r="V98" s="19">
        <f t="shared" si="188"/>
        <v>0</v>
      </c>
      <c r="X98" s="29"/>
    </row>
    <row r="99" spans="1:24">
      <c r="A99" s="26" t="s">
        <v>13</v>
      </c>
      <c r="B99" s="26" t="s">
        <v>47</v>
      </c>
      <c r="C99" s="30">
        <v>18.2</v>
      </c>
      <c r="D99" s="27"/>
      <c r="E99" s="28"/>
      <c r="F99" s="16">
        <f t="shared" si="180"/>
        <v>0</v>
      </c>
      <c r="G99" s="17"/>
      <c r="H99" s="18"/>
      <c r="I99" s="19">
        <f t="shared" si="181"/>
        <v>0</v>
      </c>
      <c r="J99" s="16"/>
      <c r="K99" s="18"/>
      <c r="L99" s="19">
        <f t="shared" si="182"/>
        <v>0</v>
      </c>
      <c r="M99" s="16"/>
      <c r="N99" s="18"/>
      <c r="O99" s="19">
        <f t="shared" si="183"/>
        <v>0</v>
      </c>
      <c r="P99" s="16"/>
      <c r="Q99" s="18"/>
      <c r="R99" s="19">
        <f t="shared" si="184"/>
        <v>0</v>
      </c>
      <c r="S99" s="20">
        <f t="shared" si="185"/>
        <v>0</v>
      </c>
      <c r="T99" s="19">
        <f t="shared" si="186"/>
        <v>0</v>
      </c>
      <c r="U99" s="21">
        <f t="shared" si="187"/>
        <v>0</v>
      </c>
      <c r="V99" s="19">
        <f t="shared" si="188"/>
        <v>0</v>
      </c>
      <c r="X99" s="29"/>
    </row>
    <row r="100" spans="1:24">
      <c r="A100" s="26" t="s">
        <v>13</v>
      </c>
      <c r="B100" s="26" t="s">
        <v>47</v>
      </c>
      <c r="C100" s="30">
        <v>18.2</v>
      </c>
      <c r="D100" s="27"/>
      <c r="E100" s="28"/>
      <c r="F100" s="16">
        <f t="shared" si="171"/>
        <v>0</v>
      </c>
      <c r="G100" s="17"/>
      <c r="H100" s="18"/>
      <c r="I100" s="19">
        <f t="shared" si="172"/>
        <v>0</v>
      </c>
      <c r="J100" s="16"/>
      <c r="K100" s="18"/>
      <c r="L100" s="19">
        <f t="shared" si="173"/>
        <v>0</v>
      </c>
      <c r="M100" s="16"/>
      <c r="N100" s="18"/>
      <c r="O100" s="19">
        <f t="shared" si="174"/>
        <v>0</v>
      </c>
      <c r="P100" s="16"/>
      <c r="Q100" s="18"/>
      <c r="R100" s="19">
        <f t="shared" si="175"/>
        <v>0</v>
      </c>
      <c r="S100" s="20">
        <f t="shared" si="176"/>
        <v>0</v>
      </c>
      <c r="T100" s="19">
        <f t="shared" si="177"/>
        <v>0</v>
      </c>
      <c r="U100" s="21">
        <f t="shared" si="178"/>
        <v>0</v>
      </c>
      <c r="V100" s="19">
        <f t="shared" si="179"/>
        <v>0</v>
      </c>
      <c r="X100" s="29"/>
    </row>
    <row r="101" spans="1:24">
      <c r="A101" s="36"/>
      <c r="B101" s="36"/>
      <c r="C101" s="30"/>
      <c r="D101" s="38"/>
      <c r="E101" s="31">
        <f>SUM(E89:E100)</f>
        <v>96</v>
      </c>
      <c r="F101" s="38">
        <f>SUM(F89:F100)</f>
        <v>16.350880000000004</v>
      </c>
      <c r="G101" s="17"/>
      <c r="H101" s="31">
        <f t="shared" ref="H101" si="189">SUM(H89:H100)</f>
        <v>28</v>
      </c>
      <c r="I101" s="38">
        <f t="shared" ref="I101" si="190">SUM(I89:I100)</f>
        <v>4.9940800000000003</v>
      </c>
      <c r="J101" s="16"/>
      <c r="K101" s="31">
        <f t="shared" ref="K101" si="191">SUM(K89:K100)</f>
        <v>13</v>
      </c>
      <c r="L101" s="38">
        <f t="shared" ref="L101" si="192">SUM(L89:L100)</f>
        <v>2.0110999999999999</v>
      </c>
      <c r="M101" s="16"/>
      <c r="N101" s="31">
        <f t="shared" ref="N101" si="193">SUM(N89:N100)</f>
        <v>21</v>
      </c>
      <c r="O101" s="38">
        <f t="shared" ref="O101" si="194">SUM(O89:O100)</f>
        <v>3.49804</v>
      </c>
      <c r="P101" s="16"/>
      <c r="Q101" s="31">
        <f t="shared" ref="Q101" si="195">SUM(Q89:Q100)</f>
        <v>31</v>
      </c>
      <c r="R101" s="38">
        <f t="shared" ref="R101" si="196">SUM(R89:R100)</f>
        <v>5.9641399999999996</v>
      </c>
      <c r="S101" s="31">
        <f t="shared" ref="S101" si="197">SUM(S89:S100)</f>
        <v>93</v>
      </c>
      <c r="T101" s="38">
        <f t="shared" ref="T101" si="198">SUM(T89:T100)</f>
        <v>16.467360000000003</v>
      </c>
      <c r="U101" s="31">
        <f t="shared" ref="U101" si="199">SUM(U89:U100)</f>
        <v>3</v>
      </c>
      <c r="V101" s="38">
        <f t="shared" ref="V101" si="200">SUM(V89:V100)</f>
        <v>-0.11648000000000003</v>
      </c>
      <c r="X101" s="29"/>
    </row>
    <row r="102" spans="1:24">
      <c r="A102" s="26" t="s">
        <v>13</v>
      </c>
      <c r="B102" s="26" t="s">
        <v>49</v>
      </c>
      <c r="C102" s="30">
        <v>14.7</v>
      </c>
      <c r="D102" s="27">
        <v>6.5</v>
      </c>
      <c r="E102" s="28">
        <v>41</v>
      </c>
      <c r="F102" s="16">
        <f t="shared" ref="F102:F107" si="201">(C102*D102*E102/1000)</f>
        <v>3.9175499999999999</v>
      </c>
      <c r="G102" s="17" t="s">
        <v>301</v>
      </c>
      <c r="H102" s="18">
        <v>21</v>
      </c>
      <c r="I102" s="19">
        <f t="shared" ref="I102:I107" si="202">(C102*D102*H102/1000)</f>
        <v>2.0065499999999998</v>
      </c>
      <c r="J102" s="16" t="s">
        <v>295</v>
      </c>
      <c r="K102" s="18">
        <v>20</v>
      </c>
      <c r="L102" s="19">
        <f t="shared" ref="L102:L107" si="203">(C102*D102*K102/1000)</f>
        <v>1.911</v>
      </c>
      <c r="M102" s="16"/>
      <c r="N102" s="18"/>
      <c r="O102" s="19">
        <f t="shared" ref="O102:O107" si="204">(C102*D102*N102/1000)</f>
        <v>0</v>
      </c>
      <c r="P102" s="16"/>
      <c r="Q102" s="18"/>
      <c r="R102" s="19">
        <f t="shared" ref="R102:R107" si="205">(C102*D102*Q102/1000)</f>
        <v>0</v>
      </c>
      <c r="S102" s="20">
        <f t="shared" ref="S102:S107" si="206">+H102+K102+Q102+N102</f>
        <v>41</v>
      </c>
      <c r="T102" s="19">
        <f t="shared" ref="T102:T107" si="207">+I102+L102+R102+O102</f>
        <v>3.9175499999999999</v>
      </c>
      <c r="U102" s="21">
        <f t="shared" ref="U102:U107" si="208">E102-S102</f>
        <v>0</v>
      </c>
      <c r="V102" s="19">
        <f t="shared" ref="V102:V107" si="209">F102-T102</f>
        <v>0</v>
      </c>
      <c r="X102" s="29"/>
    </row>
    <row r="103" spans="1:24">
      <c r="A103" s="26" t="s">
        <v>13</v>
      </c>
      <c r="B103" s="26" t="s">
        <v>49</v>
      </c>
      <c r="C103" s="30">
        <v>14.7</v>
      </c>
      <c r="D103" s="27">
        <v>8.5</v>
      </c>
      <c r="E103" s="28">
        <v>24</v>
      </c>
      <c r="F103" s="16">
        <f t="shared" si="201"/>
        <v>2.9987999999999997</v>
      </c>
      <c r="G103" s="17" t="s">
        <v>302</v>
      </c>
      <c r="H103" s="18">
        <v>6</v>
      </c>
      <c r="I103" s="19">
        <f t="shared" si="202"/>
        <v>0.74969999999999992</v>
      </c>
      <c r="J103" s="16" t="s">
        <v>300</v>
      </c>
      <c r="K103" s="18">
        <v>19</v>
      </c>
      <c r="L103" s="19">
        <f t="shared" si="203"/>
        <v>2.3740499999999995</v>
      </c>
      <c r="M103" s="16"/>
      <c r="N103" s="18"/>
      <c r="O103" s="19">
        <f t="shared" si="204"/>
        <v>0</v>
      </c>
      <c r="P103" s="16"/>
      <c r="Q103" s="18"/>
      <c r="R103" s="19">
        <f t="shared" si="205"/>
        <v>0</v>
      </c>
      <c r="S103" s="20">
        <f t="shared" si="206"/>
        <v>25</v>
      </c>
      <c r="T103" s="19">
        <f t="shared" si="207"/>
        <v>3.1237499999999994</v>
      </c>
      <c r="U103" s="21">
        <f t="shared" si="208"/>
        <v>-1</v>
      </c>
      <c r="V103" s="19">
        <f t="shared" si="209"/>
        <v>-0.12494999999999967</v>
      </c>
      <c r="X103" s="29"/>
    </row>
    <row r="104" spans="1:24">
      <c r="A104" s="26" t="s">
        <v>13</v>
      </c>
      <c r="B104" s="26" t="s">
        <v>49</v>
      </c>
      <c r="C104" s="30">
        <v>14.7</v>
      </c>
      <c r="D104" s="27">
        <v>9.8000000000000007</v>
      </c>
      <c r="E104" s="28">
        <v>14</v>
      </c>
      <c r="F104" s="16">
        <f t="shared" si="201"/>
        <v>2.0168400000000002</v>
      </c>
      <c r="G104" s="17"/>
      <c r="H104" s="18">
        <v>13</v>
      </c>
      <c r="I104" s="19">
        <f t="shared" si="202"/>
        <v>1.8727799999999999</v>
      </c>
      <c r="J104" s="16"/>
      <c r="K104" s="18"/>
      <c r="L104" s="19">
        <f t="shared" si="203"/>
        <v>0</v>
      </c>
      <c r="M104" s="16"/>
      <c r="N104" s="18"/>
      <c r="O104" s="19">
        <f t="shared" si="204"/>
        <v>0</v>
      </c>
      <c r="P104" s="16"/>
      <c r="Q104" s="18"/>
      <c r="R104" s="19">
        <f t="shared" si="205"/>
        <v>0</v>
      </c>
      <c r="S104" s="20">
        <f t="shared" si="206"/>
        <v>13</v>
      </c>
      <c r="T104" s="19">
        <f t="shared" si="207"/>
        <v>1.8727799999999999</v>
      </c>
      <c r="U104" s="21">
        <f t="shared" si="208"/>
        <v>1</v>
      </c>
      <c r="V104" s="19">
        <f t="shared" si="209"/>
        <v>0.1440600000000003</v>
      </c>
      <c r="X104" s="29"/>
    </row>
    <row r="105" spans="1:24">
      <c r="A105" s="26" t="s">
        <v>13</v>
      </c>
      <c r="B105" s="26" t="s">
        <v>49</v>
      </c>
      <c r="C105" s="30">
        <v>14.7</v>
      </c>
      <c r="D105" s="27">
        <v>11.2</v>
      </c>
      <c r="E105" s="28">
        <v>11</v>
      </c>
      <c r="F105" s="16">
        <f t="shared" si="201"/>
        <v>1.81104</v>
      </c>
      <c r="G105" s="17"/>
      <c r="H105" s="18">
        <v>11</v>
      </c>
      <c r="I105" s="19">
        <f t="shared" si="202"/>
        <v>1.81104</v>
      </c>
      <c r="J105" s="16"/>
      <c r="K105" s="18"/>
      <c r="L105" s="19">
        <f t="shared" si="203"/>
        <v>0</v>
      </c>
      <c r="M105" s="16"/>
      <c r="N105" s="18"/>
      <c r="O105" s="19">
        <f t="shared" si="204"/>
        <v>0</v>
      </c>
      <c r="P105" s="16"/>
      <c r="Q105" s="18"/>
      <c r="R105" s="19">
        <f t="shared" si="205"/>
        <v>0</v>
      </c>
      <c r="S105" s="20">
        <f t="shared" si="206"/>
        <v>11</v>
      </c>
      <c r="T105" s="19">
        <f t="shared" si="207"/>
        <v>1.81104</v>
      </c>
      <c r="U105" s="21">
        <f t="shared" si="208"/>
        <v>0</v>
      </c>
      <c r="V105" s="19">
        <f t="shared" si="209"/>
        <v>0</v>
      </c>
      <c r="X105" s="29"/>
    </row>
    <row r="106" spans="1:24">
      <c r="A106" s="26" t="s">
        <v>13</v>
      </c>
      <c r="B106" s="26" t="s">
        <v>49</v>
      </c>
      <c r="C106" s="30">
        <v>14.7</v>
      </c>
      <c r="D106" s="27">
        <v>11.7</v>
      </c>
      <c r="E106" s="28">
        <v>12</v>
      </c>
      <c r="F106" s="16">
        <f t="shared" si="201"/>
        <v>2.0638799999999997</v>
      </c>
      <c r="G106" s="17"/>
      <c r="H106" s="18"/>
      <c r="I106" s="19">
        <f t="shared" si="202"/>
        <v>0</v>
      </c>
      <c r="J106" s="16"/>
      <c r="K106" s="18">
        <v>12</v>
      </c>
      <c r="L106" s="19">
        <f t="shared" si="203"/>
        <v>2.0638799999999997</v>
      </c>
      <c r="M106" s="16"/>
      <c r="N106" s="18"/>
      <c r="O106" s="19">
        <f t="shared" si="204"/>
        <v>0</v>
      </c>
      <c r="P106" s="16"/>
      <c r="Q106" s="18"/>
      <c r="R106" s="19">
        <f t="shared" si="205"/>
        <v>0</v>
      </c>
      <c r="S106" s="20">
        <f t="shared" si="206"/>
        <v>12</v>
      </c>
      <c r="T106" s="19">
        <f t="shared" si="207"/>
        <v>2.0638799999999997</v>
      </c>
      <c r="U106" s="21">
        <f t="shared" si="208"/>
        <v>0</v>
      </c>
      <c r="V106" s="19">
        <f t="shared" si="209"/>
        <v>0</v>
      </c>
      <c r="X106" s="29"/>
    </row>
    <row r="107" spans="1:24">
      <c r="A107" s="26" t="s">
        <v>13</v>
      </c>
      <c r="B107" s="26" t="s">
        <v>49</v>
      </c>
      <c r="C107" s="30">
        <v>14.7</v>
      </c>
      <c r="D107" s="27">
        <v>12</v>
      </c>
      <c r="E107" s="28">
        <v>26</v>
      </c>
      <c r="F107" s="16">
        <f t="shared" si="201"/>
        <v>4.5863999999999994</v>
      </c>
      <c r="G107" s="17"/>
      <c r="H107" s="18">
        <v>8</v>
      </c>
      <c r="I107" s="19">
        <f t="shared" si="202"/>
        <v>1.4111999999999998</v>
      </c>
      <c r="J107" s="16"/>
      <c r="K107" s="18">
        <v>18</v>
      </c>
      <c r="L107" s="19">
        <f t="shared" si="203"/>
        <v>3.1751999999999998</v>
      </c>
      <c r="M107" s="16"/>
      <c r="N107" s="18"/>
      <c r="O107" s="19">
        <f t="shared" si="204"/>
        <v>0</v>
      </c>
      <c r="P107" s="16"/>
      <c r="Q107" s="18"/>
      <c r="R107" s="19">
        <f t="shared" si="205"/>
        <v>0</v>
      </c>
      <c r="S107" s="20">
        <f t="shared" si="206"/>
        <v>26</v>
      </c>
      <c r="T107" s="19">
        <f t="shared" si="207"/>
        <v>4.5863999999999994</v>
      </c>
      <c r="U107" s="21">
        <f t="shared" si="208"/>
        <v>0</v>
      </c>
      <c r="V107" s="19">
        <f t="shared" si="209"/>
        <v>0</v>
      </c>
      <c r="X107" s="29"/>
    </row>
    <row r="108" spans="1:24">
      <c r="A108" s="36"/>
      <c r="B108" s="36"/>
      <c r="C108" s="30"/>
      <c r="D108" s="38"/>
      <c r="E108" s="31">
        <f>SUM(E102:E107)</f>
        <v>128</v>
      </c>
      <c r="F108" s="38">
        <f>SUM(F102:F107)</f>
        <v>17.394509999999997</v>
      </c>
      <c r="G108" s="17"/>
      <c r="H108" s="31">
        <f t="shared" ref="H108" si="210">SUM(H102:H107)</f>
        <v>59</v>
      </c>
      <c r="I108" s="38">
        <f t="shared" ref="I108" si="211">SUM(I102:I107)</f>
        <v>7.8512699999999995</v>
      </c>
      <c r="J108" s="16"/>
      <c r="K108" s="31">
        <f t="shared" ref="K108" si="212">SUM(K102:K107)</f>
        <v>69</v>
      </c>
      <c r="L108" s="38">
        <f t="shared" ref="L108" si="213">SUM(L102:L107)</f>
        <v>9.5241299999999995</v>
      </c>
      <c r="M108" s="16"/>
      <c r="N108" s="31">
        <f t="shared" ref="N108" si="214">SUM(N102:N107)</f>
        <v>0</v>
      </c>
      <c r="O108" s="38">
        <f t="shared" ref="O108" si="215">SUM(O102:O107)</f>
        <v>0</v>
      </c>
      <c r="P108" s="16"/>
      <c r="Q108" s="31">
        <f t="shared" ref="Q108" si="216">SUM(Q102:Q107)</f>
        <v>0</v>
      </c>
      <c r="R108" s="38">
        <f t="shared" ref="R108" si="217">SUM(R102:R107)</f>
        <v>0</v>
      </c>
      <c r="S108" s="31">
        <f t="shared" ref="S108" si="218">SUM(S102:S107)</f>
        <v>128</v>
      </c>
      <c r="T108" s="38">
        <f t="shared" ref="T108" si="219">SUM(T102:T107)</f>
        <v>17.375399999999999</v>
      </c>
      <c r="U108" s="31">
        <f t="shared" ref="U108" si="220">SUM(U102:U107)</f>
        <v>0</v>
      </c>
      <c r="V108" s="38">
        <f t="shared" ref="V108" si="221">SUM(V102:V107)</f>
        <v>1.9110000000000626E-2</v>
      </c>
      <c r="X108" s="29"/>
    </row>
    <row r="109" spans="1:24">
      <c r="A109" s="26" t="s">
        <v>13</v>
      </c>
      <c r="B109" s="26" t="s">
        <v>50</v>
      </c>
      <c r="C109" s="30">
        <v>16.5</v>
      </c>
      <c r="D109" s="27">
        <v>6.9</v>
      </c>
      <c r="E109" s="28">
        <v>30</v>
      </c>
      <c r="F109" s="16">
        <f t="shared" ref="F109:F117" si="222">(C109*D109*E109/1000)</f>
        <v>3.4155000000000006</v>
      </c>
      <c r="G109" s="17" t="s">
        <v>89</v>
      </c>
      <c r="H109" s="18">
        <v>13</v>
      </c>
      <c r="I109" s="19">
        <f t="shared" ref="I109:I117" si="223">(C109*D109*H109/1000)</f>
        <v>1.4800500000000001</v>
      </c>
      <c r="J109" s="16" t="s">
        <v>295</v>
      </c>
      <c r="K109" s="18"/>
      <c r="L109" s="19">
        <f t="shared" ref="L109:L117" si="224">(C109*D109*K109/1000)</f>
        <v>0</v>
      </c>
      <c r="M109" s="16" t="s">
        <v>64</v>
      </c>
      <c r="N109" s="18">
        <v>10</v>
      </c>
      <c r="O109" s="19">
        <f t="shared" ref="O109:O117" si="225">(C109*D109*N109/1000)</f>
        <v>1.1385000000000001</v>
      </c>
      <c r="P109" s="16"/>
      <c r="Q109" s="18"/>
      <c r="R109" s="19">
        <f t="shared" ref="R109:R117" si="226">(C109*D109*Q109/1000)</f>
        <v>0</v>
      </c>
      <c r="S109" s="20">
        <f t="shared" ref="S109:S117" si="227">+H109+K109+Q109+N109</f>
        <v>23</v>
      </c>
      <c r="T109" s="19">
        <f t="shared" ref="T109:T117" si="228">+I109+L109+R109+O109</f>
        <v>2.6185499999999999</v>
      </c>
      <c r="U109" s="21">
        <f t="shared" ref="U109:U117" si="229">E109-S109</f>
        <v>7</v>
      </c>
      <c r="V109" s="19">
        <f t="shared" ref="V109:V117" si="230">F109-T109</f>
        <v>0.79695000000000071</v>
      </c>
      <c r="X109" s="29"/>
    </row>
    <row r="110" spans="1:24">
      <c r="A110" s="26" t="s">
        <v>13</v>
      </c>
      <c r="B110" s="26" t="s">
        <v>50</v>
      </c>
      <c r="C110" s="30">
        <v>16.5</v>
      </c>
      <c r="D110" s="27">
        <v>8.3000000000000007</v>
      </c>
      <c r="E110" s="28">
        <v>12</v>
      </c>
      <c r="F110" s="16">
        <f t="shared" si="222"/>
        <v>1.6434000000000002</v>
      </c>
      <c r="G110" s="17" t="s">
        <v>299</v>
      </c>
      <c r="H110" s="18">
        <v>12</v>
      </c>
      <c r="I110" s="19">
        <f t="shared" si="223"/>
        <v>1.6434000000000002</v>
      </c>
      <c r="J110" s="16" t="s">
        <v>299</v>
      </c>
      <c r="K110" s="18"/>
      <c r="L110" s="19">
        <f t="shared" si="224"/>
        <v>0</v>
      </c>
      <c r="M110" s="16" t="s">
        <v>341</v>
      </c>
      <c r="N110" s="18"/>
      <c r="O110" s="19">
        <f t="shared" si="225"/>
        <v>0</v>
      </c>
      <c r="P110" s="16"/>
      <c r="Q110" s="18"/>
      <c r="R110" s="19">
        <f t="shared" si="226"/>
        <v>0</v>
      </c>
      <c r="S110" s="20">
        <f t="shared" si="227"/>
        <v>12</v>
      </c>
      <c r="T110" s="19">
        <f t="shared" si="228"/>
        <v>1.6434000000000002</v>
      </c>
      <c r="U110" s="21">
        <f t="shared" si="229"/>
        <v>0</v>
      </c>
      <c r="V110" s="19">
        <f t="shared" si="230"/>
        <v>0</v>
      </c>
      <c r="X110" s="29"/>
    </row>
    <row r="111" spans="1:24">
      <c r="A111" s="26" t="s">
        <v>13</v>
      </c>
      <c r="B111" s="26" t="s">
        <v>50</v>
      </c>
      <c r="C111" s="30">
        <v>16.5</v>
      </c>
      <c r="D111" s="27">
        <v>9.1999999999999993</v>
      </c>
      <c r="E111" s="28">
        <v>9</v>
      </c>
      <c r="F111" s="16">
        <f t="shared" si="222"/>
        <v>1.3661999999999999</v>
      </c>
      <c r="G111" s="17"/>
      <c r="H111" s="18">
        <v>8</v>
      </c>
      <c r="I111" s="19">
        <f t="shared" si="223"/>
        <v>1.2143999999999999</v>
      </c>
      <c r="J111" s="16"/>
      <c r="K111" s="18"/>
      <c r="L111" s="19">
        <f t="shared" si="224"/>
        <v>0</v>
      </c>
      <c r="M111" s="16"/>
      <c r="N111" s="18"/>
      <c r="O111" s="19">
        <f t="shared" si="225"/>
        <v>0</v>
      </c>
      <c r="P111" s="16"/>
      <c r="Q111" s="18"/>
      <c r="R111" s="19">
        <f t="shared" si="226"/>
        <v>0</v>
      </c>
      <c r="S111" s="20">
        <f t="shared" si="227"/>
        <v>8</v>
      </c>
      <c r="T111" s="19">
        <f t="shared" si="228"/>
        <v>1.2143999999999999</v>
      </c>
      <c r="U111" s="21">
        <f t="shared" si="229"/>
        <v>1</v>
      </c>
      <c r="V111" s="19">
        <f t="shared" si="230"/>
        <v>0.15179999999999993</v>
      </c>
      <c r="X111" s="29"/>
    </row>
    <row r="112" spans="1:24">
      <c r="A112" s="26" t="s">
        <v>13</v>
      </c>
      <c r="B112" s="26" t="s">
        <v>50</v>
      </c>
      <c r="C112" s="30">
        <v>16.5</v>
      </c>
      <c r="D112" s="27">
        <v>11</v>
      </c>
      <c r="E112" s="28">
        <v>38</v>
      </c>
      <c r="F112" s="16">
        <f t="shared" si="222"/>
        <v>6.8970000000000002</v>
      </c>
      <c r="G112" s="17"/>
      <c r="H112" s="18">
        <v>17</v>
      </c>
      <c r="I112" s="19">
        <f t="shared" si="223"/>
        <v>3.0855000000000001</v>
      </c>
      <c r="J112" s="16"/>
      <c r="K112" s="18">
        <v>15</v>
      </c>
      <c r="L112" s="19">
        <f t="shared" si="224"/>
        <v>2.7225000000000001</v>
      </c>
      <c r="M112" s="16"/>
      <c r="N112" s="18">
        <v>10</v>
      </c>
      <c r="O112" s="19">
        <f t="shared" si="225"/>
        <v>1.8149999999999999</v>
      </c>
      <c r="P112" s="16"/>
      <c r="Q112" s="18"/>
      <c r="R112" s="19">
        <f t="shared" si="226"/>
        <v>0</v>
      </c>
      <c r="S112" s="20">
        <f t="shared" si="227"/>
        <v>42</v>
      </c>
      <c r="T112" s="19">
        <f t="shared" si="228"/>
        <v>7.6229999999999993</v>
      </c>
      <c r="U112" s="21">
        <f t="shared" si="229"/>
        <v>-4</v>
      </c>
      <c r="V112" s="19">
        <f t="shared" si="230"/>
        <v>-0.72599999999999909</v>
      </c>
      <c r="X112" s="29"/>
    </row>
    <row r="113" spans="1:24">
      <c r="A113" s="26" t="s">
        <v>13</v>
      </c>
      <c r="B113" s="26" t="s">
        <v>50</v>
      </c>
      <c r="C113" s="30">
        <v>16.5</v>
      </c>
      <c r="D113" s="27">
        <v>12</v>
      </c>
      <c r="E113" s="28">
        <v>14</v>
      </c>
      <c r="F113" s="16">
        <f t="shared" ref="F113:F116" si="231">(C113*D113*E113/1000)</f>
        <v>2.7719999999999998</v>
      </c>
      <c r="G113" s="17"/>
      <c r="H113" s="18">
        <v>1</v>
      </c>
      <c r="I113" s="19">
        <f t="shared" ref="I113:I116" si="232">(C113*D113*H113/1000)</f>
        <v>0.19800000000000001</v>
      </c>
      <c r="J113" s="16"/>
      <c r="K113" s="18">
        <f t="shared" ref="K113" si="233">1+10</f>
        <v>11</v>
      </c>
      <c r="L113" s="19">
        <f t="shared" ref="L113:L116" si="234">(C113*D113*K113/1000)</f>
        <v>2.1779999999999999</v>
      </c>
      <c r="M113" s="16"/>
      <c r="N113" s="18"/>
      <c r="O113" s="19">
        <f t="shared" ref="O113:O116" si="235">(C113*D113*N113/1000)</f>
        <v>0</v>
      </c>
      <c r="P113" s="16"/>
      <c r="Q113" s="18"/>
      <c r="R113" s="19">
        <f t="shared" ref="R113:R116" si="236">(C113*D113*Q113/1000)</f>
        <v>0</v>
      </c>
      <c r="S113" s="20">
        <f t="shared" ref="S113:S116" si="237">+H113+K113+Q113+N113</f>
        <v>12</v>
      </c>
      <c r="T113" s="19">
        <f t="shared" ref="T113:T116" si="238">+I113+L113+R113+O113</f>
        <v>2.3759999999999999</v>
      </c>
      <c r="U113" s="21">
        <f t="shared" ref="U113:U116" si="239">E113-S113</f>
        <v>2</v>
      </c>
      <c r="V113" s="19">
        <f t="shared" ref="V113:V116" si="240">F113-T113</f>
        <v>0.39599999999999991</v>
      </c>
      <c r="X113" s="29"/>
    </row>
    <row r="114" spans="1:24">
      <c r="A114" s="26" t="s">
        <v>13</v>
      </c>
      <c r="B114" s="26" t="s">
        <v>50</v>
      </c>
      <c r="C114" s="30">
        <v>16.5</v>
      </c>
      <c r="D114" s="27">
        <v>10.4</v>
      </c>
      <c r="E114" s="28"/>
      <c r="F114" s="16">
        <f t="shared" si="231"/>
        <v>0</v>
      </c>
      <c r="G114" s="17"/>
      <c r="H114" s="18"/>
      <c r="I114" s="19">
        <f t="shared" si="232"/>
        <v>0</v>
      </c>
      <c r="J114" s="16"/>
      <c r="K114" s="18"/>
      <c r="L114" s="19">
        <f t="shared" si="234"/>
        <v>0</v>
      </c>
      <c r="M114" s="16"/>
      <c r="N114" s="18">
        <v>2</v>
      </c>
      <c r="O114" s="19">
        <f t="shared" si="235"/>
        <v>0.34320000000000001</v>
      </c>
      <c r="P114" s="16"/>
      <c r="Q114" s="18"/>
      <c r="R114" s="19">
        <f t="shared" si="236"/>
        <v>0</v>
      </c>
      <c r="S114" s="20">
        <f t="shared" si="237"/>
        <v>2</v>
      </c>
      <c r="T114" s="19">
        <f t="shared" si="238"/>
        <v>0.34320000000000001</v>
      </c>
      <c r="U114" s="21">
        <f t="shared" si="239"/>
        <v>-2</v>
      </c>
      <c r="V114" s="19">
        <f t="shared" si="240"/>
        <v>-0.34320000000000001</v>
      </c>
      <c r="X114" s="29"/>
    </row>
    <row r="115" spans="1:24">
      <c r="A115" s="26" t="s">
        <v>13</v>
      </c>
      <c r="B115" s="26" t="s">
        <v>50</v>
      </c>
      <c r="C115" s="30">
        <v>16.5</v>
      </c>
      <c r="D115" s="27">
        <v>11.4</v>
      </c>
      <c r="E115" s="28"/>
      <c r="F115" s="16">
        <f t="shared" si="231"/>
        <v>0</v>
      </c>
      <c r="G115" s="17"/>
      <c r="H115" s="18"/>
      <c r="I115" s="19">
        <f t="shared" si="232"/>
        <v>0</v>
      </c>
      <c r="J115" s="16"/>
      <c r="K115" s="18"/>
      <c r="L115" s="19">
        <f t="shared" si="234"/>
        <v>0</v>
      </c>
      <c r="M115" s="16"/>
      <c r="N115" s="18">
        <v>3</v>
      </c>
      <c r="O115" s="19">
        <f t="shared" si="235"/>
        <v>0.56429999999999991</v>
      </c>
      <c r="P115" s="16"/>
      <c r="Q115" s="18"/>
      <c r="R115" s="19">
        <f t="shared" si="236"/>
        <v>0</v>
      </c>
      <c r="S115" s="20">
        <f t="shared" si="237"/>
        <v>3</v>
      </c>
      <c r="T115" s="19">
        <f t="shared" si="238"/>
        <v>0.56429999999999991</v>
      </c>
      <c r="U115" s="21">
        <f t="shared" si="239"/>
        <v>-3</v>
      </c>
      <c r="V115" s="19">
        <f t="shared" si="240"/>
        <v>-0.56429999999999991</v>
      </c>
      <c r="X115" s="29"/>
    </row>
    <row r="116" spans="1:24">
      <c r="A116" s="26" t="s">
        <v>13</v>
      </c>
      <c r="B116" s="26" t="s">
        <v>50</v>
      </c>
      <c r="C116" s="30">
        <v>16.5</v>
      </c>
      <c r="D116" s="27"/>
      <c r="E116" s="28"/>
      <c r="F116" s="16">
        <f t="shared" si="231"/>
        <v>0</v>
      </c>
      <c r="G116" s="17"/>
      <c r="H116" s="18"/>
      <c r="I116" s="19">
        <f t="shared" si="232"/>
        <v>0</v>
      </c>
      <c r="J116" s="16"/>
      <c r="K116" s="18"/>
      <c r="L116" s="19">
        <f t="shared" si="234"/>
        <v>0</v>
      </c>
      <c r="M116" s="16"/>
      <c r="N116" s="18"/>
      <c r="O116" s="19">
        <f t="shared" si="235"/>
        <v>0</v>
      </c>
      <c r="P116" s="16"/>
      <c r="Q116" s="18"/>
      <c r="R116" s="19">
        <f t="shared" si="236"/>
        <v>0</v>
      </c>
      <c r="S116" s="20">
        <f t="shared" si="237"/>
        <v>0</v>
      </c>
      <c r="T116" s="19">
        <f t="shared" si="238"/>
        <v>0</v>
      </c>
      <c r="U116" s="21">
        <f t="shared" si="239"/>
        <v>0</v>
      </c>
      <c r="V116" s="19">
        <f t="shared" si="240"/>
        <v>0</v>
      </c>
      <c r="X116" s="29"/>
    </row>
    <row r="117" spans="1:24">
      <c r="A117" s="26" t="s">
        <v>13</v>
      </c>
      <c r="B117" s="26" t="s">
        <v>50</v>
      </c>
      <c r="C117" s="30">
        <v>16.5</v>
      </c>
      <c r="D117" s="27"/>
      <c r="E117" s="28"/>
      <c r="F117" s="16">
        <f t="shared" si="222"/>
        <v>0</v>
      </c>
      <c r="G117" s="17"/>
      <c r="H117" s="18"/>
      <c r="I117" s="19">
        <f t="shared" si="223"/>
        <v>0</v>
      </c>
      <c r="J117" s="16"/>
      <c r="K117" s="18"/>
      <c r="L117" s="19">
        <f t="shared" si="224"/>
        <v>0</v>
      </c>
      <c r="M117" s="16"/>
      <c r="N117" s="18"/>
      <c r="O117" s="19">
        <f t="shared" si="225"/>
        <v>0</v>
      </c>
      <c r="P117" s="16"/>
      <c r="Q117" s="18"/>
      <c r="R117" s="19">
        <f t="shared" si="226"/>
        <v>0</v>
      </c>
      <c r="S117" s="20">
        <f t="shared" si="227"/>
        <v>0</v>
      </c>
      <c r="T117" s="19">
        <f t="shared" si="228"/>
        <v>0</v>
      </c>
      <c r="U117" s="21">
        <f t="shared" si="229"/>
        <v>0</v>
      </c>
      <c r="V117" s="19">
        <f t="shared" si="230"/>
        <v>0</v>
      </c>
      <c r="X117" s="29"/>
    </row>
    <row r="118" spans="1:24">
      <c r="A118" s="36"/>
      <c r="B118" s="36"/>
      <c r="C118" s="30"/>
      <c r="D118" s="38"/>
      <c r="E118" s="31">
        <f>SUM(E109:E117)</f>
        <v>103</v>
      </c>
      <c r="F118" s="38">
        <f>SUM(F109:F117)</f>
        <v>16.094100000000001</v>
      </c>
      <c r="G118" s="17"/>
      <c r="H118" s="31">
        <f t="shared" ref="H118" si="241">SUM(H109:H117)</f>
        <v>51</v>
      </c>
      <c r="I118" s="38">
        <f t="shared" ref="I118" si="242">SUM(I109:I117)</f>
        <v>7.6213499999999996</v>
      </c>
      <c r="J118" s="16"/>
      <c r="K118" s="31">
        <f t="shared" ref="K118" si="243">SUM(K109:K117)</f>
        <v>26</v>
      </c>
      <c r="L118" s="38">
        <f t="shared" ref="L118" si="244">SUM(L109:L117)</f>
        <v>4.9005000000000001</v>
      </c>
      <c r="M118" s="16"/>
      <c r="N118" s="31">
        <f t="shared" ref="N118" si="245">SUM(N109:N117)</f>
        <v>25</v>
      </c>
      <c r="O118" s="38">
        <f t="shared" ref="O118" si="246">SUM(O109:O117)</f>
        <v>3.8609999999999998</v>
      </c>
      <c r="P118" s="16"/>
      <c r="Q118" s="31">
        <f t="shared" ref="Q118" si="247">SUM(Q109:Q117)</f>
        <v>0</v>
      </c>
      <c r="R118" s="38">
        <f t="shared" ref="R118" si="248">SUM(R109:R117)</f>
        <v>0</v>
      </c>
      <c r="S118" s="31">
        <f t="shared" ref="S118" si="249">SUM(S109:S117)</f>
        <v>102</v>
      </c>
      <c r="T118" s="38">
        <f t="shared" ref="T118" si="250">SUM(T109:T117)</f>
        <v>16.382849999999998</v>
      </c>
      <c r="U118" s="31">
        <f t="shared" ref="U118" si="251">SUM(U109:U117)</f>
        <v>1</v>
      </c>
      <c r="V118" s="38">
        <f t="shared" ref="V118" si="252">SUM(V109:V117)</f>
        <v>-0.28874999999999845</v>
      </c>
      <c r="X118" s="29"/>
    </row>
    <row r="119" spans="1:24">
      <c r="A119" s="26" t="s">
        <v>13</v>
      </c>
      <c r="B119" s="26" t="s">
        <v>51</v>
      </c>
      <c r="C119" s="30">
        <v>19.8</v>
      </c>
      <c r="D119" s="27">
        <v>6.6</v>
      </c>
      <c r="E119" s="28">
        <v>11</v>
      </c>
      <c r="F119" s="16">
        <f t="shared" ref="F119:F130" si="253">(C119*D119*E119/1000)</f>
        <v>1.4374800000000001</v>
      </c>
      <c r="G119" s="17" t="s">
        <v>89</v>
      </c>
      <c r="H119" s="18">
        <v>9</v>
      </c>
      <c r="I119" s="19">
        <f t="shared" ref="I119:I130" si="254">(C119*D119*H119/1000)</f>
        <v>1.1761200000000001</v>
      </c>
      <c r="J119" s="16" t="s">
        <v>205</v>
      </c>
      <c r="K119" s="18">
        <v>2</v>
      </c>
      <c r="L119" s="19">
        <f t="shared" ref="L119:L130" si="255">(C119*D119*K119/1000)</f>
        <v>0.26136000000000004</v>
      </c>
      <c r="M119" s="16"/>
      <c r="N119" s="18"/>
      <c r="O119" s="19">
        <f t="shared" ref="O119:O130" si="256">(C119*D119*N119/1000)</f>
        <v>0</v>
      </c>
      <c r="P119" s="16"/>
      <c r="Q119" s="18"/>
      <c r="R119" s="19">
        <f t="shared" ref="R119:R130" si="257">(C119*D119*Q119/1000)</f>
        <v>0</v>
      </c>
      <c r="S119" s="20">
        <f t="shared" ref="S119:S130" si="258">+H119+K119+Q119+N119</f>
        <v>11</v>
      </c>
      <c r="T119" s="19">
        <f t="shared" ref="T119:T130" si="259">+I119+L119+R119+O119</f>
        <v>1.4374800000000001</v>
      </c>
      <c r="U119" s="21">
        <f t="shared" ref="U119:U130" si="260">E119-S119</f>
        <v>0</v>
      </c>
      <c r="V119" s="19">
        <f t="shared" ref="V119:V130" si="261">F119-T119</f>
        <v>0</v>
      </c>
      <c r="X119" s="29"/>
    </row>
    <row r="120" spans="1:24">
      <c r="A120" s="26" t="s">
        <v>13</v>
      </c>
      <c r="B120" s="26" t="s">
        <v>51</v>
      </c>
      <c r="C120" s="30">
        <v>19.8</v>
      </c>
      <c r="D120" s="27">
        <v>8</v>
      </c>
      <c r="E120" s="28">
        <v>18</v>
      </c>
      <c r="F120" s="16">
        <f t="shared" si="253"/>
        <v>2.8512000000000004</v>
      </c>
      <c r="G120" s="17" t="s">
        <v>317</v>
      </c>
      <c r="H120" s="18">
        <v>17</v>
      </c>
      <c r="I120" s="19">
        <f t="shared" si="254"/>
        <v>2.6928000000000001</v>
      </c>
      <c r="J120" s="16" t="s">
        <v>319</v>
      </c>
      <c r="K120" s="18"/>
      <c r="L120" s="19">
        <f t="shared" si="255"/>
        <v>0</v>
      </c>
      <c r="M120" s="16"/>
      <c r="N120" s="18"/>
      <c r="O120" s="19">
        <f t="shared" si="256"/>
        <v>0</v>
      </c>
      <c r="P120" s="16"/>
      <c r="Q120" s="18"/>
      <c r="R120" s="19">
        <f t="shared" si="257"/>
        <v>0</v>
      </c>
      <c r="S120" s="20">
        <f t="shared" si="258"/>
        <v>17</v>
      </c>
      <c r="T120" s="19">
        <f t="shared" si="259"/>
        <v>2.6928000000000001</v>
      </c>
      <c r="U120" s="21">
        <f t="shared" si="260"/>
        <v>1</v>
      </c>
      <c r="V120" s="19">
        <f t="shared" si="261"/>
        <v>0.15840000000000032</v>
      </c>
      <c r="X120" s="29"/>
    </row>
    <row r="121" spans="1:24">
      <c r="A121" s="26" t="s">
        <v>13</v>
      </c>
      <c r="B121" s="26" t="s">
        <v>51</v>
      </c>
      <c r="C121" s="30">
        <v>19.8</v>
      </c>
      <c r="D121" s="27">
        <v>9.6</v>
      </c>
      <c r="E121" s="28">
        <v>8</v>
      </c>
      <c r="F121" s="16">
        <f t="shared" si="253"/>
        <v>1.52064</v>
      </c>
      <c r="G121" s="17"/>
      <c r="H121" s="18">
        <v>5</v>
      </c>
      <c r="I121" s="19">
        <f t="shared" si="254"/>
        <v>0.95040000000000013</v>
      </c>
      <c r="J121" s="16"/>
      <c r="K121" s="18"/>
      <c r="L121" s="19">
        <f t="shared" si="255"/>
        <v>0</v>
      </c>
      <c r="M121" s="16"/>
      <c r="N121" s="18"/>
      <c r="O121" s="19">
        <f t="shared" si="256"/>
        <v>0</v>
      </c>
      <c r="P121" s="16"/>
      <c r="Q121" s="18"/>
      <c r="R121" s="19">
        <f t="shared" si="257"/>
        <v>0</v>
      </c>
      <c r="S121" s="20">
        <f t="shared" si="258"/>
        <v>5</v>
      </c>
      <c r="T121" s="19">
        <f t="shared" si="259"/>
        <v>0.95040000000000013</v>
      </c>
      <c r="U121" s="21">
        <f t="shared" si="260"/>
        <v>3</v>
      </c>
      <c r="V121" s="19">
        <f t="shared" si="261"/>
        <v>0.57023999999999986</v>
      </c>
      <c r="X121" s="29"/>
    </row>
    <row r="122" spans="1:24">
      <c r="A122" s="26" t="s">
        <v>13</v>
      </c>
      <c r="B122" s="26" t="s">
        <v>51</v>
      </c>
      <c r="C122" s="30">
        <v>19.8</v>
      </c>
      <c r="D122" s="27">
        <v>10.5</v>
      </c>
      <c r="E122" s="28">
        <v>19</v>
      </c>
      <c r="F122" s="16">
        <f t="shared" si="253"/>
        <v>3.9500999999999999</v>
      </c>
      <c r="G122" s="17"/>
      <c r="H122" s="18">
        <v>18</v>
      </c>
      <c r="I122" s="19">
        <f t="shared" si="254"/>
        <v>3.7422000000000004</v>
      </c>
      <c r="J122" s="16"/>
      <c r="K122" s="18"/>
      <c r="L122" s="19">
        <f t="shared" si="255"/>
        <v>0</v>
      </c>
      <c r="M122" s="16"/>
      <c r="N122" s="18"/>
      <c r="O122" s="19">
        <f t="shared" si="256"/>
        <v>0</v>
      </c>
      <c r="P122" s="16"/>
      <c r="Q122" s="18"/>
      <c r="R122" s="19">
        <f t="shared" si="257"/>
        <v>0</v>
      </c>
      <c r="S122" s="20">
        <f t="shared" si="258"/>
        <v>18</v>
      </c>
      <c r="T122" s="19">
        <f t="shared" si="259"/>
        <v>3.7422000000000004</v>
      </c>
      <c r="U122" s="21">
        <f t="shared" si="260"/>
        <v>1</v>
      </c>
      <c r="V122" s="19">
        <f t="shared" si="261"/>
        <v>0.20789999999999953</v>
      </c>
      <c r="X122" s="29"/>
    </row>
    <row r="123" spans="1:24">
      <c r="A123" s="26" t="s">
        <v>13</v>
      </c>
      <c r="B123" s="26" t="s">
        <v>51</v>
      </c>
      <c r="C123" s="30">
        <v>19.8</v>
      </c>
      <c r="D123" s="27">
        <v>10.8</v>
      </c>
      <c r="E123" s="28">
        <v>4</v>
      </c>
      <c r="F123" s="16">
        <f t="shared" si="253"/>
        <v>0.85536000000000012</v>
      </c>
      <c r="G123" s="17"/>
      <c r="H123" s="18"/>
      <c r="I123" s="19">
        <f t="shared" si="254"/>
        <v>0</v>
      </c>
      <c r="J123" s="16"/>
      <c r="K123" s="18"/>
      <c r="L123" s="19">
        <f t="shared" si="255"/>
        <v>0</v>
      </c>
      <c r="M123" s="16"/>
      <c r="N123" s="18"/>
      <c r="O123" s="19">
        <f t="shared" si="256"/>
        <v>0</v>
      </c>
      <c r="P123" s="16"/>
      <c r="Q123" s="18"/>
      <c r="R123" s="19">
        <f t="shared" si="257"/>
        <v>0</v>
      </c>
      <c r="S123" s="20">
        <f t="shared" si="258"/>
        <v>0</v>
      </c>
      <c r="T123" s="19">
        <f t="shared" si="259"/>
        <v>0</v>
      </c>
      <c r="U123" s="21">
        <f t="shared" si="260"/>
        <v>4</v>
      </c>
      <c r="V123" s="19">
        <f t="shared" si="261"/>
        <v>0.85536000000000012</v>
      </c>
      <c r="X123" s="29"/>
    </row>
    <row r="124" spans="1:24">
      <c r="A124" s="26" t="s">
        <v>13</v>
      </c>
      <c r="B124" s="26" t="s">
        <v>51</v>
      </c>
      <c r="C124" s="30">
        <v>19.8</v>
      </c>
      <c r="D124" s="27">
        <v>11.5</v>
      </c>
      <c r="E124" s="28">
        <v>19</v>
      </c>
      <c r="F124" s="16">
        <f t="shared" si="253"/>
        <v>4.3262999999999998</v>
      </c>
      <c r="G124" s="17"/>
      <c r="H124" s="18">
        <v>2</v>
      </c>
      <c r="I124" s="19">
        <f t="shared" si="254"/>
        <v>0.45540000000000003</v>
      </c>
      <c r="J124" s="16"/>
      <c r="K124" s="18">
        <v>21</v>
      </c>
      <c r="L124" s="19">
        <f t="shared" si="255"/>
        <v>4.7817000000000007</v>
      </c>
      <c r="M124" s="16"/>
      <c r="N124" s="18"/>
      <c r="O124" s="19">
        <f t="shared" si="256"/>
        <v>0</v>
      </c>
      <c r="P124" s="16"/>
      <c r="Q124" s="18"/>
      <c r="R124" s="19">
        <f t="shared" si="257"/>
        <v>0</v>
      </c>
      <c r="S124" s="20">
        <f t="shared" si="258"/>
        <v>23</v>
      </c>
      <c r="T124" s="19">
        <f t="shared" si="259"/>
        <v>5.2371000000000008</v>
      </c>
      <c r="U124" s="21">
        <f t="shared" si="260"/>
        <v>-4</v>
      </c>
      <c r="V124" s="19">
        <f t="shared" si="261"/>
        <v>-0.91080000000000094</v>
      </c>
      <c r="X124" s="29"/>
    </row>
    <row r="125" spans="1:24">
      <c r="A125" s="26" t="s">
        <v>13</v>
      </c>
      <c r="B125" s="26" t="s">
        <v>51</v>
      </c>
      <c r="C125" s="30">
        <v>19.8</v>
      </c>
      <c r="D125" s="27">
        <v>12</v>
      </c>
      <c r="E125" s="28">
        <v>33</v>
      </c>
      <c r="F125" s="16">
        <f t="shared" ref="F125:F129" si="262">(C125*D125*E125/1000)</f>
        <v>7.8408000000000007</v>
      </c>
      <c r="G125" s="17"/>
      <c r="H125" s="18">
        <f t="shared" ref="H125" si="263">3+30</f>
        <v>33</v>
      </c>
      <c r="I125" s="19">
        <f t="shared" ref="I125:I129" si="264">(C125*D125*H125/1000)</f>
        <v>7.8408000000000007</v>
      </c>
      <c r="J125" s="16"/>
      <c r="K125" s="18"/>
      <c r="L125" s="19">
        <f t="shared" ref="L125:L129" si="265">(C125*D125*K125/1000)</f>
        <v>0</v>
      </c>
      <c r="M125" s="16"/>
      <c r="N125" s="18"/>
      <c r="O125" s="19">
        <f t="shared" ref="O125:O129" si="266">(C125*D125*N125/1000)</f>
        <v>0</v>
      </c>
      <c r="P125" s="16"/>
      <c r="Q125" s="18"/>
      <c r="R125" s="19">
        <f t="shared" ref="R125:R129" si="267">(C125*D125*Q125/1000)</f>
        <v>0</v>
      </c>
      <c r="S125" s="20">
        <f t="shared" ref="S125:S129" si="268">+H125+K125+Q125+N125</f>
        <v>33</v>
      </c>
      <c r="T125" s="19">
        <f t="shared" ref="T125:T129" si="269">+I125+L125+R125+O125</f>
        <v>7.8408000000000007</v>
      </c>
      <c r="U125" s="21">
        <f t="shared" ref="U125:U129" si="270">E125-S125</f>
        <v>0</v>
      </c>
      <c r="V125" s="19">
        <f t="shared" ref="V125:V129" si="271">F125-T125</f>
        <v>0</v>
      </c>
      <c r="X125" s="29"/>
    </row>
    <row r="126" spans="1:24">
      <c r="A126" s="26" t="s">
        <v>13</v>
      </c>
      <c r="B126" s="26" t="s">
        <v>51</v>
      </c>
      <c r="C126" s="30">
        <v>19.8</v>
      </c>
      <c r="D126" s="27">
        <v>11.2</v>
      </c>
      <c r="E126" s="28"/>
      <c r="F126" s="16">
        <f t="shared" si="262"/>
        <v>0</v>
      </c>
      <c r="G126" s="17"/>
      <c r="H126" s="18"/>
      <c r="I126" s="19">
        <f t="shared" si="264"/>
        <v>0</v>
      </c>
      <c r="J126" s="16"/>
      <c r="K126" s="18">
        <v>1</v>
      </c>
      <c r="L126" s="19">
        <f t="shared" si="265"/>
        <v>0.22175999999999998</v>
      </c>
      <c r="M126" s="16"/>
      <c r="N126" s="18"/>
      <c r="O126" s="19">
        <f t="shared" si="266"/>
        <v>0</v>
      </c>
      <c r="P126" s="16"/>
      <c r="Q126" s="18"/>
      <c r="R126" s="19">
        <f t="shared" si="267"/>
        <v>0</v>
      </c>
      <c r="S126" s="20">
        <f t="shared" si="268"/>
        <v>1</v>
      </c>
      <c r="T126" s="19">
        <f t="shared" si="269"/>
        <v>0.22175999999999998</v>
      </c>
      <c r="U126" s="21">
        <f t="shared" si="270"/>
        <v>-1</v>
      </c>
      <c r="V126" s="19">
        <f t="shared" si="271"/>
        <v>-0.22175999999999998</v>
      </c>
      <c r="X126" s="29"/>
    </row>
    <row r="127" spans="1:24">
      <c r="A127" s="26" t="s">
        <v>13</v>
      </c>
      <c r="B127" s="26" t="s">
        <v>51</v>
      </c>
      <c r="C127" s="30">
        <v>19.8</v>
      </c>
      <c r="D127" s="27">
        <v>9.1</v>
      </c>
      <c r="E127" s="28"/>
      <c r="F127" s="16">
        <f t="shared" si="262"/>
        <v>0</v>
      </c>
      <c r="G127" s="17"/>
      <c r="H127" s="18"/>
      <c r="I127" s="19">
        <f t="shared" si="264"/>
        <v>0</v>
      </c>
      <c r="J127" s="16"/>
      <c r="K127" s="18">
        <v>1</v>
      </c>
      <c r="L127" s="19">
        <f t="shared" si="265"/>
        <v>0.18018000000000001</v>
      </c>
      <c r="M127" s="16"/>
      <c r="N127" s="18"/>
      <c r="O127" s="19">
        <f t="shared" si="266"/>
        <v>0</v>
      </c>
      <c r="P127" s="16"/>
      <c r="Q127" s="18"/>
      <c r="R127" s="19">
        <f t="shared" si="267"/>
        <v>0</v>
      </c>
      <c r="S127" s="20">
        <f t="shared" si="268"/>
        <v>1</v>
      </c>
      <c r="T127" s="19">
        <f t="shared" si="269"/>
        <v>0.18018000000000001</v>
      </c>
      <c r="U127" s="21">
        <f t="shared" si="270"/>
        <v>-1</v>
      </c>
      <c r="V127" s="19">
        <f t="shared" si="271"/>
        <v>-0.18018000000000001</v>
      </c>
      <c r="X127" s="29"/>
    </row>
    <row r="128" spans="1:24">
      <c r="A128" s="26" t="s">
        <v>13</v>
      </c>
      <c r="B128" s="26" t="s">
        <v>51</v>
      </c>
      <c r="C128" s="30">
        <v>19.8</v>
      </c>
      <c r="D128" s="27">
        <v>6.75</v>
      </c>
      <c r="E128" s="28"/>
      <c r="F128" s="16">
        <f t="shared" si="262"/>
        <v>0</v>
      </c>
      <c r="G128" s="17"/>
      <c r="H128" s="18"/>
      <c r="I128" s="19">
        <f t="shared" si="264"/>
        <v>0</v>
      </c>
      <c r="J128" s="16"/>
      <c r="K128" s="18">
        <v>1</v>
      </c>
      <c r="L128" s="19">
        <f t="shared" si="265"/>
        <v>0.13365000000000002</v>
      </c>
      <c r="M128" s="16"/>
      <c r="N128" s="18"/>
      <c r="O128" s="19">
        <f t="shared" si="266"/>
        <v>0</v>
      </c>
      <c r="P128" s="16"/>
      <c r="Q128" s="18"/>
      <c r="R128" s="19">
        <f t="shared" si="267"/>
        <v>0</v>
      </c>
      <c r="S128" s="20">
        <f t="shared" si="268"/>
        <v>1</v>
      </c>
      <c r="T128" s="19">
        <f t="shared" si="269"/>
        <v>0.13365000000000002</v>
      </c>
      <c r="U128" s="21">
        <f t="shared" si="270"/>
        <v>-1</v>
      </c>
      <c r="V128" s="19">
        <f t="shared" si="271"/>
        <v>-0.13365000000000002</v>
      </c>
      <c r="X128" s="29"/>
    </row>
    <row r="129" spans="1:24">
      <c r="A129" s="26" t="s">
        <v>13</v>
      </c>
      <c r="B129" s="26" t="s">
        <v>51</v>
      </c>
      <c r="C129" s="30">
        <v>19.8</v>
      </c>
      <c r="D129" s="27">
        <v>11.4</v>
      </c>
      <c r="E129" s="28"/>
      <c r="F129" s="16">
        <f t="shared" si="262"/>
        <v>0</v>
      </c>
      <c r="G129" s="17"/>
      <c r="H129" s="18"/>
      <c r="I129" s="19">
        <f t="shared" si="264"/>
        <v>0</v>
      </c>
      <c r="J129" s="16"/>
      <c r="K129" s="18">
        <v>1</v>
      </c>
      <c r="L129" s="19">
        <f t="shared" si="265"/>
        <v>0.22572000000000003</v>
      </c>
      <c r="M129" s="16"/>
      <c r="N129" s="18"/>
      <c r="O129" s="19">
        <f t="shared" si="266"/>
        <v>0</v>
      </c>
      <c r="P129" s="16"/>
      <c r="Q129" s="18"/>
      <c r="R129" s="19">
        <f t="shared" si="267"/>
        <v>0</v>
      </c>
      <c r="S129" s="20">
        <f t="shared" si="268"/>
        <v>1</v>
      </c>
      <c r="T129" s="19">
        <f t="shared" si="269"/>
        <v>0.22572000000000003</v>
      </c>
      <c r="U129" s="21">
        <f t="shared" si="270"/>
        <v>-1</v>
      </c>
      <c r="V129" s="19">
        <f t="shared" si="271"/>
        <v>-0.22572000000000003</v>
      </c>
      <c r="X129" s="29"/>
    </row>
    <row r="130" spans="1:24">
      <c r="A130" s="26" t="s">
        <v>13</v>
      </c>
      <c r="B130" s="26" t="s">
        <v>51</v>
      </c>
      <c r="C130" s="30">
        <v>19.8</v>
      </c>
      <c r="D130" s="27">
        <v>7</v>
      </c>
      <c r="E130" s="28"/>
      <c r="F130" s="16">
        <f t="shared" si="253"/>
        <v>0</v>
      </c>
      <c r="G130" s="17"/>
      <c r="H130" s="18"/>
      <c r="I130" s="19">
        <f t="shared" si="254"/>
        <v>0</v>
      </c>
      <c r="J130" s="16"/>
      <c r="K130" s="18">
        <v>1</v>
      </c>
      <c r="L130" s="19">
        <f t="shared" si="255"/>
        <v>0.1386</v>
      </c>
      <c r="M130" s="16"/>
      <c r="N130" s="18"/>
      <c r="O130" s="19">
        <f t="shared" si="256"/>
        <v>0</v>
      </c>
      <c r="P130" s="16"/>
      <c r="Q130" s="18"/>
      <c r="R130" s="19">
        <f t="shared" si="257"/>
        <v>0</v>
      </c>
      <c r="S130" s="20">
        <f t="shared" si="258"/>
        <v>1</v>
      </c>
      <c r="T130" s="19">
        <f t="shared" si="259"/>
        <v>0.1386</v>
      </c>
      <c r="U130" s="21">
        <f t="shared" si="260"/>
        <v>-1</v>
      </c>
      <c r="V130" s="19">
        <f t="shared" si="261"/>
        <v>-0.1386</v>
      </c>
      <c r="X130" s="29"/>
    </row>
    <row r="131" spans="1:24">
      <c r="A131" s="36"/>
      <c r="B131" s="36"/>
      <c r="C131" s="30"/>
      <c r="D131" s="38"/>
      <c r="E131" s="31">
        <f t="shared" ref="E131:F131" si="272">SUM(E119:E130)</f>
        <v>112</v>
      </c>
      <c r="F131" s="38">
        <f t="shared" si="272"/>
        <v>22.781880000000001</v>
      </c>
      <c r="G131" s="17"/>
      <c r="H131" s="31">
        <f t="shared" ref="H131" si="273">SUM(H119:H130)</f>
        <v>84</v>
      </c>
      <c r="I131" s="38">
        <f t="shared" ref="I131" si="274">SUM(I119:I130)</f>
        <v>16.857720000000004</v>
      </c>
      <c r="J131" s="16"/>
      <c r="K131" s="31">
        <f t="shared" ref="K131" si="275">SUM(K119:K130)</f>
        <v>28</v>
      </c>
      <c r="L131" s="38">
        <f t="shared" ref="L131" si="276">SUM(L119:L130)</f>
        <v>5.9429700000000008</v>
      </c>
      <c r="M131" s="16"/>
      <c r="N131" s="31">
        <f t="shared" ref="N131" si="277">SUM(N119:N130)</f>
        <v>0</v>
      </c>
      <c r="O131" s="38">
        <f t="shared" ref="O131" si="278">SUM(O119:O130)</f>
        <v>0</v>
      </c>
      <c r="P131" s="16"/>
      <c r="Q131" s="31">
        <f t="shared" ref="Q131" si="279">SUM(Q119:Q130)</f>
        <v>0</v>
      </c>
      <c r="R131" s="38">
        <f t="shared" ref="R131" si="280">SUM(R119:R130)</f>
        <v>0</v>
      </c>
      <c r="S131" s="31">
        <f t="shared" ref="S131" si="281">SUM(S119:S130)</f>
        <v>112</v>
      </c>
      <c r="T131" s="38">
        <f t="shared" ref="T131" si="282">SUM(T119:T130)</f>
        <v>22.800690000000003</v>
      </c>
      <c r="U131" s="31">
        <f t="shared" ref="U131" si="283">SUM(U119:U130)</f>
        <v>0</v>
      </c>
      <c r="V131" s="38">
        <f t="shared" ref="V131" si="284">SUM(V119:V130)</f>
        <v>-1.8810000000001159E-2</v>
      </c>
      <c r="X131" s="29"/>
    </row>
    <row r="132" spans="1:24">
      <c r="A132" s="26" t="s">
        <v>13</v>
      </c>
      <c r="B132" s="26" t="s">
        <v>52</v>
      </c>
      <c r="C132" s="30">
        <v>21.7</v>
      </c>
      <c r="D132" s="27">
        <v>12</v>
      </c>
      <c r="E132" s="28">
        <v>8</v>
      </c>
      <c r="F132" s="16">
        <f>(C132*D132*E132/1000)</f>
        <v>2.0831999999999997</v>
      </c>
      <c r="G132" s="17" t="s">
        <v>111</v>
      </c>
      <c r="H132" s="18">
        <v>8</v>
      </c>
      <c r="I132" s="19">
        <f>(C132*D132*H132/1000)</f>
        <v>2.0831999999999997</v>
      </c>
      <c r="J132" s="16"/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>(C132*D132*Q132/1000)</f>
        <v>0</v>
      </c>
      <c r="S132" s="20">
        <f>+H132+K132+Q132+N132</f>
        <v>8</v>
      </c>
      <c r="T132" s="19">
        <f>+I132+L132+R132+O132</f>
        <v>2.0831999999999997</v>
      </c>
      <c r="U132" s="21">
        <f>E132-S132</f>
        <v>0</v>
      </c>
      <c r="V132" s="19">
        <f>F132-T132</f>
        <v>0</v>
      </c>
      <c r="X132" s="29"/>
    </row>
    <row r="133" spans="1:24">
      <c r="A133" s="36"/>
      <c r="B133" s="36"/>
      <c r="C133" s="30"/>
      <c r="D133" s="38"/>
      <c r="E133" s="31">
        <f t="shared" ref="E133:F133" si="285">SUM(E132)</f>
        <v>8</v>
      </c>
      <c r="F133" s="38">
        <f t="shared" si="285"/>
        <v>2.0831999999999997</v>
      </c>
      <c r="G133" s="17" t="s">
        <v>321</v>
      </c>
      <c r="H133" s="31">
        <f t="shared" ref="H133" si="286">SUM(H132)</f>
        <v>8</v>
      </c>
      <c r="I133" s="38">
        <f t="shared" ref="I133" si="287">SUM(I132)</f>
        <v>2.0831999999999997</v>
      </c>
      <c r="J133" s="16"/>
      <c r="K133" s="31">
        <f t="shared" ref="K133" si="288">SUM(K132)</f>
        <v>0</v>
      </c>
      <c r="L133" s="38">
        <f t="shared" ref="L133" si="289">SUM(L132)</f>
        <v>0</v>
      </c>
      <c r="M133" s="16"/>
      <c r="N133" s="31">
        <f t="shared" ref="N133" si="290">SUM(N132)</f>
        <v>0</v>
      </c>
      <c r="O133" s="38">
        <f t="shared" ref="O133" si="291">SUM(O132)</f>
        <v>0</v>
      </c>
      <c r="P133" s="16"/>
      <c r="Q133" s="31">
        <f t="shared" ref="Q133" si="292">SUM(Q132)</f>
        <v>0</v>
      </c>
      <c r="R133" s="38">
        <f t="shared" ref="R133" si="293">SUM(R132)</f>
        <v>0</v>
      </c>
      <c r="S133" s="31">
        <f t="shared" ref="S133" si="294">SUM(S132)</f>
        <v>8</v>
      </c>
      <c r="T133" s="38">
        <f t="shared" ref="T133" si="295">SUM(T132)</f>
        <v>2.0831999999999997</v>
      </c>
      <c r="U133" s="31">
        <f t="shared" ref="U133" si="296">SUM(U132)</f>
        <v>0</v>
      </c>
      <c r="V133" s="38">
        <f t="shared" ref="V133" si="297">SUM(V132)</f>
        <v>0</v>
      </c>
      <c r="X133" s="29"/>
    </row>
    <row r="134" spans="1:24">
      <c r="A134" s="26" t="s">
        <v>13</v>
      </c>
      <c r="B134" s="26" t="s">
        <v>53</v>
      </c>
      <c r="C134" s="30">
        <v>23.6</v>
      </c>
      <c r="D134" s="27">
        <v>7.1</v>
      </c>
      <c r="E134" s="28">
        <v>15</v>
      </c>
      <c r="F134" s="16">
        <f t="shared" ref="F134:F145" si="298">(C134*D134*E134/1000)</f>
        <v>2.5134000000000003</v>
      </c>
      <c r="G134" s="17" t="s">
        <v>295</v>
      </c>
      <c r="H134" s="18">
        <v>12</v>
      </c>
      <c r="I134" s="19">
        <f t="shared" ref="I134:I145" si="299">(C134*D134*H134/1000)</f>
        <v>2.0107200000000001</v>
      </c>
      <c r="J134" s="17" t="s">
        <v>86</v>
      </c>
      <c r="K134" s="18"/>
      <c r="L134" s="19">
        <f t="shared" ref="L134:L145" si="300">(C134*D134*K134/1000)</f>
        <v>0</v>
      </c>
      <c r="M134" s="17" t="s">
        <v>325</v>
      </c>
      <c r="N134" s="18">
        <v>1</v>
      </c>
      <c r="O134" s="19">
        <f t="shared" ref="O134:O145" si="301">(C134*D134*N134/1000)</f>
        <v>0.16756000000000001</v>
      </c>
      <c r="P134" s="16"/>
      <c r="Q134" s="18"/>
      <c r="R134" s="19">
        <f t="shared" ref="R134:R145" si="302">(C134*D134*Q134/1000)</f>
        <v>0</v>
      </c>
      <c r="S134" s="20">
        <f t="shared" ref="S134:S145" si="303">+H134+K134+Q134+N134</f>
        <v>13</v>
      </c>
      <c r="T134" s="19">
        <f t="shared" ref="T134:T145" si="304">+I134+L134+R134+O134</f>
        <v>2.17828</v>
      </c>
      <c r="U134" s="21">
        <f t="shared" ref="U134:U145" si="305">E134-S134</f>
        <v>2</v>
      </c>
      <c r="V134" s="19">
        <f t="shared" ref="V134:V145" si="306">F134-T134</f>
        <v>0.33512000000000031</v>
      </c>
      <c r="X134" s="29"/>
    </row>
    <row r="135" spans="1:24">
      <c r="A135" s="26" t="s">
        <v>13</v>
      </c>
      <c r="B135" s="26" t="s">
        <v>53</v>
      </c>
      <c r="C135" s="30">
        <v>23.6</v>
      </c>
      <c r="D135" s="27">
        <v>7.5</v>
      </c>
      <c r="E135" s="28">
        <v>17</v>
      </c>
      <c r="F135" s="16">
        <f t="shared" si="298"/>
        <v>3.0089999999999999</v>
      </c>
      <c r="G135" s="17" t="s">
        <v>302</v>
      </c>
      <c r="H135" s="18">
        <v>2</v>
      </c>
      <c r="I135" s="19">
        <f t="shared" si="299"/>
        <v>0.35399999999999998</v>
      </c>
      <c r="J135" s="17" t="s">
        <v>316</v>
      </c>
      <c r="K135" s="18">
        <v>15</v>
      </c>
      <c r="L135" s="19">
        <f t="shared" si="300"/>
        <v>2.6549999999999998</v>
      </c>
      <c r="M135" s="17" t="s">
        <v>326</v>
      </c>
      <c r="N135" s="18"/>
      <c r="O135" s="19">
        <f t="shared" si="301"/>
        <v>0</v>
      </c>
      <c r="P135" s="16"/>
      <c r="Q135" s="18"/>
      <c r="R135" s="19">
        <f t="shared" si="302"/>
        <v>0</v>
      </c>
      <c r="S135" s="20">
        <f t="shared" si="303"/>
        <v>17</v>
      </c>
      <c r="T135" s="19">
        <f t="shared" si="304"/>
        <v>3.0089999999999999</v>
      </c>
      <c r="U135" s="21">
        <f t="shared" si="305"/>
        <v>0</v>
      </c>
      <c r="V135" s="19">
        <f t="shared" si="306"/>
        <v>0</v>
      </c>
      <c r="X135" s="29"/>
    </row>
    <row r="136" spans="1:24">
      <c r="A136" s="26" t="s">
        <v>13</v>
      </c>
      <c r="B136" s="26" t="s">
        <v>53</v>
      </c>
      <c r="C136" s="30">
        <v>23.6</v>
      </c>
      <c r="D136" s="27">
        <v>9.3000000000000007</v>
      </c>
      <c r="E136" s="28">
        <v>14</v>
      </c>
      <c r="F136" s="16">
        <f t="shared" si="298"/>
        <v>3.0727200000000003</v>
      </c>
      <c r="G136" s="17"/>
      <c r="H136" s="18">
        <v>14</v>
      </c>
      <c r="I136" s="19">
        <f t="shared" si="299"/>
        <v>3.0727200000000003</v>
      </c>
      <c r="J136" s="16"/>
      <c r="K136" s="18"/>
      <c r="L136" s="19">
        <f t="shared" si="300"/>
        <v>0</v>
      </c>
      <c r="M136" s="16"/>
      <c r="N136" s="18"/>
      <c r="O136" s="19">
        <f t="shared" si="301"/>
        <v>0</v>
      </c>
      <c r="P136" s="16"/>
      <c r="Q136" s="18"/>
      <c r="R136" s="19">
        <f t="shared" si="302"/>
        <v>0</v>
      </c>
      <c r="S136" s="20">
        <f t="shared" si="303"/>
        <v>14</v>
      </c>
      <c r="T136" s="19">
        <f t="shared" si="304"/>
        <v>3.0727200000000003</v>
      </c>
      <c r="U136" s="21">
        <f t="shared" si="305"/>
        <v>0</v>
      </c>
      <c r="V136" s="19">
        <f t="shared" si="306"/>
        <v>0</v>
      </c>
      <c r="X136" s="29"/>
    </row>
    <row r="137" spans="1:24">
      <c r="A137" s="26" t="s">
        <v>13</v>
      </c>
      <c r="B137" s="26" t="s">
        <v>53</v>
      </c>
      <c r="C137" s="30">
        <v>23.6</v>
      </c>
      <c r="D137" s="27">
        <v>9.8000000000000007</v>
      </c>
      <c r="E137" s="28">
        <v>17</v>
      </c>
      <c r="F137" s="16">
        <f t="shared" si="298"/>
        <v>3.9317600000000006</v>
      </c>
      <c r="G137" s="17"/>
      <c r="H137" s="18">
        <v>17</v>
      </c>
      <c r="I137" s="19">
        <f t="shared" si="299"/>
        <v>3.9317600000000006</v>
      </c>
      <c r="J137" s="16"/>
      <c r="K137" s="18"/>
      <c r="L137" s="19">
        <f t="shared" si="300"/>
        <v>0</v>
      </c>
      <c r="M137" s="16"/>
      <c r="N137" s="18"/>
      <c r="O137" s="19">
        <f t="shared" si="301"/>
        <v>0</v>
      </c>
      <c r="P137" s="16"/>
      <c r="Q137" s="18"/>
      <c r="R137" s="19">
        <f t="shared" si="302"/>
        <v>0</v>
      </c>
      <c r="S137" s="20">
        <f t="shared" si="303"/>
        <v>17</v>
      </c>
      <c r="T137" s="19">
        <f t="shared" si="304"/>
        <v>3.9317600000000006</v>
      </c>
      <c r="U137" s="21">
        <f t="shared" si="305"/>
        <v>0</v>
      </c>
      <c r="V137" s="19">
        <f t="shared" si="306"/>
        <v>0</v>
      </c>
      <c r="X137" s="29"/>
    </row>
    <row r="138" spans="1:24">
      <c r="A138" s="26" t="s">
        <v>13</v>
      </c>
      <c r="B138" s="26" t="s">
        <v>53</v>
      </c>
      <c r="C138" s="30">
        <v>23.6</v>
      </c>
      <c r="D138" s="27">
        <v>10.5</v>
      </c>
      <c r="E138" s="28">
        <v>19</v>
      </c>
      <c r="F138" s="16">
        <f t="shared" si="298"/>
        <v>4.7081999999999997</v>
      </c>
      <c r="G138" s="17"/>
      <c r="H138" s="18">
        <v>8</v>
      </c>
      <c r="I138" s="19">
        <f t="shared" si="299"/>
        <v>1.9824000000000002</v>
      </c>
      <c r="J138" s="16"/>
      <c r="K138" s="18">
        <v>10</v>
      </c>
      <c r="L138" s="19">
        <f t="shared" si="300"/>
        <v>2.4780000000000002</v>
      </c>
      <c r="M138" s="16"/>
      <c r="N138" s="18"/>
      <c r="O138" s="19">
        <f t="shared" si="301"/>
        <v>0</v>
      </c>
      <c r="P138" s="16"/>
      <c r="Q138" s="18"/>
      <c r="R138" s="19">
        <f t="shared" si="302"/>
        <v>0</v>
      </c>
      <c r="S138" s="20">
        <f t="shared" si="303"/>
        <v>18</v>
      </c>
      <c r="T138" s="19">
        <f t="shared" si="304"/>
        <v>4.4603999999999999</v>
      </c>
      <c r="U138" s="21">
        <f t="shared" si="305"/>
        <v>1</v>
      </c>
      <c r="V138" s="19">
        <f t="shared" si="306"/>
        <v>0.2477999999999998</v>
      </c>
      <c r="X138" s="29"/>
    </row>
    <row r="139" spans="1:24">
      <c r="A139" s="26" t="s">
        <v>13</v>
      </c>
      <c r="B139" s="26" t="s">
        <v>53</v>
      </c>
      <c r="C139" s="30">
        <v>23.6</v>
      </c>
      <c r="D139" s="27">
        <v>11.4</v>
      </c>
      <c r="E139" s="28">
        <v>14</v>
      </c>
      <c r="F139" s="16">
        <f t="shared" si="298"/>
        <v>3.7665600000000006</v>
      </c>
      <c r="G139" s="17"/>
      <c r="H139" s="18">
        <v>9</v>
      </c>
      <c r="I139" s="19">
        <f t="shared" si="299"/>
        <v>2.42136</v>
      </c>
      <c r="J139" s="16"/>
      <c r="K139" s="18">
        <v>5</v>
      </c>
      <c r="L139" s="19">
        <f t="shared" si="300"/>
        <v>1.3452</v>
      </c>
      <c r="M139" s="16"/>
      <c r="N139" s="18">
        <v>3</v>
      </c>
      <c r="O139" s="19">
        <f t="shared" si="301"/>
        <v>0.80712000000000017</v>
      </c>
      <c r="P139" s="16"/>
      <c r="Q139" s="18"/>
      <c r="R139" s="19">
        <f t="shared" si="302"/>
        <v>0</v>
      </c>
      <c r="S139" s="20">
        <f t="shared" si="303"/>
        <v>17</v>
      </c>
      <c r="T139" s="19">
        <f t="shared" si="304"/>
        <v>4.5736800000000004</v>
      </c>
      <c r="U139" s="21">
        <f t="shared" si="305"/>
        <v>-3</v>
      </c>
      <c r="V139" s="19">
        <f t="shared" si="306"/>
        <v>-0.80711999999999984</v>
      </c>
      <c r="X139" s="29"/>
    </row>
    <row r="140" spans="1:24">
      <c r="A140" s="26" t="s">
        <v>13</v>
      </c>
      <c r="B140" s="26" t="s">
        <v>53</v>
      </c>
      <c r="C140" s="30">
        <v>23.6</v>
      </c>
      <c r="D140" s="27">
        <v>12</v>
      </c>
      <c r="E140" s="28">
        <v>25</v>
      </c>
      <c r="F140" s="16">
        <f t="shared" ref="F140:F144" si="307">(C140*D140*E140/1000)</f>
        <v>7.080000000000001</v>
      </c>
      <c r="G140" s="17"/>
      <c r="H140" s="18">
        <v>6</v>
      </c>
      <c r="I140" s="19">
        <f t="shared" ref="I140:I144" si="308">(C140*D140*H140/1000)</f>
        <v>1.6992000000000003</v>
      </c>
      <c r="J140" s="16"/>
      <c r="K140" s="18">
        <v>12</v>
      </c>
      <c r="L140" s="19">
        <f t="shared" ref="L140:L144" si="309">(C140*D140*K140/1000)</f>
        <v>3.3984000000000005</v>
      </c>
      <c r="M140" s="16"/>
      <c r="N140" s="18">
        <v>5</v>
      </c>
      <c r="O140" s="19">
        <f t="shared" ref="O140:O144" si="310">(C140*D140*N140/1000)</f>
        <v>1.4160000000000001</v>
      </c>
      <c r="P140" s="16"/>
      <c r="Q140" s="18"/>
      <c r="R140" s="19">
        <f t="shared" ref="R140:R144" si="311">(C140*D140*Q140/1000)</f>
        <v>0</v>
      </c>
      <c r="S140" s="20">
        <f t="shared" ref="S140:S144" si="312">+H140+K140+Q140+N140</f>
        <v>23</v>
      </c>
      <c r="T140" s="19">
        <f t="shared" ref="T140:T144" si="313">+I140+L140+R140+O140</f>
        <v>6.5136000000000012</v>
      </c>
      <c r="U140" s="21">
        <f t="shared" ref="U140:U144" si="314">E140-S140</f>
        <v>2</v>
      </c>
      <c r="V140" s="19">
        <f t="shared" ref="V140:V144" si="315">F140-T140</f>
        <v>0.56639999999999979</v>
      </c>
      <c r="X140" s="29"/>
    </row>
    <row r="141" spans="1:24">
      <c r="A141" s="26" t="s">
        <v>13</v>
      </c>
      <c r="B141" s="26" t="s">
        <v>53</v>
      </c>
      <c r="C141" s="30">
        <v>23.6</v>
      </c>
      <c r="D141" s="27">
        <v>8.5</v>
      </c>
      <c r="E141" s="28"/>
      <c r="F141" s="16">
        <f t="shared" si="307"/>
        <v>0</v>
      </c>
      <c r="G141" s="17"/>
      <c r="H141" s="18"/>
      <c r="I141" s="19">
        <f t="shared" si="308"/>
        <v>0</v>
      </c>
      <c r="J141" s="16"/>
      <c r="K141" s="18"/>
      <c r="L141" s="19">
        <f t="shared" si="309"/>
        <v>0</v>
      </c>
      <c r="M141" s="16"/>
      <c r="N141" s="18">
        <v>1</v>
      </c>
      <c r="O141" s="19">
        <f t="shared" si="310"/>
        <v>0.20060000000000003</v>
      </c>
      <c r="P141" s="16"/>
      <c r="Q141" s="18"/>
      <c r="R141" s="19">
        <f t="shared" si="311"/>
        <v>0</v>
      </c>
      <c r="S141" s="20">
        <f t="shared" si="312"/>
        <v>1</v>
      </c>
      <c r="T141" s="19">
        <f t="shared" si="313"/>
        <v>0.20060000000000003</v>
      </c>
      <c r="U141" s="21">
        <f t="shared" si="314"/>
        <v>-1</v>
      </c>
      <c r="V141" s="19">
        <f t="shared" si="315"/>
        <v>-0.20060000000000003</v>
      </c>
      <c r="X141" s="29"/>
    </row>
    <row r="142" spans="1:24">
      <c r="A142" s="26" t="s">
        <v>13</v>
      </c>
      <c r="B142" s="26" t="s">
        <v>53</v>
      </c>
      <c r="C142" s="30">
        <v>23.6</v>
      </c>
      <c r="D142" s="27">
        <v>7.6</v>
      </c>
      <c r="E142" s="28"/>
      <c r="F142" s="16">
        <f t="shared" si="307"/>
        <v>0</v>
      </c>
      <c r="G142" s="17"/>
      <c r="H142" s="18"/>
      <c r="I142" s="19">
        <f t="shared" si="308"/>
        <v>0</v>
      </c>
      <c r="J142" s="16"/>
      <c r="K142" s="18"/>
      <c r="L142" s="19">
        <f t="shared" si="309"/>
        <v>0</v>
      </c>
      <c r="M142" s="16"/>
      <c r="N142" s="18">
        <v>2</v>
      </c>
      <c r="O142" s="19">
        <f t="shared" si="310"/>
        <v>0.35872000000000004</v>
      </c>
      <c r="P142" s="16"/>
      <c r="Q142" s="18"/>
      <c r="R142" s="19">
        <f t="shared" si="311"/>
        <v>0</v>
      </c>
      <c r="S142" s="20">
        <f t="shared" si="312"/>
        <v>2</v>
      </c>
      <c r="T142" s="19">
        <f t="shared" si="313"/>
        <v>0.35872000000000004</v>
      </c>
      <c r="U142" s="21">
        <f t="shared" si="314"/>
        <v>-2</v>
      </c>
      <c r="V142" s="19">
        <f t="shared" si="315"/>
        <v>-0.35872000000000004</v>
      </c>
      <c r="X142" s="29"/>
    </row>
    <row r="143" spans="1:24">
      <c r="A143" s="26" t="s">
        <v>13</v>
      </c>
      <c r="B143" s="26" t="s">
        <v>53</v>
      </c>
      <c r="C143" s="30">
        <v>23.6</v>
      </c>
      <c r="D143" s="27"/>
      <c r="E143" s="28"/>
      <c r="F143" s="16">
        <f t="shared" si="307"/>
        <v>0</v>
      </c>
      <c r="G143" s="17"/>
      <c r="H143" s="18"/>
      <c r="I143" s="19">
        <f t="shared" si="308"/>
        <v>0</v>
      </c>
      <c r="J143" s="16"/>
      <c r="K143" s="18"/>
      <c r="L143" s="19">
        <f t="shared" si="309"/>
        <v>0</v>
      </c>
      <c r="M143" s="16"/>
      <c r="N143" s="18"/>
      <c r="O143" s="19">
        <f t="shared" si="310"/>
        <v>0</v>
      </c>
      <c r="P143" s="16"/>
      <c r="Q143" s="18"/>
      <c r="R143" s="19">
        <f t="shared" si="311"/>
        <v>0</v>
      </c>
      <c r="S143" s="20">
        <f t="shared" si="312"/>
        <v>0</v>
      </c>
      <c r="T143" s="19">
        <f t="shared" si="313"/>
        <v>0</v>
      </c>
      <c r="U143" s="21">
        <f t="shared" si="314"/>
        <v>0</v>
      </c>
      <c r="V143" s="19">
        <f t="shared" si="315"/>
        <v>0</v>
      </c>
      <c r="X143" s="29"/>
    </row>
    <row r="144" spans="1:24">
      <c r="A144" s="26" t="s">
        <v>13</v>
      </c>
      <c r="B144" s="26" t="s">
        <v>53</v>
      </c>
      <c r="C144" s="30">
        <v>23.6</v>
      </c>
      <c r="D144" s="27"/>
      <c r="E144" s="28"/>
      <c r="F144" s="16">
        <f t="shared" si="307"/>
        <v>0</v>
      </c>
      <c r="G144" s="17"/>
      <c r="H144" s="18"/>
      <c r="I144" s="19">
        <f t="shared" si="308"/>
        <v>0</v>
      </c>
      <c r="J144" s="16"/>
      <c r="K144" s="18"/>
      <c r="L144" s="19">
        <f t="shared" si="309"/>
        <v>0</v>
      </c>
      <c r="M144" s="16"/>
      <c r="N144" s="18"/>
      <c r="O144" s="19">
        <f t="shared" si="310"/>
        <v>0</v>
      </c>
      <c r="P144" s="16"/>
      <c r="Q144" s="18"/>
      <c r="R144" s="19">
        <f t="shared" si="311"/>
        <v>0</v>
      </c>
      <c r="S144" s="20">
        <f t="shared" si="312"/>
        <v>0</v>
      </c>
      <c r="T144" s="19">
        <f t="shared" si="313"/>
        <v>0</v>
      </c>
      <c r="U144" s="21">
        <f t="shared" si="314"/>
        <v>0</v>
      </c>
      <c r="V144" s="19">
        <f t="shared" si="315"/>
        <v>0</v>
      </c>
      <c r="X144" s="29"/>
    </row>
    <row r="145" spans="1:24">
      <c r="A145" s="26" t="s">
        <v>13</v>
      </c>
      <c r="B145" s="26" t="s">
        <v>53</v>
      </c>
      <c r="C145" s="30">
        <v>23.6</v>
      </c>
      <c r="D145" s="27"/>
      <c r="E145" s="28"/>
      <c r="F145" s="16">
        <f t="shared" si="298"/>
        <v>0</v>
      </c>
      <c r="G145" s="17"/>
      <c r="H145" s="18"/>
      <c r="I145" s="19">
        <f t="shared" si="299"/>
        <v>0</v>
      </c>
      <c r="J145" s="16"/>
      <c r="K145" s="18"/>
      <c r="L145" s="19">
        <f t="shared" si="300"/>
        <v>0</v>
      </c>
      <c r="M145" s="16"/>
      <c r="N145" s="18"/>
      <c r="O145" s="19">
        <f t="shared" si="301"/>
        <v>0</v>
      </c>
      <c r="P145" s="16"/>
      <c r="Q145" s="18"/>
      <c r="R145" s="19">
        <f t="shared" si="302"/>
        <v>0</v>
      </c>
      <c r="S145" s="20">
        <f t="shared" si="303"/>
        <v>0</v>
      </c>
      <c r="T145" s="19">
        <f t="shared" si="304"/>
        <v>0</v>
      </c>
      <c r="U145" s="21">
        <f t="shared" si="305"/>
        <v>0</v>
      </c>
      <c r="V145" s="19">
        <f t="shared" si="306"/>
        <v>0</v>
      </c>
      <c r="X145" s="29"/>
    </row>
    <row r="146" spans="1:24">
      <c r="A146" s="36"/>
      <c r="B146" s="36"/>
      <c r="C146" s="30"/>
      <c r="D146" s="38"/>
      <c r="E146" s="31">
        <f t="shared" ref="E146:F146" si="316">SUM(E134:E145)</f>
        <v>121</v>
      </c>
      <c r="F146" s="38">
        <f t="shared" si="316"/>
        <v>28.081640000000007</v>
      </c>
      <c r="G146" s="17"/>
      <c r="H146" s="31">
        <f t="shared" ref="H146" si="317">SUM(H134:H145)</f>
        <v>68</v>
      </c>
      <c r="I146" s="38">
        <f t="shared" ref="I146" si="318">SUM(I134:I145)</f>
        <v>15.472160000000002</v>
      </c>
      <c r="J146" s="16"/>
      <c r="K146" s="31">
        <f t="shared" ref="K146" si="319">SUM(K134:K145)</f>
        <v>42</v>
      </c>
      <c r="L146" s="38">
        <f t="shared" ref="L146" si="320">SUM(L134:L145)</f>
        <v>9.8765999999999998</v>
      </c>
      <c r="M146" s="16"/>
      <c r="N146" s="31">
        <f t="shared" ref="N146" si="321">SUM(N134:N145)</f>
        <v>12</v>
      </c>
      <c r="O146" s="38">
        <f t="shared" ref="O146" si="322">SUM(O134:O145)</f>
        <v>2.9500000000000006</v>
      </c>
      <c r="P146" s="16"/>
      <c r="Q146" s="31">
        <f t="shared" ref="Q146" si="323">SUM(Q134:Q145)</f>
        <v>0</v>
      </c>
      <c r="R146" s="38">
        <f t="shared" ref="R146" si="324">SUM(R134:R145)</f>
        <v>0</v>
      </c>
      <c r="S146" s="31">
        <f t="shared" ref="S146" si="325">SUM(S134:S145)</f>
        <v>122</v>
      </c>
      <c r="T146" s="38">
        <f t="shared" ref="T146" si="326">SUM(T134:T145)</f>
        <v>28.298760000000005</v>
      </c>
      <c r="U146" s="31">
        <f t="shared" ref="U146" si="327">SUM(U134:U145)</f>
        <v>-1</v>
      </c>
      <c r="V146" s="38">
        <f t="shared" ref="V146" si="328">SUM(V134:V145)</f>
        <v>-0.21712000000000001</v>
      </c>
      <c r="X146" s="29"/>
    </row>
    <row r="147" spans="1:24">
      <c r="A147" s="26" t="s">
        <v>13</v>
      </c>
      <c r="B147" s="26" t="s">
        <v>55</v>
      </c>
      <c r="C147" s="30">
        <v>16</v>
      </c>
      <c r="D147" s="27">
        <v>7.3</v>
      </c>
      <c r="E147" s="28">
        <v>3</v>
      </c>
      <c r="F147" s="16">
        <f t="shared" ref="F147:F149" si="329">(C147*D147*E147/1000)</f>
        <v>0.35039999999999999</v>
      </c>
      <c r="G147" s="17" t="s">
        <v>318</v>
      </c>
      <c r="H147" s="18">
        <v>3</v>
      </c>
      <c r="I147" s="19">
        <f t="shared" ref="I147:I149" si="330">(C147*D147*H147/1000)</f>
        <v>0.35039999999999999</v>
      </c>
      <c r="J147" s="16"/>
      <c r="K147" s="18"/>
      <c r="L147" s="19">
        <f t="shared" ref="L147:L149" si="331">(C147*D147*K147/1000)</f>
        <v>0</v>
      </c>
      <c r="M147" s="16"/>
      <c r="N147" s="18"/>
      <c r="O147" s="19">
        <f t="shared" ref="O147:O149" si="332">(C147*D147*N147/1000)</f>
        <v>0</v>
      </c>
      <c r="P147" s="16"/>
      <c r="Q147" s="18"/>
      <c r="R147" s="19">
        <f t="shared" ref="R147:R149" si="333">(C147*D147*Q147/1000)</f>
        <v>0</v>
      </c>
      <c r="S147" s="20">
        <f t="shared" ref="S147:S149" si="334">+H147+K147+Q147+N147</f>
        <v>3</v>
      </c>
      <c r="T147" s="19">
        <f t="shared" ref="T147:T149" si="335">+I147+L147+R147+O147</f>
        <v>0.35039999999999999</v>
      </c>
      <c r="U147" s="21">
        <f t="shared" ref="U147:U149" si="336">E147-S147</f>
        <v>0</v>
      </c>
      <c r="V147" s="19">
        <f t="shared" ref="V147:V149" si="337">F147-T147</f>
        <v>0</v>
      </c>
      <c r="X147" s="29"/>
    </row>
    <row r="148" spans="1:24">
      <c r="A148" s="26" t="s">
        <v>13</v>
      </c>
      <c r="B148" s="26" t="s">
        <v>55</v>
      </c>
      <c r="C148" s="30">
        <v>16</v>
      </c>
      <c r="D148" s="27">
        <v>9.8000000000000007</v>
      </c>
      <c r="E148" s="28">
        <v>12</v>
      </c>
      <c r="F148" s="16">
        <f t="shared" si="329"/>
        <v>1.8816000000000002</v>
      </c>
      <c r="G148" s="17" t="s">
        <v>317</v>
      </c>
      <c r="H148" s="18">
        <v>12</v>
      </c>
      <c r="I148" s="19">
        <f t="shared" si="330"/>
        <v>1.8816000000000002</v>
      </c>
      <c r="J148" s="16"/>
      <c r="K148" s="18"/>
      <c r="L148" s="19">
        <f t="shared" si="331"/>
        <v>0</v>
      </c>
      <c r="M148" s="16"/>
      <c r="N148" s="18"/>
      <c r="O148" s="19">
        <f t="shared" si="332"/>
        <v>0</v>
      </c>
      <c r="P148" s="16"/>
      <c r="Q148" s="18"/>
      <c r="R148" s="19">
        <f t="shared" si="333"/>
        <v>0</v>
      </c>
      <c r="S148" s="20">
        <f t="shared" si="334"/>
        <v>12</v>
      </c>
      <c r="T148" s="19">
        <f t="shared" si="335"/>
        <v>1.8816000000000002</v>
      </c>
      <c r="U148" s="21">
        <f t="shared" si="336"/>
        <v>0</v>
      </c>
      <c r="V148" s="19">
        <f t="shared" si="337"/>
        <v>0</v>
      </c>
      <c r="X148" s="29"/>
    </row>
    <row r="149" spans="1:24">
      <c r="A149" s="26" t="s">
        <v>13</v>
      </c>
      <c r="B149" s="26" t="s">
        <v>55</v>
      </c>
      <c r="C149" s="30">
        <v>16</v>
      </c>
      <c r="D149" s="27">
        <v>12</v>
      </c>
      <c r="E149" s="28">
        <v>4</v>
      </c>
      <c r="F149" s="16">
        <f t="shared" si="329"/>
        <v>0.76800000000000002</v>
      </c>
      <c r="G149" s="17"/>
      <c r="H149" s="18">
        <v>4</v>
      </c>
      <c r="I149" s="19">
        <f t="shared" si="330"/>
        <v>0.76800000000000002</v>
      </c>
      <c r="J149" s="16"/>
      <c r="K149" s="18"/>
      <c r="L149" s="19">
        <f t="shared" si="331"/>
        <v>0</v>
      </c>
      <c r="M149" s="16"/>
      <c r="N149" s="18"/>
      <c r="O149" s="19">
        <f t="shared" si="332"/>
        <v>0</v>
      </c>
      <c r="P149" s="16"/>
      <c r="Q149" s="18"/>
      <c r="R149" s="19">
        <f t="shared" si="333"/>
        <v>0</v>
      </c>
      <c r="S149" s="20">
        <f t="shared" si="334"/>
        <v>4</v>
      </c>
      <c r="T149" s="19">
        <f t="shared" si="335"/>
        <v>0.76800000000000002</v>
      </c>
      <c r="U149" s="21">
        <f t="shared" si="336"/>
        <v>0</v>
      </c>
      <c r="V149" s="19">
        <f t="shared" si="337"/>
        <v>0</v>
      </c>
      <c r="X149" s="29"/>
    </row>
    <row r="150" spans="1:24">
      <c r="A150" s="36"/>
      <c r="B150" s="36"/>
      <c r="C150" s="30"/>
      <c r="D150" s="38"/>
      <c r="E150" s="31">
        <f t="shared" ref="E150:F150" si="338">SUM(E147:E149)</f>
        <v>19</v>
      </c>
      <c r="F150" s="38">
        <f t="shared" si="338"/>
        <v>3</v>
      </c>
      <c r="G150" s="17"/>
      <c r="H150" s="31">
        <f t="shared" ref="H150" si="339">SUM(H147:H149)</f>
        <v>19</v>
      </c>
      <c r="I150" s="38">
        <f t="shared" ref="I150" si="340">SUM(I147:I149)</f>
        <v>3</v>
      </c>
      <c r="J150" s="16"/>
      <c r="K150" s="31">
        <f t="shared" ref="K150" si="341">SUM(K147:K149)</f>
        <v>0</v>
      </c>
      <c r="L150" s="38">
        <f t="shared" ref="L150" si="342">SUM(L147:L149)</f>
        <v>0</v>
      </c>
      <c r="M150" s="16"/>
      <c r="N150" s="31">
        <f t="shared" ref="N150" si="343">SUM(N147:N149)</f>
        <v>0</v>
      </c>
      <c r="O150" s="38">
        <f t="shared" ref="O150" si="344">SUM(O147:O149)</f>
        <v>0</v>
      </c>
      <c r="P150" s="16"/>
      <c r="Q150" s="31">
        <f t="shared" ref="Q150" si="345">SUM(Q147:Q149)</f>
        <v>0</v>
      </c>
      <c r="R150" s="38">
        <f t="shared" ref="R150" si="346">SUM(R147:R149)</f>
        <v>0</v>
      </c>
      <c r="S150" s="31">
        <f t="shared" ref="S150" si="347">SUM(S147:S149)</f>
        <v>19</v>
      </c>
      <c r="T150" s="38">
        <f t="shared" ref="T150" si="348">SUM(T147:T149)</f>
        <v>3</v>
      </c>
      <c r="U150" s="31">
        <f t="shared" ref="U150" si="349">SUM(U147:U149)</f>
        <v>0</v>
      </c>
      <c r="V150" s="38">
        <f t="shared" ref="V150" si="350">SUM(V147:V149)</f>
        <v>0</v>
      </c>
      <c r="X150" s="29"/>
    </row>
    <row r="151" spans="1:24">
      <c r="A151" s="26" t="s">
        <v>13</v>
      </c>
      <c r="B151" s="26" t="s">
        <v>56</v>
      </c>
      <c r="C151" s="30">
        <v>17.899999999999999</v>
      </c>
      <c r="D151" s="27">
        <v>7.3</v>
      </c>
      <c r="E151" s="28">
        <v>17</v>
      </c>
      <c r="F151" s="16">
        <f t="shared" ref="F151:F159" si="351">(C151*D151*E151/1000)</f>
        <v>2.22139</v>
      </c>
      <c r="G151" s="17" t="s">
        <v>88</v>
      </c>
      <c r="H151" s="18"/>
      <c r="I151" s="19">
        <f t="shared" ref="I151:I159" si="352">(C151*D151*H151/1000)</f>
        <v>0</v>
      </c>
      <c r="J151" s="17" t="s">
        <v>318</v>
      </c>
      <c r="K151" s="18">
        <v>5</v>
      </c>
      <c r="L151" s="19">
        <f t="shared" ref="L151:L159" si="353">(C151*D151*K151/1000)</f>
        <v>0.65334999999999988</v>
      </c>
      <c r="M151" s="17" t="s">
        <v>295</v>
      </c>
      <c r="N151" s="18"/>
      <c r="O151" s="19">
        <f t="shared" ref="O151:O159" si="354">(C151*D151*N151/1000)</f>
        <v>0</v>
      </c>
      <c r="P151" s="16"/>
      <c r="Q151" s="18"/>
      <c r="R151" s="19">
        <f t="shared" ref="R151:R159" si="355">(C151*D151*Q151/1000)</f>
        <v>0</v>
      </c>
      <c r="S151" s="20">
        <f t="shared" ref="S151:S159" si="356">+H151+K151+Q151+N151</f>
        <v>5</v>
      </c>
      <c r="T151" s="19">
        <f t="shared" ref="T151:T159" si="357">+I151+L151+R151+O151</f>
        <v>0.65334999999999988</v>
      </c>
      <c r="U151" s="21">
        <f t="shared" ref="U151:U159" si="358">E151-S151</f>
        <v>12</v>
      </c>
      <c r="V151" s="19">
        <f t="shared" ref="V151:V159" si="359">F151-T151</f>
        <v>1.5680400000000001</v>
      </c>
      <c r="X151" s="29"/>
    </row>
    <row r="152" spans="1:24">
      <c r="A152" s="26" t="s">
        <v>13</v>
      </c>
      <c r="B152" s="26" t="s">
        <v>56</v>
      </c>
      <c r="C152" s="30">
        <v>17.899999999999999</v>
      </c>
      <c r="D152" s="27">
        <v>10</v>
      </c>
      <c r="E152" s="28">
        <v>15</v>
      </c>
      <c r="F152" s="16">
        <f t="shared" si="351"/>
        <v>2.6850000000000001</v>
      </c>
      <c r="G152" s="17" t="s">
        <v>304</v>
      </c>
      <c r="H152" s="18">
        <v>1</v>
      </c>
      <c r="I152" s="19">
        <f t="shared" si="352"/>
        <v>0.17899999999999999</v>
      </c>
      <c r="J152" s="17" t="s">
        <v>317</v>
      </c>
      <c r="K152" s="18">
        <v>13</v>
      </c>
      <c r="L152" s="19">
        <f t="shared" si="353"/>
        <v>2.327</v>
      </c>
      <c r="M152" s="17" t="s">
        <v>324</v>
      </c>
      <c r="N152" s="18">
        <v>3</v>
      </c>
      <c r="O152" s="19">
        <f t="shared" si="354"/>
        <v>0.53700000000000003</v>
      </c>
      <c r="P152" s="16"/>
      <c r="Q152" s="18"/>
      <c r="R152" s="19">
        <f t="shared" si="355"/>
        <v>0</v>
      </c>
      <c r="S152" s="20">
        <f t="shared" si="356"/>
        <v>17</v>
      </c>
      <c r="T152" s="19">
        <f t="shared" si="357"/>
        <v>3.0429999999999997</v>
      </c>
      <c r="U152" s="21">
        <f t="shared" si="358"/>
        <v>-2</v>
      </c>
      <c r="V152" s="19">
        <f t="shared" si="359"/>
        <v>-0.35799999999999965</v>
      </c>
      <c r="X152" s="29"/>
    </row>
    <row r="153" spans="1:24">
      <c r="A153" s="26" t="s">
        <v>13</v>
      </c>
      <c r="B153" s="26" t="s">
        <v>56</v>
      </c>
      <c r="C153" s="30">
        <v>17.899999999999999</v>
      </c>
      <c r="D153" s="27">
        <v>11.3</v>
      </c>
      <c r="E153" s="28">
        <v>2</v>
      </c>
      <c r="F153" s="16">
        <f t="shared" si="351"/>
        <v>0.40454000000000001</v>
      </c>
      <c r="G153" s="17"/>
      <c r="H153" s="18"/>
      <c r="I153" s="19">
        <f t="shared" si="352"/>
        <v>0</v>
      </c>
      <c r="J153" s="16"/>
      <c r="K153" s="18"/>
      <c r="L153" s="19">
        <f t="shared" si="353"/>
        <v>0</v>
      </c>
      <c r="M153" s="16"/>
      <c r="N153" s="18">
        <v>1</v>
      </c>
      <c r="O153" s="19">
        <f t="shared" si="354"/>
        <v>0.20227000000000001</v>
      </c>
      <c r="P153" s="16"/>
      <c r="Q153" s="18"/>
      <c r="R153" s="19">
        <f t="shared" si="355"/>
        <v>0</v>
      </c>
      <c r="S153" s="20">
        <f t="shared" si="356"/>
        <v>1</v>
      </c>
      <c r="T153" s="19">
        <f t="shared" si="357"/>
        <v>0.20227000000000001</v>
      </c>
      <c r="U153" s="21">
        <f t="shared" si="358"/>
        <v>1</v>
      </c>
      <c r="V153" s="19">
        <f t="shared" si="359"/>
        <v>0.20227000000000001</v>
      </c>
      <c r="X153" s="29"/>
    </row>
    <row r="154" spans="1:24">
      <c r="A154" s="26" t="s">
        <v>13</v>
      </c>
      <c r="B154" s="26" t="s">
        <v>56</v>
      </c>
      <c r="C154" s="30">
        <v>17.899999999999999</v>
      </c>
      <c r="D154" s="27">
        <v>11.7</v>
      </c>
      <c r="E154" s="28">
        <v>16</v>
      </c>
      <c r="F154" s="16">
        <f t="shared" ref="F154:F158" si="360">(C154*D154*E154/1000)</f>
        <v>3.3508799999999996</v>
      </c>
      <c r="G154" s="17"/>
      <c r="H154" s="18">
        <v>5</v>
      </c>
      <c r="I154" s="19">
        <f t="shared" ref="I154:I158" si="361">(C154*D154*H154/1000)</f>
        <v>1.0471499999999998</v>
      </c>
      <c r="J154" s="16"/>
      <c r="K154" s="18">
        <v>8</v>
      </c>
      <c r="L154" s="19">
        <f t="shared" ref="L154:L158" si="362">(C154*D154*K154/1000)</f>
        <v>1.6754399999999998</v>
      </c>
      <c r="M154" s="16"/>
      <c r="N154" s="18"/>
      <c r="O154" s="19">
        <f t="shared" ref="O154:O158" si="363">(C154*D154*N154/1000)</f>
        <v>0</v>
      </c>
      <c r="P154" s="16"/>
      <c r="Q154" s="18"/>
      <c r="R154" s="19">
        <f t="shared" ref="R154:R158" si="364">(C154*D154*Q154/1000)</f>
        <v>0</v>
      </c>
      <c r="S154" s="20">
        <f t="shared" ref="S154:S158" si="365">+H154+K154+Q154+N154</f>
        <v>13</v>
      </c>
      <c r="T154" s="19">
        <f t="shared" ref="T154:T158" si="366">+I154+L154+R154+O154</f>
        <v>2.7225899999999994</v>
      </c>
      <c r="U154" s="21">
        <f t="shared" ref="U154:U158" si="367">E154-S154</f>
        <v>3</v>
      </c>
      <c r="V154" s="19">
        <f t="shared" ref="V154:V158" si="368">F154-T154</f>
        <v>0.62829000000000024</v>
      </c>
      <c r="X154" s="29"/>
    </row>
    <row r="155" spans="1:24">
      <c r="A155" s="26" t="s">
        <v>13</v>
      </c>
      <c r="B155" s="26" t="s">
        <v>56</v>
      </c>
      <c r="C155" s="30">
        <v>17.899999999999999</v>
      </c>
      <c r="D155" s="27">
        <v>12</v>
      </c>
      <c r="E155" s="28"/>
      <c r="F155" s="16">
        <f t="shared" si="360"/>
        <v>0</v>
      </c>
      <c r="G155" s="17"/>
      <c r="H155" s="18"/>
      <c r="I155" s="19">
        <f t="shared" si="361"/>
        <v>0</v>
      </c>
      <c r="J155" s="16"/>
      <c r="K155" s="18">
        <v>4</v>
      </c>
      <c r="L155" s="19">
        <f t="shared" si="362"/>
        <v>0.85919999999999996</v>
      </c>
      <c r="M155" s="16"/>
      <c r="N155" s="18">
        <v>1</v>
      </c>
      <c r="O155" s="19">
        <f t="shared" si="363"/>
        <v>0.21479999999999999</v>
      </c>
      <c r="P155" s="16"/>
      <c r="Q155" s="18"/>
      <c r="R155" s="19">
        <f t="shared" si="364"/>
        <v>0</v>
      </c>
      <c r="S155" s="20">
        <f t="shared" si="365"/>
        <v>5</v>
      </c>
      <c r="T155" s="19">
        <f t="shared" si="366"/>
        <v>1.0739999999999998</v>
      </c>
      <c r="U155" s="21">
        <f t="shared" si="367"/>
        <v>-5</v>
      </c>
      <c r="V155" s="19">
        <f t="shared" si="368"/>
        <v>-1.0739999999999998</v>
      </c>
      <c r="X155" s="29"/>
    </row>
    <row r="156" spans="1:24">
      <c r="A156" s="26" t="s">
        <v>13</v>
      </c>
      <c r="B156" s="26" t="s">
        <v>56</v>
      </c>
      <c r="C156" s="30">
        <v>17.899999999999999</v>
      </c>
      <c r="D156" s="27">
        <v>7.5</v>
      </c>
      <c r="E156" s="28"/>
      <c r="F156" s="16">
        <f t="shared" si="360"/>
        <v>0</v>
      </c>
      <c r="G156" s="17"/>
      <c r="H156" s="18"/>
      <c r="I156" s="19">
        <f t="shared" si="361"/>
        <v>0</v>
      </c>
      <c r="J156" s="16"/>
      <c r="K156" s="18"/>
      <c r="L156" s="19">
        <f t="shared" si="362"/>
        <v>0</v>
      </c>
      <c r="M156" s="16"/>
      <c r="N156" s="18">
        <v>8</v>
      </c>
      <c r="O156" s="19">
        <f t="shared" si="363"/>
        <v>1.0740000000000001</v>
      </c>
      <c r="P156" s="16"/>
      <c r="Q156" s="18"/>
      <c r="R156" s="19">
        <f t="shared" si="364"/>
        <v>0</v>
      </c>
      <c r="S156" s="20">
        <f t="shared" si="365"/>
        <v>8</v>
      </c>
      <c r="T156" s="19">
        <f t="shared" si="366"/>
        <v>1.0740000000000001</v>
      </c>
      <c r="U156" s="21">
        <f t="shared" si="367"/>
        <v>-8</v>
      </c>
      <c r="V156" s="19">
        <f t="shared" si="368"/>
        <v>-1.0740000000000001</v>
      </c>
      <c r="X156" s="29"/>
    </row>
    <row r="157" spans="1:24">
      <c r="A157" s="26" t="s">
        <v>13</v>
      </c>
      <c r="B157" s="26" t="s">
        <v>56</v>
      </c>
      <c r="C157" s="30">
        <v>17.899999999999999</v>
      </c>
      <c r="D157" s="27">
        <v>7.8</v>
      </c>
      <c r="E157" s="28"/>
      <c r="F157" s="16">
        <f t="shared" si="360"/>
        <v>0</v>
      </c>
      <c r="G157" s="17"/>
      <c r="H157" s="18"/>
      <c r="I157" s="19">
        <f t="shared" si="361"/>
        <v>0</v>
      </c>
      <c r="J157" s="16"/>
      <c r="K157" s="18"/>
      <c r="L157" s="19">
        <f t="shared" si="362"/>
        <v>0</v>
      </c>
      <c r="M157" s="16"/>
      <c r="N157" s="18">
        <v>1</v>
      </c>
      <c r="O157" s="19">
        <f t="shared" si="363"/>
        <v>0.13961999999999997</v>
      </c>
      <c r="P157" s="16"/>
      <c r="Q157" s="18"/>
      <c r="R157" s="19">
        <f t="shared" si="364"/>
        <v>0</v>
      </c>
      <c r="S157" s="20">
        <f t="shared" si="365"/>
        <v>1</v>
      </c>
      <c r="T157" s="19">
        <f t="shared" si="366"/>
        <v>0.13961999999999997</v>
      </c>
      <c r="U157" s="21">
        <f t="shared" si="367"/>
        <v>-1</v>
      </c>
      <c r="V157" s="19">
        <f t="shared" si="368"/>
        <v>-0.13961999999999997</v>
      </c>
      <c r="X157" s="29"/>
    </row>
    <row r="158" spans="1:24">
      <c r="A158" s="26" t="s">
        <v>13</v>
      </c>
      <c r="B158" s="26" t="s">
        <v>56</v>
      </c>
      <c r="C158" s="30">
        <v>17.899999999999999</v>
      </c>
      <c r="D158" s="27"/>
      <c r="E158" s="28"/>
      <c r="F158" s="16">
        <f t="shared" si="360"/>
        <v>0</v>
      </c>
      <c r="G158" s="17"/>
      <c r="H158" s="18"/>
      <c r="I158" s="19">
        <f t="shared" si="361"/>
        <v>0</v>
      </c>
      <c r="J158" s="16"/>
      <c r="K158" s="18"/>
      <c r="L158" s="19">
        <f t="shared" si="362"/>
        <v>0</v>
      </c>
      <c r="M158" s="16"/>
      <c r="N158" s="18"/>
      <c r="O158" s="19">
        <f t="shared" si="363"/>
        <v>0</v>
      </c>
      <c r="P158" s="16"/>
      <c r="Q158" s="18"/>
      <c r="R158" s="19">
        <f t="shared" si="364"/>
        <v>0</v>
      </c>
      <c r="S158" s="20">
        <f t="shared" si="365"/>
        <v>0</v>
      </c>
      <c r="T158" s="19">
        <f t="shared" si="366"/>
        <v>0</v>
      </c>
      <c r="U158" s="21">
        <f t="shared" si="367"/>
        <v>0</v>
      </c>
      <c r="V158" s="19">
        <f t="shared" si="368"/>
        <v>0</v>
      </c>
      <c r="X158" s="29"/>
    </row>
    <row r="159" spans="1:24">
      <c r="A159" s="26" t="s">
        <v>13</v>
      </c>
      <c r="B159" s="26" t="s">
        <v>56</v>
      </c>
      <c r="C159" s="30">
        <v>17.899999999999999</v>
      </c>
      <c r="D159" s="27"/>
      <c r="E159" s="28"/>
      <c r="F159" s="16">
        <f t="shared" si="351"/>
        <v>0</v>
      </c>
      <c r="G159" s="17"/>
      <c r="H159" s="18"/>
      <c r="I159" s="19">
        <f t="shared" si="352"/>
        <v>0</v>
      </c>
      <c r="J159" s="16"/>
      <c r="K159" s="18"/>
      <c r="L159" s="19">
        <f t="shared" si="353"/>
        <v>0</v>
      </c>
      <c r="M159" s="16"/>
      <c r="N159" s="18"/>
      <c r="O159" s="19">
        <f t="shared" si="354"/>
        <v>0</v>
      </c>
      <c r="P159" s="16"/>
      <c r="Q159" s="18"/>
      <c r="R159" s="19">
        <f t="shared" si="355"/>
        <v>0</v>
      </c>
      <c r="S159" s="20">
        <f t="shared" si="356"/>
        <v>0</v>
      </c>
      <c r="T159" s="19">
        <f t="shared" si="357"/>
        <v>0</v>
      </c>
      <c r="U159" s="21">
        <f t="shared" si="358"/>
        <v>0</v>
      </c>
      <c r="V159" s="19">
        <f t="shared" si="359"/>
        <v>0</v>
      </c>
      <c r="X159" s="29"/>
    </row>
    <row r="160" spans="1:24">
      <c r="A160" s="36"/>
      <c r="B160" s="36"/>
      <c r="C160" s="30"/>
      <c r="D160" s="38"/>
      <c r="E160" s="31">
        <f t="shared" ref="E160:F160" si="369">SUM(E151:E159)</f>
        <v>50</v>
      </c>
      <c r="F160" s="38">
        <f t="shared" si="369"/>
        <v>8.6618099999999991</v>
      </c>
      <c r="G160" s="17"/>
      <c r="H160" s="31">
        <f t="shared" ref="H160" si="370">SUM(H151:H159)</f>
        <v>6</v>
      </c>
      <c r="I160" s="38">
        <f t="shared" ref="I160" si="371">SUM(I151:I159)</f>
        <v>1.2261499999999999</v>
      </c>
      <c r="J160" s="16"/>
      <c r="K160" s="31">
        <f t="shared" ref="K160" si="372">SUM(K151:K159)</f>
        <v>30</v>
      </c>
      <c r="L160" s="38">
        <f t="shared" ref="L160" si="373">SUM(L151:L159)</f>
        <v>5.5149899999999992</v>
      </c>
      <c r="M160" s="16"/>
      <c r="N160" s="31">
        <f t="shared" ref="N160" si="374">SUM(N151:N159)</f>
        <v>14</v>
      </c>
      <c r="O160" s="38">
        <f t="shared" ref="O160" si="375">SUM(O151:O159)</f>
        <v>2.1676899999999999</v>
      </c>
      <c r="P160" s="16"/>
      <c r="Q160" s="31">
        <f t="shared" ref="Q160" si="376">SUM(Q151:Q159)</f>
        <v>0</v>
      </c>
      <c r="R160" s="38">
        <f t="shared" ref="R160" si="377">SUM(R151:R159)</f>
        <v>0</v>
      </c>
      <c r="S160" s="31">
        <f t="shared" ref="S160" si="378">SUM(S151:S159)</f>
        <v>50</v>
      </c>
      <c r="T160" s="38">
        <f t="shared" ref="T160" si="379">SUM(T151:T159)</f>
        <v>8.90883</v>
      </c>
      <c r="U160" s="31">
        <f t="shared" ref="U160" si="380">SUM(U151:U159)</f>
        <v>0</v>
      </c>
      <c r="V160" s="38">
        <f t="shared" ref="V160" si="381">SUM(V151:V159)</f>
        <v>-0.24701999999999946</v>
      </c>
      <c r="X160" s="29"/>
    </row>
    <row r="161" spans="1:24">
      <c r="A161" s="26" t="s">
        <v>13</v>
      </c>
      <c r="B161" s="26" t="s">
        <v>255</v>
      </c>
      <c r="C161" s="30">
        <v>25.2</v>
      </c>
      <c r="D161" s="27">
        <v>7.7</v>
      </c>
      <c r="E161" s="28">
        <v>34</v>
      </c>
      <c r="F161" s="16">
        <f t="shared" ref="F161:F170" si="382">(C161*D161*E161/1000)</f>
        <v>6.5973600000000001</v>
      </c>
      <c r="G161" s="16" t="s">
        <v>86</v>
      </c>
      <c r="H161" s="18">
        <v>25</v>
      </c>
      <c r="I161" s="19">
        <f t="shared" ref="I161:I170" si="383">(C161*D161*H161/1000)</f>
        <v>4.851</v>
      </c>
      <c r="J161" s="16"/>
      <c r="K161" s="18"/>
      <c r="L161" s="19">
        <f t="shared" ref="L161:L170" si="384">(C161*D161*K161/1000)</f>
        <v>0</v>
      </c>
      <c r="M161" s="16"/>
      <c r="N161" s="18"/>
      <c r="O161" s="19">
        <f t="shared" ref="O161:O170" si="385">(C161*D161*N161/1000)</f>
        <v>0</v>
      </c>
      <c r="P161" s="16"/>
      <c r="Q161" s="18"/>
      <c r="R161" s="19">
        <f t="shared" ref="R161:R170" si="386">(C161*D161*Q161/1000)</f>
        <v>0</v>
      </c>
      <c r="S161" s="20">
        <f t="shared" ref="S161:S170" si="387">+H161+K161+Q161+N161</f>
        <v>25</v>
      </c>
      <c r="T161" s="19">
        <f t="shared" ref="T161:T170" si="388">+I161+L161+R161+O161</f>
        <v>4.851</v>
      </c>
      <c r="U161" s="21">
        <f t="shared" ref="U161:U170" si="389">E161-S161</f>
        <v>9</v>
      </c>
      <c r="V161" s="19">
        <f t="shared" ref="V161:V170" si="390">F161-T161</f>
        <v>1.7463600000000001</v>
      </c>
      <c r="X161" s="29"/>
    </row>
    <row r="162" spans="1:24">
      <c r="A162" s="26" t="s">
        <v>13</v>
      </c>
      <c r="B162" s="26" t="s">
        <v>255</v>
      </c>
      <c r="C162" s="30">
        <v>25.2</v>
      </c>
      <c r="D162" s="27">
        <v>10.7</v>
      </c>
      <c r="E162" s="28">
        <v>20</v>
      </c>
      <c r="F162" s="16">
        <f t="shared" ref="F162:F169" si="391">(C162*D162*E162/1000)</f>
        <v>5.3927999999999994</v>
      </c>
      <c r="G162" s="16" t="s">
        <v>343</v>
      </c>
      <c r="H162" s="18">
        <v>14</v>
      </c>
      <c r="I162" s="19">
        <f t="shared" ref="I162:I169" si="392">(C162*D162*H162/1000)</f>
        <v>3.7749600000000001</v>
      </c>
      <c r="J162" s="16"/>
      <c r="K162" s="18"/>
      <c r="L162" s="19">
        <f t="shared" ref="L162:L169" si="393">(C162*D162*K162/1000)</f>
        <v>0</v>
      </c>
      <c r="M162" s="16"/>
      <c r="N162" s="18"/>
      <c r="O162" s="19">
        <f t="shared" ref="O162:O169" si="394">(C162*D162*N162/1000)</f>
        <v>0</v>
      </c>
      <c r="P162" s="16"/>
      <c r="Q162" s="18"/>
      <c r="R162" s="19">
        <f t="shared" ref="R162:R169" si="395">(C162*D162*Q162/1000)</f>
        <v>0</v>
      </c>
      <c r="S162" s="20">
        <f t="shared" ref="S162:S169" si="396">+H162+K162+Q162+N162</f>
        <v>14</v>
      </c>
      <c r="T162" s="19">
        <f t="shared" ref="T162:T169" si="397">+I162+L162+R162+O162</f>
        <v>3.7749600000000001</v>
      </c>
      <c r="U162" s="21">
        <f t="shared" ref="U162:U169" si="398">E162-S162</f>
        <v>6</v>
      </c>
      <c r="V162" s="19">
        <f t="shared" ref="V162:V169" si="399">F162-T162</f>
        <v>1.6178399999999993</v>
      </c>
      <c r="X162" s="29"/>
    </row>
    <row r="163" spans="1:24">
      <c r="A163" s="26" t="s">
        <v>13</v>
      </c>
      <c r="B163" s="26" t="s">
        <v>255</v>
      </c>
      <c r="C163" s="30">
        <v>25.2</v>
      </c>
      <c r="D163" s="27">
        <v>10</v>
      </c>
      <c r="E163" s="28"/>
      <c r="F163" s="16">
        <f t="shared" si="391"/>
        <v>0</v>
      </c>
      <c r="G163" s="16"/>
      <c r="H163" s="18">
        <v>2</v>
      </c>
      <c r="I163" s="19">
        <f t="shared" si="392"/>
        <v>0.504</v>
      </c>
      <c r="J163" s="16"/>
      <c r="K163" s="18"/>
      <c r="L163" s="19">
        <f t="shared" si="393"/>
        <v>0</v>
      </c>
      <c r="M163" s="16"/>
      <c r="N163" s="18"/>
      <c r="O163" s="19">
        <f t="shared" si="394"/>
        <v>0</v>
      </c>
      <c r="P163" s="16"/>
      <c r="Q163" s="18"/>
      <c r="R163" s="19">
        <f t="shared" si="395"/>
        <v>0</v>
      </c>
      <c r="S163" s="20">
        <f t="shared" si="396"/>
        <v>2</v>
      </c>
      <c r="T163" s="19">
        <f t="shared" si="397"/>
        <v>0.504</v>
      </c>
      <c r="U163" s="21">
        <f t="shared" si="398"/>
        <v>-2</v>
      </c>
      <c r="V163" s="19">
        <f t="shared" si="399"/>
        <v>-0.504</v>
      </c>
      <c r="X163" s="29"/>
    </row>
    <row r="164" spans="1:24">
      <c r="A164" s="26" t="s">
        <v>13</v>
      </c>
      <c r="B164" s="26" t="s">
        <v>255</v>
      </c>
      <c r="C164" s="30">
        <v>25.2</v>
      </c>
      <c r="D164" s="27">
        <v>10.3</v>
      </c>
      <c r="E164" s="28"/>
      <c r="F164" s="16">
        <f t="shared" si="391"/>
        <v>0</v>
      </c>
      <c r="G164" s="16"/>
      <c r="H164" s="18">
        <v>6</v>
      </c>
      <c r="I164" s="19">
        <f t="shared" si="392"/>
        <v>1.5573600000000001</v>
      </c>
      <c r="J164" s="16"/>
      <c r="K164" s="18"/>
      <c r="L164" s="19">
        <f t="shared" si="393"/>
        <v>0</v>
      </c>
      <c r="M164" s="16"/>
      <c r="N164" s="18"/>
      <c r="O164" s="19">
        <f t="shared" si="394"/>
        <v>0</v>
      </c>
      <c r="P164" s="16"/>
      <c r="Q164" s="18"/>
      <c r="R164" s="19">
        <f t="shared" si="395"/>
        <v>0</v>
      </c>
      <c r="S164" s="20">
        <f t="shared" si="396"/>
        <v>6</v>
      </c>
      <c r="T164" s="19">
        <f t="shared" si="397"/>
        <v>1.5573600000000001</v>
      </c>
      <c r="U164" s="21">
        <f t="shared" si="398"/>
        <v>-6</v>
      </c>
      <c r="V164" s="19">
        <f t="shared" si="399"/>
        <v>-1.5573600000000001</v>
      </c>
      <c r="X164" s="29"/>
    </row>
    <row r="165" spans="1:24">
      <c r="A165" s="26" t="s">
        <v>13</v>
      </c>
      <c r="B165" s="26" t="s">
        <v>255</v>
      </c>
      <c r="C165" s="30">
        <v>25.2</v>
      </c>
      <c r="D165" s="27">
        <v>10.6</v>
      </c>
      <c r="E165" s="28"/>
      <c r="F165" s="16">
        <f t="shared" si="391"/>
        <v>0</v>
      </c>
      <c r="G165" s="16"/>
      <c r="H165" s="18">
        <v>1</v>
      </c>
      <c r="I165" s="19">
        <f t="shared" si="392"/>
        <v>0.26712000000000002</v>
      </c>
      <c r="J165" s="16"/>
      <c r="K165" s="18"/>
      <c r="L165" s="19">
        <f t="shared" si="393"/>
        <v>0</v>
      </c>
      <c r="M165" s="16"/>
      <c r="N165" s="18"/>
      <c r="O165" s="19">
        <f t="shared" si="394"/>
        <v>0</v>
      </c>
      <c r="P165" s="16"/>
      <c r="Q165" s="18"/>
      <c r="R165" s="19">
        <f t="shared" si="395"/>
        <v>0</v>
      </c>
      <c r="S165" s="20">
        <f t="shared" si="396"/>
        <v>1</v>
      </c>
      <c r="T165" s="19">
        <f t="shared" si="397"/>
        <v>0.26712000000000002</v>
      </c>
      <c r="U165" s="21">
        <f t="shared" si="398"/>
        <v>-1</v>
      </c>
      <c r="V165" s="19">
        <f t="shared" si="399"/>
        <v>-0.26712000000000002</v>
      </c>
      <c r="X165" s="29"/>
    </row>
    <row r="166" spans="1:24">
      <c r="A166" s="26" t="s">
        <v>13</v>
      </c>
      <c r="B166" s="26" t="s">
        <v>255</v>
      </c>
      <c r="C166" s="30">
        <v>25.2</v>
      </c>
      <c r="D166" s="27">
        <v>9.75</v>
      </c>
      <c r="E166" s="28"/>
      <c r="F166" s="16">
        <f t="shared" si="391"/>
        <v>0</v>
      </c>
      <c r="G166" s="16"/>
      <c r="H166" s="18">
        <v>1</v>
      </c>
      <c r="I166" s="19">
        <f t="shared" si="392"/>
        <v>0.2457</v>
      </c>
      <c r="J166" s="16"/>
      <c r="K166" s="18"/>
      <c r="L166" s="19">
        <f t="shared" si="393"/>
        <v>0</v>
      </c>
      <c r="M166" s="16"/>
      <c r="N166" s="18"/>
      <c r="O166" s="19">
        <f t="shared" si="394"/>
        <v>0</v>
      </c>
      <c r="P166" s="16"/>
      <c r="Q166" s="18"/>
      <c r="R166" s="19">
        <f t="shared" si="395"/>
        <v>0</v>
      </c>
      <c r="S166" s="20">
        <f t="shared" si="396"/>
        <v>1</v>
      </c>
      <c r="T166" s="19">
        <f t="shared" si="397"/>
        <v>0.2457</v>
      </c>
      <c r="U166" s="21">
        <f t="shared" si="398"/>
        <v>-1</v>
      </c>
      <c r="V166" s="19">
        <f t="shared" si="399"/>
        <v>-0.2457</v>
      </c>
      <c r="X166" s="29"/>
    </row>
    <row r="167" spans="1:24">
      <c r="A167" s="26" t="s">
        <v>13</v>
      </c>
      <c r="B167" s="26" t="s">
        <v>255</v>
      </c>
      <c r="C167" s="30">
        <v>25.2</v>
      </c>
      <c r="D167" s="27">
        <v>7.7</v>
      </c>
      <c r="E167" s="28"/>
      <c r="F167" s="16">
        <f t="shared" si="391"/>
        <v>0</v>
      </c>
      <c r="G167" s="16"/>
      <c r="H167" s="18">
        <v>3</v>
      </c>
      <c r="I167" s="19">
        <f t="shared" si="392"/>
        <v>0.58211999999999997</v>
      </c>
      <c r="J167" s="16"/>
      <c r="K167" s="18"/>
      <c r="L167" s="19">
        <f t="shared" si="393"/>
        <v>0</v>
      </c>
      <c r="M167" s="16"/>
      <c r="N167" s="18"/>
      <c r="O167" s="19">
        <f t="shared" si="394"/>
        <v>0</v>
      </c>
      <c r="P167" s="16"/>
      <c r="Q167" s="18"/>
      <c r="R167" s="19">
        <f t="shared" si="395"/>
        <v>0</v>
      </c>
      <c r="S167" s="20">
        <f t="shared" si="396"/>
        <v>3</v>
      </c>
      <c r="T167" s="19">
        <f t="shared" si="397"/>
        <v>0.58211999999999997</v>
      </c>
      <c r="U167" s="21">
        <f t="shared" si="398"/>
        <v>-3</v>
      </c>
      <c r="V167" s="19">
        <f t="shared" si="399"/>
        <v>-0.58211999999999997</v>
      </c>
      <c r="X167" s="29"/>
    </row>
    <row r="168" spans="1:24">
      <c r="A168" s="26" t="s">
        <v>13</v>
      </c>
      <c r="B168" s="26" t="s">
        <v>255</v>
      </c>
      <c r="C168" s="30">
        <v>25.2</v>
      </c>
      <c r="D168" s="27">
        <v>6.5</v>
      </c>
      <c r="E168" s="28"/>
      <c r="F168" s="16">
        <f t="shared" si="391"/>
        <v>0</v>
      </c>
      <c r="G168" s="16"/>
      <c r="H168" s="18">
        <v>1</v>
      </c>
      <c r="I168" s="19">
        <f t="shared" si="392"/>
        <v>0.16379999999999997</v>
      </c>
      <c r="J168" s="16"/>
      <c r="K168" s="18"/>
      <c r="L168" s="19">
        <f t="shared" si="393"/>
        <v>0</v>
      </c>
      <c r="M168" s="16"/>
      <c r="N168" s="18"/>
      <c r="O168" s="19">
        <f t="shared" si="394"/>
        <v>0</v>
      </c>
      <c r="P168" s="16"/>
      <c r="Q168" s="18"/>
      <c r="R168" s="19">
        <f t="shared" si="395"/>
        <v>0</v>
      </c>
      <c r="S168" s="20">
        <f t="shared" si="396"/>
        <v>1</v>
      </c>
      <c r="T168" s="19">
        <f t="shared" si="397"/>
        <v>0.16379999999999997</v>
      </c>
      <c r="U168" s="21">
        <f t="shared" si="398"/>
        <v>-1</v>
      </c>
      <c r="V168" s="19">
        <f t="shared" si="399"/>
        <v>-0.16379999999999997</v>
      </c>
      <c r="X168" s="29"/>
    </row>
    <row r="169" spans="1:24">
      <c r="A169" s="26" t="s">
        <v>13</v>
      </c>
      <c r="B169" s="26" t="s">
        <v>255</v>
      </c>
      <c r="C169" s="30">
        <v>25.2</v>
      </c>
      <c r="D169" s="27">
        <v>6.6</v>
      </c>
      <c r="E169" s="28"/>
      <c r="F169" s="16">
        <f t="shared" si="391"/>
        <v>0</v>
      </c>
      <c r="G169" s="16"/>
      <c r="H169" s="18">
        <v>1</v>
      </c>
      <c r="I169" s="19">
        <f t="shared" si="392"/>
        <v>0.16632</v>
      </c>
      <c r="J169" s="16"/>
      <c r="K169" s="18"/>
      <c r="L169" s="19">
        <f t="shared" si="393"/>
        <v>0</v>
      </c>
      <c r="M169" s="16"/>
      <c r="N169" s="18"/>
      <c r="O169" s="19">
        <f t="shared" si="394"/>
        <v>0</v>
      </c>
      <c r="P169" s="16"/>
      <c r="Q169" s="18"/>
      <c r="R169" s="19">
        <f t="shared" si="395"/>
        <v>0</v>
      </c>
      <c r="S169" s="20">
        <f t="shared" si="396"/>
        <v>1</v>
      </c>
      <c r="T169" s="19">
        <f t="shared" si="397"/>
        <v>0.16632</v>
      </c>
      <c r="U169" s="21">
        <f t="shared" si="398"/>
        <v>-1</v>
      </c>
      <c r="V169" s="19">
        <f t="shared" si="399"/>
        <v>-0.16632</v>
      </c>
      <c r="X169" s="29"/>
    </row>
    <row r="170" spans="1:24">
      <c r="A170" s="26" t="s">
        <v>13</v>
      </c>
      <c r="B170" s="26" t="s">
        <v>255</v>
      </c>
      <c r="C170" s="30">
        <v>25.2</v>
      </c>
      <c r="D170" s="27">
        <v>7.1</v>
      </c>
      <c r="E170" s="28"/>
      <c r="F170" s="16">
        <f t="shared" si="382"/>
        <v>0</v>
      </c>
      <c r="G170" s="16"/>
      <c r="H170" s="18">
        <v>1</v>
      </c>
      <c r="I170" s="19">
        <f t="shared" si="383"/>
        <v>0.17892</v>
      </c>
      <c r="J170" s="16"/>
      <c r="K170" s="18"/>
      <c r="L170" s="19">
        <f t="shared" si="384"/>
        <v>0</v>
      </c>
      <c r="M170" s="16"/>
      <c r="N170" s="18"/>
      <c r="O170" s="19">
        <f t="shared" si="385"/>
        <v>0</v>
      </c>
      <c r="P170" s="16"/>
      <c r="Q170" s="18"/>
      <c r="R170" s="19">
        <f t="shared" si="386"/>
        <v>0</v>
      </c>
      <c r="S170" s="20">
        <f t="shared" si="387"/>
        <v>1</v>
      </c>
      <c r="T170" s="19">
        <f t="shared" si="388"/>
        <v>0.17892</v>
      </c>
      <c r="U170" s="21">
        <f t="shared" si="389"/>
        <v>-1</v>
      </c>
      <c r="V170" s="19">
        <f t="shared" si="390"/>
        <v>-0.17892</v>
      </c>
      <c r="X170" s="29"/>
    </row>
    <row r="171" spans="1:24">
      <c r="A171" s="36"/>
      <c r="B171" s="36"/>
      <c r="C171" s="30"/>
      <c r="D171" s="38"/>
      <c r="E171" s="31">
        <f t="shared" ref="E171:F171" si="400">SUM(E161:E170)</f>
        <v>54</v>
      </c>
      <c r="F171" s="38">
        <f t="shared" si="400"/>
        <v>11.990159999999999</v>
      </c>
      <c r="G171" s="17"/>
      <c r="H171" s="31">
        <f t="shared" ref="H171" si="401">SUM(H161:H170)</f>
        <v>55</v>
      </c>
      <c r="I171" s="38">
        <f t="shared" ref="I171" si="402">SUM(I161:I170)</f>
        <v>12.2913</v>
      </c>
      <c r="J171" s="16"/>
      <c r="K171" s="31">
        <f t="shared" ref="K171" si="403">SUM(K161:K170)</f>
        <v>0</v>
      </c>
      <c r="L171" s="38">
        <f t="shared" ref="L171" si="404">SUM(L161:L170)</f>
        <v>0</v>
      </c>
      <c r="M171" s="16"/>
      <c r="N171" s="31">
        <f t="shared" ref="N171" si="405">SUM(N161:N170)</f>
        <v>0</v>
      </c>
      <c r="O171" s="38">
        <f t="shared" ref="O171" si="406">SUM(O161:O170)</f>
        <v>0</v>
      </c>
      <c r="P171" s="16"/>
      <c r="Q171" s="31">
        <f t="shared" ref="Q171" si="407">SUM(Q161:Q170)</f>
        <v>0</v>
      </c>
      <c r="R171" s="38">
        <f t="shared" ref="R171" si="408">SUM(R161:R170)</f>
        <v>0</v>
      </c>
      <c r="S171" s="31">
        <f t="shared" ref="S171" si="409">SUM(S161:S170)</f>
        <v>55</v>
      </c>
      <c r="T171" s="38">
        <f t="shared" ref="T171" si="410">SUM(T161:T170)</f>
        <v>12.2913</v>
      </c>
      <c r="U171" s="31">
        <f t="shared" ref="U171" si="411">SUM(U161:U170)</f>
        <v>-1</v>
      </c>
      <c r="V171" s="38">
        <f t="shared" ref="V171" si="412">SUM(V161:V170)</f>
        <v>-0.30114000000000063</v>
      </c>
      <c r="X171" s="29"/>
    </row>
    <row r="172" spans="1:24">
      <c r="A172" s="26" t="s">
        <v>13</v>
      </c>
      <c r="B172" s="26" t="s">
        <v>125</v>
      </c>
      <c r="C172" s="30">
        <v>27.3</v>
      </c>
      <c r="D172" s="27">
        <v>6.85</v>
      </c>
      <c r="E172" s="28">
        <v>15</v>
      </c>
      <c r="F172" s="16">
        <f t="shared" ref="F172:F176" si="413">(C172*D172*E172/1000)</f>
        <v>2.805075</v>
      </c>
      <c r="G172" s="17" t="s">
        <v>88</v>
      </c>
      <c r="H172" s="18">
        <v>16</v>
      </c>
      <c r="I172" s="19">
        <f t="shared" ref="I172:I176" si="414">(C172*D172*H172/1000)</f>
        <v>2.9920800000000001</v>
      </c>
      <c r="J172" s="17" t="s">
        <v>318</v>
      </c>
      <c r="K172" s="18"/>
      <c r="L172" s="19">
        <f t="shared" ref="L172:L176" si="415">(C172*D172*K172/1000)</f>
        <v>0</v>
      </c>
      <c r="M172" s="16"/>
      <c r="N172" s="18"/>
      <c r="O172" s="19">
        <f t="shared" ref="O172:O176" si="416">(C172*D172*N172/1000)</f>
        <v>0</v>
      </c>
      <c r="P172" s="16"/>
      <c r="Q172" s="18"/>
      <c r="R172" s="19">
        <f t="shared" ref="R172:R176" si="417">(C172*D172*Q172/1000)</f>
        <v>0</v>
      </c>
      <c r="S172" s="20">
        <f t="shared" ref="S172:S176" si="418">+H172+K172+Q172+N172</f>
        <v>16</v>
      </c>
      <c r="T172" s="19">
        <f t="shared" ref="T172:T176" si="419">+I172+L172+R172+O172</f>
        <v>2.9920800000000001</v>
      </c>
      <c r="U172" s="21">
        <f t="shared" ref="U172:U176" si="420">E172-S172</f>
        <v>-1</v>
      </c>
      <c r="V172" s="19">
        <f t="shared" ref="V172:V176" si="421">F172-T172</f>
        <v>-0.18700500000000009</v>
      </c>
      <c r="X172" s="29"/>
    </row>
    <row r="173" spans="1:24">
      <c r="A173" s="26" t="s">
        <v>13</v>
      </c>
      <c r="B173" s="26" t="s">
        <v>125</v>
      </c>
      <c r="C173" s="30">
        <v>27.3</v>
      </c>
      <c r="D173" s="27">
        <v>10</v>
      </c>
      <c r="E173" s="28">
        <v>7</v>
      </c>
      <c r="F173" s="16">
        <f t="shared" si="413"/>
        <v>1.911</v>
      </c>
      <c r="G173" s="17" t="s">
        <v>327</v>
      </c>
      <c r="H173" s="18">
        <v>7</v>
      </c>
      <c r="I173" s="19">
        <f t="shared" si="414"/>
        <v>1.911</v>
      </c>
      <c r="J173" s="17" t="s">
        <v>344</v>
      </c>
      <c r="K173" s="18"/>
      <c r="L173" s="19">
        <f t="shared" si="415"/>
        <v>0</v>
      </c>
      <c r="M173" s="16"/>
      <c r="N173" s="18"/>
      <c r="O173" s="19">
        <f t="shared" si="416"/>
        <v>0</v>
      </c>
      <c r="P173" s="16"/>
      <c r="Q173" s="18"/>
      <c r="R173" s="19">
        <f t="shared" si="417"/>
        <v>0</v>
      </c>
      <c r="S173" s="20">
        <f t="shared" si="418"/>
        <v>7</v>
      </c>
      <c r="T173" s="19">
        <f t="shared" si="419"/>
        <v>1.911</v>
      </c>
      <c r="U173" s="21">
        <f t="shared" si="420"/>
        <v>0</v>
      </c>
      <c r="V173" s="19">
        <f t="shared" si="421"/>
        <v>0</v>
      </c>
      <c r="X173" s="29"/>
    </row>
    <row r="174" spans="1:24">
      <c r="A174" s="26" t="s">
        <v>13</v>
      </c>
      <c r="B174" s="26" t="s">
        <v>125</v>
      </c>
      <c r="C174" s="30">
        <v>27.3</v>
      </c>
      <c r="D174" s="27">
        <v>10.8</v>
      </c>
      <c r="E174" s="28">
        <v>8</v>
      </c>
      <c r="F174" s="16">
        <f t="shared" si="413"/>
        <v>2.3587200000000004</v>
      </c>
      <c r="G174" s="17"/>
      <c r="H174" s="18">
        <v>7</v>
      </c>
      <c r="I174" s="19">
        <f t="shared" si="414"/>
        <v>2.0638800000000002</v>
      </c>
      <c r="J174" s="16"/>
      <c r="K174" s="18">
        <v>1</v>
      </c>
      <c r="L174" s="19">
        <f t="shared" si="415"/>
        <v>0.29484000000000005</v>
      </c>
      <c r="M174" s="16"/>
      <c r="N174" s="18"/>
      <c r="O174" s="19">
        <f t="shared" si="416"/>
        <v>0</v>
      </c>
      <c r="P174" s="16"/>
      <c r="Q174" s="18"/>
      <c r="R174" s="19">
        <f t="shared" si="417"/>
        <v>0</v>
      </c>
      <c r="S174" s="20">
        <f t="shared" si="418"/>
        <v>8</v>
      </c>
      <c r="T174" s="19">
        <f t="shared" si="419"/>
        <v>2.3587200000000004</v>
      </c>
      <c r="U174" s="21">
        <f t="shared" si="420"/>
        <v>0</v>
      </c>
      <c r="V174" s="19">
        <f t="shared" si="421"/>
        <v>0</v>
      </c>
      <c r="X174" s="29"/>
    </row>
    <row r="175" spans="1:24">
      <c r="A175" s="26" t="s">
        <v>13</v>
      </c>
      <c r="B175" s="26" t="s">
        <v>125</v>
      </c>
      <c r="C175" s="30">
        <v>27.3</v>
      </c>
      <c r="D175" s="27">
        <v>11.7</v>
      </c>
      <c r="E175" s="28">
        <v>15</v>
      </c>
      <c r="F175" s="16">
        <f t="shared" ref="F175" si="422">(C175*D175*E175/1000)</f>
        <v>4.79115</v>
      </c>
      <c r="G175" s="17"/>
      <c r="H175" s="18">
        <v>4</v>
      </c>
      <c r="I175" s="19">
        <f t="shared" ref="I175" si="423">(C175*D175*H175/1000)</f>
        <v>1.2776399999999999</v>
      </c>
      <c r="J175" s="16"/>
      <c r="K175" s="18">
        <v>9</v>
      </c>
      <c r="L175" s="19">
        <f t="shared" ref="L175" si="424">(C175*D175*K175/1000)</f>
        <v>2.8746899999999997</v>
      </c>
      <c r="M175" s="16"/>
      <c r="N175" s="18"/>
      <c r="O175" s="19">
        <f t="shared" ref="O175" si="425">(C175*D175*N175/1000)</f>
        <v>0</v>
      </c>
      <c r="P175" s="16"/>
      <c r="Q175" s="18"/>
      <c r="R175" s="19">
        <f t="shared" ref="R175" si="426">(C175*D175*Q175/1000)</f>
        <v>0</v>
      </c>
      <c r="S175" s="20">
        <f t="shared" ref="S175" si="427">+H175+K175+Q175+N175</f>
        <v>13</v>
      </c>
      <c r="T175" s="19">
        <f t="shared" ref="T175" si="428">+I175+L175+R175+O175</f>
        <v>4.1523299999999992</v>
      </c>
      <c r="U175" s="21">
        <f t="shared" ref="U175" si="429">E175-S175</f>
        <v>2</v>
      </c>
      <c r="V175" s="19">
        <f t="shared" ref="V175" si="430">F175-T175</f>
        <v>0.63882000000000083</v>
      </c>
      <c r="X175" s="29"/>
    </row>
    <row r="176" spans="1:24">
      <c r="A176" s="26" t="s">
        <v>13</v>
      </c>
      <c r="B176" s="26" t="s">
        <v>125</v>
      </c>
      <c r="C176" s="30">
        <v>27.3</v>
      </c>
      <c r="D176" s="27">
        <v>10.9</v>
      </c>
      <c r="E176" s="28"/>
      <c r="F176" s="16">
        <f t="shared" si="413"/>
        <v>0</v>
      </c>
      <c r="G176" s="17"/>
      <c r="H176" s="18"/>
      <c r="I176" s="19">
        <f t="shared" si="414"/>
        <v>0</v>
      </c>
      <c r="J176" s="16"/>
      <c r="K176" s="18">
        <v>2</v>
      </c>
      <c r="L176" s="19">
        <f t="shared" si="415"/>
        <v>0.59514</v>
      </c>
      <c r="M176" s="16"/>
      <c r="N176" s="18"/>
      <c r="O176" s="19">
        <f t="shared" si="416"/>
        <v>0</v>
      </c>
      <c r="P176" s="16"/>
      <c r="Q176" s="18"/>
      <c r="R176" s="19">
        <f t="shared" si="417"/>
        <v>0</v>
      </c>
      <c r="S176" s="20">
        <f t="shared" si="418"/>
        <v>2</v>
      </c>
      <c r="T176" s="19">
        <f t="shared" si="419"/>
        <v>0.59514</v>
      </c>
      <c r="U176" s="21">
        <f t="shared" si="420"/>
        <v>-2</v>
      </c>
      <c r="V176" s="19">
        <f t="shared" si="421"/>
        <v>-0.59514</v>
      </c>
      <c r="X176" s="29"/>
    </row>
    <row r="177" spans="1:24">
      <c r="A177" s="36"/>
      <c r="B177" s="36"/>
      <c r="C177" s="30"/>
      <c r="D177" s="38"/>
      <c r="E177" s="31">
        <f t="shared" ref="E177:F177" si="431">SUM(E172:E176)</f>
        <v>45</v>
      </c>
      <c r="F177" s="38">
        <f t="shared" si="431"/>
        <v>11.865945</v>
      </c>
      <c r="G177" s="17"/>
      <c r="H177" s="31">
        <f t="shared" ref="H177" si="432">SUM(H172:H176)</f>
        <v>34</v>
      </c>
      <c r="I177" s="38">
        <f t="shared" ref="I177" si="433">SUM(I172:I176)</f>
        <v>8.2446000000000002</v>
      </c>
      <c r="J177" s="16"/>
      <c r="K177" s="31">
        <f t="shared" ref="K177" si="434">SUM(K172:K176)</f>
        <v>12</v>
      </c>
      <c r="L177" s="38">
        <f t="shared" ref="L177" si="435">SUM(L172:L176)</f>
        <v>3.7646699999999997</v>
      </c>
      <c r="M177" s="16"/>
      <c r="N177" s="31">
        <f t="shared" ref="N177" si="436">SUM(N172:N176)</f>
        <v>0</v>
      </c>
      <c r="O177" s="38">
        <f t="shared" ref="O177" si="437">SUM(O172:O176)</f>
        <v>0</v>
      </c>
      <c r="P177" s="16"/>
      <c r="Q177" s="31">
        <f t="shared" ref="Q177" si="438">SUM(Q172:Q176)</f>
        <v>0</v>
      </c>
      <c r="R177" s="38">
        <f t="shared" ref="R177" si="439">SUM(R172:R176)</f>
        <v>0</v>
      </c>
      <c r="S177" s="31">
        <f t="shared" ref="S177" si="440">SUM(S172:S176)</f>
        <v>46</v>
      </c>
      <c r="T177" s="38">
        <f t="shared" ref="T177" si="441">SUM(T172:T176)</f>
        <v>12.009270000000001</v>
      </c>
      <c r="U177" s="31">
        <f t="shared" ref="U177" si="442">SUM(U172:U176)</f>
        <v>-1</v>
      </c>
      <c r="V177" s="38">
        <f t="shared" ref="V177" si="443">SUM(V172:V176)</f>
        <v>-0.14332499999999926</v>
      </c>
      <c r="X177" s="29"/>
    </row>
    <row r="178" spans="1:24">
      <c r="A178" s="26" t="s">
        <v>13</v>
      </c>
      <c r="B178" s="26" t="s">
        <v>212</v>
      </c>
      <c r="C178" s="30">
        <v>29.5</v>
      </c>
      <c r="D178" s="27">
        <v>10.7</v>
      </c>
      <c r="E178" s="28">
        <v>5</v>
      </c>
      <c r="F178" s="16">
        <f>(C178*D178*E178/1000)</f>
        <v>1.5782499999999999</v>
      </c>
      <c r="G178" s="16" t="s">
        <v>295</v>
      </c>
      <c r="H178" s="18"/>
      <c r="I178" s="19">
        <f>(C178*D178*H178/1000)</f>
        <v>0</v>
      </c>
      <c r="J178" s="16"/>
      <c r="K178" s="18"/>
      <c r="L178" s="19">
        <f>(C178*D178*K178/1000)</f>
        <v>0</v>
      </c>
      <c r="M178" s="16"/>
      <c r="N178" s="18"/>
      <c r="O178" s="19">
        <f>(C178*D178*N178/1000)</f>
        <v>0</v>
      </c>
      <c r="P178" s="16"/>
      <c r="Q178" s="18"/>
      <c r="R178" s="19">
        <f>(C178*D178*Q178/1000)</f>
        <v>0</v>
      </c>
      <c r="S178" s="20">
        <f>+H178+K178+Q178+N178</f>
        <v>0</v>
      </c>
      <c r="T178" s="19">
        <f>+I178+L178+R178+O178</f>
        <v>0</v>
      </c>
      <c r="U178" s="21">
        <f>E178-S178</f>
        <v>5</v>
      </c>
      <c r="V178" s="19">
        <f>F178-T178</f>
        <v>1.5782499999999999</v>
      </c>
      <c r="X178" s="29"/>
    </row>
    <row r="179" spans="1:24">
      <c r="A179" s="26" t="s">
        <v>13</v>
      </c>
      <c r="B179" s="26" t="s">
        <v>212</v>
      </c>
      <c r="C179" s="30">
        <v>29.5</v>
      </c>
      <c r="D179" s="27">
        <v>9.5</v>
      </c>
      <c r="E179" s="28"/>
      <c r="F179" s="16">
        <f t="shared" ref="F179:F181" si="444">(C179*D179*E179/1000)</f>
        <v>0</v>
      </c>
      <c r="G179" s="16" t="s">
        <v>352</v>
      </c>
      <c r="H179" s="18">
        <v>2</v>
      </c>
      <c r="I179" s="19">
        <f t="shared" ref="I179:I181" si="445">(C179*D179*H179/1000)</f>
        <v>0.5605</v>
      </c>
      <c r="J179" s="16"/>
      <c r="K179" s="18"/>
      <c r="L179" s="19">
        <f t="shared" ref="L179:L181" si="446">(C179*D179*K179/1000)</f>
        <v>0</v>
      </c>
      <c r="M179" s="16"/>
      <c r="N179" s="18"/>
      <c r="O179" s="19">
        <f t="shared" ref="O179:O181" si="447">(C179*D179*N179/1000)</f>
        <v>0</v>
      </c>
      <c r="P179" s="16"/>
      <c r="Q179" s="18"/>
      <c r="R179" s="19">
        <f t="shared" ref="R179:R181" si="448">(C179*D179*Q179/1000)</f>
        <v>0</v>
      </c>
      <c r="S179" s="20">
        <f t="shared" ref="S179:S181" si="449">+H179+K179+Q179+N179</f>
        <v>2</v>
      </c>
      <c r="T179" s="19">
        <f t="shared" ref="T179:T181" si="450">+I179+L179+R179+O179</f>
        <v>0.5605</v>
      </c>
      <c r="U179" s="21">
        <f t="shared" ref="U179:U181" si="451">E179-S179</f>
        <v>-2</v>
      </c>
      <c r="V179" s="19">
        <f t="shared" ref="V179:V181" si="452">F179-T179</f>
        <v>-0.5605</v>
      </c>
      <c r="X179" s="29"/>
    </row>
    <row r="180" spans="1:24">
      <c r="A180" s="26" t="s">
        <v>13</v>
      </c>
      <c r="B180" s="26" t="s">
        <v>212</v>
      </c>
      <c r="C180" s="30">
        <v>29.5</v>
      </c>
      <c r="D180" s="27">
        <v>9.6</v>
      </c>
      <c r="E180" s="28"/>
      <c r="F180" s="16">
        <f t="shared" si="444"/>
        <v>0</v>
      </c>
      <c r="G180" s="16"/>
      <c r="H180" s="18">
        <v>3</v>
      </c>
      <c r="I180" s="19">
        <f t="shared" si="445"/>
        <v>0.84959999999999991</v>
      </c>
      <c r="J180" s="16"/>
      <c r="K180" s="18"/>
      <c r="L180" s="19">
        <f t="shared" si="446"/>
        <v>0</v>
      </c>
      <c r="M180" s="16"/>
      <c r="N180" s="18"/>
      <c r="O180" s="19">
        <f t="shared" si="447"/>
        <v>0</v>
      </c>
      <c r="P180" s="16"/>
      <c r="Q180" s="18"/>
      <c r="R180" s="19">
        <f t="shared" si="448"/>
        <v>0</v>
      </c>
      <c r="S180" s="20">
        <f t="shared" si="449"/>
        <v>3</v>
      </c>
      <c r="T180" s="19">
        <f t="shared" si="450"/>
        <v>0.84959999999999991</v>
      </c>
      <c r="U180" s="21">
        <f t="shared" si="451"/>
        <v>-3</v>
      </c>
      <c r="V180" s="19">
        <f t="shared" si="452"/>
        <v>-0.84959999999999991</v>
      </c>
      <c r="X180" s="29"/>
    </row>
    <row r="181" spans="1:24">
      <c r="A181" s="26" t="s">
        <v>13</v>
      </c>
      <c r="B181" s="26" t="s">
        <v>212</v>
      </c>
      <c r="C181" s="30">
        <v>29.5</v>
      </c>
      <c r="D181" s="27">
        <v>9.3000000000000007</v>
      </c>
      <c r="E181" s="28"/>
      <c r="F181" s="16">
        <f t="shared" si="444"/>
        <v>0</v>
      </c>
      <c r="G181" s="16"/>
      <c r="H181" s="18">
        <v>1</v>
      </c>
      <c r="I181" s="19">
        <f t="shared" si="445"/>
        <v>0.27435000000000004</v>
      </c>
      <c r="J181" s="16"/>
      <c r="K181" s="18"/>
      <c r="L181" s="19">
        <f t="shared" si="446"/>
        <v>0</v>
      </c>
      <c r="M181" s="16"/>
      <c r="N181" s="18"/>
      <c r="O181" s="19">
        <f t="shared" si="447"/>
        <v>0</v>
      </c>
      <c r="P181" s="16"/>
      <c r="Q181" s="18"/>
      <c r="R181" s="19">
        <f t="shared" si="448"/>
        <v>0</v>
      </c>
      <c r="S181" s="20">
        <f t="shared" si="449"/>
        <v>1</v>
      </c>
      <c r="T181" s="19">
        <f t="shared" si="450"/>
        <v>0.27435000000000004</v>
      </c>
      <c r="U181" s="21">
        <f t="shared" si="451"/>
        <v>-1</v>
      </c>
      <c r="V181" s="19">
        <f t="shared" si="452"/>
        <v>-0.27435000000000004</v>
      </c>
      <c r="X181" s="29"/>
    </row>
    <row r="182" spans="1:24">
      <c r="A182" s="36"/>
      <c r="B182" s="36"/>
      <c r="C182" s="30"/>
      <c r="D182" s="38"/>
      <c r="E182" s="31">
        <f t="shared" ref="E182:F182" si="453">SUM(E178:E181)</f>
        <v>5</v>
      </c>
      <c r="F182" s="38">
        <f t="shared" si="453"/>
        <v>1.5782499999999999</v>
      </c>
      <c r="G182" s="16"/>
      <c r="H182" s="31">
        <f t="shared" ref="H182" si="454">SUM(H178:H181)</f>
        <v>6</v>
      </c>
      <c r="I182" s="38">
        <f t="shared" ref="I182" si="455">SUM(I178:I181)</f>
        <v>1.68445</v>
      </c>
      <c r="J182" s="16"/>
      <c r="K182" s="31">
        <f t="shared" ref="K182" si="456">SUM(K178:K181)</f>
        <v>0</v>
      </c>
      <c r="L182" s="38">
        <f t="shared" ref="L182" si="457">SUM(L178:L181)</f>
        <v>0</v>
      </c>
      <c r="M182" s="16"/>
      <c r="N182" s="31">
        <f t="shared" ref="N182" si="458">SUM(N178:N181)</f>
        <v>0</v>
      </c>
      <c r="O182" s="38">
        <f t="shared" ref="O182" si="459">SUM(O178:O181)</f>
        <v>0</v>
      </c>
      <c r="P182" s="16"/>
      <c r="Q182" s="31">
        <f t="shared" ref="Q182" si="460">SUM(Q178:Q181)</f>
        <v>0</v>
      </c>
      <c r="R182" s="38">
        <f t="shared" ref="R182" si="461">SUM(R178:R181)</f>
        <v>0</v>
      </c>
      <c r="S182" s="31">
        <f t="shared" ref="S182" si="462">SUM(S178:S181)</f>
        <v>6</v>
      </c>
      <c r="T182" s="38">
        <f t="shared" ref="T182" si="463">SUM(T178:T181)</f>
        <v>1.68445</v>
      </c>
      <c r="U182" s="31">
        <f t="shared" ref="U182" si="464">SUM(U178:U181)</f>
        <v>-1</v>
      </c>
      <c r="V182" s="38">
        <f t="shared" ref="V182" si="465">SUM(V178:V181)</f>
        <v>-0.10620000000000002</v>
      </c>
      <c r="X182" s="29"/>
    </row>
    <row r="183" spans="1:24">
      <c r="A183" s="26" t="s">
        <v>13</v>
      </c>
      <c r="B183" s="26" t="s">
        <v>75</v>
      </c>
      <c r="C183" s="30">
        <v>31.6</v>
      </c>
      <c r="D183" s="27">
        <v>6.2</v>
      </c>
      <c r="E183" s="28">
        <v>48</v>
      </c>
      <c r="F183" s="16">
        <f t="shared" ref="F183:F193" si="466">(C183*D183*E183/1000)</f>
        <v>9.4041599999999992</v>
      </c>
      <c r="G183" s="17" t="s">
        <v>111</v>
      </c>
      <c r="H183" s="18">
        <f>32+5</f>
        <v>37</v>
      </c>
      <c r="I183" s="19">
        <f t="shared" ref="I183:I193" si="467">(C183*D183*H183/1000)</f>
        <v>7.2490400000000008</v>
      </c>
      <c r="J183" s="16" t="s">
        <v>322</v>
      </c>
      <c r="K183" s="18"/>
      <c r="L183" s="19">
        <f t="shared" ref="L183:L193" si="468">(C183*D183*K183/1000)</f>
        <v>0</v>
      </c>
      <c r="M183" s="16" t="s">
        <v>323</v>
      </c>
      <c r="N183" s="18"/>
      <c r="O183" s="19">
        <f t="shared" ref="O183:O193" si="469">(C183*D183*N183/1000)</f>
        <v>0</v>
      </c>
      <c r="P183" s="17" t="s">
        <v>89</v>
      </c>
      <c r="Q183" s="18"/>
      <c r="R183" s="19">
        <f t="shared" ref="R183:R193" si="470">(C183*D183*Q183/1000)</f>
        <v>0</v>
      </c>
      <c r="S183" s="20">
        <f t="shared" ref="S183:S193" si="471">+H183+K183+Q183+N183</f>
        <v>37</v>
      </c>
      <c r="T183" s="19">
        <f t="shared" ref="T183:T193" si="472">+I183+L183+R183+O183</f>
        <v>7.2490400000000008</v>
      </c>
      <c r="U183" s="21">
        <f t="shared" ref="U183:U193" si="473">E183-S183</f>
        <v>11</v>
      </c>
      <c r="V183" s="19">
        <f t="shared" ref="V183:V193" si="474">F183-T183</f>
        <v>2.1551199999999984</v>
      </c>
    </row>
    <row r="184" spans="1:24">
      <c r="A184" s="26" t="s">
        <v>13</v>
      </c>
      <c r="B184" s="26" t="s">
        <v>75</v>
      </c>
      <c r="C184" s="30">
        <v>31.6</v>
      </c>
      <c r="D184" s="27">
        <v>8</v>
      </c>
      <c r="E184" s="28">
        <v>4</v>
      </c>
      <c r="F184" s="16">
        <f t="shared" si="466"/>
        <v>1.0112000000000001</v>
      </c>
      <c r="G184" s="17" t="s">
        <v>321</v>
      </c>
      <c r="H184" s="18"/>
      <c r="I184" s="19">
        <f t="shared" si="467"/>
        <v>0</v>
      </c>
      <c r="J184" s="16" t="s">
        <v>321</v>
      </c>
      <c r="K184" s="18"/>
      <c r="L184" s="19">
        <f t="shared" si="468"/>
        <v>0</v>
      </c>
      <c r="M184" s="16" t="s">
        <v>324</v>
      </c>
      <c r="N184" s="18"/>
      <c r="O184" s="19">
        <f t="shared" si="469"/>
        <v>0</v>
      </c>
      <c r="P184" s="17" t="s">
        <v>341</v>
      </c>
      <c r="Q184" s="18"/>
      <c r="R184" s="19">
        <f t="shared" si="470"/>
        <v>0</v>
      </c>
      <c r="S184" s="20">
        <f t="shared" si="471"/>
        <v>0</v>
      </c>
      <c r="T184" s="19">
        <f t="shared" si="472"/>
        <v>0</v>
      </c>
      <c r="U184" s="21">
        <f t="shared" si="473"/>
        <v>4</v>
      </c>
      <c r="V184" s="19">
        <f t="shared" si="474"/>
        <v>1.0112000000000001</v>
      </c>
    </row>
    <row r="185" spans="1:24">
      <c r="A185" s="26" t="s">
        <v>13</v>
      </c>
      <c r="B185" s="26" t="s">
        <v>75</v>
      </c>
      <c r="C185" s="30">
        <v>31.6</v>
      </c>
      <c r="D185" s="27">
        <v>9.1999999999999993</v>
      </c>
      <c r="E185" s="28">
        <v>12</v>
      </c>
      <c r="F185" s="16">
        <f t="shared" si="466"/>
        <v>3.4886399999999993</v>
      </c>
      <c r="G185" s="17"/>
      <c r="H185" s="18">
        <v>4</v>
      </c>
      <c r="I185" s="19">
        <f t="shared" si="467"/>
        <v>1.1628799999999999</v>
      </c>
      <c r="J185" s="16"/>
      <c r="K185" s="18"/>
      <c r="L185" s="19">
        <f t="shared" si="468"/>
        <v>0</v>
      </c>
      <c r="M185" s="17" t="s">
        <v>295</v>
      </c>
      <c r="N185" s="18">
        <v>6</v>
      </c>
      <c r="O185" s="19">
        <f t="shared" si="469"/>
        <v>1.7443199999999996</v>
      </c>
      <c r="P185" s="16"/>
      <c r="Q185" s="18"/>
      <c r="R185" s="19">
        <f t="shared" si="470"/>
        <v>0</v>
      </c>
      <c r="S185" s="20">
        <f t="shared" si="471"/>
        <v>10</v>
      </c>
      <c r="T185" s="19">
        <f t="shared" si="472"/>
        <v>2.9071999999999996</v>
      </c>
      <c r="U185" s="21">
        <f t="shared" si="473"/>
        <v>2</v>
      </c>
      <c r="V185" s="19">
        <f t="shared" si="474"/>
        <v>0.58143999999999973</v>
      </c>
    </row>
    <row r="186" spans="1:24">
      <c r="A186" s="26" t="s">
        <v>13</v>
      </c>
      <c r="B186" s="26" t="s">
        <v>75</v>
      </c>
      <c r="C186" s="30">
        <v>31.6</v>
      </c>
      <c r="D186" s="27">
        <v>10.4</v>
      </c>
      <c r="E186" s="28">
        <v>13</v>
      </c>
      <c r="F186" s="16">
        <f t="shared" si="466"/>
        <v>4.2723200000000006</v>
      </c>
      <c r="G186" s="17"/>
      <c r="H186" s="18"/>
      <c r="I186" s="19">
        <f t="shared" si="467"/>
        <v>0</v>
      </c>
      <c r="J186" s="16"/>
      <c r="K186" s="18">
        <v>13</v>
      </c>
      <c r="L186" s="19">
        <f t="shared" si="468"/>
        <v>4.2723200000000006</v>
      </c>
      <c r="M186" s="17" t="s">
        <v>324</v>
      </c>
      <c r="N186" s="18"/>
      <c r="O186" s="19">
        <f t="shared" si="469"/>
        <v>0</v>
      </c>
      <c r="P186" s="16"/>
      <c r="Q186" s="18"/>
      <c r="R186" s="19">
        <f t="shared" si="470"/>
        <v>0</v>
      </c>
      <c r="S186" s="20">
        <f t="shared" si="471"/>
        <v>13</v>
      </c>
      <c r="T186" s="19">
        <f t="shared" si="472"/>
        <v>4.2723200000000006</v>
      </c>
      <c r="U186" s="21">
        <f t="shared" si="473"/>
        <v>0</v>
      </c>
      <c r="V186" s="19">
        <f t="shared" si="474"/>
        <v>0</v>
      </c>
    </row>
    <row r="187" spans="1:24">
      <c r="A187" s="26" t="s">
        <v>13</v>
      </c>
      <c r="B187" s="26" t="s">
        <v>75</v>
      </c>
      <c r="C187" s="30">
        <v>31.6</v>
      </c>
      <c r="D187" s="27">
        <v>11.4</v>
      </c>
      <c r="E187" s="28">
        <v>12</v>
      </c>
      <c r="F187" s="16">
        <f t="shared" si="466"/>
        <v>4.3228800000000005</v>
      </c>
      <c r="G187" s="17"/>
      <c r="H187" s="18">
        <v>1</v>
      </c>
      <c r="I187" s="19">
        <f t="shared" si="467"/>
        <v>0.36024</v>
      </c>
      <c r="J187" s="16"/>
      <c r="K187" s="18">
        <v>5</v>
      </c>
      <c r="L187" s="19">
        <f t="shared" si="468"/>
        <v>1.8012000000000001</v>
      </c>
      <c r="M187" s="16"/>
      <c r="N187" s="18">
        <v>5</v>
      </c>
      <c r="O187" s="19">
        <f t="shared" si="469"/>
        <v>1.8012000000000001</v>
      </c>
      <c r="P187" s="16"/>
      <c r="Q187" s="18"/>
      <c r="R187" s="19">
        <f t="shared" si="470"/>
        <v>0</v>
      </c>
      <c r="S187" s="20">
        <f t="shared" si="471"/>
        <v>11</v>
      </c>
      <c r="T187" s="19">
        <f t="shared" si="472"/>
        <v>3.9626400000000004</v>
      </c>
      <c r="U187" s="21">
        <f t="shared" si="473"/>
        <v>1</v>
      </c>
      <c r="V187" s="19">
        <f t="shared" si="474"/>
        <v>0.36024000000000012</v>
      </c>
    </row>
    <row r="188" spans="1:24">
      <c r="A188" s="26" t="s">
        <v>13</v>
      </c>
      <c r="B188" s="26" t="s">
        <v>75</v>
      </c>
      <c r="C188" s="30">
        <v>31.6</v>
      </c>
      <c r="D188" s="27">
        <v>12</v>
      </c>
      <c r="E188" s="28">
        <v>24</v>
      </c>
      <c r="F188" s="16">
        <f t="shared" ref="F188:F192" si="475">(C188*D188*E188/1000)</f>
        <v>9.1008000000000013</v>
      </c>
      <c r="G188" s="17"/>
      <c r="H188" s="18"/>
      <c r="I188" s="19">
        <f t="shared" ref="I188:I192" si="476">(C188*D188*H188/1000)</f>
        <v>0</v>
      </c>
      <c r="J188" s="16"/>
      <c r="K188" s="18">
        <v>2</v>
      </c>
      <c r="L188" s="19">
        <f t="shared" ref="L188:L192" si="477">(C188*D188*K188/1000)</f>
        <v>0.75840000000000007</v>
      </c>
      <c r="M188" s="16"/>
      <c r="N188" s="18">
        <f t="shared" ref="N188" si="478">9+3+10</f>
        <v>22</v>
      </c>
      <c r="O188" s="19">
        <f t="shared" ref="O188:O192" si="479">(C188*D188*N188/1000)</f>
        <v>8.3424000000000014</v>
      </c>
      <c r="P188" s="16"/>
      <c r="Q188" s="18"/>
      <c r="R188" s="19">
        <f t="shared" ref="R188:R192" si="480">(C188*D188*Q188/1000)</f>
        <v>0</v>
      </c>
      <c r="S188" s="20">
        <f t="shared" ref="S188:S192" si="481">+H188+K188+Q188+N188</f>
        <v>24</v>
      </c>
      <c r="T188" s="19">
        <f t="shared" ref="T188:T192" si="482">+I188+L188+R188+O188</f>
        <v>9.1008000000000013</v>
      </c>
      <c r="U188" s="21">
        <f t="shared" ref="U188:U192" si="483">E188-S188</f>
        <v>0</v>
      </c>
      <c r="V188" s="19">
        <f t="shared" ref="V188:V192" si="484">F188-T188</f>
        <v>0</v>
      </c>
    </row>
    <row r="189" spans="1:24">
      <c r="A189" s="26" t="s">
        <v>13</v>
      </c>
      <c r="B189" s="26" t="s">
        <v>75</v>
      </c>
      <c r="C189" s="30">
        <v>31.6</v>
      </c>
      <c r="D189" s="27">
        <v>10.199999999999999</v>
      </c>
      <c r="E189" s="28"/>
      <c r="F189" s="16">
        <f t="shared" si="475"/>
        <v>0</v>
      </c>
      <c r="G189" s="17"/>
      <c r="H189" s="18"/>
      <c r="I189" s="19">
        <f t="shared" si="476"/>
        <v>0</v>
      </c>
      <c r="J189" s="16"/>
      <c r="K189" s="18"/>
      <c r="L189" s="19">
        <f t="shared" si="477"/>
        <v>0</v>
      </c>
      <c r="M189" s="16"/>
      <c r="N189" s="18"/>
      <c r="O189" s="19">
        <f t="shared" si="479"/>
        <v>0</v>
      </c>
      <c r="P189" s="16"/>
      <c r="Q189" s="18">
        <v>1</v>
      </c>
      <c r="R189" s="19">
        <f t="shared" si="480"/>
        <v>0.32232</v>
      </c>
      <c r="S189" s="20">
        <f t="shared" si="481"/>
        <v>1</v>
      </c>
      <c r="T189" s="19">
        <f t="shared" si="482"/>
        <v>0.32232</v>
      </c>
      <c r="U189" s="21">
        <f t="shared" si="483"/>
        <v>-1</v>
      </c>
      <c r="V189" s="19">
        <f t="shared" si="484"/>
        <v>-0.32232</v>
      </c>
    </row>
    <row r="190" spans="1:24">
      <c r="A190" s="26" t="s">
        <v>13</v>
      </c>
      <c r="B190" s="26" t="s">
        <v>75</v>
      </c>
      <c r="C190" s="30">
        <v>31.6</v>
      </c>
      <c r="D190" s="27">
        <v>10</v>
      </c>
      <c r="E190" s="28"/>
      <c r="F190" s="16">
        <f t="shared" si="475"/>
        <v>0</v>
      </c>
      <c r="G190" s="17"/>
      <c r="H190" s="18"/>
      <c r="I190" s="19">
        <f t="shared" si="476"/>
        <v>0</v>
      </c>
      <c r="J190" s="16"/>
      <c r="K190" s="18"/>
      <c r="L190" s="19">
        <f t="shared" si="477"/>
        <v>0</v>
      </c>
      <c r="M190" s="16"/>
      <c r="N190" s="18"/>
      <c r="O190" s="19">
        <f t="shared" si="479"/>
        <v>0</v>
      </c>
      <c r="P190" s="16"/>
      <c r="Q190" s="18">
        <v>1</v>
      </c>
      <c r="R190" s="19">
        <f t="shared" si="480"/>
        <v>0.316</v>
      </c>
      <c r="S190" s="20">
        <f t="shared" si="481"/>
        <v>1</v>
      </c>
      <c r="T190" s="19">
        <f t="shared" si="482"/>
        <v>0.316</v>
      </c>
      <c r="U190" s="21">
        <f t="shared" si="483"/>
        <v>-1</v>
      </c>
      <c r="V190" s="19">
        <f t="shared" si="484"/>
        <v>-0.316</v>
      </c>
    </row>
    <row r="191" spans="1:24">
      <c r="A191" s="26" t="s">
        <v>13</v>
      </c>
      <c r="B191" s="26" t="s">
        <v>75</v>
      </c>
      <c r="C191" s="30">
        <v>31.6</v>
      </c>
      <c r="D191" s="27">
        <v>10.5</v>
      </c>
      <c r="E191" s="28"/>
      <c r="F191" s="16">
        <f t="shared" si="475"/>
        <v>0</v>
      </c>
      <c r="G191" s="17"/>
      <c r="H191" s="18"/>
      <c r="I191" s="19">
        <f t="shared" si="476"/>
        <v>0</v>
      </c>
      <c r="J191" s="16"/>
      <c r="K191" s="18"/>
      <c r="L191" s="19">
        <f t="shared" si="477"/>
        <v>0</v>
      </c>
      <c r="M191" s="16"/>
      <c r="N191" s="18"/>
      <c r="O191" s="19">
        <f t="shared" si="479"/>
        <v>0</v>
      </c>
      <c r="P191" s="16"/>
      <c r="Q191" s="18">
        <v>1</v>
      </c>
      <c r="R191" s="19">
        <f t="shared" si="480"/>
        <v>0.33179999999999998</v>
      </c>
      <c r="S191" s="20">
        <f t="shared" si="481"/>
        <v>1</v>
      </c>
      <c r="T191" s="19">
        <f t="shared" si="482"/>
        <v>0.33179999999999998</v>
      </c>
      <c r="U191" s="21">
        <f t="shared" si="483"/>
        <v>-1</v>
      </c>
      <c r="V191" s="19">
        <f t="shared" si="484"/>
        <v>-0.33179999999999998</v>
      </c>
    </row>
    <row r="192" spans="1:24">
      <c r="A192" s="26" t="s">
        <v>13</v>
      </c>
      <c r="B192" s="26" t="s">
        <v>75</v>
      </c>
      <c r="C192" s="30">
        <v>31.6</v>
      </c>
      <c r="D192" s="27">
        <v>9</v>
      </c>
      <c r="E192" s="28"/>
      <c r="F192" s="16">
        <f t="shared" si="475"/>
        <v>0</v>
      </c>
      <c r="G192" s="17"/>
      <c r="H192" s="18"/>
      <c r="I192" s="19">
        <f t="shared" si="476"/>
        <v>0</v>
      </c>
      <c r="J192" s="16"/>
      <c r="K192" s="18"/>
      <c r="L192" s="19">
        <f t="shared" si="477"/>
        <v>0</v>
      </c>
      <c r="M192" s="16"/>
      <c r="N192" s="18"/>
      <c r="O192" s="19">
        <f t="shared" si="479"/>
        <v>0</v>
      </c>
      <c r="P192" s="16"/>
      <c r="Q192" s="18">
        <v>10</v>
      </c>
      <c r="R192" s="19">
        <f t="shared" si="480"/>
        <v>2.8440000000000003</v>
      </c>
      <c r="S192" s="20">
        <f t="shared" si="481"/>
        <v>10</v>
      </c>
      <c r="T192" s="19">
        <f t="shared" si="482"/>
        <v>2.8440000000000003</v>
      </c>
      <c r="U192" s="21">
        <f t="shared" si="483"/>
        <v>-10</v>
      </c>
      <c r="V192" s="19">
        <f t="shared" si="484"/>
        <v>-2.8440000000000003</v>
      </c>
    </row>
    <row r="193" spans="1:22">
      <c r="A193" s="26" t="s">
        <v>13</v>
      </c>
      <c r="B193" s="26" t="s">
        <v>75</v>
      </c>
      <c r="C193" s="30">
        <v>31.6</v>
      </c>
      <c r="D193" s="27">
        <v>9.6999999999999993</v>
      </c>
      <c r="E193" s="28"/>
      <c r="F193" s="16">
        <f t="shared" si="466"/>
        <v>0</v>
      </c>
      <c r="G193" s="17"/>
      <c r="H193" s="18"/>
      <c r="I193" s="19">
        <f t="shared" si="467"/>
        <v>0</v>
      </c>
      <c r="J193" s="16"/>
      <c r="K193" s="18"/>
      <c r="L193" s="19">
        <f t="shared" si="468"/>
        <v>0</v>
      </c>
      <c r="M193" s="16"/>
      <c r="N193" s="18"/>
      <c r="O193" s="19">
        <f t="shared" si="469"/>
        <v>0</v>
      </c>
      <c r="P193" s="16"/>
      <c r="Q193" s="18">
        <v>2</v>
      </c>
      <c r="R193" s="19">
        <f t="shared" si="470"/>
        <v>0.61303999999999992</v>
      </c>
      <c r="S193" s="20">
        <f t="shared" si="471"/>
        <v>2</v>
      </c>
      <c r="T193" s="19">
        <f t="shared" si="472"/>
        <v>0.61303999999999992</v>
      </c>
      <c r="U193" s="21">
        <f t="shared" si="473"/>
        <v>-2</v>
      </c>
      <c r="V193" s="19">
        <f t="shared" si="474"/>
        <v>-0.61303999999999992</v>
      </c>
    </row>
    <row r="194" spans="1:22">
      <c r="A194" s="36"/>
      <c r="B194" s="36"/>
      <c r="C194" s="30"/>
      <c r="D194" s="38"/>
      <c r="E194" s="31">
        <f t="shared" ref="E194:F194" si="485">SUM(E183:E193)</f>
        <v>113</v>
      </c>
      <c r="F194" s="38">
        <f t="shared" si="485"/>
        <v>31.6</v>
      </c>
      <c r="H194" s="31">
        <f t="shared" ref="H194" si="486">SUM(H183:H193)</f>
        <v>42</v>
      </c>
      <c r="I194" s="38">
        <f t="shared" ref="I194" si="487">SUM(I183:I193)</f>
        <v>8.7721599999999995</v>
      </c>
      <c r="K194" s="31">
        <f t="shared" ref="K194" si="488">SUM(K183:K193)</f>
        <v>20</v>
      </c>
      <c r="L194" s="38">
        <f t="shared" ref="L194" si="489">SUM(L183:L193)</f>
        <v>6.8319200000000002</v>
      </c>
      <c r="N194" s="31">
        <f t="shared" ref="N194" si="490">SUM(N183:N193)</f>
        <v>33</v>
      </c>
      <c r="O194" s="38">
        <f t="shared" ref="O194" si="491">SUM(O183:O193)</f>
        <v>11.887920000000001</v>
      </c>
      <c r="Q194" s="31">
        <f t="shared" ref="Q194" si="492">SUM(Q183:Q193)</f>
        <v>15</v>
      </c>
      <c r="R194" s="38">
        <f t="shared" ref="R194" si="493">SUM(R183:R193)</f>
        <v>4.4271600000000007</v>
      </c>
      <c r="S194" s="31">
        <f t="shared" ref="S194" si="494">SUM(S183:S193)</f>
        <v>110</v>
      </c>
      <c r="T194" s="38">
        <f t="shared" ref="T194" si="495">SUM(T183:T193)</f>
        <v>31.919160000000009</v>
      </c>
      <c r="U194" s="31">
        <f t="shared" ref="U194" si="496">SUM(U183:U193)</f>
        <v>3</v>
      </c>
      <c r="V194" s="38">
        <f t="shared" ref="V194" si="497">SUM(V183:V193)</f>
        <v>-0.31916000000000111</v>
      </c>
    </row>
    <row r="195" spans="1:22">
      <c r="A195" s="26" t="s">
        <v>13</v>
      </c>
      <c r="B195" s="26" t="s">
        <v>126</v>
      </c>
      <c r="C195" s="30">
        <v>33.799999999999997</v>
      </c>
      <c r="D195" s="27">
        <v>6.1</v>
      </c>
      <c r="E195" s="28">
        <v>52</v>
      </c>
      <c r="F195" s="16">
        <f t="shared" ref="F195:F210" si="498">(C195*D195*E195/1000)</f>
        <v>10.721359999999999</v>
      </c>
      <c r="G195" s="17" t="s">
        <v>88</v>
      </c>
      <c r="H195" s="18">
        <v>48</v>
      </c>
      <c r="I195" s="19">
        <f t="shared" ref="I195:I210" si="499">(C195*D195*H195/1000)</f>
        <v>9.8966399999999997</v>
      </c>
      <c r="J195" s="17" t="s">
        <v>325</v>
      </c>
      <c r="K195" s="18">
        <v>4</v>
      </c>
      <c r="L195" s="19">
        <f t="shared" ref="L195:L210" si="500">(C195*D195*K195/1000)</f>
        <v>0.8247199999999999</v>
      </c>
      <c r="M195" s="17" t="s">
        <v>88</v>
      </c>
      <c r="N195" s="18"/>
      <c r="O195" s="19">
        <f t="shared" ref="O195:O210" si="501">(C195*D195*N195/1000)</f>
        <v>0</v>
      </c>
      <c r="P195" s="16" t="s">
        <v>86</v>
      </c>
      <c r="Q195" s="18"/>
      <c r="R195" s="19">
        <f t="shared" ref="R195:R210" si="502">(C195*D195*Q195/1000)</f>
        <v>0</v>
      </c>
      <c r="S195" s="20">
        <f t="shared" ref="S195:S210" si="503">+H195+K195+Q195+N195</f>
        <v>52</v>
      </c>
      <c r="T195" s="19">
        <f t="shared" ref="T195:T210" si="504">+I195+L195+R195+O195</f>
        <v>10.721359999999999</v>
      </c>
      <c r="U195" s="21">
        <f t="shared" ref="U195:U210" si="505">E195-S195</f>
        <v>0</v>
      </c>
      <c r="V195" s="19">
        <f t="shared" ref="V195:V210" si="506">F195-T195</f>
        <v>0</v>
      </c>
    </row>
    <row r="196" spans="1:22">
      <c r="A196" s="26" t="s">
        <v>13</v>
      </c>
      <c r="B196" s="26" t="s">
        <v>126</v>
      </c>
      <c r="C196" s="30">
        <v>33.799999999999997</v>
      </c>
      <c r="D196" s="27">
        <v>6.3</v>
      </c>
      <c r="E196" s="28">
        <v>52</v>
      </c>
      <c r="F196" s="16">
        <f t="shared" si="498"/>
        <v>11.07288</v>
      </c>
      <c r="G196" s="17" t="s">
        <v>320</v>
      </c>
      <c r="H196" s="18">
        <v>48</v>
      </c>
      <c r="I196" s="19">
        <f t="shared" si="499"/>
        <v>10.221119999999999</v>
      </c>
      <c r="J196" s="17" t="s">
        <v>326</v>
      </c>
      <c r="K196" s="18"/>
      <c r="L196" s="19">
        <f t="shared" si="500"/>
        <v>0</v>
      </c>
      <c r="M196" s="17" t="s">
        <v>327</v>
      </c>
      <c r="N196" s="18">
        <v>2</v>
      </c>
      <c r="O196" s="19">
        <f t="shared" si="501"/>
        <v>0.42587999999999993</v>
      </c>
      <c r="P196" s="16" t="s">
        <v>353</v>
      </c>
      <c r="Q196" s="18"/>
      <c r="R196" s="19">
        <f t="shared" si="502"/>
        <v>0</v>
      </c>
      <c r="S196" s="20">
        <f t="shared" si="503"/>
        <v>50</v>
      </c>
      <c r="T196" s="19">
        <f t="shared" si="504"/>
        <v>10.646999999999998</v>
      </c>
      <c r="U196" s="21">
        <f t="shared" si="505"/>
        <v>2</v>
      </c>
      <c r="V196" s="19">
        <f t="shared" si="506"/>
        <v>0.42588000000000115</v>
      </c>
    </row>
    <row r="197" spans="1:22">
      <c r="A197" s="26" t="s">
        <v>13</v>
      </c>
      <c r="B197" s="26" t="s">
        <v>126</v>
      </c>
      <c r="C197" s="30">
        <v>33.799999999999997</v>
      </c>
      <c r="D197" s="27">
        <v>7.25</v>
      </c>
      <c r="E197" s="28">
        <v>66</v>
      </c>
      <c r="F197" s="16">
        <f t="shared" si="498"/>
        <v>16.173299999999998</v>
      </c>
      <c r="G197" s="17" t="s">
        <v>89</v>
      </c>
      <c r="H197" s="18">
        <v>60</v>
      </c>
      <c r="I197" s="19">
        <f t="shared" si="499"/>
        <v>14.702999999999998</v>
      </c>
      <c r="J197" s="16"/>
      <c r="K197" s="18">
        <v>7</v>
      </c>
      <c r="L197" s="19">
        <f t="shared" si="500"/>
        <v>1.7153499999999999</v>
      </c>
      <c r="M197" s="16" t="s">
        <v>93</v>
      </c>
      <c r="N197" s="18">
        <v>3</v>
      </c>
      <c r="O197" s="19">
        <f t="shared" si="501"/>
        <v>0.73514999999999997</v>
      </c>
      <c r="P197" s="16"/>
      <c r="Q197" s="18">
        <v>2</v>
      </c>
      <c r="R197" s="19">
        <f t="shared" si="502"/>
        <v>0.49009999999999998</v>
      </c>
      <c r="S197" s="20">
        <f t="shared" si="503"/>
        <v>72</v>
      </c>
      <c r="T197" s="19">
        <f t="shared" si="504"/>
        <v>17.643599999999996</v>
      </c>
      <c r="U197" s="21">
        <f t="shared" si="505"/>
        <v>-6</v>
      </c>
      <c r="V197" s="19">
        <f t="shared" si="506"/>
        <v>-1.4702999999999982</v>
      </c>
    </row>
    <row r="198" spans="1:22">
      <c r="A198" s="26" t="s">
        <v>13</v>
      </c>
      <c r="B198" s="26" t="s">
        <v>126</v>
      </c>
      <c r="C198" s="30">
        <v>33.799999999999997</v>
      </c>
      <c r="D198" s="27">
        <v>7.8</v>
      </c>
      <c r="E198" s="28">
        <v>20</v>
      </c>
      <c r="F198" s="16">
        <f t="shared" si="498"/>
        <v>5.2727999999999993</v>
      </c>
      <c r="G198" s="17" t="s">
        <v>321</v>
      </c>
      <c r="H198" s="18">
        <v>14</v>
      </c>
      <c r="I198" s="19">
        <f t="shared" si="499"/>
        <v>3.69096</v>
      </c>
      <c r="J198" s="16"/>
      <c r="K198" s="18"/>
      <c r="L198" s="19">
        <f t="shared" si="500"/>
        <v>0</v>
      </c>
      <c r="M198" s="16" t="s">
        <v>348</v>
      </c>
      <c r="N198" s="18"/>
      <c r="O198" s="19">
        <f t="shared" si="501"/>
        <v>0</v>
      </c>
      <c r="P198" s="16"/>
      <c r="Q198" s="18">
        <v>1</v>
      </c>
      <c r="R198" s="19">
        <f t="shared" si="502"/>
        <v>0.26363999999999999</v>
      </c>
      <c r="S198" s="20">
        <f t="shared" si="503"/>
        <v>15</v>
      </c>
      <c r="T198" s="19">
        <f t="shared" si="504"/>
        <v>3.9546000000000001</v>
      </c>
      <c r="U198" s="21">
        <f t="shared" si="505"/>
        <v>5</v>
      </c>
      <c r="V198" s="19">
        <f t="shared" si="506"/>
        <v>1.3181999999999992</v>
      </c>
    </row>
    <row r="199" spans="1:22">
      <c r="A199" s="26" t="s">
        <v>13</v>
      </c>
      <c r="B199" s="26" t="s">
        <v>126</v>
      </c>
      <c r="C199" s="30">
        <v>33.799999999999997</v>
      </c>
      <c r="D199" s="27">
        <v>8.1999999999999993</v>
      </c>
      <c r="E199" s="28">
        <v>18</v>
      </c>
      <c r="F199" s="16">
        <f t="shared" si="498"/>
        <v>4.9888799999999991</v>
      </c>
      <c r="G199" s="17" t="s">
        <v>111</v>
      </c>
      <c r="H199" s="18">
        <v>18</v>
      </c>
      <c r="I199" s="19">
        <f t="shared" si="499"/>
        <v>4.9888799999999991</v>
      </c>
      <c r="J199" s="16"/>
      <c r="K199" s="18"/>
      <c r="L199" s="19">
        <f t="shared" si="500"/>
        <v>0</v>
      </c>
      <c r="M199" s="16"/>
      <c r="N199" s="18">
        <v>2</v>
      </c>
      <c r="O199" s="19">
        <f t="shared" si="501"/>
        <v>0.55431999999999992</v>
      </c>
      <c r="P199" s="16"/>
      <c r="Q199" s="18"/>
      <c r="R199" s="19">
        <f t="shared" si="502"/>
        <v>0</v>
      </c>
      <c r="S199" s="20">
        <f t="shared" si="503"/>
        <v>20</v>
      </c>
      <c r="T199" s="19">
        <f t="shared" si="504"/>
        <v>5.5431999999999988</v>
      </c>
      <c r="U199" s="21">
        <f t="shared" si="505"/>
        <v>-2</v>
      </c>
      <c r="V199" s="19">
        <f t="shared" si="506"/>
        <v>-0.5543199999999997</v>
      </c>
    </row>
    <row r="200" spans="1:22">
      <c r="A200" s="26" t="s">
        <v>13</v>
      </c>
      <c r="B200" s="26" t="s">
        <v>126</v>
      </c>
      <c r="C200" s="30">
        <v>33.799999999999997</v>
      </c>
      <c r="D200" s="27">
        <v>8.75</v>
      </c>
      <c r="E200" s="28">
        <v>47</v>
      </c>
      <c r="F200" s="16">
        <f t="shared" si="498"/>
        <v>13.90025</v>
      </c>
      <c r="G200" s="17" t="s">
        <v>321</v>
      </c>
      <c r="H200" s="18">
        <v>17</v>
      </c>
      <c r="I200" s="19">
        <f t="shared" si="499"/>
        <v>5.0277500000000002</v>
      </c>
      <c r="J200" s="16"/>
      <c r="K200" s="18">
        <v>5</v>
      </c>
      <c r="L200" s="19">
        <f t="shared" si="500"/>
        <v>1.47875</v>
      </c>
      <c r="M200" s="16"/>
      <c r="N200" s="18"/>
      <c r="O200" s="19">
        <f t="shared" si="501"/>
        <v>0</v>
      </c>
      <c r="P200" s="16"/>
      <c r="Q200" s="18">
        <v>1</v>
      </c>
      <c r="R200" s="19">
        <f t="shared" si="502"/>
        <v>0.29575000000000001</v>
      </c>
      <c r="S200" s="20">
        <f t="shared" si="503"/>
        <v>23</v>
      </c>
      <c r="T200" s="19">
        <f t="shared" si="504"/>
        <v>6.8022499999999999</v>
      </c>
      <c r="U200" s="21">
        <f t="shared" si="505"/>
        <v>24</v>
      </c>
      <c r="V200" s="19">
        <f t="shared" si="506"/>
        <v>7.0979999999999999</v>
      </c>
    </row>
    <row r="201" spans="1:22">
      <c r="A201" s="26" t="s">
        <v>13</v>
      </c>
      <c r="B201" s="26" t="s">
        <v>126</v>
      </c>
      <c r="C201" s="30">
        <v>33.799999999999997</v>
      </c>
      <c r="D201" s="27">
        <v>9</v>
      </c>
      <c r="E201" s="28">
        <v>10</v>
      </c>
      <c r="F201" s="16">
        <f t="shared" si="498"/>
        <v>3.0419999999999998</v>
      </c>
      <c r="G201" s="17"/>
      <c r="H201" s="18">
        <v>5</v>
      </c>
      <c r="I201" s="19">
        <f t="shared" si="499"/>
        <v>1.5209999999999999</v>
      </c>
      <c r="J201" s="16"/>
      <c r="K201" s="18">
        <v>2</v>
      </c>
      <c r="L201" s="19">
        <f t="shared" si="500"/>
        <v>0.60839999999999994</v>
      </c>
      <c r="M201" s="16"/>
      <c r="N201" s="18">
        <v>2</v>
      </c>
      <c r="O201" s="19">
        <f t="shared" si="501"/>
        <v>0.60839999999999994</v>
      </c>
      <c r="P201" s="16"/>
      <c r="Q201" s="18">
        <v>2</v>
      </c>
      <c r="R201" s="19">
        <f t="shared" si="502"/>
        <v>0.60839999999999994</v>
      </c>
      <c r="S201" s="20">
        <f t="shared" si="503"/>
        <v>11</v>
      </c>
      <c r="T201" s="19">
        <f t="shared" si="504"/>
        <v>3.3462000000000001</v>
      </c>
      <c r="U201" s="21">
        <f t="shared" si="505"/>
        <v>-1</v>
      </c>
      <c r="V201" s="19">
        <f t="shared" si="506"/>
        <v>-0.30420000000000025</v>
      </c>
    </row>
    <row r="202" spans="1:22">
      <c r="A202" s="26" t="s">
        <v>13</v>
      </c>
      <c r="B202" s="26" t="s">
        <v>126</v>
      </c>
      <c r="C202" s="30">
        <v>33.799999999999997</v>
      </c>
      <c r="D202" s="27">
        <v>10.3</v>
      </c>
      <c r="E202" s="28">
        <v>29</v>
      </c>
      <c r="F202" s="16">
        <f t="shared" si="498"/>
        <v>10.09606</v>
      </c>
      <c r="G202" s="16" t="s">
        <v>323</v>
      </c>
      <c r="H202" s="18">
        <v>26</v>
      </c>
      <c r="I202" s="19">
        <f t="shared" si="499"/>
        <v>9.051639999999999</v>
      </c>
      <c r="J202" s="16"/>
      <c r="K202" s="18"/>
      <c r="L202" s="19">
        <f t="shared" si="500"/>
        <v>0</v>
      </c>
      <c r="M202" s="16"/>
      <c r="N202" s="18"/>
      <c r="O202" s="19">
        <f t="shared" si="501"/>
        <v>0</v>
      </c>
      <c r="P202" s="16"/>
      <c r="Q202" s="18">
        <v>2</v>
      </c>
      <c r="R202" s="19">
        <f t="shared" si="502"/>
        <v>0.69628000000000001</v>
      </c>
      <c r="S202" s="20">
        <f t="shared" si="503"/>
        <v>28</v>
      </c>
      <c r="T202" s="19">
        <f t="shared" si="504"/>
        <v>9.7479199999999988</v>
      </c>
      <c r="U202" s="21">
        <f t="shared" si="505"/>
        <v>1</v>
      </c>
      <c r="V202" s="19">
        <f t="shared" si="506"/>
        <v>0.34814000000000078</v>
      </c>
    </row>
    <row r="203" spans="1:22">
      <c r="A203" s="26" t="s">
        <v>13</v>
      </c>
      <c r="B203" s="26" t="s">
        <v>126</v>
      </c>
      <c r="C203" s="30">
        <v>33.799999999999997</v>
      </c>
      <c r="D203" s="27">
        <v>11.1</v>
      </c>
      <c r="E203" s="28">
        <v>6</v>
      </c>
      <c r="F203" s="16">
        <f t="shared" si="498"/>
        <v>2.25108</v>
      </c>
      <c r="G203" s="16" t="s">
        <v>324</v>
      </c>
      <c r="H203" s="18">
        <v>6</v>
      </c>
      <c r="I203" s="19">
        <f t="shared" si="499"/>
        <v>2.25108</v>
      </c>
      <c r="J203" s="16"/>
      <c r="K203" s="18"/>
      <c r="L203" s="19">
        <f t="shared" si="500"/>
        <v>0</v>
      </c>
      <c r="M203" s="16"/>
      <c r="N203" s="18"/>
      <c r="O203" s="19">
        <f t="shared" si="501"/>
        <v>0</v>
      </c>
      <c r="P203" s="16"/>
      <c r="Q203" s="18">
        <v>1</v>
      </c>
      <c r="R203" s="19">
        <f t="shared" si="502"/>
        <v>0.37517999999999996</v>
      </c>
      <c r="S203" s="20">
        <f t="shared" si="503"/>
        <v>7</v>
      </c>
      <c r="T203" s="19">
        <f t="shared" si="504"/>
        <v>2.6262599999999998</v>
      </c>
      <c r="U203" s="21">
        <f t="shared" si="505"/>
        <v>-1</v>
      </c>
      <c r="V203" s="19">
        <f t="shared" si="506"/>
        <v>-0.37517999999999985</v>
      </c>
    </row>
    <row r="204" spans="1:22">
      <c r="A204" s="26" t="s">
        <v>13</v>
      </c>
      <c r="B204" s="26" t="s">
        <v>126</v>
      </c>
      <c r="C204" s="30">
        <v>33.799999999999997</v>
      </c>
      <c r="D204" s="27">
        <v>11.2</v>
      </c>
      <c r="E204" s="28">
        <v>24</v>
      </c>
      <c r="F204" s="16">
        <f t="shared" si="498"/>
        <v>9.0854399999999984</v>
      </c>
      <c r="G204" s="17"/>
      <c r="H204" s="18">
        <v>18</v>
      </c>
      <c r="I204" s="19">
        <f t="shared" si="499"/>
        <v>6.8140799999999988</v>
      </c>
      <c r="J204" s="16"/>
      <c r="K204" s="18"/>
      <c r="L204" s="19">
        <f t="shared" si="500"/>
        <v>0</v>
      </c>
      <c r="M204" s="16"/>
      <c r="N204" s="18"/>
      <c r="O204" s="19">
        <f t="shared" si="501"/>
        <v>0</v>
      </c>
      <c r="P204" s="17"/>
      <c r="Q204" s="18">
        <v>3</v>
      </c>
      <c r="R204" s="19">
        <f t="shared" si="502"/>
        <v>1.1356799999999998</v>
      </c>
      <c r="S204" s="20">
        <f t="shared" si="503"/>
        <v>21</v>
      </c>
      <c r="T204" s="19">
        <f t="shared" si="504"/>
        <v>7.9497599999999986</v>
      </c>
      <c r="U204" s="21">
        <f t="shared" si="505"/>
        <v>3</v>
      </c>
      <c r="V204" s="19">
        <f t="shared" si="506"/>
        <v>1.1356799999999998</v>
      </c>
    </row>
    <row r="205" spans="1:22">
      <c r="A205" s="26" t="s">
        <v>13</v>
      </c>
      <c r="B205" s="26" t="s">
        <v>126</v>
      </c>
      <c r="C205" s="30">
        <v>33.799999999999997</v>
      </c>
      <c r="D205" s="27">
        <v>11.8</v>
      </c>
      <c r="E205" s="28">
        <v>5</v>
      </c>
      <c r="F205" s="16">
        <f t="shared" ref="F205:F209" si="507">(C205*D205*E205/1000)</f>
        <v>1.9941999999999998</v>
      </c>
      <c r="G205" s="17"/>
      <c r="H205" s="18">
        <v>4</v>
      </c>
      <c r="I205" s="19">
        <f t="shared" ref="I205:I209" si="508">(C205*D205*H205/1000)</f>
        <v>1.5953599999999999</v>
      </c>
      <c r="J205" s="16"/>
      <c r="K205" s="18"/>
      <c r="L205" s="19">
        <f t="shared" ref="L205:L209" si="509">(C205*D205*K205/1000)</f>
        <v>0</v>
      </c>
      <c r="M205" s="16"/>
      <c r="N205" s="18"/>
      <c r="O205" s="19">
        <f t="shared" ref="O205:O209" si="510">(C205*D205*N205/1000)</f>
        <v>0</v>
      </c>
      <c r="P205" s="17"/>
      <c r="Q205" s="18"/>
      <c r="R205" s="19">
        <f t="shared" ref="R205:R209" si="511">(C205*D205*Q205/1000)</f>
        <v>0</v>
      </c>
      <c r="S205" s="20">
        <f t="shared" ref="S205:S209" si="512">+H205+K205+Q205+N205</f>
        <v>4</v>
      </c>
      <c r="T205" s="19">
        <f t="shared" ref="T205:T209" si="513">+I205+L205+R205+O205</f>
        <v>1.5953599999999999</v>
      </c>
      <c r="U205" s="21">
        <f t="shared" ref="U205:U209" si="514">E205-S205</f>
        <v>1</v>
      </c>
      <c r="V205" s="19">
        <f t="shared" ref="V205:V209" si="515">F205-T205</f>
        <v>0.39883999999999986</v>
      </c>
    </row>
    <row r="206" spans="1:22">
      <c r="A206" s="26" t="s">
        <v>13</v>
      </c>
      <c r="B206" s="26" t="s">
        <v>126</v>
      </c>
      <c r="C206" s="30">
        <v>33.799999999999997</v>
      </c>
      <c r="D206" s="27">
        <v>9.5</v>
      </c>
      <c r="E206" s="28"/>
      <c r="F206" s="16">
        <f t="shared" si="507"/>
        <v>0</v>
      </c>
      <c r="G206" s="17"/>
      <c r="H206" s="18">
        <v>1</v>
      </c>
      <c r="I206" s="19">
        <f t="shared" si="508"/>
        <v>0.32109999999999994</v>
      </c>
      <c r="J206" s="16"/>
      <c r="K206" s="18"/>
      <c r="L206" s="19">
        <f t="shared" si="509"/>
        <v>0</v>
      </c>
      <c r="M206" s="16"/>
      <c r="N206" s="18"/>
      <c r="O206" s="19">
        <f t="shared" si="510"/>
        <v>0</v>
      </c>
      <c r="P206" s="16"/>
      <c r="Q206" s="18"/>
      <c r="R206" s="19">
        <f t="shared" si="511"/>
        <v>0</v>
      </c>
      <c r="S206" s="20">
        <f t="shared" si="512"/>
        <v>1</v>
      </c>
      <c r="T206" s="19">
        <f t="shared" si="513"/>
        <v>0.32109999999999994</v>
      </c>
      <c r="U206" s="21">
        <f t="shared" si="514"/>
        <v>-1</v>
      </c>
      <c r="V206" s="19">
        <f t="shared" si="515"/>
        <v>-0.32109999999999994</v>
      </c>
    </row>
    <row r="207" spans="1:22">
      <c r="A207" s="26" t="s">
        <v>13</v>
      </c>
      <c r="B207" s="26" t="s">
        <v>126</v>
      </c>
      <c r="C207" s="30">
        <v>33.799999999999997</v>
      </c>
      <c r="D207" s="27">
        <v>8.9</v>
      </c>
      <c r="E207" s="28"/>
      <c r="F207" s="16">
        <f t="shared" si="507"/>
        <v>0</v>
      </c>
      <c r="G207" s="17"/>
      <c r="H207" s="18">
        <v>0</v>
      </c>
      <c r="I207" s="19">
        <f t="shared" si="508"/>
        <v>0</v>
      </c>
      <c r="J207" s="16"/>
      <c r="K207" s="18"/>
      <c r="L207" s="19">
        <f t="shared" si="509"/>
        <v>0</v>
      </c>
      <c r="M207" s="16"/>
      <c r="N207" s="18">
        <v>18</v>
      </c>
      <c r="O207" s="19">
        <f t="shared" si="510"/>
        <v>5.4147600000000002</v>
      </c>
      <c r="P207" s="16"/>
      <c r="Q207" s="18"/>
      <c r="R207" s="19">
        <f t="shared" si="511"/>
        <v>0</v>
      </c>
      <c r="S207" s="20">
        <f t="shared" si="512"/>
        <v>18</v>
      </c>
      <c r="T207" s="19">
        <f t="shared" si="513"/>
        <v>5.4147600000000002</v>
      </c>
      <c r="U207" s="21">
        <f t="shared" si="514"/>
        <v>-18</v>
      </c>
      <c r="V207" s="19">
        <f t="shared" si="515"/>
        <v>-5.4147600000000002</v>
      </c>
    </row>
    <row r="208" spans="1:22">
      <c r="A208" s="26" t="s">
        <v>13</v>
      </c>
      <c r="B208" s="26" t="s">
        <v>126</v>
      </c>
      <c r="C208" s="30">
        <v>33.799999999999997</v>
      </c>
      <c r="D208" s="27">
        <v>11</v>
      </c>
      <c r="E208" s="28"/>
      <c r="F208" s="16">
        <f t="shared" si="507"/>
        <v>0</v>
      </c>
      <c r="G208" s="17"/>
      <c r="H208" s="18">
        <v>0</v>
      </c>
      <c r="I208" s="19">
        <f t="shared" si="508"/>
        <v>0</v>
      </c>
      <c r="J208" s="16"/>
      <c r="K208" s="18"/>
      <c r="L208" s="19">
        <f t="shared" si="509"/>
        <v>0</v>
      </c>
      <c r="M208" s="16"/>
      <c r="N208" s="18">
        <v>6</v>
      </c>
      <c r="O208" s="19">
        <f t="shared" si="510"/>
        <v>2.2307999999999999</v>
      </c>
      <c r="P208" s="16"/>
      <c r="Q208" s="18">
        <v>1</v>
      </c>
      <c r="R208" s="19">
        <f t="shared" si="511"/>
        <v>0.37179999999999996</v>
      </c>
      <c r="S208" s="20">
        <f t="shared" si="512"/>
        <v>7</v>
      </c>
      <c r="T208" s="19">
        <f t="shared" si="513"/>
        <v>2.6025999999999998</v>
      </c>
      <c r="U208" s="21">
        <f t="shared" si="514"/>
        <v>-7</v>
      </c>
      <c r="V208" s="19">
        <f t="shared" si="515"/>
        <v>-2.6025999999999998</v>
      </c>
    </row>
    <row r="209" spans="1:22">
      <c r="A209" s="26" t="s">
        <v>13</v>
      </c>
      <c r="B209" s="26" t="s">
        <v>126</v>
      </c>
      <c r="C209" s="30">
        <v>33.799999999999997</v>
      </c>
      <c r="D209" s="27"/>
      <c r="E209" s="28"/>
      <c r="F209" s="16">
        <f t="shared" si="507"/>
        <v>0</v>
      </c>
      <c r="G209" s="17"/>
      <c r="H209" s="18">
        <v>0</v>
      </c>
      <c r="I209" s="19">
        <f t="shared" si="508"/>
        <v>0</v>
      </c>
      <c r="J209" s="16"/>
      <c r="K209" s="18"/>
      <c r="L209" s="19">
        <f t="shared" si="509"/>
        <v>0</v>
      </c>
      <c r="M209" s="16"/>
      <c r="N209" s="18"/>
      <c r="O209" s="19">
        <f t="shared" si="510"/>
        <v>0</v>
      </c>
      <c r="P209" s="16"/>
      <c r="Q209" s="18"/>
      <c r="R209" s="19">
        <f t="shared" si="511"/>
        <v>0</v>
      </c>
      <c r="S209" s="20">
        <f t="shared" si="512"/>
        <v>0</v>
      </c>
      <c r="T209" s="19">
        <f t="shared" si="513"/>
        <v>0</v>
      </c>
      <c r="U209" s="21">
        <f t="shared" si="514"/>
        <v>0</v>
      </c>
      <c r="V209" s="19">
        <f t="shared" si="515"/>
        <v>0</v>
      </c>
    </row>
    <row r="210" spans="1:22">
      <c r="A210" s="26" t="s">
        <v>13</v>
      </c>
      <c r="B210" s="26" t="s">
        <v>126</v>
      </c>
      <c r="C210" s="30">
        <v>33.799999999999997</v>
      </c>
      <c r="D210" s="27"/>
      <c r="E210" s="28"/>
      <c r="F210" s="16">
        <f t="shared" si="498"/>
        <v>0</v>
      </c>
      <c r="G210" s="17"/>
      <c r="H210" s="18">
        <v>0</v>
      </c>
      <c r="I210" s="19">
        <f t="shared" si="499"/>
        <v>0</v>
      </c>
      <c r="J210" s="16"/>
      <c r="K210" s="18"/>
      <c r="L210" s="19">
        <f t="shared" si="500"/>
        <v>0</v>
      </c>
      <c r="M210" s="16"/>
      <c r="N210" s="18"/>
      <c r="O210" s="19">
        <f t="shared" si="501"/>
        <v>0</v>
      </c>
      <c r="P210" s="16"/>
      <c r="Q210" s="18"/>
      <c r="R210" s="19">
        <f t="shared" si="502"/>
        <v>0</v>
      </c>
      <c r="S210" s="20">
        <f t="shared" si="503"/>
        <v>0</v>
      </c>
      <c r="T210" s="19">
        <f t="shared" si="504"/>
        <v>0</v>
      </c>
      <c r="U210" s="21">
        <f t="shared" si="505"/>
        <v>0</v>
      </c>
      <c r="V210" s="19">
        <f t="shared" si="506"/>
        <v>0</v>
      </c>
    </row>
    <row r="211" spans="1:22">
      <c r="A211" s="36"/>
      <c r="B211" s="36"/>
      <c r="C211" s="30"/>
      <c r="D211" s="38"/>
      <c r="E211" s="31">
        <f t="shared" ref="E211:F211" si="516">SUM(E195:E210)</f>
        <v>329</v>
      </c>
      <c r="F211" s="38">
        <f t="shared" si="516"/>
        <v>88.598250000000007</v>
      </c>
      <c r="H211" s="31">
        <f t="shared" ref="H211" si="517">SUM(H195:H210)</f>
        <v>265</v>
      </c>
      <c r="I211" s="38">
        <f t="shared" ref="I211" si="518">SUM(I195:I210)</f>
        <v>70.082609999999988</v>
      </c>
      <c r="K211" s="31">
        <f t="shared" ref="K211" si="519">SUM(K195:K210)</f>
        <v>18</v>
      </c>
      <c r="L211" s="38">
        <f t="shared" ref="L211" si="520">SUM(L195:L210)</f>
        <v>4.6272199999999994</v>
      </c>
      <c r="N211" s="31">
        <f t="shared" ref="N211" si="521">SUM(N195:N210)</f>
        <v>33</v>
      </c>
      <c r="O211" s="38">
        <f t="shared" ref="O211" si="522">SUM(O195:O210)</f>
        <v>9.9693100000000001</v>
      </c>
      <c r="Q211" s="31">
        <f t="shared" ref="Q211" si="523">SUM(Q195:Q210)</f>
        <v>13</v>
      </c>
      <c r="R211" s="38">
        <f t="shared" ref="R211" si="524">SUM(R195:R210)</f>
        <v>4.2368299999999994</v>
      </c>
      <c r="S211" s="31">
        <f t="shared" ref="S211" si="525">SUM(S195:S210)</f>
        <v>329</v>
      </c>
      <c r="T211" s="38">
        <f t="shared" ref="T211" si="526">SUM(T195:T210)</f>
        <v>88.915969999999987</v>
      </c>
      <c r="U211" s="31">
        <f t="shared" ref="U211" si="527">SUM(U195:U210)</f>
        <v>0</v>
      </c>
      <c r="V211" s="38">
        <f t="shared" ref="V211" si="528">SUM(V195:V210)</f>
        <v>-0.31771999999999601</v>
      </c>
    </row>
    <row r="212" spans="1:22">
      <c r="A212" s="26" t="s">
        <v>13</v>
      </c>
      <c r="B212" s="26" t="s">
        <v>127</v>
      </c>
      <c r="C212" s="30">
        <v>35.9</v>
      </c>
      <c r="D212" s="27">
        <v>6.2</v>
      </c>
      <c r="E212" s="28">
        <v>3</v>
      </c>
      <c r="F212" s="16">
        <f t="shared" ref="F212:F223" si="529">(C212*D212*E212/1000)</f>
        <v>0.66774</v>
      </c>
      <c r="G212" s="17" t="s">
        <v>301</v>
      </c>
      <c r="H212" s="18"/>
      <c r="I212" s="19">
        <f t="shared" ref="I212:I223" si="530">(C212*D212*H212/1000)</f>
        <v>0</v>
      </c>
      <c r="J212" s="16" t="s">
        <v>86</v>
      </c>
      <c r="K212" s="18"/>
      <c r="L212" s="19">
        <f t="shared" ref="L212:L223" si="531">(C212*D212*K212/1000)</f>
        <v>0</v>
      </c>
      <c r="M212" s="16" t="s">
        <v>86</v>
      </c>
      <c r="N212" s="18"/>
      <c r="O212" s="19">
        <f t="shared" ref="O212:O223" si="532">(C212*D212*N212/1000)</f>
        <v>0</v>
      </c>
      <c r="P212" s="16"/>
      <c r="Q212" s="18"/>
      <c r="R212" s="19">
        <f t="shared" ref="R212:R223" si="533">(C212*D212*Q212/1000)</f>
        <v>0</v>
      </c>
      <c r="S212" s="20">
        <f t="shared" ref="S212:S223" si="534">+H212+K212+Q212+N212</f>
        <v>0</v>
      </c>
      <c r="T212" s="19">
        <f t="shared" ref="T212:T223" si="535">+I212+L212+R212+O212</f>
        <v>0</v>
      </c>
      <c r="U212" s="21">
        <f t="shared" ref="U212:U223" si="536">E212-S212</f>
        <v>3</v>
      </c>
      <c r="V212" s="19">
        <f t="shared" ref="V212:V223" si="537">F212-T212</f>
        <v>0.66774</v>
      </c>
    </row>
    <row r="213" spans="1:22">
      <c r="A213" s="26" t="s">
        <v>13</v>
      </c>
      <c r="B213" s="26" t="s">
        <v>127</v>
      </c>
      <c r="C213" s="30">
        <v>35.9</v>
      </c>
      <c r="D213" s="27">
        <v>6.8</v>
      </c>
      <c r="E213" s="28">
        <v>15</v>
      </c>
      <c r="F213" s="16">
        <f t="shared" si="529"/>
        <v>3.6617999999999999</v>
      </c>
      <c r="G213" s="17" t="s">
        <v>324</v>
      </c>
      <c r="H213" s="18"/>
      <c r="I213" s="19">
        <f t="shared" si="530"/>
        <v>0</v>
      </c>
      <c r="J213" s="16" t="s">
        <v>328</v>
      </c>
      <c r="K213" s="18"/>
      <c r="L213" s="19">
        <f t="shared" si="531"/>
        <v>0</v>
      </c>
      <c r="M213" s="16" t="s">
        <v>388</v>
      </c>
      <c r="N213" s="18"/>
      <c r="O213" s="19">
        <f t="shared" si="532"/>
        <v>0</v>
      </c>
      <c r="P213" s="16"/>
      <c r="Q213" s="18"/>
      <c r="R213" s="19">
        <f t="shared" si="533"/>
        <v>0</v>
      </c>
      <c r="S213" s="20">
        <f t="shared" si="534"/>
        <v>0</v>
      </c>
      <c r="T213" s="19">
        <f t="shared" si="535"/>
        <v>0</v>
      </c>
      <c r="U213" s="21">
        <f t="shared" si="536"/>
        <v>15</v>
      </c>
      <c r="V213" s="19">
        <f t="shared" si="537"/>
        <v>3.6617999999999999</v>
      </c>
    </row>
    <row r="214" spans="1:22">
      <c r="A214" s="26" t="s">
        <v>13</v>
      </c>
      <c r="B214" s="26" t="s">
        <v>127</v>
      </c>
      <c r="C214" s="30">
        <v>35.9</v>
      </c>
      <c r="D214" s="27">
        <v>6.9</v>
      </c>
      <c r="E214" s="28">
        <v>20</v>
      </c>
      <c r="F214" s="16">
        <f t="shared" si="529"/>
        <v>4.9542000000000002</v>
      </c>
      <c r="G214" s="17"/>
      <c r="H214" s="18">
        <v>24</v>
      </c>
      <c r="I214" s="19">
        <f t="shared" si="530"/>
        <v>5.9450399999999997</v>
      </c>
      <c r="J214" s="16"/>
      <c r="K214" s="18">
        <v>6</v>
      </c>
      <c r="L214" s="19">
        <f t="shared" si="531"/>
        <v>1.4862599999999999</v>
      </c>
      <c r="M214" s="16"/>
      <c r="N214" s="18"/>
      <c r="O214" s="19">
        <f t="shared" si="532"/>
        <v>0</v>
      </c>
      <c r="P214" s="16"/>
      <c r="Q214" s="18"/>
      <c r="R214" s="19">
        <f t="shared" si="533"/>
        <v>0</v>
      </c>
      <c r="S214" s="20">
        <f t="shared" si="534"/>
        <v>30</v>
      </c>
      <c r="T214" s="19">
        <f t="shared" si="535"/>
        <v>7.4312999999999994</v>
      </c>
      <c r="U214" s="21">
        <f t="shared" si="536"/>
        <v>-10</v>
      </c>
      <c r="V214" s="19">
        <f t="shared" si="537"/>
        <v>-2.4770999999999992</v>
      </c>
    </row>
    <row r="215" spans="1:22">
      <c r="A215" s="26" t="s">
        <v>13</v>
      </c>
      <c r="B215" s="26" t="s">
        <v>127</v>
      </c>
      <c r="C215" s="30">
        <v>35.9</v>
      </c>
      <c r="D215" s="27">
        <v>8.5</v>
      </c>
      <c r="E215" s="28">
        <v>1</v>
      </c>
      <c r="F215" s="16">
        <f t="shared" si="529"/>
        <v>0.30514999999999998</v>
      </c>
      <c r="G215" s="17"/>
      <c r="H215" s="18"/>
      <c r="I215" s="19">
        <f t="shared" si="530"/>
        <v>0</v>
      </c>
      <c r="J215" s="16"/>
      <c r="K215" s="18"/>
      <c r="L215" s="19">
        <f t="shared" si="531"/>
        <v>0</v>
      </c>
      <c r="M215" s="16"/>
      <c r="N215" s="18"/>
      <c r="O215" s="19">
        <f t="shared" si="532"/>
        <v>0</v>
      </c>
      <c r="P215" s="16"/>
      <c r="Q215" s="18"/>
      <c r="R215" s="19">
        <f t="shared" si="533"/>
        <v>0</v>
      </c>
      <c r="S215" s="20">
        <f t="shared" si="534"/>
        <v>0</v>
      </c>
      <c r="T215" s="19">
        <f t="shared" si="535"/>
        <v>0</v>
      </c>
      <c r="U215" s="21">
        <f t="shared" si="536"/>
        <v>1</v>
      </c>
      <c r="V215" s="19">
        <f t="shared" si="537"/>
        <v>0.30514999999999998</v>
      </c>
    </row>
    <row r="216" spans="1:22">
      <c r="A216" s="26" t="s">
        <v>13</v>
      </c>
      <c r="B216" s="26" t="s">
        <v>127</v>
      </c>
      <c r="C216" s="30">
        <v>35.9</v>
      </c>
      <c r="D216" s="27">
        <v>11</v>
      </c>
      <c r="E216" s="28">
        <v>7</v>
      </c>
      <c r="F216" s="16">
        <f t="shared" si="529"/>
        <v>2.7642999999999995</v>
      </c>
      <c r="G216" s="17"/>
      <c r="H216" s="18"/>
      <c r="I216" s="19">
        <f t="shared" si="530"/>
        <v>0</v>
      </c>
      <c r="J216" s="16"/>
      <c r="K216" s="18"/>
      <c r="L216" s="19">
        <f t="shared" si="531"/>
        <v>0</v>
      </c>
      <c r="M216" s="16"/>
      <c r="N216" s="18"/>
      <c r="O216" s="19">
        <f t="shared" si="532"/>
        <v>0</v>
      </c>
      <c r="P216" s="16"/>
      <c r="Q216" s="18"/>
      <c r="R216" s="19">
        <f t="shared" si="533"/>
        <v>0</v>
      </c>
      <c r="S216" s="20">
        <f t="shared" si="534"/>
        <v>0</v>
      </c>
      <c r="T216" s="19">
        <f t="shared" si="535"/>
        <v>0</v>
      </c>
      <c r="U216" s="21">
        <f t="shared" si="536"/>
        <v>7</v>
      </c>
      <c r="V216" s="19">
        <f t="shared" si="537"/>
        <v>2.7642999999999995</v>
      </c>
    </row>
    <row r="217" spans="1:22">
      <c r="A217" s="26" t="s">
        <v>13</v>
      </c>
      <c r="B217" s="26" t="s">
        <v>127</v>
      </c>
      <c r="C217" s="30">
        <v>35.9</v>
      </c>
      <c r="D217" s="27">
        <v>12</v>
      </c>
      <c r="E217" s="28">
        <v>7</v>
      </c>
      <c r="F217" s="16">
        <f t="shared" ref="F217:F222" si="538">(C217*D217*E217/1000)</f>
        <v>3.0155999999999996</v>
      </c>
      <c r="G217" s="17"/>
      <c r="H217" s="18">
        <v>7</v>
      </c>
      <c r="I217" s="19">
        <f t="shared" ref="I217:I222" si="539">(C217*D217*H217/1000)</f>
        <v>3.0155999999999996</v>
      </c>
      <c r="J217" s="16"/>
      <c r="K217" s="18"/>
      <c r="L217" s="19">
        <f t="shared" ref="L217:L222" si="540">(C217*D217*K217/1000)</f>
        <v>0</v>
      </c>
      <c r="M217" s="16"/>
      <c r="N217" s="18"/>
      <c r="O217" s="19">
        <f t="shared" ref="O217:O222" si="541">(C217*D217*N217/1000)</f>
        <v>0</v>
      </c>
      <c r="P217" s="16"/>
      <c r="Q217" s="18"/>
      <c r="R217" s="19">
        <f t="shared" ref="R217:R222" si="542">(C217*D217*Q217/1000)</f>
        <v>0</v>
      </c>
      <c r="S217" s="20">
        <f t="shared" ref="S217:S222" si="543">+H217+K217+Q217+N217</f>
        <v>7</v>
      </c>
      <c r="T217" s="19">
        <f t="shared" ref="T217:T222" si="544">+I217+L217+R217+O217</f>
        <v>3.0155999999999996</v>
      </c>
      <c r="U217" s="21">
        <f t="shared" ref="U217:U222" si="545">E217-S217</f>
        <v>0</v>
      </c>
      <c r="V217" s="19">
        <f t="shared" ref="V217:V222" si="546">F217-T217</f>
        <v>0</v>
      </c>
    </row>
    <row r="218" spans="1:22">
      <c r="A218" s="26" t="s">
        <v>13</v>
      </c>
      <c r="B218" s="26" t="s">
        <v>127</v>
      </c>
      <c r="C218" s="30">
        <v>35.9</v>
      </c>
      <c r="D218" s="27">
        <v>11.1</v>
      </c>
      <c r="E218" s="28"/>
      <c r="F218" s="16">
        <f t="shared" si="538"/>
        <v>0</v>
      </c>
      <c r="G218" s="17"/>
      <c r="H218" s="18">
        <v>6</v>
      </c>
      <c r="I218" s="19">
        <f t="shared" si="539"/>
        <v>2.3909399999999996</v>
      </c>
      <c r="J218" s="16"/>
      <c r="K218" s="18"/>
      <c r="L218" s="19">
        <f t="shared" si="540"/>
        <v>0</v>
      </c>
      <c r="M218" s="16"/>
      <c r="N218" s="18"/>
      <c r="O218" s="19">
        <f t="shared" si="541"/>
        <v>0</v>
      </c>
      <c r="P218" s="16"/>
      <c r="Q218" s="18"/>
      <c r="R218" s="19">
        <f t="shared" si="542"/>
        <v>0</v>
      </c>
      <c r="S218" s="20">
        <f t="shared" si="543"/>
        <v>6</v>
      </c>
      <c r="T218" s="19">
        <f t="shared" si="544"/>
        <v>2.3909399999999996</v>
      </c>
      <c r="U218" s="21">
        <f t="shared" si="545"/>
        <v>-6</v>
      </c>
      <c r="V218" s="19">
        <f t="shared" si="546"/>
        <v>-2.3909399999999996</v>
      </c>
    </row>
    <row r="219" spans="1:22">
      <c r="A219" s="26" t="s">
        <v>13</v>
      </c>
      <c r="B219" s="26" t="s">
        <v>127</v>
      </c>
      <c r="C219" s="30">
        <v>35.9</v>
      </c>
      <c r="D219" s="27">
        <v>9.6</v>
      </c>
      <c r="E219" s="28"/>
      <c r="F219" s="16">
        <f t="shared" si="538"/>
        <v>0</v>
      </c>
      <c r="G219" s="17"/>
      <c r="H219" s="18"/>
      <c r="I219" s="19">
        <f t="shared" si="539"/>
        <v>0</v>
      </c>
      <c r="J219" s="16"/>
      <c r="K219" s="18"/>
      <c r="L219" s="19">
        <f t="shared" si="540"/>
        <v>0</v>
      </c>
      <c r="M219" s="16"/>
      <c r="N219" s="18">
        <v>1</v>
      </c>
      <c r="O219" s="19">
        <f t="shared" si="541"/>
        <v>0.34464</v>
      </c>
      <c r="P219" s="16"/>
      <c r="Q219" s="18"/>
      <c r="R219" s="19">
        <f t="shared" si="542"/>
        <v>0</v>
      </c>
      <c r="S219" s="20">
        <f t="shared" si="543"/>
        <v>1</v>
      </c>
      <c r="T219" s="19">
        <f t="shared" si="544"/>
        <v>0.34464</v>
      </c>
      <c r="U219" s="21">
        <f t="shared" si="545"/>
        <v>-1</v>
      </c>
      <c r="V219" s="19">
        <f t="shared" si="546"/>
        <v>-0.34464</v>
      </c>
    </row>
    <row r="220" spans="1:22">
      <c r="A220" s="26" t="s">
        <v>13</v>
      </c>
      <c r="B220" s="26" t="s">
        <v>127</v>
      </c>
      <c r="C220" s="30">
        <v>35.9</v>
      </c>
      <c r="D220" s="27">
        <v>10.199999999999999</v>
      </c>
      <c r="E220" s="28"/>
      <c r="F220" s="16">
        <f t="shared" si="538"/>
        <v>0</v>
      </c>
      <c r="G220" s="17"/>
      <c r="H220" s="18"/>
      <c r="I220" s="19">
        <f t="shared" si="539"/>
        <v>0</v>
      </c>
      <c r="J220" s="16"/>
      <c r="K220" s="18"/>
      <c r="L220" s="19">
        <f t="shared" si="540"/>
        <v>0</v>
      </c>
      <c r="M220" s="16"/>
      <c r="N220" s="18">
        <v>1</v>
      </c>
      <c r="O220" s="19">
        <f t="shared" si="541"/>
        <v>0.36617999999999995</v>
      </c>
      <c r="P220" s="16"/>
      <c r="Q220" s="18"/>
      <c r="R220" s="19">
        <f t="shared" si="542"/>
        <v>0</v>
      </c>
      <c r="S220" s="20">
        <f t="shared" si="543"/>
        <v>1</v>
      </c>
      <c r="T220" s="19">
        <f t="shared" si="544"/>
        <v>0.36617999999999995</v>
      </c>
      <c r="U220" s="21">
        <f t="shared" si="545"/>
        <v>-1</v>
      </c>
      <c r="V220" s="19">
        <f t="shared" si="546"/>
        <v>-0.36617999999999995</v>
      </c>
    </row>
    <row r="221" spans="1:22">
      <c r="A221" s="26" t="s">
        <v>13</v>
      </c>
      <c r="B221" s="26" t="s">
        <v>127</v>
      </c>
      <c r="C221" s="30">
        <v>35.9</v>
      </c>
      <c r="D221" s="27">
        <v>10.5</v>
      </c>
      <c r="E221" s="28"/>
      <c r="F221" s="16">
        <f t="shared" si="538"/>
        <v>0</v>
      </c>
      <c r="G221" s="17"/>
      <c r="H221" s="18"/>
      <c r="I221" s="19">
        <f t="shared" si="539"/>
        <v>0</v>
      </c>
      <c r="J221" s="16"/>
      <c r="K221" s="18"/>
      <c r="L221" s="19">
        <f t="shared" si="540"/>
        <v>0</v>
      </c>
      <c r="M221" s="16"/>
      <c r="N221" s="18">
        <v>1</v>
      </c>
      <c r="O221" s="19">
        <f t="shared" si="541"/>
        <v>0.37695000000000001</v>
      </c>
      <c r="P221" s="16"/>
      <c r="Q221" s="18"/>
      <c r="R221" s="19">
        <f t="shared" si="542"/>
        <v>0</v>
      </c>
      <c r="S221" s="20">
        <f t="shared" si="543"/>
        <v>1</v>
      </c>
      <c r="T221" s="19">
        <f t="shared" si="544"/>
        <v>0.37695000000000001</v>
      </c>
      <c r="U221" s="21">
        <f t="shared" si="545"/>
        <v>-1</v>
      </c>
      <c r="V221" s="19">
        <f t="shared" si="546"/>
        <v>-0.37695000000000001</v>
      </c>
    </row>
    <row r="222" spans="1:22">
      <c r="A222" s="26" t="s">
        <v>13</v>
      </c>
      <c r="B222" s="26" t="s">
        <v>127</v>
      </c>
      <c r="C222" s="30">
        <v>35.9</v>
      </c>
      <c r="D222" s="27">
        <v>11.2</v>
      </c>
      <c r="E222" s="28"/>
      <c r="F222" s="16">
        <f t="shared" si="538"/>
        <v>0</v>
      </c>
      <c r="G222" s="17"/>
      <c r="H222" s="18"/>
      <c r="I222" s="19">
        <f t="shared" si="539"/>
        <v>0</v>
      </c>
      <c r="J222" s="16"/>
      <c r="K222" s="18"/>
      <c r="L222" s="19">
        <f t="shared" si="540"/>
        <v>0</v>
      </c>
      <c r="M222" s="16"/>
      <c r="N222" s="18">
        <v>4</v>
      </c>
      <c r="O222" s="19">
        <f t="shared" si="541"/>
        <v>1.60832</v>
      </c>
      <c r="P222" s="16"/>
      <c r="Q222" s="18"/>
      <c r="R222" s="19">
        <f t="shared" si="542"/>
        <v>0</v>
      </c>
      <c r="S222" s="20">
        <f t="shared" si="543"/>
        <v>4</v>
      </c>
      <c r="T222" s="19">
        <f t="shared" si="544"/>
        <v>1.60832</v>
      </c>
      <c r="U222" s="21">
        <f t="shared" si="545"/>
        <v>-4</v>
      </c>
      <c r="V222" s="19">
        <f t="shared" si="546"/>
        <v>-1.60832</v>
      </c>
    </row>
    <row r="223" spans="1:22">
      <c r="A223" s="26" t="s">
        <v>13</v>
      </c>
      <c r="B223" s="26" t="s">
        <v>127</v>
      </c>
      <c r="C223" s="30">
        <v>35.9</v>
      </c>
      <c r="D223" s="27"/>
      <c r="E223" s="28"/>
      <c r="F223" s="16">
        <f t="shared" si="529"/>
        <v>0</v>
      </c>
      <c r="G223" s="17"/>
      <c r="H223" s="18"/>
      <c r="I223" s="19">
        <f t="shared" si="530"/>
        <v>0</v>
      </c>
      <c r="J223" s="16"/>
      <c r="K223" s="18"/>
      <c r="L223" s="19">
        <f t="shared" si="531"/>
        <v>0</v>
      </c>
      <c r="M223" s="16"/>
      <c r="N223" s="18"/>
      <c r="O223" s="19">
        <f t="shared" si="532"/>
        <v>0</v>
      </c>
      <c r="P223" s="16"/>
      <c r="Q223" s="18"/>
      <c r="R223" s="19">
        <f t="shared" si="533"/>
        <v>0</v>
      </c>
      <c r="S223" s="20">
        <f t="shared" si="534"/>
        <v>0</v>
      </c>
      <c r="T223" s="19">
        <f t="shared" si="535"/>
        <v>0</v>
      </c>
      <c r="U223" s="21">
        <f t="shared" si="536"/>
        <v>0</v>
      </c>
      <c r="V223" s="19">
        <f t="shared" si="537"/>
        <v>0</v>
      </c>
    </row>
    <row r="224" spans="1:22">
      <c r="A224" s="36"/>
      <c r="B224" s="36"/>
      <c r="C224" s="30"/>
      <c r="D224" s="38"/>
      <c r="E224" s="31">
        <f t="shared" ref="E224:F224" si="547">SUM(E212:E223)</f>
        <v>53</v>
      </c>
      <c r="F224" s="38">
        <f t="shared" si="547"/>
        <v>15.368789999999997</v>
      </c>
      <c r="H224" s="31">
        <f t="shared" ref="H224" si="548">SUM(H212:H223)</f>
        <v>37</v>
      </c>
      <c r="I224" s="38">
        <f t="shared" ref="I224" si="549">SUM(I212:I223)</f>
        <v>11.351579999999998</v>
      </c>
      <c r="K224" s="31">
        <f t="shared" ref="K224" si="550">SUM(K212:K223)</f>
        <v>6</v>
      </c>
      <c r="L224" s="38">
        <f t="shared" ref="L224" si="551">SUM(L212:L223)</f>
        <v>1.4862599999999999</v>
      </c>
      <c r="N224" s="31">
        <f t="shared" ref="N224" si="552">SUM(N212:N223)</f>
        <v>7</v>
      </c>
      <c r="O224" s="38">
        <f t="shared" ref="O224" si="553">SUM(O212:O223)</f>
        <v>2.6960899999999999</v>
      </c>
      <c r="Q224" s="31">
        <f t="shared" ref="Q224" si="554">SUM(Q212:Q223)</f>
        <v>0</v>
      </c>
      <c r="R224" s="38">
        <f t="shared" ref="R224" si="555">SUM(R212:R223)</f>
        <v>0</v>
      </c>
      <c r="S224" s="31">
        <f t="shared" ref="S224" si="556">SUM(S212:S223)</f>
        <v>50</v>
      </c>
      <c r="T224" s="38">
        <f t="shared" ref="T224" si="557">SUM(T212:T223)</f>
        <v>15.533930000000002</v>
      </c>
      <c r="U224" s="31">
        <f t="shared" ref="U224" si="558">SUM(U212:U223)</f>
        <v>3</v>
      </c>
      <c r="V224" s="38">
        <f t="shared" ref="V224" si="559">SUM(V212:V223)</f>
        <v>-0.16514000000000006</v>
      </c>
    </row>
    <row r="225" spans="1:22">
      <c r="A225" s="26" t="s">
        <v>13</v>
      </c>
      <c r="B225" s="26" t="s">
        <v>128</v>
      </c>
      <c r="C225" s="30">
        <v>40.1</v>
      </c>
      <c r="D225" s="27">
        <v>8.4</v>
      </c>
      <c r="E225" s="28">
        <v>6</v>
      </c>
      <c r="F225" s="16">
        <f t="shared" ref="F225:F227" si="560">(C225*D225*E225/1000)</f>
        <v>2.0210400000000002</v>
      </c>
      <c r="G225" s="16" t="s">
        <v>89</v>
      </c>
      <c r="H225" s="18"/>
      <c r="I225" s="19">
        <f t="shared" ref="I225:I227" si="561">(C225*D225*H225/1000)</f>
        <v>0</v>
      </c>
      <c r="J225" s="16"/>
      <c r="K225" s="18">
        <v>4</v>
      </c>
      <c r="L225" s="19">
        <f t="shared" ref="L225:L227" si="562">(C225*D225*K225/1000)</f>
        <v>1.3473600000000001</v>
      </c>
      <c r="M225" s="16"/>
      <c r="N225" s="18"/>
      <c r="O225" s="19">
        <f t="shared" ref="O225:O227" si="563">(C225*D225*N225/1000)</f>
        <v>0</v>
      </c>
      <c r="P225" s="16"/>
      <c r="Q225" s="18"/>
      <c r="R225" s="19">
        <f t="shared" ref="R225:R227" si="564">(C225*D225*Q225/1000)</f>
        <v>0</v>
      </c>
      <c r="S225" s="20">
        <f t="shared" ref="S225:S227" si="565">+H225+K225+Q225+N225</f>
        <v>4</v>
      </c>
      <c r="T225" s="19">
        <f t="shared" ref="T225:T227" si="566">+I225+L225+R225+O225</f>
        <v>1.3473600000000001</v>
      </c>
      <c r="U225" s="21">
        <f t="shared" ref="U225:U227" si="567">E225-S225</f>
        <v>2</v>
      </c>
      <c r="V225" s="19">
        <f t="shared" ref="V225:V227" si="568">F225-T225</f>
        <v>0.67368000000000006</v>
      </c>
    </row>
    <row r="226" spans="1:22">
      <c r="A226" s="26" t="s">
        <v>13</v>
      </c>
      <c r="B226" s="26" t="s">
        <v>128</v>
      </c>
      <c r="C226" s="30">
        <v>40.1</v>
      </c>
      <c r="D226" s="27">
        <v>9.8000000000000007</v>
      </c>
      <c r="E226" s="28">
        <v>4</v>
      </c>
      <c r="F226" s="16">
        <f t="shared" ref="F226" si="569">(C226*D226*E226/1000)</f>
        <v>1.57192</v>
      </c>
      <c r="G226" s="16" t="s">
        <v>320</v>
      </c>
      <c r="H226" s="18">
        <v>4</v>
      </c>
      <c r="I226" s="19">
        <f t="shared" ref="I226" si="570">(C226*D226*H226/1000)</f>
        <v>1.57192</v>
      </c>
      <c r="J226" s="16"/>
      <c r="K226" s="18"/>
      <c r="L226" s="19">
        <f t="shared" ref="L226" si="571">(C226*D226*K226/1000)</f>
        <v>0</v>
      </c>
      <c r="M226" s="16"/>
      <c r="N226" s="18"/>
      <c r="O226" s="19">
        <f t="shared" ref="O226" si="572">(C226*D226*N226/1000)</f>
        <v>0</v>
      </c>
      <c r="P226" s="16"/>
      <c r="Q226" s="18"/>
      <c r="R226" s="19">
        <f t="shared" ref="R226" si="573">(C226*D226*Q226/1000)</f>
        <v>0</v>
      </c>
      <c r="S226" s="20">
        <f t="shared" ref="S226" si="574">+H226+K226+Q226+N226</f>
        <v>4</v>
      </c>
      <c r="T226" s="19">
        <f t="shared" ref="T226" si="575">+I226+L226+R226+O226</f>
        <v>1.57192</v>
      </c>
      <c r="U226" s="21">
        <f t="shared" ref="U226" si="576">E226-S226</f>
        <v>0</v>
      </c>
      <c r="V226" s="19">
        <f t="shared" ref="V226" si="577">F226-T226</f>
        <v>0</v>
      </c>
    </row>
    <row r="227" spans="1:22">
      <c r="A227" s="26" t="s">
        <v>13</v>
      </c>
      <c r="B227" s="26" t="s">
        <v>128</v>
      </c>
      <c r="C227" s="30">
        <v>40.1</v>
      </c>
      <c r="D227" s="27">
        <v>8.5</v>
      </c>
      <c r="E227" s="28"/>
      <c r="F227" s="16">
        <f t="shared" si="560"/>
        <v>0</v>
      </c>
      <c r="G227" s="16"/>
      <c r="H227" s="18">
        <v>6</v>
      </c>
      <c r="I227" s="19">
        <f t="shared" si="561"/>
        <v>2.0451000000000001</v>
      </c>
      <c r="J227" s="16"/>
      <c r="K227" s="18"/>
      <c r="L227" s="19">
        <f t="shared" si="562"/>
        <v>0</v>
      </c>
      <c r="M227" s="16"/>
      <c r="N227" s="18"/>
      <c r="O227" s="19">
        <f t="shared" si="563"/>
        <v>0</v>
      </c>
      <c r="P227" s="16"/>
      <c r="Q227" s="18"/>
      <c r="R227" s="19">
        <f t="shared" si="564"/>
        <v>0</v>
      </c>
      <c r="S227" s="20">
        <f t="shared" si="565"/>
        <v>6</v>
      </c>
      <c r="T227" s="19">
        <f t="shared" si="566"/>
        <v>2.0451000000000001</v>
      </c>
      <c r="U227" s="21">
        <f t="shared" si="567"/>
        <v>-6</v>
      </c>
      <c r="V227" s="19">
        <f t="shared" si="568"/>
        <v>-2.0451000000000001</v>
      </c>
    </row>
    <row r="228" spans="1:22">
      <c r="A228" s="36"/>
      <c r="B228" s="36"/>
      <c r="C228" s="30"/>
      <c r="D228" s="38"/>
      <c r="E228" s="31">
        <f t="shared" ref="E228:F228" si="578">SUM(E225:E227)</f>
        <v>10</v>
      </c>
      <c r="F228" s="38">
        <f t="shared" si="578"/>
        <v>3.5929600000000002</v>
      </c>
      <c r="H228" s="31">
        <f t="shared" ref="H228" si="579">SUM(H225:H227)</f>
        <v>10</v>
      </c>
      <c r="I228" s="38">
        <f t="shared" ref="I228" si="580">SUM(I225:I227)</f>
        <v>3.6170200000000001</v>
      </c>
      <c r="K228" s="31">
        <f t="shared" ref="K228" si="581">SUM(K225:K227)</f>
        <v>4</v>
      </c>
      <c r="L228" s="38">
        <f t="shared" ref="L228" si="582">SUM(L225:L227)</f>
        <v>1.3473600000000001</v>
      </c>
      <c r="N228" s="31">
        <f t="shared" ref="N228" si="583">SUM(N225:N227)</f>
        <v>0</v>
      </c>
      <c r="O228" s="38">
        <f t="shared" ref="O228" si="584">SUM(O225:O227)</f>
        <v>0</v>
      </c>
      <c r="Q228" s="31">
        <f t="shared" ref="Q228" si="585">SUM(Q225:Q227)</f>
        <v>0</v>
      </c>
      <c r="R228" s="38">
        <f t="shared" ref="R228" si="586">SUM(R225:R227)</f>
        <v>0</v>
      </c>
      <c r="S228" s="31">
        <f t="shared" ref="S228" si="587">SUM(S225:S227)</f>
        <v>14</v>
      </c>
      <c r="T228" s="38">
        <f t="shared" ref="T228" si="588">SUM(T225:T227)</f>
        <v>4.9643800000000002</v>
      </c>
      <c r="U228" s="31">
        <f t="shared" ref="U228" si="589">SUM(U225:U227)</f>
        <v>-4</v>
      </c>
      <c r="V228" s="38">
        <f t="shared" ref="V228" si="590">SUM(V225:V227)</f>
        <v>-1.3714200000000001</v>
      </c>
    </row>
    <row r="229" spans="1:22">
      <c r="A229" s="26" t="s">
        <v>13</v>
      </c>
      <c r="B229" s="26" t="s">
        <v>161</v>
      </c>
      <c r="C229" s="30">
        <v>44.2</v>
      </c>
      <c r="D229" s="27">
        <v>8.5</v>
      </c>
      <c r="E229" s="28">
        <v>16</v>
      </c>
      <c r="F229" s="16">
        <f>(C229*D229*E229/1000)</f>
        <v>6.0112000000000005</v>
      </c>
      <c r="G229" s="16" t="s">
        <v>111</v>
      </c>
      <c r="H229" s="18">
        <v>10</v>
      </c>
      <c r="I229" s="19">
        <f>(C229*D229*H229/1000)</f>
        <v>3.7570000000000006</v>
      </c>
      <c r="J229" s="16" t="s">
        <v>93</v>
      </c>
      <c r="K229" s="18">
        <v>4</v>
      </c>
      <c r="L229" s="19">
        <f>(C229*D229*K229/1000)</f>
        <v>1.5028000000000001</v>
      </c>
      <c r="M229" s="16" t="s">
        <v>295</v>
      </c>
      <c r="N229" s="18">
        <v>2</v>
      </c>
      <c r="O229" s="19">
        <f>(C229*D229*N229/1000)</f>
        <v>0.75140000000000007</v>
      </c>
      <c r="P229" s="16"/>
      <c r="Q229" s="18"/>
      <c r="R229" s="19">
        <f>(C229*D229*Q229/1000)</f>
        <v>0</v>
      </c>
      <c r="S229" s="20">
        <f>+H229+K229+Q229+N229</f>
        <v>16</v>
      </c>
      <c r="T229" s="19">
        <f>+I229+L229+R229+O229</f>
        <v>6.0112000000000005</v>
      </c>
      <c r="U229" s="21">
        <f>E229-S229</f>
        <v>0</v>
      </c>
      <c r="V229" s="19">
        <f>F229-T229</f>
        <v>0</v>
      </c>
    </row>
    <row r="230" spans="1:22">
      <c r="A230" s="36"/>
      <c r="B230" s="36"/>
      <c r="C230" s="30"/>
      <c r="D230" s="38"/>
      <c r="E230" s="31">
        <f t="shared" ref="E230:F230" si="591">SUM(E229)</f>
        <v>16</v>
      </c>
      <c r="F230" s="38">
        <f t="shared" si="591"/>
        <v>6.0112000000000005</v>
      </c>
      <c r="G230" s="16" t="s">
        <v>319</v>
      </c>
      <c r="H230" s="31">
        <f t="shared" ref="H230" si="592">SUM(H229)</f>
        <v>10</v>
      </c>
      <c r="I230" s="38">
        <f t="shared" ref="I230" si="593">SUM(I229)</f>
        <v>3.7570000000000006</v>
      </c>
      <c r="J230" s="16" t="s">
        <v>351</v>
      </c>
      <c r="K230" s="31">
        <f t="shared" ref="K230" si="594">SUM(K229)</f>
        <v>4</v>
      </c>
      <c r="L230" s="38">
        <f t="shared" ref="L230" si="595">SUM(L229)</f>
        <v>1.5028000000000001</v>
      </c>
      <c r="M230" s="16" t="s">
        <v>352</v>
      </c>
      <c r="N230" s="31">
        <f t="shared" ref="N230" si="596">SUM(N229)</f>
        <v>2</v>
      </c>
      <c r="O230" s="38">
        <f t="shared" ref="O230" si="597">SUM(O229)</f>
        <v>0.75140000000000007</v>
      </c>
      <c r="Q230" s="31">
        <f t="shared" ref="Q230" si="598">SUM(Q229)</f>
        <v>0</v>
      </c>
      <c r="R230" s="38">
        <f t="shared" ref="R230" si="599">SUM(R229)</f>
        <v>0</v>
      </c>
      <c r="S230" s="31">
        <f t="shared" ref="S230" si="600">SUM(S229)</f>
        <v>16</v>
      </c>
      <c r="T230" s="38">
        <f t="shared" ref="T230" si="601">SUM(T229)</f>
        <v>6.0112000000000005</v>
      </c>
      <c r="U230" s="31">
        <f t="shared" ref="U230" si="602">SUM(U229)</f>
        <v>0</v>
      </c>
      <c r="V230" s="38">
        <f t="shared" ref="V230" si="603">SUM(V229)</f>
        <v>0</v>
      </c>
    </row>
    <row r="231" spans="1:22">
      <c r="A231" s="26" t="s">
        <v>13</v>
      </c>
      <c r="B231" s="26" t="s">
        <v>34</v>
      </c>
      <c r="C231" s="30">
        <v>5.76</v>
      </c>
      <c r="D231" s="27">
        <v>10</v>
      </c>
      <c r="E231" s="28">
        <v>45</v>
      </c>
      <c r="F231" s="16">
        <f t="shared" ref="F231:F243" si="604">(C231*D231*E231/1000)</f>
        <v>2.5919999999999996</v>
      </c>
      <c r="G231" s="17" t="s">
        <v>107</v>
      </c>
      <c r="H231" s="18">
        <v>32</v>
      </c>
      <c r="I231" s="19">
        <f t="shared" ref="I231:I243" si="605">(C231*D231*H231/1000)</f>
        <v>1.8431999999999997</v>
      </c>
      <c r="J231" s="16" t="s">
        <v>89</v>
      </c>
      <c r="K231" s="18"/>
      <c r="L231" s="19">
        <f t="shared" ref="L231:L243" si="606">(C231*D231*K231/1000)</f>
        <v>0</v>
      </c>
      <c r="M231" s="16" t="s">
        <v>295</v>
      </c>
      <c r="N231" s="18">
        <v>13</v>
      </c>
      <c r="O231" s="19">
        <f t="shared" ref="O231:O243" si="607">(C231*D231*N231/1000)</f>
        <v>0.74879999999999991</v>
      </c>
      <c r="P231" s="16" t="s">
        <v>389</v>
      </c>
      <c r="Q231" s="18">
        <f>6+2</f>
        <v>8</v>
      </c>
      <c r="R231" s="19">
        <f t="shared" ref="R231:R243" si="608">(C231*D231*Q231/1000)</f>
        <v>0.46079999999999993</v>
      </c>
      <c r="S231" s="20">
        <f t="shared" ref="S231:S243" si="609">+H231+K231+Q231+N231</f>
        <v>53</v>
      </c>
      <c r="T231" s="19">
        <f t="shared" ref="T231:T243" si="610">+I231+L231+R231+O231</f>
        <v>3.0527999999999995</v>
      </c>
      <c r="U231" s="21">
        <f t="shared" ref="U231:U243" si="611">E231-S231</f>
        <v>-8</v>
      </c>
      <c r="V231" s="19">
        <f t="shared" ref="V231:V243" si="612">F231-T231</f>
        <v>-0.46079999999999988</v>
      </c>
    </row>
    <row r="232" spans="1:22">
      <c r="A232" s="26" t="s">
        <v>13</v>
      </c>
      <c r="B232" s="26" t="s">
        <v>34</v>
      </c>
      <c r="C232" s="30">
        <v>5.76</v>
      </c>
      <c r="D232" s="27">
        <v>10.5</v>
      </c>
      <c r="E232" s="28">
        <v>11</v>
      </c>
      <c r="F232" s="16">
        <f t="shared" si="604"/>
        <v>0.66527999999999998</v>
      </c>
      <c r="G232" s="17" t="s">
        <v>348</v>
      </c>
      <c r="H232" s="18"/>
      <c r="I232" s="19">
        <f t="shared" si="605"/>
        <v>0</v>
      </c>
      <c r="J232" s="16" t="s">
        <v>351</v>
      </c>
      <c r="K232" s="18"/>
      <c r="L232" s="19">
        <f t="shared" si="606"/>
        <v>0</v>
      </c>
      <c r="M232" s="16" t="s">
        <v>352</v>
      </c>
      <c r="N232" s="18">
        <v>1</v>
      </c>
      <c r="O232" s="19">
        <f t="shared" si="607"/>
        <v>6.0479999999999999E-2</v>
      </c>
      <c r="P232" s="16" t="s">
        <v>390</v>
      </c>
      <c r="Q232" s="18">
        <v>1</v>
      </c>
      <c r="R232" s="19">
        <f t="shared" si="608"/>
        <v>6.0479999999999999E-2</v>
      </c>
      <c r="S232" s="20">
        <f t="shared" si="609"/>
        <v>2</v>
      </c>
      <c r="T232" s="19">
        <f t="shared" si="610"/>
        <v>0.12096</v>
      </c>
      <c r="U232" s="21">
        <f t="shared" si="611"/>
        <v>9</v>
      </c>
      <c r="V232" s="19">
        <f t="shared" si="612"/>
        <v>0.54432000000000003</v>
      </c>
    </row>
    <row r="233" spans="1:22">
      <c r="A233" s="26" t="s">
        <v>13</v>
      </c>
      <c r="B233" s="26" t="s">
        <v>34</v>
      </c>
      <c r="C233" s="30">
        <v>5.76</v>
      </c>
      <c r="D233" s="27">
        <v>11</v>
      </c>
      <c r="E233" s="28">
        <v>32</v>
      </c>
      <c r="F233" s="16">
        <f t="shared" si="604"/>
        <v>2.02752</v>
      </c>
      <c r="G233" s="17"/>
      <c r="H233" s="18"/>
      <c r="I233" s="19">
        <f t="shared" si="605"/>
        <v>0</v>
      </c>
      <c r="J233" s="16"/>
      <c r="K233" s="18">
        <v>8</v>
      </c>
      <c r="L233" s="19">
        <f t="shared" si="606"/>
        <v>0.50688</v>
      </c>
      <c r="M233" s="16" t="s">
        <v>93</v>
      </c>
      <c r="N233" s="18">
        <v>17</v>
      </c>
      <c r="O233" s="19">
        <f t="shared" si="607"/>
        <v>1.0771199999999999</v>
      </c>
      <c r="P233" s="16" t="s">
        <v>392</v>
      </c>
      <c r="Q233" s="18">
        <v>7</v>
      </c>
      <c r="R233" s="19">
        <f t="shared" si="608"/>
        <v>0.44351999999999997</v>
      </c>
      <c r="S233" s="20">
        <f t="shared" si="609"/>
        <v>32</v>
      </c>
      <c r="T233" s="19">
        <f t="shared" si="610"/>
        <v>2.02752</v>
      </c>
      <c r="U233" s="21">
        <f t="shared" si="611"/>
        <v>0</v>
      </c>
      <c r="V233" s="19">
        <f t="shared" si="612"/>
        <v>0</v>
      </c>
    </row>
    <row r="234" spans="1:22">
      <c r="A234" s="26" t="s">
        <v>13</v>
      </c>
      <c r="B234" s="26" t="s">
        <v>34</v>
      </c>
      <c r="C234" s="30">
        <v>5.76</v>
      </c>
      <c r="D234" s="27">
        <v>11.3</v>
      </c>
      <c r="E234" s="28">
        <v>78</v>
      </c>
      <c r="F234" s="16">
        <f t="shared" si="604"/>
        <v>5.0768640000000005</v>
      </c>
      <c r="G234" s="17"/>
      <c r="H234" s="18">
        <v>37</v>
      </c>
      <c r="I234" s="19">
        <f t="shared" si="605"/>
        <v>2.4082560000000002</v>
      </c>
      <c r="J234" s="16"/>
      <c r="K234" s="18">
        <v>41</v>
      </c>
      <c r="L234" s="19">
        <f t="shared" si="606"/>
        <v>2.6686080000000003</v>
      </c>
      <c r="M234" s="16" t="s">
        <v>352</v>
      </c>
      <c r="N234" s="18"/>
      <c r="O234" s="19">
        <f t="shared" si="607"/>
        <v>0</v>
      </c>
      <c r="P234" s="16" t="s">
        <v>393</v>
      </c>
      <c r="Q234" s="18"/>
      <c r="R234" s="19">
        <f t="shared" si="608"/>
        <v>0</v>
      </c>
      <c r="S234" s="20">
        <f t="shared" si="609"/>
        <v>78</v>
      </c>
      <c r="T234" s="19">
        <f t="shared" si="610"/>
        <v>5.0768640000000005</v>
      </c>
      <c r="U234" s="21">
        <f t="shared" si="611"/>
        <v>0</v>
      </c>
      <c r="V234" s="19">
        <f t="shared" si="612"/>
        <v>0</v>
      </c>
    </row>
    <row r="235" spans="1:22">
      <c r="A235" s="26" t="s">
        <v>13</v>
      </c>
      <c r="B235" s="26" t="s">
        <v>34</v>
      </c>
      <c r="C235" s="30">
        <v>5.76</v>
      </c>
      <c r="D235" s="27">
        <v>11.5</v>
      </c>
      <c r="E235" s="28">
        <v>29</v>
      </c>
      <c r="F235" s="16">
        <f t="shared" si="604"/>
        <v>1.9209599999999998</v>
      </c>
      <c r="G235" s="17"/>
      <c r="H235" s="18">
        <v>5</v>
      </c>
      <c r="I235" s="19">
        <f t="shared" si="605"/>
        <v>0.33119999999999999</v>
      </c>
      <c r="J235" s="16"/>
      <c r="K235" s="18">
        <v>15</v>
      </c>
      <c r="L235" s="19">
        <f t="shared" si="606"/>
        <v>0.99359999999999993</v>
      </c>
      <c r="M235" s="16"/>
      <c r="N235" s="18"/>
      <c r="O235" s="19">
        <f t="shared" si="607"/>
        <v>0</v>
      </c>
      <c r="P235" s="16"/>
      <c r="Q235" s="18">
        <f>4+4</f>
        <v>8</v>
      </c>
      <c r="R235" s="19">
        <f>(C235*D235*Q235/1000)</f>
        <v>0.52991999999999995</v>
      </c>
      <c r="S235" s="20">
        <f t="shared" si="609"/>
        <v>28</v>
      </c>
      <c r="T235" s="19">
        <f t="shared" si="610"/>
        <v>1.8547199999999999</v>
      </c>
      <c r="U235" s="21">
        <f t="shared" si="611"/>
        <v>1</v>
      </c>
      <c r="V235" s="19">
        <f t="shared" si="612"/>
        <v>6.6239999999999855E-2</v>
      </c>
    </row>
    <row r="236" spans="1:22">
      <c r="A236" s="26" t="s">
        <v>13</v>
      </c>
      <c r="B236" s="26" t="s">
        <v>34</v>
      </c>
      <c r="C236" s="30">
        <v>5.76</v>
      </c>
      <c r="D236" s="27">
        <v>12</v>
      </c>
      <c r="E236" s="28">
        <v>56</v>
      </c>
      <c r="F236" s="16">
        <f t="shared" ref="F236:F242" si="613">(C236*D236*E236/1000)</f>
        <v>3.8707200000000004</v>
      </c>
      <c r="G236" s="17"/>
      <c r="H236" s="18">
        <v>14</v>
      </c>
      <c r="I236" s="19">
        <f t="shared" ref="I236:I242" si="614">(C236*D236*H236/1000)</f>
        <v>0.9676800000000001</v>
      </c>
      <c r="J236" s="16"/>
      <c r="K236" s="18"/>
      <c r="L236" s="19">
        <f t="shared" ref="L236:L242" si="615">(C236*D236*K236/1000)</f>
        <v>0</v>
      </c>
      <c r="M236" s="16"/>
      <c r="N236" s="18">
        <v>42</v>
      </c>
      <c r="O236" s="19">
        <f t="shared" ref="O236:O242" si="616">(C236*D236*N236/1000)</f>
        <v>2.9030399999999998</v>
      </c>
      <c r="P236" s="16"/>
      <c r="Q236" s="18"/>
      <c r="R236" s="19">
        <f t="shared" ref="R236:R242" si="617">(C236*D236*Q236/1000)</f>
        <v>0</v>
      </c>
      <c r="S236" s="20">
        <f t="shared" ref="S236:S242" si="618">+H236+K236+Q236+N236</f>
        <v>56</v>
      </c>
      <c r="T236" s="19">
        <f t="shared" ref="T236:T242" si="619">+I236+L236+R236+O236</f>
        <v>3.8707199999999999</v>
      </c>
      <c r="U236" s="21">
        <f t="shared" ref="U236:U242" si="620">E236-S236</f>
        <v>0</v>
      </c>
      <c r="V236" s="19">
        <f t="shared" ref="V236:V242" si="621">F236-T236</f>
        <v>0</v>
      </c>
    </row>
    <row r="237" spans="1:22">
      <c r="A237" s="26" t="s">
        <v>13</v>
      </c>
      <c r="B237" s="26" t="s">
        <v>34</v>
      </c>
      <c r="C237" s="30">
        <v>5.76</v>
      </c>
      <c r="D237" s="27">
        <v>8.8000000000000007</v>
      </c>
      <c r="E237" s="28"/>
      <c r="F237" s="16">
        <f t="shared" si="613"/>
        <v>0</v>
      </c>
      <c r="G237" s="17"/>
      <c r="H237" s="18"/>
      <c r="I237" s="19">
        <f t="shared" si="614"/>
        <v>0</v>
      </c>
      <c r="J237" s="16"/>
      <c r="K237" s="18"/>
      <c r="L237" s="19">
        <f t="shared" si="615"/>
        <v>0</v>
      </c>
      <c r="M237" s="16"/>
      <c r="N237" s="18"/>
      <c r="O237" s="19">
        <f t="shared" si="616"/>
        <v>0</v>
      </c>
      <c r="P237" s="16"/>
      <c r="Q237" s="18">
        <v>1</v>
      </c>
      <c r="R237" s="19">
        <f t="shared" si="617"/>
        <v>5.0688000000000004E-2</v>
      </c>
      <c r="S237" s="20">
        <f t="shared" si="618"/>
        <v>1</v>
      </c>
      <c r="T237" s="19">
        <f t="shared" si="619"/>
        <v>5.0688000000000004E-2</v>
      </c>
      <c r="U237" s="21">
        <f t="shared" si="620"/>
        <v>-1</v>
      </c>
      <c r="V237" s="19">
        <f t="shared" si="621"/>
        <v>-5.0688000000000004E-2</v>
      </c>
    </row>
    <row r="238" spans="1:22">
      <c r="A238" s="26" t="s">
        <v>13</v>
      </c>
      <c r="B238" s="26" t="s">
        <v>34</v>
      </c>
      <c r="C238" s="30">
        <v>5.76</v>
      </c>
      <c r="D238" s="27">
        <v>9.6999999999999993</v>
      </c>
      <c r="E238" s="28"/>
      <c r="F238" s="16">
        <f t="shared" si="613"/>
        <v>0</v>
      </c>
      <c r="G238" s="17"/>
      <c r="H238" s="18"/>
      <c r="I238" s="19">
        <f t="shared" si="614"/>
        <v>0</v>
      </c>
      <c r="J238" s="16"/>
      <c r="K238" s="18"/>
      <c r="L238" s="19">
        <f t="shared" si="615"/>
        <v>0</v>
      </c>
      <c r="M238" s="16"/>
      <c r="N238" s="18"/>
      <c r="O238" s="19">
        <f t="shared" si="616"/>
        <v>0</v>
      </c>
      <c r="P238" s="16"/>
      <c r="Q238" s="18">
        <v>1</v>
      </c>
      <c r="R238" s="19">
        <f t="shared" si="617"/>
        <v>5.5871999999999991E-2</v>
      </c>
      <c r="S238" s="20">
        <f t="shared" si="618"/>
        <v>1</v>
      </c>
      <c r="T238" s="19">
        <f t="shared" si="619"/>
        <v>5.5871999999999991E-2</v>
      </c>
      <c r="U238" s="21">
        <f t="shared" si="620"/>
        <v>-1</v>
      </c>
      <c r="V238" s="19">
        <f t="shared" si="621"/>
        <v>-5.5871999999999991E-2</v>
      </c>
    </row>
    <row r="239" spans="1:22">
      <c r="A239" s="26" t="s">
        <v>13</v>
      </c>
      <c r="B239" s="26" t="s">
        <v>34</v>
      </c>
      <c r="C239" s="30">
        <v>5.76</v>
      </c>
      <c r="D239" s="27">
        <v>8.6999999999999993</v>
      </c>
      <c r="E239" s="28"/>
      <c r="F239" s="16">
        <f t="shared" si="613"/>
        <v>0</v>
      </c>
      <c r="G239" s="17"/>
      <c r="H239" s="18"/>
      <c r="I239" s="19">
        <f t="shared" si="614"/>
        <v>0</v>
      </c>
      <c r="J239" s="16"/>
      <c r="K239" s="18"/>
      <c r="L239" s="19">
        <f t="shared" si="615"/>
        <v>0</v>
      </c>
      <c r="M239" s="16"/>
      <c r="N239" s="18"/>
      <c r="O239" s="19">
        <f t="shared" si="616"/>
        <v>0</v>
      </c>
      <c r="P239" s="16"/>
      <c r="Q239" s="18">
        <v>1</v>
      </c>
      <c r="R239" s="19">
        <f t="shared" si="617"/>
        <v>5.0111999999999997E-2</v>
      </c>
      <c r="S239" s="20">
        <f t="shared" si="618"/>
        <v>1</v>
      </c>
      <c r="T239" s="19">
        <f t="shared" si="619"/>
        <v>5.0111999999999997E-2</v>
      </c>
      <c r="U239" s="21">
        <f t="shared" si="620"/>
        <v>-1</v>
      </c>
      <c r="V239" s="19">
        <f t="shared" si="621"/>
        <v>-5.0111999999999997E-2</v>
      </c>
    </row>
    <row r="240" spans="1:22">
      <c r="A240" s="26" t="s">
        <v>13</v>
      </c>
      <c r="B240" s="26" t="s">
        <v>34</v>
      </c>
      <c r="C240" s="30">
        <v>5.76</v>
      </c>
      <c r="D240" s="27">
        <v>11.6</v>
      </c>
      <c r="E240" s="28"/>
      <c r="F240" s="16">
        <f t="shared" si="613"/>
        <v>0</v>
      </c>
      <c r="G240" s="17"/>
      <c r="H240" s="18"/>
      <c r="I240" s="19">
        <f t="shared" si="614"/>
        <v>0</v>
      </c>
      <c r="J240" s="16"/>
      <c r="K240" s="18"/>
      <c r="L240" s="19">
        <f t="shared" si="615"/>
        <v>0</v>
      </c>
      <c r="M240" s="16"/>
      <c r="N240" s="18"/>
      <c r="O240" s="19">
        <f t="shared" si="616"/>
        <v>0</v>
      </c>
      <c r="P240" s="16"/>
      <c r="Q240" s="18">
        <v>1</v>
      </c>
      <c r="R240" s="19">
        <f t="shared" si="617"/>
        <v>6.6816E-2</v>
      </c>
      <c r="S240" s="20">
        <f t="shared" si="618"/>
        <v>1</v>
      </c>
      <c r="T240" s="19">
        <f t="shared" si="619"/>
        <v>6.6816E-2</v>
      </c>
      <c r="U240" s="21">
        <f t="shared" si="620"/>
        <v>-1</v>
      </c>
      <c r="V240" s="19">
        <f t="shared" si="621"/>
        <v>-6.6816E-2</v>
      </c>
    </row>
    <row r="241" spans="1:22">
      <c r="A241" s="26" t="s">
        <v>13</v>
      </c>
      <c r="B241" s="26" t="s">
        <v>34</v>
      </c>
      <c r="C241" s="30">
        <v>5.76</v>
      </c>
      <c r="D241" s="27"/>
      <c r="E241" s="28"/>
      <c r="F241" s="16">
        <f t="shared" si="613"/>
        <v>0</v>
      </c>
      <c r="G241" s="17"/>
      <c r="H241" s="18"/>
      <c r="I241" s="19">
        <f t="shared" si="614"/>
        <v>0</v>
      </c>
      <c r="J241" s="16"/>
      <c r="K241" s="18"/>
      <c r="L241" s="19">
        <f t="shared" si="615"/>
        <v>0</v>
      </c>
      <c r="M241" s="16"/>
      <c r="N241" s="18"/>
      <c r="O241" s="19">
        <f t="shared" si="616"/>
        <v>0</v>
      </c>
      <c r="P241" s="16"/>
      <c r="Q241" s="18"/>
      <c r="R241" s="19">
        <f t="shared" si="617"/>
        <v>0</v>
      </c>
      <c r="S241" s="20">
        <f t="shared" si="618"/>
        <v>0</v>
      </c>
      <c r="T241" s="19">
        <f t="shared" si="619"/>
        <v>0</v>
      </c>
      <c r="U241" s="21">
        <f t="shared" si="620"/>
        <v>0</v>
      </c>
      <c r="V241" s="19">
        <f t="shared" si="621"/>
        <v>0</v>
      </c>
    </row>
    <row r="242" spans="1:22">
      <c r="A242" s="26" t="s">
        <v>13</v>
      </c>
      <c r="B242" s="26" t="s">
        <v>34</v>
      </c>
      <c r="C242" s="30">
        <v>5.76</v>
      </c>
      <c r="D242" s="27"/>
      <c r="E242" s="28"/>
      <c r="F242" s="16">
        <f t="shared" si="613"/>
        <v>0</v>
      </c>
      <c r="G242" s="17"/>
      <c r="H242" s="18"/>
      <c r="I242" s="19">
        <f t="shared" si="614"/>
        <v>0</v>
      </c>
      <c r="J242" s="16"/>
      <c r="K242" s="18"/>
      <c r="L242" s="19">
        <f t="shared" si="615"/>
        <v>0</v>
      </c>
      <c r="M242" s="16"/>
      <c r="N242" s="18"/>
      <c r="O242" s="19">
        <f t="shared" si="616"/>
        <v>0</v>
      </c>
      <c r="P242" s="16"/>
      <c r="Q242" s="18"/>
      <c r="R242" s="19">
        <f t="shared" si="617"/>
        <v>0</v>
      </c>
      <c r="S242" s="20">
        <f t="shared" si="618"/>
        <v>0</v>
      </c>
      <c r="T242" s="19">
        <f t="shared" si="619"/>
        <v>0</v>
      </c>
      <c r="U242" s="21">
        <f t="shared" si="620"/>
        <v>0</v>
      </c>
      <c r="V242" s="19">
        <f t="shared" si="621"/>
        <v>0</v>
      </c>
    </row>
    <row r="243" spans="1:22">
      <c r="A243" s="26" t="s">
        <v>13</v>
      </c>
      <c r="B243" s="26" t="s">
        <v>34</v>
      </c>
      <c r="C243" s="30">
        <v>5.76</v>
      </c>
      <c r="D243" s="27"/>
      <c r="E243" s="28"/>
      <c r="F243" s="16">
        <f t="shared" si="604"/>
        <v>0</v>
      </c>
      <c r="G243" s="17"/>
      <c r="H243" s="18"/>
      <c r="I243" s="19">
        <f t="shared" si="605"/>
        <v>0</v>
      </c>
      <c r="J243" s="16"/>
      <c r="K243" s="18"/>
      <c r="L243" s="19">
        <f t="shared" si="606"/>
        <v>0</v>
      </c>
      <c r="M243" s="16"/>
      <c r="N243" s="18"/>
      <c r="O243" s="19">
        <f t="shared" si="607"/>
        <v>0</v>
      </c>
      <c r="P243" s="16"/>
      <c r="Q243" s="18"/>
      <c r="R243" s="19">
        <f t="shared" si="608"/>
        <v>0</v>
      </c>
      <c r="S243" s="20">
        <f t="shared" si="609"/>
        <v>0</v>
      </c>
      <c r="T243" s="19">
        <f t="shared" si="610"/>
        <v>0</v>
      </c>
      <c r="U243" s="21">
        <f t="shared" si="611"/>
        <v>0</v>
      </c>
      <c r="V243" s="19">
        <f t="shared" si="612"/>
        <v>0</v>
      </c>
    </row>
    <row r="244" spans="1:22">
      <c r="A244" s="36"/>
      <c r="B244" s="36"/>
      <c r="C244" s="30"/>
      <c r="D244" s="38"/>
      <c r="E244" s="31">
        <f t="shared" ref="E244:F244" si="622">SUM(E231:E243)</f>
        <v>251</v>
      </c>
      <c r="F244" s="38">
        <f t="shared" si="622"/>
        <v>16.153344000000001</v>
      </c>
      <c r="H244" s="31">
        <f t="shared" ref="H244" si="623">SUM(H231:H243)</f>
        <v>88</v>
      </c>
      <c r="I244" s="38">
        <f t="shared" ref="I244" si="624">SUM(I231:I243)</f>
        <v>5.5503359999999997</v>
      </c>
      <c r="K244" s="31">
        <f t="shared" ref="K244" si="625">SUM(K231:K243)</f>
        <v>64</v>
      </c>
      <c r="L244" s="38">
        <f t="shared" ref="L244" si="626">SUM(L231:L243)</f>
        <v>4.1690880000000003</v>
      </c>
      <c r="N244" s="31">
        <f t="shared" ref="N244" si="627">SUM(N231:N243)</f>
        <v>73</v>
      </c>
      <c r="O244" s="38">
        <f t="shared" ref="O244" si="628">SUM(O231:O243)</f>
        <v>4.789439999999999</v>
      </c>
      <c r="Q244" s="31">
        <f t="shared" ref="Q244" si="629">SUM(Q231:Q243)</f>
        <v>28</v>
      </c>
      <c r="R244" s="38">
        <f t="shared" ref="R244" si="630">SUM(R231:R243)</f>
        <v>1.7182079999999997</v>
      </c>
      <c r="S244" s="31">
        <f t="shared" ref="S244" si="631">SUM(S231:S243)</f>
        <v>253</v>
      </c>
      <c r="T244" s="38">
        <f t="shared" ref="T244" si="632">SUM(T231:T243)</f>
        <v>16.227072</v>
      </c>
      <c r="U244" s="31">
        <f t="shared" ref="U244" si="633">SUM(U231:U243)</f>
        <v>-2</v>
      </c>
      <c r="V244" s="38">
        <f t="shared" ref="V244" si="634">SUM(V231:V243)</f>
        <v>-7.3727999999999988E-2</v>
      </c>
    </row>
    <row r="245" spans="1:22">
      <c r="A245" s="26" t="s">
        <v>13</v>
      </c>
      <c r="B245" s="26" t="s">
        <v>35</v>
      </c>
      <c r="C245" s="30">
        <v>6.85</v>
      </c>
      <c r="D245" s="27">
        <v>9.5</v>
      </c>
      <c r="E245" s="28">
        <v>52</v>
      </c>
      <c r="F245" s="16">
        <f t="shared" ref="F245:F251" si="635">(C245*D245*E245/1000)</f>
        <v>3.3839000000000001</v>
      </c>
      <c r="G245" s="17" t="s">
        <v>346</v>
      </c>
      <c r="H245" s="18">
        <v>34</v>
      </c>
      <c r="I245" s="19">
        <f t="shared" ref="I245:I251" si="636">(C245*D245*H245/1000)</f>
        <v>2.2125500000000002</v>
      </c>
      <c r="J245" s="16" t="s">
        <v>93</v>
      </c>
      <c r="K245" s="18">
        <v>16</v>
      </c>
      <c r="L245" s="19">
        <f t="shared" ref="L245:L251" si="637">(C245*D245*K245/1000)</f>
        <v>1.0412000000000001</v>
      </c>
      <c r="M245" s="16"/>
      <c r="N245" s="18"/>
      <c r="O245" s="19">
        <f t="shared" ref="O245:O251" si="638">(C245*D245*N245/1000)</f>
        <v>0</v>
      </c>
      <c r="P245" s="16"/>
      <c r="Q245" s="18"/>
      <c r="R245" s="19">
        <f t="shared" ref="R245:R251" si="639">(C245*D245*Q245/1000)</f>
        <v>0</v>
      </c>
      <c r="S245" s="20">
        <f t="shared" ref="S245:S251" si="640">+H245+K245+Q245+N245</f>
        <v>50</v>
      </c>
      <c r="T245" s="19">
        <f t="shared" ref="T245:T251" si="641">+I245+L245+R245+O245</f>
        <v>3.2537500000000001</v>
      </c>
      <c r="U245" s="21">
        <f t="shared" ref="U245:U251" si="642">E245-S245</f>
        <v>2</v>
      </c>
      <c r="V245" s="19">
        <f t="shared" ref="V245:V251" si="643">F245-T245</f>
        <v>0.13014999999999999</v>
      </c>
    </row>
    <row r="246" spans="1:22">
      <c r="A246" s="26" t="s">
        <v>13</v>
      </c>
      <c r="B246" s="26" t="s">
        <v>35</v>
      </c>
      <c r="C246" s="30">
        <v>6.85</v>
      </c>
      <c r="D246" s="27">
        <v>10</v>
      </c>
      <c r="E246" s="28">
        <v>43</v>
      </c>
      <c r="F246" s="16">
        <f t="shared" si="635"/>
        <v>2.9455</v>
      </c>
      <c r="G246" s="17" t="s">
        <v>345</v>
      </c>
      <c r="H246" s="18">
        <v>30</v>
      </c>
      <c r="I246" s="19">
        <f t="shared" si="636"/>
        <v>2.0550000000000002</v>
      </c>
      <c r="J246" s="16" t="s">
        <v>351</v>
      </c>
      <c r="K246" s="18">
        <v>10</v>
      </c>
      <c r="L246" s="19">
        <f t="shared" si="637"/>
        <v>0.68500000000000005</v>
      </c>
      <c r="M246" s="16"/>
      <c r="N246" s="18"/>
      <c r="O246" s="19">
        <f t="shared" si="638"/>
        <v>0</v>
      </c>
      <c r="P246" s="16"/>
      <c r="Q246" s="18"/>
      <c r="R246" s="19">
        <f t="shared" si="639"/>
        <v>0</v>
      </c>
      <c r="S246" s="20">
        <f t="shared" si="640"/>
        <v>40</v>
      </c>
      <c r="T246" s="19">
        <f t="shared" si="641"/>
        <v>2.74</v>
      </c>
      <c r="U246" s="21">
        <f t="shared" si="642"/>
        <v>3</v>
      </c>
      <c r="V246" s="19">
        <f t="shared" si="643"/>
        <v>0.20549999999999979</v>
      </c>
    </row>
    <row r="247" spans="1:22">
      <c r="A247" s="26" t="s">
        <v>13</v>
      </c>
      <c r="B247" s="26" t="s">
        <v>35</v>
      </c>
      <c r="C247" s="30">
        <v>6.85</v>
      </c>
      <c r="D247" s="27">
        <v>10.5</v>
      </c>
      <c r="E247" s="28">
        <v>60</v>
      </c>
      <c r="F247" s="16">
        <f t="shared" si="635"/>
        <v>4.3155000000000001</v>
      </c>
      <c r="G247" s="17"/>
      <c r="H247" s="18">
        <v>28</v>
      </c>
      <c r="I247" s="19">
        <f t="shared" si="636"/>
        <v>2.0139</v>
      </c>
      <c r="J247" s="16"/>
      <c r="K247" s="18">
        <v>36</v>
      </c>
      <c r="L247" s="19">
        <f t="shared" si="637"/>
        <v>2.5892999999999997</v>
      </c>
      <c r="M247" s="16"/>
      <c r="N247" s="18"/>
      <c r="O247" s="19">
        <f t="shared" si="638"/>
        <v>0</v>
      </c>
      <c r="P247" s="16"/>
      <c r="Q247" s="18"/>
      <c r="R247" s="19">
        <f t="shared" si="639"/>
        <v>0</v>
      </c>
      <c r="S247" s="20">
        <f t="shared" si="640"/>
        <v>64</v>
      </c>
      <c r="T247" s="19">
        <f t="shared" si="641"/>
        <v>4.6031999999999993</v>
      </c>
      <c r="U247" s="21">
        <f t="shared" si="642"/>
        <v>-4</v>
      </c>
      <c r="V247" s="19">
        <f t="shared" si="643"/>
        <v>-0.28769999999999918</v>
      </c>
    </row>
    <row r="248" spans="1:22">
      <c r="A248" s="26" t="s">
        <v>13</v>
      </c>
      <c r="B248" s="26" t="s">
        <v>35</v>
      </c>
      <c r="C248" s="30">
        <v>6.85</v>
      </c>
      <c r="D248" s="27">
        <v>10.8</v>
      </c>
      <c r="E248" s="28">
        <v>12</v>
      </c>
      <c r="F248" s="16">
        <f t="shared" si="635"/>
        <v>0.88775999999999999</v>
      </c>
      <c r="G248" s="17"/>
      <c r="H248" s="18">
        <v>12</v>
      </c>
      <c r="I248" s="19">
        <f t="shared" si="636"/>
        <v>0.88775999999999999</v>
      </c>
      <c r="J248" s="16"/>
      <c r="K248" s="18"/>
      <c r="L248" s="19">
        <f t="shared" si="637"/>
        <v>0</v>
      </c>
      <c r="M248" s="16"/>
      <c r="N248" s="18"/>
      <c r="O248" s="19">
        <f t="shared" si="638"/>
        <v>0</v>
      </c>
      <c r="P248" s="16"/>
      <c r="Q248" s="18"/>
      <c r="R248" s="19">
        <f t="shared" si="639"/>
        <v>0</v>
      </c>
      <c r="S248" s="20">
        <f t="shared" si="640"/>
        <v>12</v>
      </c>
      <c r="T248" s="19">
        <f t="shared" si="641"/>
        <v>0.88775999999999999</v>
      </c>
      <c r="U248" s="21">
        <f t="shared" si="642"/>
        <v>0</v>
      </c>
      <c r="V248" s="19">
        <f t="shared" si="643"/>
        <v>0</v>
      </c>
    </row>
    <row r="249" spans="1:22">
      <c r="A249" s="26" t="s">
        <v>13</v>
      </c>
      <c r="B249" s="26" t="s">
        <v>35</v>
      </c>
      <c r="C249" s="30">
        <v>6.85</v>
      </c>
      <c r="D249" s="27">
        <v>11</v>
      </c>
      <c r="E249" s="28">
        <v>33</v>
      </c>
      <c r="F249" s="16">
        <f t="shared" si="635"/>
        <v>2.4865499999999998</v>
      </c>
      <c r="G249" s="17"/>
      <c r="H249" s="18"/>
      <c r="I249" s="19">
        <f t="shared" si="636"/>
        <v>0</v>
      </c>
      <c r="J249" s="16"/>
      <c r="K249" s="18">
        <v>33</v>
      </c>
      <c r="L249" s="19">
        <f t="shared" si="637"/>
        <v>2.4865499999999998</v>
      </c>
      <c r="M249" s="16"/>
      <c r="N249" s="18"/>
      <c r="O249" s="19">
        <f t="shared" si="638"/>
        <v>0</v>
      </c>
      <c r="P249" s="16"/>
      <c r="Q249" s="18"/>
      <c r="R249" s="19">
        <f t="shared" si="639"/>
        <v>0</v>
      </c>
      <c r="S249" s="20">
        <f t="shared" si="640"/>
        <v>33</v>
      </c>
      <c r="T249" s="19">
        <f t="shared" si="641"/>
        <v>2.4865499999999998</v>
      </c>
      <c r="U249" s="21">
        <f t="shared" si="642"/>
        <v>0</v>
      </c>
      <c r="V249" s="19">
        <f t="shared" si="643"/>
        <v>0</v>
      </c>
    </row>
    <row r="250" spans="1:22">
      <c r="A250" s="26" t="s">
        <v>13</v>
      </c>
      <c r="B250" s="26" t="s">
        <v>35</v>
      </c>
      <c r="C250" s="30">
        <v>6.85</v>
      </c>
      <c r="D250" s="27">
        <v>11.5</v>
      </c>
      <c r="E250" s="28">
        <v>100</v>
      </c>
      <c r="F250" s="16">
        <f t="shared" si="635"/>
        <v>7.8774999999999995</v>
      </c>
      <c r="G250" s="17"/>
      <c r="H250" s="18">
        <v>58</v>
      </c>
      <c r="I250" s="19">
        <f t="shared" si="636"/>
        <v>4.5689500000000001</v>
      </c>
      <c r="J250" s="16"/>
      <c r="K250" s="18">
        <v>43</v>
      </c>
      <c r="L250" s="19">
        <f t="shared" si="637"/>
        <v>3.3873249999999997</v>
      </c>
      <c r="M250" s="16"/>
      <c r="N250" s="18"/>
      <c r="O250" s="19">
        <f t="shared" si="638"/>
        <v>0</v>
      </c>
      <c r="P250" s="16"/>
      <c r="Q250" s="18"/>
      <c r="R250" s="19">
        <f t="shared" si="639"/>
        <v>0</v>
      </c>
      <c r="S250" s="20">
        <f t="shared" si="640"/>
        <v>101</v>
      </c>
      <c r="T250" s="19">
        <f t="shared" si="641"/>
        <v>7.9562749999999998</v>
      </c>
      <c r="U250" s="21">
        <f t="shared" si="642"/>
        <v>-1</v>
      </c>
      <c r="V250" s="19">
        <f t="shared" si="643"/>
        <v>-7.8775000000000261E-2</v>
      </c>
    </row>
    <row r="251" spans="1:22">
      <c r="A251" s="26" t="s">
        <v>13</v>
      </c>
      <c r="B251" s="26" t="s">
        <v>35</v>
      </c>
      <c r="C251" s="30">
        <v>6.85</v>
      </c>
      <c r="D251" s="27">
        <v>12</v>
      </c>
      <c r="E251" s="28">
        <v>19</v>
      </c>
      <c r="F251" s="16">
        <f t="shared" si="635"/>
        <v>1.5617999999999996</v>
      </c>
      <c r="G251" s="17"/>
      <c r="H251" s="18">
        <v>19</v>
      </c>
      <c r="I251" s="19">
        <f t="shared" si="636"/>
        <v>1.5617999999999996</v>
      </c>
      <c r="J251" s="16"/>
      <c r="K251" s="18"/>
      <c r="L251" s="19">
        <f t="shared" si="637"/>
        <v>0</v>
      </c>
      <c r="M251" s="16"/>
      <c r="N251" s="18"/>
      <c r="O251" s="19">
        <f t="shared" si="638"/>
        <v>0</v>
      </c>
      <c r="P251" s="16"/>
      <c r="Q251" s="18"/>
      <c r="R251" s="19">
        <f t="shared" si="639"/>
        <v>0</v>
      </c>
      <c r="S251" s="20">
        <f t="shared" si="640"/>
        <v>19</v>
      </c>
      <c r="T251" s="19">
        <f t="shared" si="641"/>
        <v>1.5617999999999996</v>
      </c>
      <c r="U251" s="21">
        <f t="shared" si="642"/>
        <v>0</v>
      </c>
      <c r="V251" s="19">
        <f t="shared" si="643"/>
        <v>0</v>
      </c>
    </row>
    <row r="252" spans="1:22">
      <c r="A252" s="36"/>
      <c r="B252" s="36"/>
      <c r="C252" s="30"/>
      <c r="D252" s="38"/>
      <c r="E252" s="31">
        <f t="shared" ref="E252:F252" si="644">SUM(E245:E251)</f>
        <v>319</v>
      </c>
      <c r="F252" s="38">
        <f t="shared" si="644"/>
        <v>23.458509999999997</v>
      </c>
      <c r="H252" s="31">
        <f t="shared" ref="H252" si="645">SUM(H245:H251)</f>
        <v>181</v>
      </c>
      <c r="I252" s="38">
        <f t="shared" ref="I252" si="646">SUM(I245:I251)</f>
        <v>13.29996</v>
      </c>
      <c r="K252" s="31">
        <f t="shared" ref="K252" si="647">SUM(K245:K251)</f>
        <v>138</v>
      </c>
      <c r="L252" s="38">
        <f t="shared" ref="L252" si="648">SUM(L245:L251)</f>
        <v>10.189374999999998</v>
      </c>
      <c r="N252" s="31">
        <f t="shared" ref="N252" si="649">SUM(N245:N251)</f>
        <v>0</v>
      </c>
      <c r="O252" s="38">
        <f t="shared" ref="O252" si="650">SUM(O245:O251)</f>
        <v>0</v>
      </c>
      <c r="Q252" s="31">
        <f t="shared" ref="Q252" si="651">SUM(Q245:Q251)</f>
        <v>0</v>
      </c>
      <c r="R252" s="38">
        <f t="shared" ref="R252" si="652">SUM(R245:R251)</f>
        <v>0</v>
      </c>
      <c r="S252" s="31">
        <f t="shared" ref="S252" si="653">SUM(S245:S251)</f>
        <v>319</v>
      </c>
      <c r="T252" s="38">
        <f t="shared" ref="T252" si="654">SUM(T245:T251)</f>
        <v>23.489334999999997</v>
      </c>
      <c r="U252" s="31">
        <f t="shared" ref="U252" si="655">SUM(U245:U251)</f>
        <v>0</v>
      </c>
      <c r="V252" s="38">
        <f t="shared" ref="V252" si="656">SUM(V245:V251)</f>
        <v>-3.0824999999999658E-2</v>
      </c>
    </row>
    <row r="253" spans="1:22">
      <c r="A253" s="26" t="s">
        <v>13</v>
      </c>
      <c r="B253" s="26" t="s">
        <v>57</v>
      </c>
      <c r="C253" s="30">
        <v>6.17</v>
      </c>
      <c r="D253" s="27">
        <v>11.3</v>
      </c>
      <c r="E253" s="28">
        <v>38</v>
      </c>
      <c r="F253" s="16">
        <f t="shared" ref="F253:F255" si="657">(C253*D253*E253/1000)</f>
        <v>2.6493980000000001</v>
      </c>
      <c r="G253" s="16" t="s">
        <v>93</v>
      </c>
      <c r="H253" s="18">
        <v>33</v>
      </c>
      <c r="I253" s="19">
        <f t="shared" ref="I253:I255" si="658">(C253*D253*H253/1000)</f>
        <v>2.3007930000000001</v>
      </c>
      <c r="J253" s="16"/>
      <c r="K253" s="18"/>
      <c r="L253" s="19">
        <f t="shared" ref="L253:L255" si="659">(C253*D253*K253/1000)</f>
        <v>0</v>
      </c>
      <c r="M253" s="16"/>
      <c r="N253" s="18"/>
      <c r="O253" s="19">
        <f t="shared" ref="O253:O255" si="660">(C253*D253*N253/1000)</f>
        <v>0</v>
      </c>
      <c r="P253" s="16"/>
      <c r="Q253" s="18"/>
      <c r="R253" s="19">
        <f t="shared" ref="R253:R255" si="661">(C253*D253*Q253/1000)</f>
        <v>0</v>
      </c>
      <c r="S253" s="20">
        <f t="shared" ref="S253:S255" si="662">+H253+K253+Q253+N253</f>
        <v>33</v>
      </c>
      <c r="T253" s="19">
        <f t="shared" ref="T253:T255" si="663">+I253+L253+R253+O253</f>
        <v>2.3007930000000001</v>
      </c>
      <c r="U253" s="21">
        <f t="shared" ref="U253:U255" si="664">E253-S253</f>
        <v>5</v>
      </c>
      <c r="V253" s="19">
        <f t="shared" ref="V253:V255" si="665">F253-T253</f>
        <v>0.34860500000000005</v>
      </c>
    </row>
    <row r="254" spans="1:22">
      <c r="A254" s="26" t="s">
        <v>13</v>
      </c>
      <c r="B254" s="26" t="s">
        <v>57</v>
      </c>
      <c r="C254" s="30">
        <v>6.17</v>
      </c>
      <c r="D254" s="27">
        <v>12</v>
      </c>
      <c r="E254" s="28">
        <v>19</v>
      </c>
      <c r="F254" s="16">
        <f t="shared" ref="F254" si="666">(C254*D254*E254/1000)</f>
        <v>1.4067599999999998</v>
      </c>
      <c r="G254" s="16" t="s">
        <v>356</v>
      </c>
      <c r="H254" s="18">
        <v>21</v>
      </c>
      <c r="I254" s="19">
        <f t="shared" ref="I254" si="667">(C254*D254*H254/1000)</f>
        <v>1.55484</v>
      </c>
      <c r="J254" s="16"/>
      <c r="K254" s="18"/>
      <c r="L254" s="19">
        <f t="shared" ref="L254" si="668">(C254*D254*K254/1000)</f>
        <v>0</v>
      </c>
      <c r="M254" s="16"/>
      <c r="N254" s="18"/>
      <c r="O254" s="19">
        <f t="shared" ref="O254" si="669">(C254*D254*N254/1000)</f>
        <v>0</v>
      </c>
      <c r="P254" s="16"/>
      <c r="Q254" s="18"/>
      <c r="R254" s="19">
        <f t="shared" ref="R254" si="670">(C254*D254*Q254/1000)</f>
        <v>0</v>
      </c>
      <c r="S254" s="20">
        <f t="shared" ref="S254" si="671">+H254+K254+Q254+N254</f>
        <v>21</v>
      </c>
      <c r="T254" s="19">
        <f t="shared" ref="T254" si="672">+I254+L254+R254+O254</f>
        <v>1.55484</v>
      </c>
      <c r="U254" s="21">
        <f t="shared" ref="U254" si="673">E254-S254</f>
        <v>-2</v>
      </c>
      <c r="V254" s="19">
        <f t="shared" ref="V254" si="674">F254-T254</f>
        <v>-0.14808000000000021</v>
      </c>
    </row>
    <row r="255" spans="1:22">
      <c r="A255" s="26" t="s">
        <v>13</v>
      </c>
      <c r="B255" s="26" t="s">
        <v>57</v>
      </c>
      <c r="C255" s="30">
        <v>6.17</v>
      </c>
      <c r="D255" s="27">
        <v>11.5</v>
      </c>
      <c r="E255" s="28"/>
      <c r="F255" s="16">
        <f t="shared" si="657"/>
        <v>0</v>
      </c>
      <c r="G255" s="16"/>
      <c r="H255" s="18">
        <v>3</v>
      </c>
      <c r="I255" s="19">
        <f t="shared" si="658"/>
        <v>0.212865</v>
      </c>
      <c r="J255" s="16"/>
      <c r="K255" s="18"/>
      <c r="L255" s="19">
        <f t="shared" si="659"/>
        <v>0</v>
      </c>
      <c r="M255" s="16"/>
      <c r="N255" s="18"/>
      <c r="O255" s="19">
        <f t="shared" si="660"/>
        <v>0</v>
      </c>
      <c r="P255" s="16"/>
      <c r="Q255" s="18"/>
      <c r="R255" s="19">
        <f t="shared" si="661"/>
        <v>0</v>
      </c>
      <c r="S255" s="20">
        <f t="shared" si="662"/>
        <v>3</v>
      </c>
      <c r="T255" s="19">
        <f t="shared" si="663"/>
        <v>0.212865</v>
      </c>
      <c r="U255" s="21">
        <f t="shared" si="664"/>
        <v>-3</v>
      </c>
      <c r="V255" s="19">
        <f t="shared" si="665"/>
        <v>-0.212865</v>
      </c>
    </row>
    <row r="256" spans="1:22">
      <c r="A256" s="36"/>
      <c r="B256" s="36"/>
      <c r="C256" s="30"/>
      <c r="D256" s="38"/>
      <c r="E256" s="31">
        <f t="shared" ref="E256:F256" si="675">SUM(E253:E255)</f>
        <v>57</v>
      </c>
      <c r="F256" s="38">
        <f t="shared" si="675"/>
        <v>4.0561579999999999</v>
      </c>
      <c r="H256" s="31">
        <f t="shared" ref="H256" si="676">SUM(H253:H255)</f>
        <v>57</v>
      </c>
      <c r="I256" s="38">
        <f t="shared" ref="I256" si="677">SUM(I253:I255)</f>
        <v>4.0684979999999999</v>
      </c>
      <c r="K256" s="31">
        <f t="shared" ref="K256" si="678">SUM(K253:K255)</f>
        <v>0</v>
      </c>
      <c r="L256" s="38">
        <f t="shared" ref="L256" si="679">SUM(L253:L255)</f>
        <v>0</v>
      </c>
      <c r="N256" s="31">
        <f t="shared" ref="N256" si="680">SUM(N253:N255)</f>
        <v>0</v>
      </c>
      <c r="O256" s="38">
        <f t="shared" ref="O256" si="681">SUM(O253:O255)</f>
        <v>0</v>
      </c>
      <c r="Q256" s="31">
        <f t="shared" ref="Q256" si="682">SUM(Q253:Q255)</f>
        <v>0</v>
      </c>
      <c r="R256" s="38">
        <f t="shared" ref="R256" si="683">SUM(R253:R255)</f>
        <v>0</v>
      </c>
      <c r="S256" s="31">
        <f t="shared" ref="S256" si="684">SUM(S253:S255)</f>
        <v>57</v>
      </c>
      <c r="T256" s="38">
        <f t="shared" ref="T256" si="685">SUM(T253:T255)</f>
        <v>4.0684979999999999</v>
      </c>
      <c r="U256" s="31">
        <f t="shared" ref="U256" si="686">SUM(U253:U255)</f>
        <v>0</v>
      </c>
      <c r="V256" s="38">
        <f t="shared" ref="V256" si="687">SUM(V253:V255)</f>
        <v>-1.2340000000000156E-2</v>
      </c>
    </row>
    <row r="257" spans="1:22">
      <c r="A257" s="26" t="s">
        <v>13</v>
      </c>
      <c r="B257" s="26" t="s">
        <v>58</v>
      </c>
      <c r="C257" s="30">
        <v>7.34</v>
      </c>
      <c r="D257" s="27">
        <v>10</v>
      </c>
      <c r="E257" s="28">
        <v>36</v>
      </c>
      <c r="F257" s="16">
        <f t="shared" ref="F257:F264" si="688">(C257*D257*E257/1000)</f>
        <v>2.6424000000000003</v>
      </c>
      <c r="G257" s="17"/>
      <c r="H257" s="18">
        <v>4</v>
      </c>
      <c r="I257" s="19">
        <f t="shared" ref="I257:I264" si="689">(C257*D257*H257/1000)</f>
        <v>0.29360000000000003</v>
      </c>
      <c r="J257" s="17" t="s">
        <v>205</v>
      </c>
      <c r="K257" s="18"/>
      <c r="L257" s="19">
        <f t="shared" ref="L257:L264" si="690">(C257*D257*K257/1000)</f>
        <v>0</v>
      </c>
      <c r="M257" s="16" t="s">
        <v>93</v>
      </c>
      <c r="N257" s="18"/>
      <c r="O257" s="19">
        <f t="shared" ref="O257:O264" si="691">(C257*D257*N257/1000)</f>
        <v>0</v>
      </c>
      <c r="P257" s="16" t="s">
        <v>295</v>
      </c>
      <c r="Q257" s="18">
        <v>26</v>
      </c>
      <c r="R257" s="19">
        <f t="shared" ref="R257:R264" si="692">(C257*D257*Q257/1000)</f>
        <v>1.9084000000000001</v>
      </c>
      <c r="S257" s="20">
        <f t="shared" ref="S257:S264" si="693">+H257+K257+Q257+N257</f>
        <v>30</v>
      </c>
      <c r="T257" s="19">
        <f t="shared" ref="T257:T264" si="694">+I257+L257+R257+O257</f>
        <v>2.202</v>
      </c>
      <c r="U257" s="21">
        <f t="shared" ref="U257:U264" si="695">E257-S257</f>
        <v>6</v>
      </c>
      <c r="V257" s="19">
        <f t="shared" ref="V257:V264" si="696">F257-T257</f>
        <v>0.44040000000000035</v>
      </c>
    </row>
    <row r="258" spans="1:22">
      <c r="A258" s="26" t="s">
        <v>13</v>
      </c>
      <c r="B258" s="26" t="s">
        <v>58</v>
      </c>
      <c r="C258" s="30">
        <v>7.34</v>
      </c>
      <c r="D258" s="27">
        <v>10.5</v>
      </c>
      <c r="E258" s="28">
        <v>75</v>
      </c>
      <c r="F258" s="16">
        <f t="shared" si="688"/>
        <v>5.7802499999999988</v>
      </c>
      <c r="G258" s="17"/>
      <c r="H258" s="18">
        <v>44</v>
      </c>
      <c r="I258" s="19">
        <f t="shared" si="689"/>
        <v>3.3910800000000001</v>
      </c>
      <c r="J258" s="17" t="s">
        <v>351</v>
      </c>
      <c r="K258" s="18"/>
      <c r="L258" s="19">
        <f t="shared" si="690"/>
        <v>0</v>
      </c>
      <c r="M258" s="16" t="s">
        <v>351</v>
      </c>
      <c r="N258" s="18">
        <v>33</v>
      </c>
      <c r="O258" s="19">
        <f t="shared" si="691"/>
        <v>2.54331</v>
      </c>
      <c r="P258" s="16" t="s">
        <v>352</v>
      </c>
      <c r="Q258" s="18"/>
      <c r="R258" s="19">
        <f t="shared" si="692"/>
        <v>0</v>
      </c>
      <c r="S258" s="20">
        <f t="shared" si="693"/>
        <v>77</v>
      </c>
      <c r="T258" s="19">
        <f t="shared" si="694"/>
        <v>5.9343900000000005</v>
      </c>
      <c r="U258" s="21">
        <f t="shared" si="695"/>
        <v>-2</v>
      </c>
      <c r="V258" s="19">
        <f t="shared" si="696"/>
        <v>-0.15414000000000172</v>
      </c>
    </row>
    <row r="259" spans="1:22">
      <c r="A259" s="26" t="s">
        <v>13</v>
      </c>
      <c r="B259" s="26" t="s">
        <v>58</v>
      </c>
      <c r="C259" s="30">
        <v>7.34</v>
      </c>
      <c r="D259" s="27">
        <v>10.7</v>
      </c>
      <c r="E259" s="28">
        <v>38</v>
      </c>
      <c r="F259" s="16">
        <f t="shared" si="688"/>
        <v>2.9844439999999999</v>
      </c>
      <c r="G259" s="17" t="s">
        <v>111</v>
      </c>
      <c r="H259" s="18">
        <v>10</v>
      </c>
      <c r="I259" s="19">
        <f t="shared" si="689"/>
        <v>0.78537999999999997</v>
      </c>
      <c r="J259" s="16"/>
      <c r="K259" s="18">
        <v>28</v>
      </c>
      <c r="L259" s="19">
        <f t="shared" si="690"/>
        <v>2.1990639999999999</v>
      </c>
      <c r="M259" s="16"/>
      <c r="N259" s="18"/>
      <c r="O259" s="19">
        <f t="shared" si="691"/>
        <v>0</v>
      </c>
      <c r="P259" s="16"/>
      <c r="Q259" s="18"/>
      <c r="R259" s="19">
        <f t="shared" si="692"/>
        <v>0</v>
      </c>
      <c r="S259" s="20">
        <f t="shared" si="693"/>
        <v>38</v>
      </c>
      <c r="T259" s="19">
        <f t="shared" si="694"/>
        <v>2.9844439999999999</v>
      </c>
      <c r="U259" s="21">
        <f t="shared" si="695"/>
        <v>0</v>
      </c>
      <c r="V259" s="19">
        <f t="shared" si="696"/>
        <v>0</v>
      </c>
    </row>
    <row r="260" spans="1:22">
      <c r="A260" s="26" t="s">
        <v>13</v>
      </c>
      <c r="B260" s="26" t="s">
        <v>58</v>
      </c>
      <c r="C260" s="30">
        <v>7.34</v>
      </c>
      <c r="D260" s="27">
        <v>11</v>
      </c>
      <c r="E260" s="28">
        <v>67</v>
      </c>
      <c r="F260" s="16">
        <f t="shared" si="688"/>
        <v>5.4095800000000001</v>
      </c>
      <c r="G260" s="17" t="s">
        <v>351</v>
      </c>
      <c r="H260" s="18">
        <v>40</v>
      </c>
      <c r="I260" s="19">
        <f t="shared" si="689"/>
        <v>3.2296</v>
      </c>
      <c r="J260" s="16"/>
      <c r="K260" s="18">
        <v>27</v>
      </c>
      <c r="L260" s="19">
        <f t="shared" si="690"/>
        <v>2.17998</v>
      </c>
      <c r="M260" s="16"/>
      <c r="N260" s="18"/>
      <c r="O260" s="19">
        <f t="shared" si="691"/>
        <v>0</v>
      </c>
      <c r="P260" s="16"/>
      <c r="Q260" s="18"/>
      <c r="R260" s="19">
        <f t="shared" si="692"/>
        <v>0</v>
      </c>
      <c r="S260" s="20">
        <f t="shared" si="693"/>
        <v>67</v>
      </c>
      <c r="T260" s="19">
        <f t="shared" si="694"/>
        <v>5.4095800000000001</v>
      </c>
      <c r="U260" s="21">
        <f t="shared" si="695"/>
        <v>0</v>
      </c>
      <c r="V260" s="19">
        <f t="shared" si="696"/>
        <v>0</v>
      </c>
    </row>
    <row r="261" spans="1:22">
      <c r="A261" s="26" t="s">
        <v>13</v>
      </c>
      <c r="B261" s="26" t="s">
        <v>58</v>
      </c>
      <c r="C261" s="30">
        <v>7.34</v>
      </c>
      <c r="D261" s="27">
        <v>11.2</v>
      </c>
      <c r="E261" s="28">
        <v>28</v>
      </c>
      <c r="F261" s="16">
        <f t="shared" si="688"/>
        <v>2.3018239999999999</v>
      </c>
      <c r="G261" s="17"/>
      <c r="H261" s="18">
        <v>3</v>
      </c>
      <c r="I261" s="19">
        <f t="shared" si="689"/>
        <v>0.24662399999999998</v>
      </c>
      <c r="J261" s="16"/>
      <c r="K261" s="18">
        <v>26</v>
      </c>
      <c r="L261" s="19">
        <f t="shared" si="690"/>
        <v>2.1374079999999998</v>
      </c>
      <c r="M261" s="16"/>
      <c r="N261" s="18"/>
      <c r="O261" s="19">
        <f t="shared" si="691"/>
        <v>0</v>
      </c>
      <c r="P261" s="16"/>
      <c r="Q261" s="18"/>
      <c r="R261" s="19">
        <f t="shared" si="692"/>
        <v>0</v>
      </c>
      <c r="S261" s="20">
        <f t="shared" si="693"/>
        <v>29</v>
      </c>
      <c r="T261" s="19">
        <f t="shared" si="694"/>
        <v>2.3840319999999999</v>
      </c>
      <c r="U261" s="21">
        <f t="shared" si="695"/>
        <v>-1</v>
      </c>
      <c r="V261" s="19">
        <f t="shared" si="696"/>
        <v>-8.2208000000000059E-2</v>
      </c>
    </row>
    <row r="262" spans="1:22">
      <c r="A262" s="26" t="s">
        <v>13</v>
      </c>
      <c r="B262" s="26" t="s">
        <v>58</v>
      </c>
      <c r="C262" s="30">
        <v>7.34</v>
      </c>
      <c r="D262" s="27">
        <v>11.5</v>
      </c>
      <c r="E262" s="28">
        <v>27</v>
      </c>
      <c r="F262" s="16">
        <f t="shared" si="688"/>
        <v>2.2790699999999999</v>
      </c>
      <c r="G262" s="17"/>
      <c r="H262" s="18"/>
      <c r="I262" s="19">
        <f t="shared" si="689"/>
        <v>0</v>
      </c>
      <c r="J262" s="16"/>
      <c r="K262" s="18"/>
      <c r="L262" s="19">
        <f t="shared" si="690"/>
        <v>0</v>
      </c>
      <c r="M262" s="16"/>
      <c r="N262" s="18">
        <v>27</v>
      </c>
      <c r="O262" s="19">
        <f t="shared" si="691"/>
        <v>2.2790699999999999</v>
      </c>
      <c r="P262" s="16"/>
      <c r="Q262" s="18"/>
      <c r="R262" s="19">
        <f t="shared" si="692"/>
        <v>0</v>
      </c>
      <c r="S262" s="20">
        <f t="shared" si="693"/>
        <v>27</v>
      </c>
      <c r="T262" s="19">
        <f t="shared" si="694"/>
        <v>2.2790699999999999</v>
      </c>
      <c r="U262" s="21">
        <f t="shared" si="695"/>
        <v>0</v>
      </c>
      <c r="V262" s="19">
        <f t="shared" si="696"/>
        <v>0</v>
      </c>
    </row>
    <row r="263" spans="1:22">
      <c r="A263" s="26" t="s">
        <v>13</v>
      </c>
      <c r="B263" s="26" t="s">
        <v>58</v>
      </c>
      <c r="C263" s="30">
        <v>7.34</v>
      </c>
      <c r="D263" s="27">
        <v>11.8</v>
      </c>
      <c r="E263" s="28">
        <v>44</v>
      </c>
      <c r="F263" s="16">
        <f t="shared" si="688"/>
        <v>3.8109280000000005</v>
      </c>
      <c r="G263" s="17"/>
      <c r="H263" s="18"/>
      <c r="I263" s="19">
        <f t="shared" si="689"/>
        <v>0</v>
      </c>
      <c r="J263" s="16"/>
      <c r="K263" s="18">
        <v>44</v>
      </c>
      <c r="L263" s="19">
        <f t="shared" si="690"/>
        <v>3.8109280000000005</v>
      </c>
      <c r="M263" s="16"/>
      <c r="N263" s="18"/>
      <c r="O263" s="19">
        <f t="shared" si="691"/>
        <v>0</v>
      </c>
      <c r="P263" s="16"/>
      <c r="Q263" s="18"/>
      <c r="R263" s="19">
        <f t="shared" si="692"/>
        <v>0</v>
      </c>
      <c r="S263" s="20">
        <f t="shared" si="693"/>
        <v>44</v>
      </c>
      <c r="T263" s="19">
        <f t="shared" si="694"/>
        <v>3.8109280000000005</v>
      </c>
      <c r="U263" s="21">
        <f t="shared" si="695"/>
        <v>0</v>
      </c>
      <c r="V263" s="19">
        <f t="shared" si="696"/>
        <v>0</v>
      </c>
    </row>
    <row r="264" spans="1:22">
      <c r="A264" s="26" t="s">
        <v>13</v>
      </c>
      <c r="B264" s="26" t="s">
        <v>58</v>
      </c>
      <c r="C264" s="30">
        <v>7.34</v>
      </c>
      <c r="D264" s="27">
        <v>12</v>
      </c>
      <c r="E264" s="28">
        <v>112</v>
      </c>
      <c r="F264" s="16">
        <f t="shared" si="688"/>
        <v>9.86496</v>
      </c>
      <c r="G264" s="17"/>
      <c r="H264" s="18">
        <v>67</v>
      </c>
      <c r="I264" s="19">
        <f t="shared" si="689"/>
        <v>5.9013599999999995</v>
      </c>
      <c r="J264" s="16"/>
      <c r="K264" s="18">
        <f>24+19</f>
        <v>43</v>
      </c>
      <c r="L264" s="19">
        <f t="shared" si="690"/>
        <v>3.7874400000000001</v>
      </c>
      <c r="M264" s="16"/>
      <c r="N264" s="18">
        <v>5</v>
      </c>
      <c r="O264" s="19">
        <f t="shared" si="691"/>
        <v>0.44039999999999996</v>
      </c>
      <c r="P264" s="16"/>
      <c r="Q264" s="18"/>
      <c r="R264" s="19">
        <f t="shared" si="692"/>
        <v>0</v>
      </c>
      <c r="S264" s="20">
        <f t="shared" si="693"/>
        <v>115</v>
      </c>
      <c r="T264" s="19">
        <f t="shared" si="694"/>
        <v>10.129200000000001</v>
      </c>
      <c r="U264" s="21">
        <f t="shared" si="695"/>
        <v>-3</v>
      </c>
      <c r="V264" s="19">
        <f t="shared" si="696"/>
        <v>-0.26424000000000092</v>
      </c>
    </row>
    <row r="265" spans="1:22">
      <c r="A265" s="36"/>
      <c r="B265" s="36"/>
      <c r="C265" s="30"/>
      <c r="D265" s="38"/>
      <c r="E265" s="31">
        <f t="shared" ref="E265:F265" si="697">SUM(E257:E264)</f>
        <v>427</v>
      </c>
      <c r="F265" s="38">
        <f t="shared" si="697"/>
        <v>35.073456</v>
      </c>
      <c r="H265" s="31">
        <f t="shared" ref="H265" si="698">SUM(H257:H264)</f>
        <v>168</v>
      </c>
      <c r="I265" s="38">
        <f t="shared" ref="I265" si="699">SUM(I257:I264)</f>
        <v>13.847643999999999</v>
      </c>
      <c r="K265" s="31">
        <f t="shared" ref="K265" si="700">SUM(K257:K264)</f>
        <v>168</v>
      </c>
      <c r="L265" s="38">
        <f t="shared" ref="L265" si="701">SUM(L257:L264)</f>
        <v>14.114820000000002</v>
      </c>
      <c r="N265" s="31">
        <f t="shared" ref="N265" si="702">SUM(N257:N264)</f>
        <v>65</v>
      </c>
      <c r="O265" s="38">
        <f t="shared" ref="O265" si="703">SUM(O257:O264)</f>
        <v>5.2627800000000002</v>
      </c>
      <c r="Q265" s="31">
        <f t="shared" ref="Q265" si="704">SUM(Q257:Q264)</f>
        <v>26</v>
      </c>
      <c r="R265" s="38">
        <f t="shared" ref="R265" si="705">SUM(R257:R264)</f>
        <v>1.9084000000000001</v>
      </c>
      <c r="S265" s="31">
        <f t="shared" ref="S265" si="706">SUM(S257:S264)</f>
        <v>427</v>
      </c>
      <c r="T265" s="38">
        <f t="shared" ref="T265" si="707">SUM(T257:T264)</f>
        <v>35.133644000000004</v>
      </c>
      <c r="U265" s="31">
        <f t="shared" ref="U265" si="708">SUM(U257:U264)</f>
        <v>0</v>
      </c>
      <c r="V265" s="38">
        <f t="shared" ref="V265" si="709">SUM(V257:V264)</f>
        <v>-6.0188000000002351E-2</v>
      </c>
    </row>
    <row r="266" spans="1:22">
      <c r="A266" s="26" t="s">
        <v>13</v>
      </c>
      <c r="B266" s="26" t="s">
        <v>36</v>
      </c>
      <c r="C266" s="30">
        <v>6.97</v>
      </c>
      <c r="D266" s="27">
        <v>7.3</v>
      </c>
      <c r="E266" s="28">
        <v>8</v>
      </c>
      <c r="F266" s="16">
        <f t="shared" ref="F266:F267" si="710">(C266*D266*E266/1000)</f>
        <v>0.40704800000000002</v>
      </c>
      <c r="G266" s="16" t="s">
        <v>88</v>
      </c>
      <c r="H266" s="18">
        <v>4</v>
      </c>
      <c r="I266" s="19">
        <f t="shared" ref="I266:I267" si="711">(C266*D266*H266/1000)</f>
        <v>0.20352400000000001</v>
      </c>
      <c r="J266" s="16" t="s">
        <v>389</v>
      </c>
      <c r="K266" s="18">
        <v>4</v>
      </c>
      <c r="L266" s="19">
        <f t="shared" ref="L266:L267" si="712">(C266*D266*K266/1000)</f>
        <v>0.20352400000000001</v>
      </c>
      <c r="M266" s="16"/>
      <c r="N266" s="18"/>
      <c r="O266" s="19">
        <f t="shared" ref="O266:O267" si="713">(C266*D266*N266/1000)</f>
        <v>0</v>
      </c>
      <c r="P266" s="16"/>
      <c r="Q266" s="18"/>
      <c r="R266" s="19">
        <f t="shared" ref="R266:R267" si="714">(C266*D266*Q266/1000)</f>
        <v>0</v>
      </c>
      <c r="S266" s="20">
        <f t="shared" ref="S266:S267" si="715">+H266+K266+Q266+N266</f>
        <v>8</v>
      </c>
      <c r="T266" s="19">
        <f t="shared" ref="T266:T267" si="716">+I266+L266+R266+O266</f>
        <v>0.40704800000000002</v>
      </c>
      <c r="U266" s="21">
        <f t="shared" ref="U266:U267" si="717">E266-S266</f>
        <v>0</v>
      </c>
      <c r="V266" s="19">
        <f t="shared" ref="V266:V267" si="718">F266-T266</f>
        <v>0</v>
      </c>
    </row>
    <row r="267" spans="1:22">
      <c r="A267" s="26" t="s">
        <v>13</v>
      </c>
      <c r="B267" s="26" t="s">
        <v>36</v>
      </c>
      <c r="C267" s="30">
        <v>6.97</v>
      </c>
      <c r="D267" s="27">
        <v>12</v>
      </c>
      <c r="E267" s="28">
        <v>24</v>
      </c>
      <c r="F267" s="16">
        <f t="shared" si="710"/>
        <v>2.0073600000000003</v>
      </c>
      <c r="G267" s="16" t="s">
        <v>388</v>
      </c>
      <c r="H267" s="18">
        <v>24</v>
      </c>
      <c r="I267" s="19">
        <f t="shared" si="711"/>
        <v>2.0073600000000003</v>
      </c>
      <c r="J267" s="16" t="s">
        <v>390</v>
      </c>
      <c r="K267" s="18"/>
      <c r="L267" s="19">
        <f t="shared" si="712"/>
        <v>0</v>
      </c>
      <c r="M267" s="16"/>
      <c r="N267" s="18"/>
      <c r="O267" s="19">
        <f t="shared" si="713"/>
        <v>0</v>
      </c>
      <c r="P267" s="16"/>
      <c r="Q267" s="18"/>
      <c r="R267" s="19">
        <f t="shared" si="714"/>
        <v>0</v>
      </c>
      <c r="S267" s="20">
        <f t="shared" si="715"/>
        <v>24</v>
      </c>
      <c r="T267" s="19">
        <f t="shared" si="716"/>
        <v>2.0073600000000003</v>
      </c>
      <c r="U267" s="21">
        <f t="shared" si="717"/>
        <v>0</v>
      </c>
      <c r="V267" s="19">
        <f t="shared" si="718"/>
        <v>0</v>
      </c>
    </row>
    <row r="268" spans="1:22">
      <c r="A268" s="36"/>
      <c r="B268" s="36"/>
      <c r="C268" s="30"/>
      <c r="D268" s="38"/>
      <c r="E268" s="31">
        <f t="shared" ref="E268:F268" si="719">SUM(E266:E267)</f>
        <v>32</v>
      </c>
      <c r="F268" s="38">
        <f t="shared" si="719"/>
        <v>2.4144080000000003</v>
      </c>
      <c r="H268" s="31">
        <f t="shared" ref="H268" si="720">SUM(H266:H267)</f>
        <v>28</v>
      </c>
      <c r="I268" s="38">
        <f t="shared" ref="I268" si="721">SUM(I266:I267)</f>
        <v>2.2108840000000001</v>
      </c>
      <c r="K268" s="31">
        <f t="shared" ref="K268" si="722">SUM(K266:K267)</f>
        <v>4</v>
      </c>
      <c r="L268" s="38">
        <f t="shared" ref="L268" si="723">SUM(L266:L267)</f>
        <v>0.20352400000000001</v>
      </c>
      <c r="N268" s="31">
        <f t="shared" ref="N268" si="724">SUM(N266:N267)</f>
        <v>0</v>
      </c>
      <c r="O268" s="38">
        <f t="shared" ref="O268" si="725">SUM(O266:O267)</f>
        <v>0</v>
      </c>
      <c r="Q268" s="31">
        <f t="shared" ref="Q268" si="726">SUM(Q266:Q267)</f>
        <v>0</v>
      </c>
      <c r="R268" s="38">
        <f t="shared" ref="R268" si="727">SUM(R266:R267)</f>
        <v>0</v>
      </c>
      <c r="S268" s="31">
        <f t="shared" ref="S268" si="728">SUM(S266:S267)</f>
        <v>32</v>
      </c>
      <c r="T268" s="38">
        <f t="shared" ref="T268" si="729">SUM(T266:T267)</f>
        <v>2.4144080000000003</v>
      </c>
      <c r="U268" s="31">
        <f t="shared" ref="U268" si="730">SUM(U266:U267)</f>
        <v>0</v>
      </c>
      <c r="V268" s="38">
        <f t="shared" ref="V268" si="731">SUM(V266:V267)</f>
        <v>0</v>
      </c>
    </row>
    <row r="269" spans="1:22">
      <c r="A269" s="26" t="s">
        <v>13</v>
      </c>
      <c r="B269" s="26" t="s">
        <v>26</v>
      </c>
      <c r="C269" s="30">
        <v>8.3000000000000007</v>
      </c>
      <c r="D269" s="27">
        <v>7.6</v>
      </c>
      <c r="E269" s="28">
        <v>61</v>
      </c>
      <c r="F269" s="16">
        <f t="shared" ref="F269:F278" si="732">(C269*D269*E269/1000)</f>
        <v>3.84788</v>
      </c>
      <c r="G269" s="16" t="s">
        <v>86</v>
      </c>
      <c r="H269" s="18">
        <v>30</v>
      </c>
      <c r="I269" s="19">
        <f t="shared" ref="I269:I278" si="733">(C269*D269*H269/1000)</f>
        <v>1.8924000000000001</v>
      </c>
      <c r="J269" s="16" t="s">
        <v>86</v>
      </c>
      <c r="K269" s="18">
        <v>30</v>
      </c>
      <c r="L269" s="19">
        <f t="shared" ref="L269:L278" si="734">(C269*D269*K269/1000)</f>
        <v>1.8924000000000001</v>
      </c>
      <c r="M269" s="16"/>
      <c r="N269" s="18"/>
      <c r="O269" s="19">
        <f t="shared" ref="O269:O278" si="735">(C269*D269*N269/1000)</f>
        <v>0</v>
      </c>
      <c r="P269" s="16"/>
      <c r="Q269" s="18"/>
      <c r="R269" s="19">
        <f t="shared" ref="R269:R278" si="736">(C269*D269*Q269/1000)</f>
        <v>0</v>
      </c>
      <c r="S269" s="20">
        <f t="shared" ref="S269:S278" si="737">+H269+K269+Q269+N269</f>
        <v>60</v>
      </c>
      <c r="T269" s="19">
        <f t="shared" ref="T269:T278" si="738">+I269+L269+R269+O269</f>
        <v>3.7848000000000002</v>
      </c>
      <c r="U269" s="21">
        <f t="shared" ref="U269:U278" si="739">E269-S269</f>
        <v>1</v>
      </c>
      <c r="V269" s="19">
        <f t="shared" ref="V269:V278" si="740">F269-T269</f>
        <v>6.3079999999999803E-2</v>
      </c>
    </row>
    <row r="270" spans="1:22">
      <c r="A270" s="26" t="s">
        <v>13</v>
      </c>
      <c r="B270" s="26" t="s">
        <v>26</v>
      </c>
      <c r="C270" s="30">
        <v>8.3000000000000007</v>
      </c>
      <c r="D270" s="27">
        <v>8.9</v>
      </c>
      <c r="E270" s="28">
        <v>132</v>
      </c>
      <c r="F270" s="16">
        <f t="shared" si="732"/>
        <v>9.7508400000000002</v>
      </c>
      <c r="G270" s="16" t="s">
        <v>355</v>
      </c>
      <c r="H270" s="18">
        <v>65</v>
      </c>
      <c r="I270" s="19">
        <f t="shared" si="733"/>
        <v>4.8015499999999998</v>
      </c>
      <c r="J270" s="16" t="s">
        <v>356</v>
      </c>
      <c r="K270" s="18">
        <v>62</v>
      </c>
      <c r="L270" s="19">
        <f t="shared" si="734"/>
        <v>4.5799400000000006</v>
      </c>
      <c r="M270" s="16"/>
      <c r="N270" s="18"/>
      <c r="O270" s="19">
        <f t="shared" si="735"/>
        <v>0</v>
      </c>
      <c r="P270" s="16"/>
      <c r="Q270" s="18"/>
      <c r="R270" s="19">
        <f t="shared" si="736"/>
        <v>0</v>
      </c>
      <c r="S270" s="20">
        <f t="shared" si="737"/>
        <v>127</v>
      </c>
      <c r="T270" s="19">
        <f t="shared" si="738"/>
        <v>9.3814899999999994</v>
      </c>
      <c r="U270" s="21">
        <f t="shared" si="739"/>
        <v>5</v>
      </c>
      <c r="V270" s="19">
        <f t="shared" si="740"/>
        <v>0.36935000000000073</v>
      </c>
    </row>
    <row r="271" spans="1:22">
      <c r="A271" s="26" t="s">
        <v>13</v>
      </c>
      <c r="B271" s="26" t="s">
        <v>26</v>
      </c>
      <c r="C271" s="30">
        <v>8.3000000000000007</v>
      </c>
      <c r="D271" s="27">
        <v>10</v>
      </c>
      <c r="E271" s="28">
        <v>39</v>
      </c>
      <c r="F271" s="16">
        <f t="shared" si="732"/>
        <v>3.2370000000000001</v>
      </c>
      <c r="G271" s="17"/>
      <c r="H271" s="18">
        <v>27</v>
      </c>
      <c r="I271" s="19">
        <f t="shared" si="733"/>
        <v>2.2410000000000001</v>
      </c>
      <c r="J271" s="16" t="s">
        <v>93</v>
      </c>
      <c r="K271" s="18">
        <v>22</v>
      </c>
      <c r="L271" s="19">
        <f t="shared" si="734"/>
        <v>1.8260000000000001</v>
      </c>
      <c r="M271" s="16"/>
      <c r="N271" s="18"/>
      <c r="O271" s="19">
        <f t="shared" si="735"/>
        <v>0</v>
      </c>
      <c r="P271" s="16"/>
      <c r="Q271" s="18"/>
      <c r="R271" s="19">
        <f t="shared" si="736"/>
        <v>0</v>
      </c>
      <c r="S271" s="20">
        <f t="shared" si="737"/>
        <v>49</v>
      </c>
      <c r="T271" s="19">
        <f t="shared" si="738"/>
        <v>4.0670000000000002</v>
      </c>
      <c r="U271" s="21">
        <f t="shared" si="739"/>
        <v>-10</v>
      </c>
      <c r="V271" s="19">
        <f t="shared" si="740"/>
        <v>-0.83000000000000007</v>
      </c>
    </row>
    <row r="272" spans="1:22">
      <c r="A272" s="26" t="s">
        <v>13</v>
      </c>
      <c r="B272" s="26" t="s">
        <v>26</v>
      </c>
      <c r="C272" s="30">
        <v>8.3000000000000007</v>
      </c>
      <c r="D272" s="27">
        <v>10.3</v>
      </c>
      <c r="E272" s="28">
        <v>56</v>
      </c>
      <c r="F272" s="16">
        <f t="shared" si="732"/>
        <v>4.7874400000000001</v>
      </c>
      <c r="G272" s="17"/>
      <c r="H272" s="18">
        <f>6+34</f>
        <v>40</v>
      </c>
      <c r="I272" s="19">
        <f t="shared" si="733"/>
        <v>3.4196000000000004</v>
      </c>
      <c r="J272" s="16" t="s">
        <v>356</v>
      </c>
      <c r="K272" s="18"/>
      <c r="L272" s="19">
        <f t="shared" si="734"/>
        <v>0</v>
      </c>
      <c r="M272" s="16"/>
      <c r="N272" s="18"/>
      <c r="O272" s="19">
        <f t="shared" si="735"/>
        <v>0</v>
      </c>
      <c r="P272" s="16"/>
      <c r="Q272" s="18"/>
      <c r="R272" s="19">
        <f t="shared" si="736"/>
        <v>0</v>
      </c>
      <c r="S272" s="20">
        <f t="shared" si="737"/>
        <v>40</v>
      </c>
      <c r="T272" s="19">
        <f t="shared" si="738"/>
        <v>3.4196000000000004</v>
      </c>
      <c r="U272" s="21">
        <f t="shared" si="739"/>
        <v>16</v>
      </c>
      <c r="V272" s="19">
        <f t="shared" si="740"/>
        <v>1.3678399999999997</v>
      </c>
    </row>
    <row r="273" spans="1:22">
      <c r="A273" s="26" t="s">
        <v>13</v>
      </c>
      <c r="B273" s="26" t="s">
        <v>26</v>
      </c>
      <c r="C273" s="30">
        <v>8.3000000000000007</v>
      </c>
      <c r="D273" s="27">
        <v>10.5</v>
      </c>
      <c r="E273" s="28">
        <v>21</v>
      </c>
      <c r="F273" s="16">
        <f t="shared" si="732"/>
        <v>1.8301500000000002</v>
      </c>
      <c r="G273" s="17"/>
      <c r="H273" s="18"/>
      <c r="I273" s="19">
        <f t="shared" si="733"/>
        <v>0</v>
      </c>
      <c r="J273" s="16"/>
      <c r="K273" s="18">
        <v>21</v>
      </c>
      <c r="L273" s="19">
        <f t="shared" si="734"/>
        <v>1.8301500000000002</v>
      </c>
      <c r="M273" s="16"/>
      <c r="N273" s="18"/>
      <c r="O273" s="19">
        <f t="shared" si="735"/>
        <v>0</v>
      </c>
      <c r="P273" s="16"/>
      <c r="Q273" s="18"/>
      <c r="R273" s="19">
        <f t="shared" si="736"/>
        <v>0</v>
      </c>
      <c r="S273" s="20">
        <f t="shared" si="737"/>
        <v>21</v>
      </c>
      <c r="T273" s="19">
        <f t="shared" si="738"/>
        <v>1.8301500000000002</v>
      </c>
      <c r="U273" s="21">
        <f t="shared" si="739"/>
        <v>0</v>
      </c>
      <c r="V273" s="19">
        <f t="shared" si="740"/>
        <v>0</v>
      </c>
    </row>
    <row r="274" spans="1:22">
      <c r="A274" s="26" t="s">
        <v>13</v>
      </c>
      <c r="B274" s="26" t="s">
        <v>26</v>
      </c>
      <c r="C274" s="30">
        <v>8.3000000000000007</v>
      </c>
      <c r="D274" s="27">
        <v>10.8</v>
      </c>
      <c r="E274" s="28">
        <v>32</v>
      </c>
      <c r="F274" s="16">
        <f t="shared" si="732"/>
        <v>2.8684800000000004</v>
      </c>
      <c r="G274" s="17"/>
      <c r="H274" s="18">
        <v>18</v>
      </c>
      <c r="I274" s="19">
        <f t="shared" si="733"/>
        <v>1.6135200000000003</v>
      </c>
      <c r="J274" s="16"/>
      <c r="K274" s="18">
        <v>15</v>
      </c>
      <c r="L274" s="19">
        <f t="shared" si="734"/>
        <v>1.3446000000000002</v>
      </c>
      <c r="M274" s="16"/>
      <c r="N274" s="18"/>
      <c r="O274" s="19">
        <f t="shared" si="735"/>
        <v>0</v>
      </c>
      <c r="P274" s="16"/>
      <c r="Q274" s="18"/>
      <c r="R274" s="19">
        <f t="shared" si="736"/>
        <v>0</v>
      </c>
      <c r="S274" s="20">
        <f t="shared" si="737"/>
        <v>33</v>
      </c>
      <c r="T274" s="19">
        <f t="shared" si="738"/>
        <v>2.9581200000000005</v>
      </c>
      <c r="U274" s="21">
        <f t="shared" si="739"/>
        <v>-1</v>
      </c>
      <c r="V274" s="19">
        <f t="shared" si="740"/>
        <v>-8.9640000000000164E-2</v>
      </c>
    </row>
    <row r="275" spans="1:22">
      <c r="A275" s="26" t="s">
        <v>13</v>
      </c>
      <c r="B275" s="26" t="s">
        <v>26</v>
      </c>
      <c r="C275" s="30">
        <v>8.3000000000000007</v>
      </c>
      <c r="D275" s="27">
        <v>11</v>
      </c>
      <c r="E275" s="28">
        <v>86</v>
      </c>
      <c r="F275" s="16">
        <f t="shared" si="732"/>
        <v>7.8518000000000008</v>
      </c>
      <c r="G275" s="17"/>
      <c r="H275" s="18">
        <f>58+1</f>
        <v>59</v>
      </c>
      <c r="I275" s="19">
        <f t="shared" si="733"/>
        <v>5.3867000000000012</v>
      </c>
      <c r="J275" s="16"/>
      <c r="K275" s="18">
        <v>27</v>
      </c>
      <c r="L275" s="19">
        <f t="shared" si="734"/>
        <v>2.4651000000000005</v>
      </c>
      <c r="M275" s="16"/>
      <c r="N275" s="18"/>
      <c r="O275" s="19">
        <f t="shared" si="735"/>
        <v>0</v>
      </c>
      <c r="P275" s="16"/>
      <c r="Q275" s="18"/>
      <c r="R275" s="19">
        <f t="shared" si="736"/>
        <v>0</v>
      </c>
      <c r="S275" s="20">
        <f t="shared" si="737"/>
        <v>86</v>
      </c>
      <c r="T275" s="19">
        <f t="shared" si="738"/>
        <v>7.8518000000000017</v>
      </c>
      <c r="U275" s="21">
        <f t="shared" si="739"/>
        <v>0</v>
      </c>
      <c r="V275" s="19">
        <f t="shared" si="740"/>
        <v>0</v>
      </c>
    </row>
    <row r="276" spans="1:22">
      <c r="A276" s="26" t="s">
        <v>13</v>
      </c>
      <c r="B276" s="26" t="s">
        <v>26</v>
      </c>
      <c r="C276" s="30">
        <v>8.3000000000000007</v>
      </c>
      <c r="D276" s="27">
        <v>11.5</v>
      </c>
      <c r="E276" s="28">
        <v>38</v>
      </c>
      <c r="F276" s="16">
        <f t="shared" si="732"/>
        <v>3.6271</v>
      </c>
      <c r="G276" s="17"/>
      <c r="H276" s="18">
        <v>38</v>
      </c>
      <c r="I276" s="19">
        <f t="shared" si="733"/>
        <v>3.6271</v>
      </c>
      <c r="J276" s="16"/>
      <c r="K276" s="18"/>
      <c r="L276" s="19">
        <f t="shared" si="734"/>
        <v>0</v>
      </c>
      <c r="M276" s="16"/>
      <c r="N276" s="18"/>
      <c r="O276" s="19">
        <f t="shared" si="735"/>
        <v>0</v>
      </c>
      <c r="P276" s="16"/>
      <c r="Q276" s="18"/>
      <c r="R276" s="19">
        <f t="shared" si="736"/>
        <v>0</v>
      </c>
      <c r="S276" s="20">
        <f t="shared" si="737"/>
        <v>38</v>
      </c>
      <c r="T276" s="19">
        <f t="shared" si="738"/>
        <v>3.6271</v>
      </c>
      <c r="U276" s="21">
        <f t="shared" si="739"/>
        <v>0</v>
      </c>
      <c r="V276" s="19">
        <f t="shared" si="740"/>
        <v>0</v>
      </c>
    </row>
    <row r="277" spans="1:22">
      <c r="A277" s="26" t="s">
        <v>13</v>
      </c>
      <c r="B277" s="26" t="s">
        <v>26</v>
      </c>
      <c r="C277" s="30">
        <v>8.3000000000000007</v>
      </c>
      <c r="D277" s="27">
        <v>11.8</v>
      </c>
      <c r="E277" s="28">
        <v>66</v>
      </c>
      <c r="F277" s="16">
        <f t="shared" si="732"/>
        <v>6.4640400000000007</v>
      </c>
      <c r="G277" s="17"/>
      <c r="H277" s="18">
        <v>26</v>
      </c>
      <c r="I277" s="19">
        <f t="shared" si="733"/>
        <v>2.5464400000000005</v>
      </c>
      <c r="J277" s="16"/>
      <c r="K277" s="18">
        <v>47</v>
      </c>
      <c r="L277" s="19">
        <f t="shared" si="734"/>
        <v>4.60318</v>
      </c>
      <c r="M277" s="16"/>
      <c r="N277" s="18"/>
      <c r="O277" s="19">
        <f t="shared" si="735"/>
        <v>0</v>
      </c>
      <c r="P277" s="16"/>
      <c r="Q277" s="18"/>
      <c r="R277" s="19">
        <f t="shared" si="736"/>
        <v>0</v>
      </c>
      <c r="S277" s="20">
        <f t="shared" si="737"/>
        <v>73</v>
      </c>
      <c r="T277" s="19">
        <f t="shared" si="738"/>
        <v>7.1496200000000005</v>
      </c>
      <c r="U277" s="21">
        <f t="shared" si="739"/>
        <v>-7</v>
      </c>
      <c r="V277" s="19">
        <f t="shared" si="740"/>
        <v>-0.68557999999999986</v>
      </c>
    </row>
    <row r="278" spans="1:22">
      <c r="A278" s="26" t="s">
        <v>13</v>
      </c>
      <c r="B278" s="26" t="s">
        <v>26</v>
      </c>
      <c r="C278" s="30">
        <v>8.3000000000000007</v>
      </c>
      <c r="D278" s="27">
        <v>12</v>
      </c>
      <c r="E278" s="28">
        <v>52</v>
      </c>
      <c r="F278" s="16">
        <f t="shared" si="732"/>
        <v>5.1792000000000007</v>
      </c>
      <c r="G278" s="17"/>
      <c r="H278" s="18">
        <v>26</v>
      </c>
      <c r="I278" s="19">
        <f t="shared" si="733"/>
        <v>2.5896000000000003</v>
      </c>
      <c r="J278" s="16"/>
      <c r="K278" s="18">
        <f>8+20</f>
        <v>28</v>
      </c>
      <c r="L278" s="19">
        <f t="shared" si="734"/>
        <v>2.7888000000000002</v>
      </c>
      <c r="M278" s="16"/>
      <c r="N278" s="18"/>
      <c r="O278" s="19">
        <f t="shared" si="735"/>
        <v>0</v>
      </c>
      <c r="P278" s="16"/>
      <c r="Q278" s="18"/>
      <c r="R278" s="19">
        <f t="shared" si="736"/>
        <v>0</v>
      </c>
      <c r="S278" s="20">
        <f t="shared" si="737"/>
        <v>54</v>
      </c>
      <c r="T278" s="19">
        <f t="shared" si="738"/>
        <v>5.378400000000001</v>
      </c>
      <c r="U278" s="21">
        <f t="shared" si="739"/>
        <v>-2</v>
      </c>
      <c r="V278" s="19">
        <f t="shared" si="740"/>
        <v>-0.19920000000000027</v>
      </c>
    </row>
    <row r="279" spans="1:22">
      <c r="A279" s="36"/>
      <c r="B279" s="36"/>
      <c r="C279" s="30"/>
      <c r="D279" s="38"/>
      <c r="E279" s="31">
        <f t="shared" ref="E279:F279" si="741">SUM(E269:E278)</f>
        <v>583</v>
      </c>
      <c r="F279" s="38">
        <f t="shared" si="741"/>
        <v>49.443930000000002</v>
      </c>
      <c r="H279" s="31">
        <f t="shared" ref="H279" si="742">SUM(H269:H278)</f>
        <v>329</v>
      </c>
      <c r="I279" s="38">
        <f t="shared" ref="I279" si="743">SUM(I269:I278)</f>
        <v>28.117910000000002</v>
      </c>
      <c r="K279" s="31">
        <f t="shared" ref="K279" si="744">SUM(K269:K278)</f>
        <v>252</v>
      </c>
      <c r="L279" s="38">
        <f t="shared" ref="L279" si="745">SUM(L269:L278)</f>
        <v>21.330170000000003</v>
      </c>
      <c r="N279" s="31">
        <f t="shared" ref="N279" si="746">SUM(N269:N278)</f>
        <v>0</v>
      </c>
      <c r="O279" s="38">
        <f t="shared" ref="O279" si="747">SUM(O269:O278)</f>
        <v>0</v>
      </c>
      <c r="Q279" s="31">
        <f t="shared" ref="Q279" si="748">SUM(Q269:Q278)</f>
        <v>0</v>
      </c>
      <c r="R279" s="38">
        <f t="shared" ref="R279" si="749">SUM(R269:R278)</f>
        <v>0</v>
      </c>
      <c r="S279" s="31">
        <f t="shared" ref="S279" si="750">SUM(S269:S278)</f>
        <v>581</v>
      </c>
      <c r="T279" s="38">
        <f t="shared" ref="T279" si="751">SUM(T269:T278)</f>
        <v>49.448079999999997</v>
      </c>
      <c r="U279" s="31">
        <f t="shared" ref="U279" si="752">SUM(U269:U278)</f>
        <v>2</v>
      </c>
      <c r="V279" s="38">
        <f t="shared" ref="V279" si="753">SUM(V269:V278)</f>
        <v>-4.1500000000000981E-3</v>
      </c>
    </row>
    <row r="280" spans="1:22">
      <c r="A280" s="26" t="s">
        <v>13</v>
      </c>
      <c r="B280" s="26" t="s">
        <v>37</v>
      </c>
      <c r="C280" s="30">
        <v>9.61</v>
      </c>
      <c r="D280" s="27">
        <v>7.2</v>
      </c>
      <c r="E280" s="28">
        <v>10</v>
      </c>
      <c r="F280" s="16">
        <f t="shared" ref="F280:F288" si="754">(C280*D280*E280/1000)</f>
        <v>0.69191999999999998</v>
      </c>
      <c r="G280" s="16" t="s">
        <v>111</v>
      </c>
      <c r="H280" s="18"/>
      <c r="I280" s="19">
        <f t="shared" ref="I280:I288" si="755">(C280*D280*H280/1000)</f>
        <v>0</v>
      </c>
      <c r="J280" s="16" t="s">
        <v>389</v>
      </c>
      <c r="K280" s="18">
        <v>10</v>
      </c>
      <c r="L280" s="19">
        <f t="shared" ref="L280:L288" si="756">(C280*D280*K280/1000)</f>
        <v>0.69191999999999998</v>
      </c>
      <c r="M280" s="16" t="s">
        <v>392</v>
      </c>
      <c r="N280" s="18"/>
      <c r="O280" s="19">
        <f t="shared" ref="O280:O288" si="757">(C280*D280*N280/1000)</f>
        <v>0</v>
      </c>
      <c r="P280" s="16"/>
      <c r="Q280" s="18"/>
      <c r="R280" s="19">
        <f t="shared" ref="R280:R288" si="758">(C280*D280*Q280/1000)</f>
        <v>0</v>
      </c>
      <c r="S280" s="20">
        <f t="shared" ref="S280:S288" si="759">+H280+K280+Q280+N280</f>
        <v>10</v>
      </c>
      <c r="T280" s="19">
        <f t="shared" ref="T280:T288" si="760">+I280+L280+R280+O280</f>
        <v>0.69191999999999998</v>
      </c>
      <c r="U280" s="21">
        <f t="shared" ref="U280:U288" si="761">E280-S280</f>
        <v>0</v>
      </c>
      <c r="V280" s="19">
        <f t="shared" ref="V280:V288" si="762">F280-T280</f>
        <v>0</v>
      </c>
    </row>
    <row r="281" spans="1:22">
      <c r="A281" s="26" t="s">
        <v>13</v>
      </c>
      <c r="B281" s="26" t="s">
        <v>37</v>
      </c>
      <c r="C281" s="30">
        <v>9.61</v>
      </c>
      <c r="D281" s="27">
        <v>8.75</v>
      </c>
      <c r="E281" s="28">
        <v>25</v>
      </c>
      <c r="F281" s="16">
        <f t="shared" si="754"/>
        <v>2.1021874999999999</v>
      </c>
      <c r="G281" s="16" t="s">
        <v>355</v>
      </c>
      <c r="H281" s="18">
        <v>18</v>
      </c>
      <c r="I281" s="19">
        <f t="shared" si="755"/>
        <v>1.5135749999999999</v>
      </c>
      <c r="J281" s="16" t="s">
        <v>390</v>
      </c>
      <c r="K281" s="18">
        <v>7</v>
      </c>
      <c r="L281" s="19">
        <f t="shared" si="756"/>
        <v>0.58861249999999998</v>
      </c>
      <c r="M281" s="16" t="s">
        <v>393</v>
      </c>
      <c r="N281" s="18"/>
      <c r="O281" s="19">
        <f t="shared" si="757"/>
        <v>0</v>
      </c>
      <c r="P281" s="16"/>
      <c r="Q281" s="18"/>
      <c r="R281" s="19">
        <f t="shared" si="758"/>
        <v>0</v>
      </c>
      <c r="S281" s="20">
        <f t="shared" si="759"/>
        <v>25</v>
      </c>
      <c r="T281" s="19">
        <f t="shared" si="760"/>
        <v>2.1021874999999999</v>
      </c>
      <c r="U281" s="21">
        <f t="shared" si="761"/>
        <v>0</v>
      </c>
      <c r="V281" s="19">
        <f t="shared" si="762"/>
        <v>0</v>
      </c>
    </row>
    <row r="282" spans="1:22">
      <c r="A282" s="26" t="s">
        <v>13</v>
      </c>
      <c r="B282" s="26" t="s">
        <v>37</v>
      </c>
      <c r="C282" s="30">
        <v>9.61</v>
      </c>
      <c r="D282" s="27">
        <v>10</v>
      </c>
      <c r="E282" s="28">
        <v>6</v>
      </c>
      <c r="F282" s="16">
        <f t="shared" si="754"/>
        <v>0.57659999999999989</v>
      </c>
      <c r="G282" s="17"/>
      <c r="H282" s="18"/>
      <c r="I282" s="19">
        <f t="shared" si="755"/>
        <v>0</v>
      </c>
      <c r="J282" s="16"/>
      <c r="K282" s="18">
        <v>6</v>
      </c>
      <c r="L282" s="19">
        <f t="shared" si="756"/>
        <v>0.57659999999999989</v>
      </c>
      <c r="M282" s="16"/>
      <c r="N282" s="18"/>
      <c r="O282" s="19">
        <f t="shared" si="757"/>
        <v>0</v>
      </c>
      <c r="P282" s="16"/>
      <c r="Q282" s="18"/>
      <c r="R282" s="19">
        <f t="shared" si="758"/>
        <v>0</v>
      </c>
      <c r="S282" s="20">
        <f t="shared" si="759"/>
        <v>6</v>
      </c>
      <c r="T282" s="19">
        <f t="shared" si="760"/>
        <v>0.57659999999999989</v>
      </c>
      <c r="U282" s="21">
        <f t="shared" si="761"/>
        <v>0</v>
      </c>
      <c r="V282" s="19">
        <f t="shared" si="762"/>
        <v>0</v>
      </c>
    </row>
    <row r="283" spans="1:22">
      <c r="A283" s="26" t="s">
        <v>13</v>
      </c>
      <c r="B283" s="26" t="s">
        <v>37</v>
      </c>
      <c r="C283" s="30">
        <v>9.61</v>
      </c>
      <c r="D283" s="27">
        <v>11</v>
      </c>
      <c r="E283" s="28">
        <v>12</v>
      </c>
      <c r="F283" s="16">
        <f t="shared" si="754"/>
        <v>1.2685200000000001</v>
      </c>
      <c r="G283" s="17"/>
      <c r="H283" s="18">
        <v>12</v>
      </c>
      <c r="I283" s="19">
        <f t="shared" si="755"/>
        <v>1.2685200000000001</v>
      </c>
      <c r="J283" s="16"/>
      <c r="K283" s="18"/>
      <c r="L283" s="19">
        <f t="shared" si="756"/>
        <v>0</v>
      </c>
      <c r="M283" s="16"/>
      <c r="N283" s="18"/>
      <c r="O283" s="19">
        <f t="shared" si="757"/>
        <v>0</v>
      </c>
      <c r="P283" s="16"/>
      <c r="Q283" s="18"/>
      <c r="R283" s="19">
        <f t="shared" si="758"/>
        <v>0</v>
      </c>
      <c r="S283" s="20">
        <f t="shared" si="759"/>
        <v>12</v>
      </c>
      <c r="T283" s="19">
        <f t="shared" si="760"/>
        <v>1.2685200000000001</v>
      </c>
      <c r="U283" s="21">
        <f t="shared" si="761"/>
        <v>0</v>
      </c>
      <c r="V283" s="19">
        <f t="shared" si="762"/>
        <v>0</v>
      </c>
    </row>
    <row r="284" spans="1:22">
      <c r="A284" s="26" t="s">
        <v>13</v>
      </c>
      <c r="B284" s="26" t="s">
        <v>37</v>
      </c>
      <c r="C284" s="30">
        <v>9.61</v>
      </c>
      <c r="D284" s="27">
        <v>11.5</v>
      </c>
      <c r="E284" s="28">
        <v>46</v>
      </c>
      <c r="F284" s="16">
        <f t="shared" ref="F284:F287" si="763">(C284*D284*E284/1000)</f>
        <v>5.0836899999999998</v>
      </c>
      <c r="G284" s="17"/>
      <c r="H284" s="18"/>
      <c r="I284" s="19">
        <f t="shared" ref="I284:I287" si="764">(C284*D284*H284/1000)</f>
        <v>0</v>
      </c>
      <c r="J284" s="16"/>
      <c r="K284" s="18">
        <v>37</v>
      </c>
      <c r="L284" s="19">
        <f t="shared" ref="L284:L287" si="765">(C284*D284*K284/1000)</f>
        <v>4.0890549999999992</v>
      </c>
      <c r="M284" s="16"/>
      <c r="N284" s="18"/>
      <c r="O284" s="19">
        <f t="shared" ref="O284:O287" si="766">(C284*D284*N284/1000)</f>
        <v>0</v>
      </c>
      <c r="P284" s="16"/>
      <c r="Q284" s="18"/>
      <c r="R284" s="19">
        <f t="shared" ref="R284:R287" si="767">(C284*D284*Q284/1000)</f>
        <v>0</v>
      </c>
      <c r="S284" s="20">
        <f t="shared" ref="S284:S287" si="768">+H284+K284+Q284+N284</f>
        <v>37</v>
      </c>
      <c r="T284" s="19">
        <f t="shared" ref="T284:T287" si="769">+I284+L284+R284+O284</f>
        <v>4.0890549999999992</v>
      </c>
      <c r="U284" s="21">
        <f t="shared" ref="U284:U287" si="770">E284-S284</f>
        <v>9</v>
      </c>
      <c r="V284" s="19">
        <f t="shared" ref="V284:V287" si="771">F284-T284</f>
        <v>0.9946350000000006</v>
      </c>
    </row>
    <row r="285" spans="1:22">
      <c r="A285" s="26" t="s">
        <v>13</v>
      </c>
      <c r="B285" s="26" t="s">
        <v>37</v>
      </c>
      <c r="C285" s="30">
        <v>9.61</v>
      </c>
      <c r="D285" s="27">
        <v>10.5</v>
      </c>
      <c r="E285" s="28"/>
      <c r="F285" s="16">
        <f t="shared" si="763"/>
        <v>0</v>
      </c>
      <c r="G285" s="17"/>
      <c r="H285" s="18"/>
      <c r="I285" s="19">
        <f t="shared" si="764"/>
        <v>0</v>
      </c>
      <c r="J285" s="16"/>
      <c r="K285" s="18"/>
      <c r="L285" s="19">
        <f t="shared" si="765"/>
        <v>0</v>
      </c>
      <c r="M285" s="16"/>
      <c r="N285" s="18">
        <v>5</v>
      </c>
      <c r="O285" s="19">
        <f t="shared" si="766"/>
        <v>0.504525</v>
      </c>
      <c r="P285" s="16"/>
      <c r="Q285" s="18"/>
      <c r="R285" s="19">
        <f t="shared" si="767"/>
        <v>0</v>
      </c>
      <c r="S285" s="20">
        <f t="shared" si="768"/>
        <v>5</v>
      </c>
      <c r="T285" s="19">
        <f t="shared" si="769"/>
        <v>0.504525</v>
      </c>
      <c r="U285" s="21">
        <f t="shared" si="770"/>
        <v>-5</v>
      </c>
      <c r="V285" s="19">
        <f t="shared" si="771"/>
        <v>-0.504525</v>
      </c>
    </row>
    <row r="286" spans="1:22">
      <c r="A286" s="26" t="s">
        <v>13</v>
      </c>
      <c r="B286" s="26" t="s">
        <v>37</v>
      </c>
      <c r="C286" s="30">
        <v>9.61</v>
      </c>
      <c r="D286" s="27">
        <v>11.7</v>
      </c>
      <c r="E286" s="28"/>
      <c r="F286" s="16">
        <f t="shared" si="763"/>
        <v>0</v>
      </c>
      <c r="G286" s="17"/>
      <c r="H286" s="18"/>
      <c r="I286" s="19">
        <f t="shared" si="764"/>
        <v>0</v>
      </c>
      <c r="J286" s="16"/>
      <c r="K286" s="18"/>
      <c r="L286" s="19">
        <f t="shared" si="765"/>
        <v>0</v>
      </c>
      <c r="M286" s="16"/>
      <c r="N286" s="18">
        <v>1</v>
      </c>
      <c r="O286" s="19">
        <f t="shared" si="766"/>
        <v>0.11243699999999998</v>
      </c>
      <c r="P286" s="16"/>
      <c r="Q286" s="18"/>
      <c r="R286" s="19">
        <f t="shared" si="767"/>
        <v>0</v>
      </c>
      <c r="S286" s="20">
        <f t="shared" si="768"/>
        <v>1</v>
      </c>
      <c r="T286" s="19">
        <f t="shared" si="769"/>
        <v>0.11243699999999998</v>
      </c>
      <c r="U286" s="21">
        <f t="shared" si="770"/>
        <v>-1</v>
      </c>
      <c r="V286" s="19">
        <f t="shared" si="771"/>
        <v>-0.11243699999999998</v>
      </c>
    </row>
    <row r="287" spans="1:22">
      <c r="A287" s="26" t="s">
        <v>13</v>
      </c>
      <c r="B287" s="26" t="s">
        <v>37</v>
      </c>
      <c r="C287" s="30">
        <v>9.61</v>
      </c>
      <c r="D287" s="27">
        <v>9.5</v>
      </c>
      <c r="E287" s="28"/>
      <c r="F287" s="16">
        <f t="shared" si="763"/>
        <v>0</v>
      </c>
      <c r="G287" s="17"/>
      <c r="H287" s="18"/>
      <c r="I287" s="19">
        <f t="shared" si="764"/>
        <v>0</v>
      </c>
      <c r="J287" s="16"/>
      <c r="K287" s="18"/>
      <c r="L287" s="19">
        <f t="shared" si="765"/>
        <v>0</v>
      </c>
      <c r="M287" s="16"/>
      <c r="N287" s="18">
        <v>6</v>
      </c>
      <c r="O287" s="19">
        <f t="shared" si="766"/>
        <v>0.54776999999999998</v>
      </c>
      <c r="P287" s="16"/>
      <c r="Q287" s="18"/>
      <c r="R287" s="19">
        <f t="shared" si="767"/>
        <v>0</v>
      </c>
      <c r="S287" s="20">
        <f t="shared" si="768"/>
        <v>6</v>
      </c>
      <c r="T287" s="19">
        <f t="shared" si="769"/>
        <v>0.54776999999999998</v>
      </c>
      <c r="U287" s="21">
        <f t="shared" si="770"/>
        <v>-6</v>
      </c>
      <c r="V287" s="19">
        <f t="shared" si="771"/>
        <v>-0.54776999999999998</v>
      </c>
    </row>
    <row r="288" spans="1:22">
      <c r="A288" s="26" t="s">
        <v>13</v>
      </c>
      <c r="B288" s="26" t="s">
        <v>37</v>
      </c>
      <c r="C288" s="30">
        <v>9.61</v>
      </c>
      <c r="D288" s="27">
        <v>9.8000000000000007</v>
      </c>
      <c r="E288" s="28"/>
      <c r="F288" s="16">
        <f t="shared" si="754"/>
        <v>0</v>
      </c>
      <c r="G288" s="17"/>
      <c r="H288" s="18"/>
      <c r="I288" s="19">
        <f t="shared" si="755"/>
        <v>0</v>
      </c>
      <c r="J288" s="16"/>
      <c r="K288" s="18"/>
      <c r="L288" s="19">
        <f t="shared" si="756"/>
        <v>0</v>
      </c>
      <c r="M288" s="16"/>
      <c r="N288" s="18">
        <v>1</v>
      </c>
      <c r="O288" s="19">
        <f t="shared" si="757"/>
        <v>9.4177999999999998E-2</v>
      </c>
      <c r="P288" s="16"/>
      <c r="Q288" s="18"/>
      <c r="R288" s="19">
        <f t="shared" si="758"/>
        <v>0</v>
      </c>
      <c r="S288" s="20">
        <f t="shared" si="759"/>
        <v>1</v>
      </c>
      <c r="T288" s="19">
        <f t="shared" si="760"/>
        <v>9.4177999999999998E-2</v>
      </c>
      <c r="U288" s="21">
        <f t="shared" si="761"/>
        <v>-1</v>
      </c>
      <c r="V288" s="19">
        <f t="shared" si="762"/>
        <v>-9.4177999999999998E-2</v>
      </c>
    </row>
    <row r="289" spans="1:22">
      <c r="A289" s="36"/>
      <c r="B289" s="36"/>
      <c r="C289" s="30"/>
      <c r="D289" s="38"/>
      <c r="E289" s="31">
        <f t="shared" ref="E289:F289" si="772">SUM(E280:E288)</f>
        <v>99</v>
      </c>
      <c r="F289" s="38">
        <f t="shared" si="772"/>
        <v>9.7229175000000012</v>
      </c>
      <c r="H289" s="31">
        <f t="shared" ref="H289" si="773">SUM(H280:H288)</f>
        <v>30</v>
      </c>
      <c r="I289" s="38">
        <f t="shared" ref="I289" si="774">SUM(I280:I288)</f>
        <v>2.782095</v>
      </c>
      <c r="K289" s="31">
        <f t="shared" ref="K289" si="775">SUM(K280:K288)</f>
        <v>60</v>
      </c>
      <c r="L289" s="38">
        <f t="shared" ref="L289" si="776">SUM(L280:L288)</f>
        <v>5.9461874999999988</v>
      </c>
      <c r="N289" s="31">
        <f t="shared" ref="N289" si="777">SUM(N280:N288)</f>
        <v>13</v>
      </c>
      <c r="O289" s="38">
        <f t="shared" ref="O289" si="778">SUM(O280:O288)</f>
        <v>1.25891</v>
      </c>
      <c r="Q289" s="31">
        <f t="shared" ref="Q289" si="779">SUM(Q280:Q288)</f>
        <v>0</v>
      </c>
      <c r="R289" s="38">
        <f t="shared" ref="R289" si="780">SUM(R280:R288)</f>
        <v>0</v>
      </c>
      <c r="S289" s="31">
        <f t="shared" ref="S289" si="781">SUM(S280:S288)</f>
        <v>103</v>
      </c>
      <c r="T289" s="38">
        <f t="shared" ref="T289" si="782">SUM(T280:T288)</f>
        <v>9.9871924999999973</v>
      </c>
      <c r="U289" s="31">
        <f t="shared" ref="U289" si="783">SUM(U280:U288)</f>
        <v>-4</v>
      </c>
      <c r="V289" s="38">
        <f t="shared" ref="V289" si="784">SUM(V280:V288)</f>
        <v>-0.26427499999999937</v>
      </c>
    </row>
    <row r="290" spans="1:22">
      <c r="A290" s="26" t="s">
        <v>14</v>
      </c>
      <c r="B290" s="26" t="s">
        <v>45</v>
      </c>
      <c r="C290" s="30">
        <v>9.26</v>
      </c>
      <c r="D290" s="27">
        <v>10</v>
      </c>
      <c r="E290" s="28">
        <v>15</v>
      </c>
      <c r="F290" s="16">
        <f>(C290*D290*E290/1000)</f>
        <v>1.389</v>
      </c>
      <c r="G290" s="17" t="s">
        <v>93</v>
      </c>
      <c r="H290" s="18">
        <f>8+6</f>
        <v>14</v>
      </c>
      <c r="I290" s="19">
        <f>(C290*D290*H290/1000)</f>
        <v>1.2963999999999998</v>
      </c>
      <c r="J290" s="16" t="s">
        <v>293</v>
      </c>
      <c r="K290" s="18"/>
      <c r="L290" s="19">
        <f>(C290*D290*K290/1000)</f>
        <v>0</v>
      </c>
      <c r="M290" s="16"/>
      <c r="N290" s="18"/>
      <c r="O290" s="19">
        <f>(C290*D290*N290/1000)</f>
        <v>0</v>
      </c>
      <c r="P290" s="16"/>
      <c r="Q290" s="18"/>
      <c r="R290" s="19">
        <f>(C290*D290*Q290/1000)</f>
        <v>0</v>
      </c>
      <c r="S290" s="20">
        <f>+H290+K290+Q290+N290</f>
        <v>14</v>
      </c>
      <c r="T290" s="19">
        <f>+I290+L290+R290+O290</f>
        <v>1.2963999999999998</v>
      </c>
      <c r="U290" s="21">
        <f>E290-S290</f>
        <v>1</v>
      </c>
      <c r="V290" s="19">
        <f>F290-T290</f>
        <v>9.2600000000000238E-2</v>
      </c>
    </row>
    <row r="291" spans="1:22">
      <c r="A291" s="26" t="s">
        <v>14</v>
      </c>
      <c r="B291" s="26" t="s">
        <v>45</v>
      </c>
      <c r="C291" s="30">
        <v>9.26</v>
      </c>
      <c r="D291" s="27">
        <v>10.6</v>
      </c>
      <c r="E291" s="28"/>
      <c r="F291" s="16">
        <f>(C291*D291*E291/1000)</f>
        <v>0</v>
      </c>
      <c r="G291" s="17" t="s">
        <v>290</v>
      </c>
      <c r="H291" s="18"/>
      <c r="I291" s="19">
        <f>(C291*D291*H291/1000)</f>
        <v>0</v>
      </c>
      <c r="J291" s="16" t="s">
        <v>294</v>
      </c>
      <c r="K291" s="18">
        <v>1</v>
      </c>
      <c r="L291" s="19">
        <f>(C291*D291*K291/1000)</f>
        <v>9.8155999999999993E-2</v>
      </c>
      <c r="M291" s="16"/>
      <c r="N291" s="18"/>
      <c r="O291" s="19">
        <f>(C291*D291*N291/1000)</f>
        <v>0</v>
      </c>
      <c r="P291" s="16"/>
      <c r="Q291" s="18"/>
      <c r="R291" s="19">
        <f>(C291*D291*Q291/1000)</f>
        <v>0</v>
      </c>
      <c r="S291" s="20">
        <f>+H291+K291+Q291+N291</f>
        <v>1</v>
      </c>
      <c r="T291" s="19">
        <f>+I291+L291+R291+O291</f>
        <v>9.8155999999999993E-2</v>
      </c>
      <c r="U291" s="21">
        <f>E291-S291</f>
        <v>-1</v>
      </c>
      <c r="V291" s="19">
        <f>F291-T291</f>
        <v>-9.8155999999999993E-2</v>
      </c>
    </row>
    <row r="292" spans="1:22">
      <c r="A292" s="36"/>
      <c r="B292" s="36"/>
      <c r="C292" s="30"/>
      <c r="D292" s="38"/>
      <c r="E292" s="31">
        <f>SUM(E290:E291)</f>
        <v>15</v>
      </c>
      <c r="F292" s="38">
        <f>SUM(F290:F291)</f>
        <v>1.389</v>
      </c>
      <c r="G292" s="17"/>
      <c r="H292" s="31">
        <f>SUM(H290:H291)</f>
        <v>14</v>
      </c>
      <c r="I292" s="38">
        <f>SUM(I290:I291)</f>
        <v>1.2963999999999998</v>
      </c>
      <c r="J292" s="16"/>
      <c r="K292" s="31">
        <f>SUM(K290:K291)</f>
        <v>1</v>
      </c>
      <c r="L292" s="38">
        <f>SUM(L290:L291)</f>
        <v>9.8155999999999993E-2</v>
      </c>
      <c r="N292" s="31">
        <f>SUM(N290:N291)</f>
        <v>0</v>
      </c>
      <c r="O292" s="38">
        <f>SUM(O290:O291)</f>
        <v>0</v>
      </c>
      <c r="Q292" s="31">
        <f t="shared" ref="Q292:V292" si="785">SUM(Q290:Q291)</f>
        <v>0</v>
      </c>
      <c r="R292" s="38">
        <f t="shared" si="785"/>
        <v>0</v>
      </c>
      <c r="S292" s="31">
        <f t="shared" si="785"/>
        <v>15</v>
      </c>
      <c r="T292" s="38">
        <f t="shared" si="785"/>
        <v>1.3945559999999997</v>
      </c>
      <c r="U292" s="31">
        <f t="shared" si="785"/>
        <v>0</v>
      </c>
      <c r="V292" s="38">
        <f t="shared" si="785"/>
        <v>-5.5559999999997556E-3</v>
      </c>
    </row>
    <row r="293" spans="1:22">
      <c r="A293" s="26" t="s">
        <v>14</v>
      </c>
      <c r="B293" s="26" t="s">
        <v>18</v>
      </c>
      <c r="C293" s="30">
        <v>16.600000000000001</v>
      </c>
      <c r="D293" s="27">
        <v>10.7</v>
      </c>
      <c r="E293" s="28">
        <v>2</v>
      </c>
      <c r="F293" s="16">
        <f>(C293*D293*E293/1000)</f>
        <v>0.35524</v>
      </c>
      <c r="G293" s="16" t="s">
        <v>295</v>
      </c>
      <c r="H293" s="18"/>
      <c r="I293" s="19">
        <f>(C293*D293*H293/1000)</f>
        <v>0</v>
      </c>
      <c r="J293" s="16"/>
      <c r="K293" s="18"/>
      <c r="L293" s="19">
        <f>(C293*D293*K293/1000)</f>
        <v>0</v>
      </c>
      <c r="M293" s="16"/>
      <c r="N293" s="18"/>
      <c r="O293" s="19">
        <f>(C293*D293*N293/1000)</f>
        <v>0</v>
      </c>
      <c r="P293" s="16"/>
      <c r="Q293" s="18"/>
      <c r="R293" s="19">
        <f>(C293*D293*Q293/1000)</f>
        <v>0</v>
      </c>
      <c r="S293" s="20">
        <f>+H293+K293+Q293+N293</f>
        <v>0</v>
      </c>
      <c r="T293" s="19">
        <f>+I293+L293+R293+O293</f>
        <v>0</v>
      </c>
      <c r="U293" s="21">
        <f>E293-S293</f>
        <v>2</v>
      </c>
      <c r="V293" s="19">
        <f>F293-T293</f>
        <v>0.35524</v>
      </c>
    </row>
    <row r="294" spans="1:22">
      <c r="A294" s="26" t="s">
        <v>14</v>
      </c>
      <c r="B294" s="26" t="s">
        <v>18</v>
      </c>
      <c r="C294" s="30">
        <v>16.600000000000001</v>
      </c>
      <c r="D294" s="27">
        <v>12</v>
      </c>
      <c r="E294" s="28"/>
      <c r="F294" s="16">
        <f>(C294*D294*E294/1000)</f>
        <v>0</v>
      </c>
      <c r="G294" s="16" t="s">
        <v>300</v>
      </c>
      <c r="H294" s="18">
        <v>2</v>
      </c>
      <c r="I294" s="19">
        <f>(C294*D294*H294/1000)</f>
        <v>0.39840000000000003</v>
      </c>
      <c r="J294" s="16"/>
      <c r="K294" s="18"/>
      <c r="L294" s="19">
        <f>(C294*D294*K294/1000)</f>
        <v>0</v>
      </c>
      <c r="M294" s="16"/>
      <c r="N294" s="18"/>
      <c r="O294" s="19">
        <f>(C294*D294*N294/1000)</f>
        <v>0</v>
      </c>
      <c r="P294" s="16"/>
      <c r="Q294" s="18"/>
      <c r="R294" s="19">
        <f>(C294*D294*Q294/1000)</f>
        <v>0</v>
      </c>
      <c r="S294" s="20">
        <f>+H294+K294+Q294+N294</f>
        <v>2</v>
      </c>
      <c r="T294" s="19">
        <f>+I294+L294+R294+O294</f>
        <v>0.39840000000000003</v>
      </c>
      <c r="U294" s="21">
        <f>E294-S294</f>
        <v>-2</v>
      </c>
      <c r="V294" s="19">
        <f>F294-T294</f>
        <v>-0.39840000000000003</v>
      </c>
    </row>
    <row r="295" spans="1:22">
      <c r="A295" s="36"/>
      <c r="B295" s="36"/>
      <c r="C295" s="30"/>
      <c r="D295" s="38"/>
      <c r="E295" s="31">
        <f t="shared" ref="E295:F295" si="786">SUM(E293:E294)</f>
        <v>2</v>
      </c>
      <c r="F295" s="38">
        <f t="shared" si="786"/>
        <v>0.35524</v>
      </c>
      <c r="G295" s="16"/>
      <c r="H295" s="31">
        <f t="shared" ref="H295" si="787">SUM(H293:H294)</f>
        <v>2</v>
      </c>
      <c r="I295" s="38">
        <f t="shared" ref="I295" si="788">SUM(I293:I294)</f>
        <v>0.39840000000000003</v>
      </c>
      <c r="K295" s="31">
        <f t="shared" ref="K295" si="789">SUM(K293:K294)</f>
        <v>0</v>
      </c>
      <c r="L295" s="38">
        <f t="shared" ref="L295" si="790">SUM(L293:L294)</f>
        <v>0</v>
      </c>
      <c r="N295" s="31">
        <f t="shared" ref="N295" si="791">SUM(N293:N294)</f>
        <v>0</v>
      </c>
      <c r="O295" s="38">
        <f t="shared" ref="O295" si="792">SUM(O293:O294)</f>
        <v>0</v>
      </c>
      <c r="Q295" s="31">
        <f t="shared" ref="Q295" si="793">SUM(Q293:Q294)</f>
        <v>0</v>
      </c>
      <c r="R295" s="38">
        <f t="shared" ref="R295" si="794">SUM(R293:R294)</f>
        <v>0</v>
      </c>
      <c r="S295" s="31">
        <f t="shared" ref="S295" si="795">SUM(S293:S294)</f>
        <v>2</v>
      </c>
      <c r="T295" s="38">
        <f t="shared" ref="T295" si="796">SUM(T293:T294)</f>
        <v>0.39840000000000003</v>
      </c>
      <c r="U295" s="31">
        <f t="shared" ref="U295" si="797">SUM(U293:U294)</f>
        <v>0</v>
      </c>
      <c r="V295" s="38">
        <f t="shared" ref="V295" si="798">SUM(V293:V294)</f>
        <v>-4.3160000000000032E-2</v>
      </c>
    </row>
    <row r="296" spans="1:22">
      <c r="A296" s="26" t="s">
        <v>14</v>
      </c>
      <c r="B296" s="26" t="s">
        <v>32</v>
      </c>
      <c r="C296" s="30">
        <v>11.8</v>
      </c>
      <c r="D296" s="27">
        <v>11.4</v>
      </c>
      <c r="E296" s="28">
        <v>10</v>
      </c>
      <c r="F296" s="16">
        <f>(C296*D296*E296/1000)</f>
        <v>1.3452</v>
      </c>
      <c r="G296" s="16" t="s">
        <v>111</v>
      </c>
      <c r="H296" s="18">
        <v>5</v>
      </c>
      <c r="I296" s="19">
        <f>(C296*D296*H296/1000)</f>
        <v>0.67259999999999998</v>
      </c>
      <c r="J296" s="16"/>
      <c r="K296" s="18"/>
      <c r="L296" s="19">
        <f>(C296*D296*K296/1000)</f>
        <v>0</v>
      </c>
      <c r="M296" s="16"/>
      <c r="N296" s="18"/>
      <c r="O296" s="19">
        <f>(C296*D296*N296/1000)</f>
        <v>0</v>
      </c>
      <c r="P296" s="16"/>
      <c r="Q296" s="18"/>
      <c r="R296" s="19">
        <f>(C296*D296*Q296/1000)</f>
        <v>0</v>
      </c>
      <c r="S296" s="20">
        <f>+H296+K296+Q296+N296</f>
        <v>5</v>
      </c>
      <c r="T296" s="19">
        <f>+I296+L296+R296+O296</f>
        <v>0.67259999999999998</v>
      </c>
      <c r="U296" s="21">
        <f>E296-S296</f>
        <v>5</v>
      </c>
      <c r="V296" s="19">
        <f>F296-T296</f>
        <v>0.67259999999999998</v>
      </c>
    </row>
    <row r="297" spans="1:22">
      <c r="A297" s="26" t="s">
        <v>14</v>
      </c>
      <c r="B297" s="26" t="s">
        <v>32</v>
      </c>
      <c r="C297" s="30">
        <v>11.8</v>
      </c>
      <c r="D297" s="27">
        <v>12</v>
      </c>
      <c r="E297" s="28"/>
      <c r="F297" s="16">
        <f>(C297*D297*E297/1000)</f>
        <v>0</v>
      </c>
      <c r="G297" s="16" t="s">
        <v>297</v>
      </c>
      <c r="H297" s="18">
        <v>5</v>
      </c>
      <c r="I297" s="19">
        <f>(C297*D297*H297/1000)</f>
        <v>0.70800000000000007</v>
      </c>
      <c r="J297" s="16"/>
      <c r="K297" s="18"/>
      <c r="L297" s="19">
        <f>(C297*D297*K297/1000)</f>
        <v>0</v>
      </c>
      <c r="M297" s="16"/>
      <c r="N297" s="18"/>
      <c r="O297" s="19">
        <f>(C297*D297*N297/1000)</f>
        <v>0</v>
      </c>
      <c r="P297" s="16"/>
      <c r="Q297" s="18"/>
      <c r="R297" s="19">
        <f>(C297*D297*Q297/1000)</f>
        <v>0</v>
      </c>
      <c r="S297" s="20">
        <f>+H297+K297+Q297+N297</f>
        <v>5</v>
      </c>
      <c r="T297" s="19">
        <f>+I297+L297+R297+O297</f>
        <v>0.70800000000000007</v>
      </c>
      <c r="U297" s="21">
        <f>E297-S297</f>
        <v>-5</v>
      </c>
      <c r="V297" s="19">
        <f>F297-T297</f>
        <v>-0.70800000000000007</v>
      </c>
    </row>
    <row r="298" spans="1:22">
      <c r="A298" s="36"/>
      <c r="B298" s="36"/>
      <c r="C298" s="30"/>
      <c r="D298" s="38"/>
      <c r="E298" s="31">
        <f t="shared" ref="E298:F298" si="799">SUM(E296:E297)</f>
        <v>10</v>
      </c>
      <c r="F298" s="38">
        <f t="shared" si="799"/>
        <v>1.3452</v>
      </c>
      <c r="G298" s="16"/>
      <c r="H298" s="31">
        <f t="shared" ref="H298" si="800">SUM(H296:H297)</f>
        <v>10</v>
      </c>
      <c r="I298" s="38">
        <f t="shared" ref="I298" si="801">SUM(I296:I297)</f>
        <v>1.3806</v>
      </c>
      <c r="K298" s="31">
        <f t="shared" ref="K298" si="802">SUM(K296:K297)</f>
        <v>0</v>
      </c>
      <c r="L298" s="38">
        <f t="shared" ref="L298" si="803">SUM(L296:L297)</f>
        <v>0</v>
      </c>
      <c r="N298" s="31">
        <f t="shared" ref="N298" si="804">SUM(N296:N297)</f>
        <v>0</v>
      </c>
      <c r="O298" s="38">
        <f t="shared" ref="O298" si="805">SUM(O296:O297)</f>
        <v>0</v>
      </c>
      <c r="Q298" s="31">
        <f t="shared" ref="Q298" si="806">SUM(Q296:Q297)</f>
        <v>0</v>
      </c>
      <c r="R298" s="38">
        <f t="shared" ref="R298" si="807">SUM(R296:R297)</f>
        <v>0</v>
      </c>
      <c r="S298" s="31">
        <f t="shared" ref="S298" si="808">SUM(S296:S297)</f>
        <v>10</v>
      </c>
      <c r="T298" s="38">
        <f t="shared" ref="T298" si="809">SUM(T296:T297)</f>
        <v>1.3806</v>
      </c>
      <c r="U298" s="31">
        <f t="shared" ref="U298" si="810">SUM(U296:U297)</f>
        <v>0</v>
      </c>
      <c r="V298" s="38">
        <f t="shared" ref="V298" si="811">SUM(V296:V297)</f>
        <v>-3.5400000000000098E-2</v>
      </c>
    </row>
    <row r="299" spans="1:22">
      <c r="A299" s="26" t="s">
        <v>14</v>
      </c>
      <c r="B299" s="26" t="s">
        <v>251</v>
      </c>
      <c r="C299" s="30">
        <v>13.4</v>
      </c>
      <c r="D299" s="27">
        <v>9.1</v>
      </c>
      <c r="E299" s="28">
        <v>9</v>
      </c>
      <c r="F299" s="16">
        <f>(C299*D299*E299/1000)</f>
        <v>1.0974600000000001</v>
      </c>
      <c r="G299" s="16" t="s">
        <v>111</v>
      </c>
      <c r="H299" s="18">
        <v>9</v>
      </c>
      <c r="I299" s="19">
        <f>(C299*D299*H299/1000)</f>
        <v>1.0974600000000001</v>
      </c>
      <c r="J299" s="16"/>
      <c r="K299" s="18"/>
      <c r="L299" s="19">
        <f>(C299*D299*K299/1000)</f>
        <v>0</v>
      </c>
      <c r="M299" s="16"/>
      <c r="N299" s="18"/>
      <c r="O299" s="19">
        <f>(C299*D299*N299/1000)</f>
        <v>0</v>
      </c>
      <c r="P299" s="16"/>
      <c r="Q299" s="18"/>
      <c r="R299" s="19">
        <f>(C299*D299*Q299/1000)</f>
        <v>0</v>
      </c>
      <c r="S299" s="20">
        <f>+H299+K299+Q299+N299</f>
        <v>9</v>
      </c>
      <c r="T299" s="19">
        <f>+I299+L299+R299+O299</f>
        <v>1.0974600000000001</v>
      </c>
      <c r="U299" s="21">
        <f>E299-S299</f>
        <v>0</v>
      </c>
      <c r="V299" s="19">
        <f>F299-T299</f>
        <v>0</v>
      </c>
    </row>
    <row r="300" spans="1:22">
      <c r="A300" s="36"/>
      <c r="B300" s="36"/>
      <c r="C300" s="30"/>
      <c r="D300" s="38"/>
      <c r="E300" s="31">
        <f t="shared" ref="E300:F300" si="812">SUM(E299)</f>
        <v>9</v>
      </c>
      <c r="F300" s="38">
        <f t="shared" si="812"/>
        <v>1.0974600000000001</v>
      </c>
      <c r="G300" s="16" t="s">
        <v>297</v>
      </c>
      <c r="H300" s="31">
        <f t="shared" ref="H300" si="813">SUM(H299)</f>
        <v>9</v>
      </c>
      <c r="I300" s="38">
        <f t="shared" ref="I300" si="814">SUM(I299)</f>
        <v>1.0974600000000001</v>
      </c>
      <c r="K300" s="31">
        <f t="shared" ref="K300" si="815">SUM(K299)</f>
        <v>0</v>
      </c>
      <c r="L300" s="38">
        <f t="shared" ref="L300" si="816">SUM(L299)</f>
        <v>0</v>
      </c>
      <c r="N300" s="31">
        <f t="shared" ref="N300" si="817">SUM(N299)</f>
        <v>0</v>
      </c>
      <c r="O300" s="38">
        <f t="shared" ref="O300" si="818">SUM(O299)</f>
        <v>0</v>
      </c>
      <c r="Q300" s="31">
        <f t="shared" ref="Q300" si="819">SUM(Q299)</f>
        <v>0</v>
      </c>
      <c r="R300" s="38">
        <f t="shared" ref="R300" si="820">SUM(R299)</f>
        <v>0</v>
      </c>
      <c r="S300" s="31">
        <f t="shared" ref="S300" si="821">SUM(S299)</f>
        <v>9</v>
      </c>
      <c r="T300" s="38">
        <f t="shared" ref="T300" si="822">SUM(T299)</f>
        <v>1.0974600000000001</v>
      </c>
      <c r="U300" s="31">
        <f t="shared" ref="U300" si="823">SUM(U299)</f>
        <v>0</v>
      </c>
      <c r="V300" s="38">
        <f t="shared" ref="V300" si="824">SUM(V299)</f>
        <v>0</v>
      </c>
    </row>
    <row r="301" spans="1:22">
      <c r="A301" s="26" t="s">
        <v>14</v>
      </c>
      <c r="B301" s="26" t="s">
        <v>51</v>
      </c>
      <c r="C301" s="30">
        <v>19.8</v>
      </c>
      <c r="D301" s="27">
        <v>6</v>
      </c>
      <c r="E301" s="28">
        <v>2</v>
      </c>
      <c r="F301" s="16">
        <f>(C301*D301*E301/1000)</f>
        <v>0.23760000000000003</v>
      </c>
      <c r="G301" s="16" t="s">
        <v>86</v>
      </c>
      <c r="H301" s="18"/>
      <c r="I301" s="19">
        <f>(C301*D301*H301/1000)</f>
        <v>0</v>
      </c>
      <c r="J301" s="16"/>
      <c r="K301" s="18"/>
      <c r="L301" s="19">
        <f>(C301*D301*K301/1000)</f>
        <v>0</v>
      </c>
      <c r="M301" s="16"/>
      <c r="N301" s="18"/>
      <c r="O301" s="19">
        <f>(C301*D301*N301/1000)</f>
        <v>0</v>
      </c>
      <c r="P301" s="16"/>
      <c r="Q301" s="18"/>
      <c r="R301" s="19">
        <f>(C301*D301*Q301/1000)</f>
        <v>0</v>
      </c>
      <c r="S301" s="20">
        <f>+H301+K301+Q301+N301</f>
        <v>0</v>
      </c>
      <c r="T301" s="19">
        <f>+I301+L301+R301+O301</f>
        <v>0</v>
      </c>
      <c r="U301" s="21">
        <f>E301-S301</f>
        <v>2</v>
      </c>
      <c r="V301" s="19">
        <f>F301-T301</f>
        <v>0.23760000000000003</v>
      </c>
    </row>
    <row r="302" spans="1:22">
      <c r="A302" s="26" t="s">
        <v>14</v>
      </c>
      <c r="B302" s="26" t="s">
        <v>51</v>
      </c>
      <c r="C302" s="30">
        <v>19.8</v>
      </c>
      <c r="D302" s="27">
        <v>6.4</v>
      </c>
      <c r="E302" s="28"/>
      <c r="F302" s="16">
        <f>(C302*D302*E302/1000)</f>
        <v>0</v>
      </c>
      <c r="G302" s="16" t="s">
        <v>388</v>
      </c>
      <c r="H302" s="18">
        <v>2</v>
      </c>
      <c r="I302" s="19">
        <f>(C302*D302*H302/1000)</f>
        <v>0.25344</v>
      </c>
      <c r="J302" s="16"/>
      <c r="K302" s="18"/>
      <c r="L302" s="19">
        <f>(C302*D302*K302/1000)</f>
        <v>0</v>
      </c>
      <c r="M302" s="16"/>
      <c r="N302" s="18"/>
      <c r="O302" s="19">
        <f>(C302*D302*N302/1000)</f>
        <v>0</v>
      </c>
      <c r="P302" s="16"/>
      <c r="Q302" s="18"/>
      <c r="R302" s="19">
        <f>(C302*D302*Q302/1000)</f>
        <v>0</v>
      </c>
      <c r="S302" s="20">
        <f>+H302+K302+Q302+N302</f>
        <v>2</v>
      </c>
      <c r="T302" s="19">
        <f>+I302+L302+R302+O302</f>
        <v>0.25344</v>
      </c>
      <c r="U302" s="21">
        <f>E302-S302</f>
        <v>-2</v>
      </c>
      <c r="V302" s="19">
        <f>F302-T302</f>
        <v>-0.25344</v>
      </c>
    </row>
    <row r="303" spans="1:22">
      <c r="A303" s="36"/>
      <c r="B303" s="36"/>
      <c r="C303" s="30"/>
      <c r="D303" s="38"/>
      <c r="E303" s="31">
        <f t="shared" ref="E303:F303" si="825">SUM(E301:E302)</f>
        <v>2</v>
      </c>
      <c r="F303" s="38">
        <f t="shared" si="825"/>
        <v>0.23760000000000003</v>
      </c>
      <c r="G303" s="16"/>
      <c r="H303" s="31">
        <f t="shared" ref="H303" si="826">SUM(H301:H302)</f>
        <v>2</v>
      </c>
      <c r="I303" s="38">
        <f t="shared" ref="I303" si="827">SUM(I301:I302)</f>
        <v>0.25344</v>
      </c>
      <c r="K303" s="31">
        <f t="shared" ref="K303" si="828">SUM(K301:K302)</f>
        <v>0</v>
      </c>
      <c r="L303" s="38">
        <f t="shared" ref="L303" si="829">SUM(L301:L302)</f>
        <v>0</v>
      </c>
      <c r="N303" s="31">
        <f t="shared" ref="N303" si="830">SUM(N301:N302)</f>
        <v>0</v>
      </c>
      <c r="O303" s="38">
        <f t="shared" ref="O303" si="831">SUM(O301:O302)</f>
        <v>0</v>
      </c>
      <c r="Q303" s="31">
        <f t="shared" ref="Q303" si="832">SUM(Q301:Q302)</f>
        <v>0</v>
      </c>
      <c r="R303" s="38">
        <f t="shared" ref="R303" si="833">SUM(R301:R302)</f>
        <v>0</v>
      </c>
      <c r="S303" s="31">
        <f t="shared" ref="S303" si="834">SUM(S301:S302)</f>
        <v>2</v>
      </c>
      <c r="T303" s="38">
        <f t="shared" ref="T303" si="835">SUM(T301:T302)</f>
        <v>0.25344</v>
      </c>
      <c r="U303" s="31">
        <f t="shared" ref="U303" si="836">SUM(U301:U302)</f>
        <v>0</v>
      </c>
      <c r="V303" s="38">
        <f t="shared" ref="V303" si="837">SUM(V301:V302)</f>
        <v>-1.5839999999999965E-2</v>
      </c>
    </row>
    <row r="304" spans="1:22">
      <c r="A304" s="26" t="s">
        <v>14</v>
      </c>
      <c r="B304" s="26" t="s">
        <v>34</v>
      </c>
      <c r="C304" s="30">
        <v>5.76</v>
      </c>
      <c r="D304" s="27">
        <v>11.5</v>
      </c>
      <c r="E304" s="28">
        <v>8</v>
      </c>
      <c r="F304" s="16">
        <f>(C304*D304*E304/1000)</f>
        <v>0.52991999999999995</v>
      </c>
      <c r="G304" s="16" t="s">
        <v>86</v>
      </c>
      <c r="H304" s="18">
        <v>8</v>
      </c>
      <c r="I304" s="19">
        <f>(C304*D304*H304/1000)</f>
        <v>0.52991999999999995</v>
      </c>
      <c r="J304" s="16"/>
      <c r="K304" s="18"/>
      <c r="L304" s="19">
        <f>(C304*D304*K304/1000)</f>
        <v>0</v>
      </c>
      <c r="M304" s="16"/>
      <c r="N304" s="18"/>
      <c r="O304" s="19">
        <f>(C304*D304*N304/1000)</f>
        <v>0</v>
      </c>
      <c r="P304" s="16"/>
      <c r="Q304" s="18"/>
      <c r="R304" s="19">
        <f>(C304*D304*Q304/1000)</f>
        <v>0</v>
      </c>
      <c r="S304" s="20">
        <f>+H304+K304+Q304+N304</f>
        <v>8</v>
      </c>
      <c r="T304" s="19">
        <f>+I304+L304+R304+O304</f>
        <v>0.52991999999999995</v>
      </c>
      <c r="U304" s="21">
        <f>E304-S304</f>
        <v>0</v>
      </c>
      <c r="V304" s="19">
        <f>F304-T304</f>
        <v>0</v>
      </c>
    </row>
    <row r="305" spans="1:22">
      <c r="A305" s="36"/>
      <c r="B305" s="36"/>
      <c r="C305" s="30"/>
      <c r="D305" s="38"/>
      <c r="E305" s="31">
        <f t="shared" ref="E305:F305" si="838">SUM(E304)</f>
        <v>8</v>
      </c>
      <c r="F305" s="38">
        <f t="shared" si="838"/>
        <v>0.52991999999999995</v>
      </c>
      <c r="G305" s="16" t="s">
        <v>356</v>
      </c>
      <c r="H305" s="31">
        <f t="shared" ref="H305" si="839">SUM(H304)</f>
        <v>8</v>
      </c>
      <c r="I305" s="38">
        <f t="shared" ref="I305" si="840">SUM(I304)</f>
        <v>0.52991999999999995</v>
      </c>
      <c r="K305" s="31">
        <f t="shared" ref="K305" si="841">SUM(K304)</f>
        <v>0</v>
      </c>
      <c r="L305" s="38">
        <f t="shared" ref="L305" si="842">SUM(L304)</f>
        <v>0</v>
      </c>
      <c r="N305" s="31">
        <f t="shared" ref="N305" si="843">SUM(N304)</f>
        <v>0</v>
      </c>
      <c r="O305" s="38">
        <f t="shared" ref="O305" si="844">SUM(O304)</f>
        <v>0</v>
      </c>
      <c r="Q305" s="31">
        <f t="shared" ref="Q305" si="845">SUM(Q304)</f>
        <v>0</v>
      </c>
      <c r="R305" s="38">
        <f t="shared" ref="R305" si="846">SUM(R304)</f>
        <v>0</v>
      </c>
      <c r="S305" s="31">
        <f t="shared" ref="S305" si="847">SUM(S304)</f>
        <v>8</v>
      </c>
      <c r="T305" s="38">
        <f t="shared" ref="T305" si="848">SUM(T304)</f>
        <v>0.52991999999999995</v>
      </c>
      <c r="U305" s="31">
        <f t="shared" ref="U305" si="849">SUM(U304)</f>
        <v>0</v>
      </c>
      <c r="V305" s="38">
        <f t="shared" ref="V305" si="850">SUM(V304)</f>
        <v>0</v>
      </c>
    </row>
    <row r="306" spans="1:22">
      <c r="A306" s="26" t="s">
        <v>14</v>
      </c>
      <c r="B306" s="26" t="s">
        <v>35</v>
      </c>
      <c r="C306" s="30">
        <v>6.85</v>
      </c>
      <c r="D306" s="27">
        <v>11.7</v>
      </c>
      <c r="E306" s="28">
        <v>14</v>
      </c>
      <c r="F306" s="16">
        <f>(C306*D306*E306/1000)</f>
        <v>1.1220300000000001</v>
      </c>
      <c r="G306" s="16" t="s">
        <v>86</v>
      </c>
      <c r="H306" s="18"/>
      <c r="I306" s="19">
        <f>(C306*D306*H306/1000)</f>
        <v>0</v>
      </c>
      <c r="J306" s="16"/>
      <c r="K306" s="18"/>
      <c r="L306" s="19">
        <f>(C306*D306*K306/1000)</f>
        <v>0</v>
      </c>
      <c r="M306" s="16"/>
      <c r="N306" s="18"/>
      <c r="O306" s="19">
        <f>(C306*D306*N306/1000)</f>
        <v>0</v>
      </c>
      <c r="P306" s="16"/>
      <c r="Q306" s="18"/>
      <c r="R306" s="19">
        <f>(C306*D306*Q306/1000)</f>
        <v>0</v>
      </c>
      <c r="S306" s="20">
        <f>+H306+K306+Q306+N306</f>
        <v>0</v>
      </c>
      <c r="T306" s="19">
        <f>+I306+L306+R306+O306</f>
        <v>0</v>
      </c>
      <c r="U306" s="21">
        <f>E306-S306</f>
        <v>14</v>
      </c>
      <c r="V306" s="19">
        <f>F306-T306</f>
        <v>1.1220300000000001</v>
      </c>
    </row>
    <row r="307" spans="1:22">
      <c r="A307" s="26" t="s">
        <v>14</v>
      </c>
      <c r="B307" s="26" t="s">
        <v>35</v>
      </c>
      <c r="C307" s="30">
        <v>6.85</v>
      </c>
      <c r="D307" s="27">
        <v>6</v>
      </c>
      <c r="E307" s="28"/>
      <c r="F307" s="16">
        <f t="shared" ref="F307:F313" si="851">(C307*D307*E307/1000)</f>
        <v>0</v>
      </c>
      <c r="G307" s="16" t="s">
        <v>394</v>
      </c>
      <c r="H307" s="18">
        <v>1</v>
      </c>
      <c r="I307" s="19">
        <f t="shared" ref="I307:I313" si="852">(C307*D307*H307/1000)</f>
        <v>4.1099999999999998E-2</v>
      </c>
      <c r="J307" s="16"/>
      <c r="K307" s="18"/>
      <c r="L307" s="19">
        <f t="shared" ref="L307:L313" si="853">(C307*D307*K307/1000)</f>
        <v>0</v>
      </c>
      <c r="M307" s="16"/>
      <c r="N307" s="18"/>
      <c r="O307" s="19">
        <f t="shared" ref="O307:O313" si="854">(C307*D307*N307/1000)</f>
        <v>0</v>
      </c>
      <c r="P307" s="16"/>
      <c r="Q307" s="18"/>
      <c r="R307" s="19">
        <f t="shared" ref="R307:R313" si="855">(C307*D307*Q307/1000)</f>
        <v>0</v>
      </c>
      <c r="S307" s="20">
        <f t="shared" ref="S307:S313" si="856">+H307+K307+Q307+N307</f>
        <v>1</v>
      </c>
      <c r="T307" s="19">
        <f t="shared" ref="T307:T313" si="857">+I307+L307+R307+O307</f>
        <v>4.1099999999999998E-2</v>
      </c>
      <c r="U307" s="21">
        <f t="shared" ref="U307:U313" si="858">E307-S307</f>
        <v>-1</v>
      </c>
      <c r="V307" s="19">
        <f t="shared" ref="V307:V313" si="859">F307-T307</f>
        <v>-4.1099999999999998E-2</v>
      </c>
    </row>
    <row r="308" spans="1:22">
      <c r="A308" s="26" t="s">
        <v>14</v>
      </c>
      <c r="B308" s="26" t="s">
        <v>35</v>
      </c>
      <c r="C308" s="30">
        <v>6.85</v>
      </c>
      <c r="D308" s="27">
        <v>7</v>
      </c>
      <c r="E308" s="28"/>
      <c r="F308" s="16">
        <f t="shared" si="851"/>
        <v>0</v>
      </c>
      <c r="G308" s="16"/>
      <c r="H308" s="18">
        <v>1</v>
      </c>
      <c r="I308" s="19">
        <f t="shared" si="852"/>
        <v>4.7949999999999993E-2</v>
      </c>
      <c r="J308" s="16"/>
      <c r="K308" s="18"/>
      <c r="L308" s="19">
        <f t="shared" si="853"/>
        <v>0</v>
      </c>
      <c r="M308" s="16"/>
      <c r="N308" s="18"/>
      <c r="O308" s="19">
        <f t="shared" si="854"/>
        <v>0</v>
      </c>
      <c r="P308" s="16"/>
      <c r="Q308" s="18"/>
      <c r="R308" s="19">
        <f t="shared" si="855"/>
        <v>0</v>
      </c>
      <c r="S308" s="20">
        <f t="shared" si="856"/>
        <v>1</v>
      </c>
      <c r="T308" s="19">
        <f t="shared" si="857"/>
        <v>4.7949999999999993E-2</v>
      </c>
      <c r="U308" s="21">
        <f t="shared" si="858"/>
        <v>-1</v>
      </c>
      <c r="V308" s="19">
        <f t="shared" si="859"/>
        <v>-4.7949999999999993E-2</v>
      </c>
    </row>
    <row r="309" spans="1:22">
      <c r="A309" s="26" t="s">
        <v>14</v>
      </c>
      <c r="B309" s="26" t="s">
        <v>35</v>
      </c>
      <c r="C309" s="30">
        <v>6.85</v>
      </c>
      <c r="D309" s="27">
        <v>9</v>
      </c>
      <c r="E309" s="28"/>
      <c r="F309" s="16">
        <f t="shared" si="851"/>
        <v>0</v>
      </c>
      <c r="G309" s="16"/>
      <c r="H309" s="18">
        <v>5</v>
      </c>
      <c r="I309" s="19">
        <f t="shared" si="852"/>
        <v>0.30825000000000002</v>
      </c>
      <c r="J309" s="16"/>
      <c r="K309" s="18"/>
      <c r="L309" s="19">
        <f t="shared" si="853"/>
        <v>0</v>
      </c>
      <c r="M309" s="16"/>
      <c r="N309" s="18"/>
      <c r="O309" s="19">
        <f t="shared" si="854"/>
        <v>0</v>
      </c>
      <c r="P309" s="16"/>
      <c r="Q309" s="18"/>
      <c r="R309" s="19">
        <f t="shared" si="855"/>
        <v>0</v>
      </c>
      <c r="S309" s="20">
        <f t="shared" si="856"/>
        <v>5</v>
      </c>
      <c r="T309" s="19">
        <f t="shared" si="857"/>
        <v>0.30825000000000002</v>
      </c>
      <c r="U309" s="21">
        <f t="shared" si="858"/>
        <v>-5</v>
      </c>
      <c r="V309" s="19">
        <f t="shared" si="859"/>
        <v>-0.30825000000000002</v>
      </c>
    </row>
    <row r="310" spans="1:22">
      <c r="A310" s="26" t="s">
        <v>14</v>
      </c>
      <c r="B310" s="26" t="s">
        <v>35</v>
      </c>
      <c r="C310" s="30">
        <v>6.85</v>
      </c>
      <c r="D310" s="27">
        <v>9.3000000000000007</v>
      </c>
      <c r="E310" s="28"/>
      <c r="F310" s="16">
        <f t="shared" si="851"/>
        <v>0</v>
      </c>
      <c r="G310" s="16"/>
      <c r="H310" s="18">
        <v>3</v>
      </c>
      <c r="I310" s="19">
        <f t="shared" si="852"/>
        <v>0.19111500000000001</v>
      </c>
      <c r="J310" s="16"/>
      <c r="K310" s="18"/>
      <c r="L310" s="19">
        <f t="shared" si="853"/>
        <v>0</v>
      </c>
      <c r="M310" s="16"/>
      <c r="N310" s="18"/>
      <c r="O310" s="19">
        <f t="shared" si="854"/>
        <v>0</v>
      </c>
      <c r="P310" s="16"/>
      <c r="Q310" s="18"/>
      <c r="R310" s="19">
        <f t="shared" si="855"/>
        <v>0</v>
      </c>
      <c r="S310" s="20">
        <f t="shared" si="856"/>
        <v>3</v>
      </c>
      <c r="T310" s="19">
        <f t="shared" si="857"/>
        <v>0.19111500000000001</v>
      </c>
      <c r="U310" s="21">
        <f t="shared" si="858"/>
        <v>-3</v>
      </c>
      <c r="V310" s="19">
        <f t="shared" si="859"/>
        <v>-0.19111500000000001</v>
      </c>
    </row>
    <row r="311" spans="1:22">
      <c r="A311" s="26" t="s">
        <v>14</v>
      </c>
      <c r="B311" s="26" t="s">
        <v>35</v>
      </c>
      <c r="C311" s="30">
        <v>6.85</v>
      </c>
      <c r="D311" s="27">
        <v>9.5</v>
      </c>
      <c r="E311" s="28"/>
      <c r="F311" s="16">
        <f t="shared" ref="F311:F312" si="860">(C311*D311*E311/1000)</f>
        <v>0</v>
      </c>
      <c r="G311" s="16"/>
      <c r="H311" s="18">
        <v>6</v>
      </c>
      <c r="I311" s="19">
        <f t="shared" ref="I311:I312" si="861">(C311*D311*H311/1000)</f>
        <v>0.39045000000000002</v>
      </c>
      <c r="J311" s="16"/>
      <c r="K311" s="18"/>
      <c r="L311" s="19">
        <f t="shared" ref="L311:L312" si="862">(C311*D311*K311/1000)</f>
        <v>0</v>
      </c>
      <c r="M311" s="16"/>
      <c r="N311" s="18"/>
      <c r="O311" s="19">
        <f t="shared" ref="O311:O312" si="863">(C311*D311*N311/1000)</f>
        <v>0</v>
      </c>
      <c r="P311" s="16"/>
      <c r="Q311" s="18"/>
      <c r="R311" s="19">
        <f t="shared" ref="R311:R312" si="864">(C311*D311*Q311/1000)</f>
        <v>0</v>
      </c>
      <c r="S311" s="20">
        <f t="shared" ref="S311:S312" si="865">+H311+K311+Q311+N311</f>
        <v>6</v>
      </c>
      <c r="T311" s="19">
        <f t="shared" ref="T311:T312" si="866">+I311+L311+R311+O311</f>
        <v>0.39045000000000002</v>
      </c>
      <c r="U311" s="21">
        <f t="shared" ref="U311:U312" si="867">E311-S311</f>
        <v>-6</v>
      </c>
      <c r="V311" s="19">
        <f t="shared" ref="V311:V312" si="868">F311-T311</f>
        <v>-0.39045000000000002</v>
      </c>
    </row>
    <row r="312" spans="1:22">
      <c r="A312" s="26" t="s">
        <v>14</v>
      </c>
      <c r="B312" s="26" t="s">
        <v>35</v>
      </c>
      <c r="C312" s="30">
        <v>6.85</v>
      </c>
      <c r="D312" s="27">
        <v>10</v>
      </c>
      <c r="E312" s="28"/>
      <c r="F312" s="16">
        <f t="shared" si="860"/>
        <v>0</v>
      </c>
      <c r="G312" s="16"/>
      <c r="H312" s="18">
        <v>1</v>
      </c>
      <c r="I312" s="19">
        <f t="shared" si="861"/>
        <v>6.8500000000000005E-2</v>
      </c>
      <c r="J312" s="16"/>
      <c r="K312" s="18"/>
      <c r="L312" s="19">
        <f t="shared" si="862"/>
        <v>0</v>
      </c>
      <c r="M312" s="16"/>
      <c r="N312" s="18"/>
      <c r="O312" s="19">
        <f t="shared" si="863"/>
        <v>0</v>
      </c>
      <c r="P312" s="16"/>
      <c r="Q312" s="18"/>
      <c r="R312" s="19">
        <f t="shared" si="864"/>
        <v>0</v>
      </c>
      <c r="S312" s="20">
        <f t="shared" si="865"/>
        <v>1</v>
      </c>
      <c r="T312" s="19">
        <f t="shared" si="866"/>
        <v>6.8500000000000005E-2</v>
      </c>
      <c r="U312" s="21">
        <f t="shared" si="867"/>
        <v>-1</v>
      </c>
      <c r="V312" s="19">
        <f t="shared" si="868"/>
        <v>-6.8500000000000005E-2</v>
      </c>
    </row>
    <row r="313" spans="1:22">
      <c r="A313" s="26" t="s">
        <v>14</v>
      </c>
      <c r="B313" s="26" t="s">
        <v>35</v>
      </c>
      <c r="C313" s="30">
        <v>6.85</v>
      </c>
      <c r="D313" s="27">
        <v>11</v>
      </c>
      <c r="E313" s="28"/>
      <c r="F313" s="16">
        <f t="shared" si="851"/>
        <v>0</v>
      </c>
      <c r="G313" s="16"/>
      <c r="H313" s="18">
        <v>1</v>
      </c>
      <c r="I313" s="19">
        <f t="shared" si="852"/>
        <v>7.535E-2</v>
      </c>
      <c r="J313" s="16"/>
      <c r="K313" s="18"/>
      <c r="L313" s="19">
        <f t="shared" si="853"/>
        <v>0</v>
      </c>
      <c r="M313" s="16"/>
      <c r="N313" s="18"/>
      <c r="O313" s="19">
        <f t="shared" si="854"/>
        <v>0</v>
      </c>
      <c r="P313" s="16"/>
      <c r="Q313" s="18"/>
      <c r="R313" s="19">
        <f t="shared" si="855"/>
        <v>0</v>
      </c>
      <c r="S313" s="20">
        <f t="shared" si="856"/>
        <v>1</v>
      </c>
      <c r="T313" s="19">
        <f t="shared" si="857"/>
        <v>7.535E-2</v>
      </c>
      <c r="U313" s="21">
        <f t="shared" si="858"/>
        <v>-1</v>
      </c>
      <c r="V313" s="19">
        <f t="shared" si="859"/>
        <v>-7.535E-2</v>
      </c>
    </row>
    <row r="314" spans="1:22">
      <c r="A314" s="36"/>
      <c r="B314" s="36"/>
      <c r="C314" s="30"/>
      <c r="D314" s="38"/>
      <c r="E314" s="31">
        <f t="shared" ref="E314:F314" si="869">SUM(E306:E313)</f>
        <v>14</v>
      </c>
      <c r="F314" s="38">
        <f t="shared" si="869"/>
        <v>1.1220300000000001</v>
      </c>
      <c r="G314" s="16"/>
      <c r="H314" s="31">
        <f t="shared" ref="H314" si="870">SUM(H306:H313)</f>
        <v>18</v>
      </c>
      <c r="I314" s="38">
        <f t="shared" ref="I314" si="871">SUM(I306:I313)</f>
        <v>1.1227150000000001</v>
      </c>
      <c r="K314" s="31">
        <f t="shared" ref="K314" si="872">SUM(K306:K313)</f>
        <v>0</v>
      </c>
      <c r="L314" s="38">
        <f t="shared" ref="L314" si="873">SUM(L306:L313)</f>
        <v>0</v>
      </c>
      <c r="N314" s="31">
        <f t="shared" ref="N314" si="874">SUM(N306:N313)</f>
        <v>0</v>
      </c>
      <c r="O314" s="38">
        <f t="shared" ref="O314" si="875">SUM(O306:O313)</f>
        <v>0</v>
      </c>
      <c r="Q314" s="31">
        <f t="shared" ref="Q314" si="876">SUM(Q306:Q313)</f>
        <v>0</v>
      </c>
      <c r="R314" s="38">
        <f t="shared" ref="R314" si="877">SUM(R306:R313)</f>
        <v>0</v>
      </c>
      <c r="S314" s="31">
        <f t="shared" ref="S314" si="878">SUM(S306:S313)</f>
        <v>18</v>
      </c>
      <c r="T314" s="38">
        <f t="shared" ref="T314" si="879">SUM(T306:T313)</f>
        <v>1.1227150000000001</v>
      </c>
      <c r="U314" s="31">
        <f t="shared" ref="U314" si="880">SUM(U306:U313)</f>
        <v>-4</v>
      </c>
      <c r="V314" s="38">
        <f t="shared" ref="V314" si="881">SUM(V306:V313)</f>
        <v>-6.8499999999985239E-4</v>
      </c>
    </row>
    <row r="315" spans="1:22">
      <c r="A315" s="26" t="s">
        <v>14</v>
      </c>
      <c r="B315" s="26" t="s">
        <v>57</v>
      </c>
      <c r="C315" s="30">
        <v>6.17</v>
      </c>
      <c r="D315" s="27">
        <v>10.5</v>
      </c>
      <c r="E315" s="28">
        <v>8</v>
      </c>
      <c r="F315" s="16">
        <f>(C315*D315*E315/1000)</f>
        <v>0.51827999999999996</v>
      </c>
      <c r="G315" s="16" t="s">
        <v>93</v>
      </c>
      <c r="H315" s="18">
        <v>8</v>
      </c>
      <c r="I315" s="19">
        <f>(C315*D315*H315/1000)</f>
        <v>0.51827999999999996</v>
      </c>
      <c r="J315" s="16"/>
      <c r="K315" s="18"/>
      <c r="L315" s="19">
        <f>(C315*D315*K315/1000)</f>
        <v>0</v>
      </c>
      <c r="M315" s="16"/>
      <c r="N315" s="18"/>
      <c r="O315" s="19">
        <f>(C315*D315*N315/1000)</f>
        <v>0</v>
      </c>
      <c r="P315" s="16"/>
      <c r="Q315" s="18"/>
      <c r="R315" s="19">
        <f>(C315*D315*Q315/1000)</f>
        <v>0</v>
      </c>
      <c r="S315" s="20">
        <f>+H315+K315+Q315+N315</f>
        <v>8</v>
      </c>
      <c r="T315" s="19">
        <f>+I315+L315+R315+O315</f>
        <v>0.51827999999999996</v>
      </c>
      <c r="U315" s="21">
        <f>E315-S315</f>
        <v>0</v>
      </c>
      <c r="V315" s="19">
        <f>F315-T315</f>
        <v>0</v>
      </c>
    </row>
    <row r="316" spans="1:22">
      <c r="A316" s="36"/>
      <c r="B316" s="36"/>
      <c r="C316" s="30"/>
      <c r="D316" s="38"/>
      <c r="E316" s="31">
        <f t="shared" ref="E316:F316" si="882">SUM(E315)</f>
        <v>8</v>
      </c>
      <c r="F316" s="38">
        <f t="shared" si="882"/>
        <v>0.51827999999999996</v>
      </c>
      <c r="G316" s="16" t="s">
        <v>356</v>
      </c>
      <c r="H316" s="31">
        <f t="shared" ref="H316" si="883">SUM(H315)</f>
        <v>8</v>
      </c>
      <c r="I316" s="38">
        <f t="shared" ref="I316" si="884">SUM(I315)</f>
        <v>0.51827999999999996</v>
      </c>
      <c r="K316" s="31">
        <f t="shared" ref="K316" si="885">SUM(K315)</f>
        <v>0</v>
      </c>
      <c r="L316" s="38">
        <f t="shared" ref="L316" si="886">SUM(L315)</f>
        <v>0</v>
      </c>
      <c r="N316" s="31">
        <f t="shared" ref="N316" si="887">SUM(N315)</f>
        <v>0</v>
      </c>
      <c r="O316" s="38">
        <f t="shared" ref="O316" si="888">SUM(O315)</f>
        <v>0</v>
      </c>
      <c r="Q316" s="31">
        <f t="shared" ref="Q316" si="889">SUM(Q315)</f>
        <v>0</v>
      </c>
      <c r="R316" s="38">
        <f t="shared" ref="R316" si="890">SUM(R315)</f>
        <v>0</v>
      </c>
      <c r="S316" s="31">
        <f t="shared" ref="S316" si="891">SUM(S315)</f>
        <v>8</v>
      </c>
      <c r="T316" s="38">
        <f t="shared" ref="T316" si="892">SUM(T315)</f>
        <v>0.51827999999999996</v>
      </c>
      <c r="U316" s="31">
        <f t="shared" ref="U316" si="893">SUM(U315)</f>
        <v>0</v>
      </c>
      <c r="V316" s="38">
        <f t="shared" ref="V316" si="894">SUM(V315)</f>
        <v>0</v>
      </c>
    </row>
    <row r="317" spans="1:22">
      <c r="A317" s="26" t="s">
        <v>14</v>
      </c>
      <c r="B317" s="26" t="s">
        <v>58</v>
      </c>
      <c r="C317" s="30">
        <v>7.34</v>
      </c>
      <c r="D317" s="27">
        <v>10.5</v>
      </c>
      <c r="E317" s="28">
        <v>13</v>
      </c>
      <c r="F317" s="16">
        <f>(C317*D317*E317/1000)</f>
        <v>1.0019099999999999</v>
      </c>
      <c r="G317" s="16" t="s">
        <v>86</v>
      </c>
      <c r="H317" s="18">
        <v>13</v>
      </c>
      <c r="I317" s="19">
        <f>(C317*D317*H317/1000)</f>
        <v>1.0019099999999999</v>
      </c>
      <c r="J317" s="16"/>
      <c r="K317" s="18"/>
      <c r="L317" s="19">
        <f>(C317*D317*K317/1000)</f>
        <v>0</v>
      </c>
      <c r="M317" s="16"/>
      <c r="N317" s="18"/>
      <c r="O317" s="19">
        <f>(C317*D317*N317/1000)</f>
        <v>0</v>
      </c>
      <c r="P317" s="16"/>
      <c r="Q317" s="18"/>
      <c r="R317" s="19">
        <f>(C317*D317*Q317/1000)</f>
        <v>0</v>
      </c>
      <c r="S317" s="20">
        <f>+H317+K317+Q317+N317</f>
        <v>13</v>
      </c>
      <c r="T317" s="19">
        <f>+I317+L317+R317+O317</f>
        <v>1.0019099999999999</v>
      </c>
      <c r="U317" s="21">
        <f>E317-S317</f>
        <v>0</v>
      </c>
      <c r="V317" s="19">
        <f>F317-T317</f>
        <v>0</v>
      </c>
    </row>
    <row r="318" spans="1:22">
      <c r="A318" s="36"/>
      <c r="B318" s="36"/>
      <c r="C318" s="30"/>
      <c r="D318" s="38"/>
      <c r="E318" s="31">
        <f t="shared" ref="E318:F318" si="895">SUM(E317)</f>
        <v>13</v>
      </c>
      <c r="F318" s="38">
        <f t="shared" si="895"/>
        <v>1.0019099999999999</v>
      </c>
      <c r="G318" s="16" t="s">
        <v>354</v>
      </c>
      <c r="H318" s="31">
        <f t="shared" ref="H318" si="896">SUM(H317)</f>
        <v>13</v>
      </c>
      <c r="I318" s="38">
        <f t="shared" ref="I318" si="897">SUM(I317)</f>
        <v>1.0019099999999999</v>
      </c>
      <c r="K318" s="31">
        <f t="shared" ref="K318" si="898">SUM(K317)</f>
        <v>0</v>
      </c>
      <c r="L318" s="38">
        <f t="shared" ref="L318" si="899">SUM(L317)</f>
        <v>0</v>
      </c>
      <c r="N318" s="31">
        <f t="shared" ref="N318" si="900">SUM(N317)</f>
        <v>0</v>
      </c>
      <c r="O318" s="38">
        <f t="shared" ref="O318" si="901">SUM(O317)</f>
        <v>0</v>
      </c>
      <c r="Q318" s="31">
        <f t="shared" ref="Q318" si="902">SUM(Q317)</f>
        <v>0</v>
      </c>
      <c r="R318" s="38">
        <f t="shared" ref="R318" si="903">SUM(R317)</f>
        <v>0</v>
      </c>
      <c r="S318" s="31">
        <f t="shared" ref="S318" si="904">SUM(S317)</f>
        <v>13</v>
      </c>
      <c r="T318" s="38">
        <f t="shared" ref="T318" si="905">SUM(T317)</f>
        <v>1.0019099999999999</v>
      </c>
      <c r="U318" s="31">
        <f t="shared" ref="U318" si="906">SUM(U317)</f>
        <v>0</v>
      </c>
      <c r="V318" s="38">
        <f t="shared" ref="V318" si="907">SUM(V317)</f>
        <v>0</v>
      </c>
    </row>
    <row r="319" spans="1:22">
      <c r="A319" s="33"/>
      <c r="B319" s="33"/>
      <c r="C319" s="34"/>
      <c r="D319" s="34"/>
      <c r="E319" s="34">
        <f>SUM(E6:E318)/2</f>
        <v>4339</v>
      </c>
      <c r="F319" s="35">
        <f>SUM(F6:F318)/2</f>
        <v>592.23844650000001</v>
      </c>
      <c r="G319" s="26"/>
      <c r="H319" s="34">
        <f>SUM(H318,H316,H314,H305,H303,H300,H298,H295,H292,H289,H279,H268,H265,H256,H252,H244,H230,H228,H224,H211,H194,H182,H177,H171,H160,H150,H146,H133,H131,H118,H108,H101,H88,H77,H61,H58,H42,H337,H32,H11)</f>
        <v>2027</v>
      </c>
      <c r="I319" s="35">
        <f>SUM(I318,I316,I314,I305,I303,I300,I298,I295,I292,I289,I279,I268,I265,I256,I252,I244,I230,I228,I224,I211,I194,I182,I177,I171,I160,I150,I146,I133,I131,I118,I108,I101,I88,I77,I61,I58,I42,I337,I32,I11)</f>
        <v>293.48653200000007</v>
      </c>
      <c r="J319" s="26"/>
      <c r="K319" s="34">
        <f>SUM(K318,K316,K314,K305,K303,K300,K298,K295,K292,K289,K279,K268,K265,K256,K252,K244,K230,K228,K224,K211,K194,K182,K177,K171,K160,K150,K146,K133,K131,K118,K108,K101,K88,K77,K61,K58,K42,K337,K32,K11)</f>
        <v>1411</v>
      </c>
      <c r="L319" s="35">
        <f>SUM(L318,L316,L314,L305,L303,L300,L298,L295,L292,L289,L279,L268,L265,L256,L252,L244,L230,L228,L224,L211,L194,L182,L177,L171,L160,L150,L146,L133,L131,L118,L108,L101,L88,L77,L61,L58,L42,L337,L32,L11)</f>
        <v>169.5938285</v>
      </c>
      <c r="M319" s="26"/>
      <c r="N319" s="34">
        <f>SUM(N318,N316,N314,N305,N303,N300,N298,N295,N292,N289,N279,N268,N265,N256,N252,N244,N230,N228,N224,N211,N194,N182,N177,N171,N160,N150,N146,N133,N131,N118,N108,N101,N88,N77,N61,N58,N42,N337,N32,N11)</f>
        <v>637</v>
      </c>
      <c r="O319" s="35">
        <f>SUM(O318,O316,O314,O305,O303,O300,O298,O295,O292,O289,O279,O268,O265,O256,O252,O244,O230,O228,O224,O211,O194,O182,O177,O171,O160,O150,O146,O133,O131,O118,O108,O101,O88,O77,O61,O58,O42,O337,O32,O11)</f>
        <v>90.623898000000011</v>
      </c>
      <c r="P319" s="26"/>
      <c r="Q319" s="34">
        <f t="shared" ref="Q319:V319" si="908">SUM(Q318,Q316,Q314,Q305,Q303,Q300,Q298,Q295,Q292,Q289,Q279,Q268,Q265,Q256,Q252,Q244,Q230,Q228,Q224,Q211,Q194,Q182,Q177,Q171,Q160,Q150,Q146,Q133,Q131,Q118,Q108,Q101,Q88,Q77,Q61,Q58,Q42,Q337,Q32,Q11)</f>
        <v>238</v>
      </c>
      <c r="R319" s="35">
        <f t="shared" si="908"/>
        <v>37.950282000000001</v>
      </c>
      <c r="S319" s="34">
        <f t="shared" si="908"/>
        <v>4313</v>
      </c>
      <c r="T319" s="35">
        <f t="shared" si="908"/>
        <v>591.65454050000005</v>
      </c>
      <c r="U319" s="34">
        <f t="shared" si="908"/>
        <v>363</v>
      </c>
      <c r="V319" s="35">
        <f t="shared" si="908"/>
        <v>39.524951000000001</v>
      </c>
    </row>
    <row r="326" spans="1:24" s="56" customFormat="1">
      <c r="A326" s="57" t="s">
        <v>13</v>
      </c>
      <c r="B326" s="57" t="s">
        <v>46</v>
      </c>
      <c r="C326" s="58">
        <v>10.7</v>
      </c>
      <c r="D326" s="59">
        <v>7.4</v>
      </c>
      <c r="E326" s="60">
        <v>39</v>
      </c>
      <c r="F326" s="61">
        <f t="shared" ref="F326:F336" si="909">(C326*D326*E326/1000)</f>
        <v>3.0880199999999993</v>
      </c>
      <c r="G326" s="62"/>
      <c r="H326" s="63"/>
      <c r="I326" s="64">
        <f t="shared" ref="I326:I336" si="910">(C326*D326*H326/1000)</f>
        <v>0</v>
      </c>
      <c r="J326" s="61"/>
      <c r="K326" s="63"/>
      <c r="L326" s="64">
        <f t="shared" ref="L326:L336" si="911">(C326*D326*K326/1000)</f>
        <v>0</v>
      </c>
      <c r="M326" s="61"/>
      <c r="N326" s="63"/>
      <c r="O326" s="64">
        <f t="shared" ref="O326:O336" si="912">(C326*D326*N326/1000)</f>
        <v>0</v>
      </c>
      <c r="P326" s="61"/>
      <c r="Q326" s="63"/>
      <c r="R326" s="64">
        <f t="shared" ref="R326:R336" si="913">(C326*D326*Q326/1000)</f>
        <v>0</v>
      </c>
      <c r="S326" s="65">
        <f t="shared" ref="S326:S336" si="914">+H326+K326+Q326+N326</f>
        <v>0</v>
      </c>
      <c r="T326" s="64">
        <f t="shared" ref="T326:T336" si="915">+I326+L326+R326+O326</f>
        <v>0</v>
      </c>
      <c r="U326" s="42">
        <f t="shared" ref="U326:U336" si="916">E326-S326</f>
        <v>39</v>
      </c>
      <c r="V326" s="64">
        <f t="shared" ref="V326:V336" si="917">F326-T326</f>
        <v>3.0880199999999993</v>
      </c>
      <c r="X326" s="69"/>
    </row>
    <row r="327" spans="1:24" s="56" customFormat="1">
      <c r="A327" s="57" t="s">
        <v>13</v>
      </c>
      <c r="B327" s="57" t="s">
        <v>46</v>
      </c>
      <c r="C327" s="58">
        <v>10.7</v>
      </c>
      <c r="D327" s="59">
        <v>8</v>
      </c>
      <c r="E327" s="60">
        <v>10</v>
      </c>
      <c r="F327" s="61">
        <f t="shared" si="909"/>
        <v>0.85599999999999998</v>
      </c>
      <c r="G327" s="62"/>
      <c r="H327" s="63"/>
      <c r="I327" s="64">
        <f t="shared" si="910"/>
        <v>0</v>
      </c>
      <c r="J327" s="61"/>
      <c r="K327" s="63"/>
      <c r="L327" s="64">
        <f t="shared" si="911"/>
        <v>0</v>
      </c>
      <c r="M327" s="61"/>
      <c r="N327" s="63"/>
      <c r="O327" s="64">
        <f t="shared" si="912"/>
        <v>0</v>
      </c>
      <c r="P327" s="61"/>
      <c r="Q327" s="63"/>
      <c r="R327" s="64">
        <f t="shared" si="913"/>
        <v>0</v>
      </c>
      <c r="S327" s="65">
        <f t="shared" si="914"/>
        <v>0</v>
      </c>
      <c r="T327" s="64">
        <f t="shared" si="915"/>
        <v>0</v>
      </c>
      <c r="U327" s="42">
        <f t="shared" si="916"/>
        <v>10</v>
      </c>
      <c r="V327" s="64">
        <f t="shared" si="917"/>
        <v>0.85599999999999998</v>
      </c>
      <c r="X327" s="69"/>
    </row>
    <row r="328" spans="1:24" s="56" customFormat="1">
      <c r="A328" s="57" t="s">
        <v>13</v>
      </c>
      <c r="B328" s="57" t="s">
        <v>46</v>
      </c>
      <c r="C328" s="58">
        <v>10.7</v>
      </c>
      <c r="D328" s="59">
        <v>8.9</v>
      </c>
      <c r="E328" s="60">
        <v>8</v>
      </c>
      <c r="F328" s="61">
        <f t="shared" si="909"/>
        <v>0.76184000000000007</v>
      </c>
      <c r="G328" s="62"/>
      <c r="H328" s="63"/>
      <c r="I328" s="64">
        <f t="shared" si="910"/>
        <v>0</v>
      </c>
      <c r="J328" s="61"/>
      <c r="K328" s="63"/>
      <c r="L328" s="64">
        <f t="shared" si="911"/>
        <v>0</v>
      </c>
      <c r="M328" s="61"/>
      <c r="N328" s="63"/>
      <c r="O328" s="64">
        <f t="shared" si="912"/>
        <v>0</v>
      </c>
      <c r="P328" s="61"/>
      <c r="Q328" s="63"/>
      <c r="R328" s="64">
        <f t="shared" si="913"/>
        <v>0</v>
      </c>
      <c r="S328" s="65">
        <f t="shared" si="914"/>
        <v>0</v>
      </c>
      <c r="T328" s="64">
        <f t="shared" si="915"/>
        <v>0</v>
      </c>
      <c r="U328" s="42">
        <f t="shared" si="916"/>
        <v>8</v>
      </c>
      <c r="V328" s="64">
        <f t="shared" si="917"/>
        <v>0.76184000000000007</v>
      </c>
      <c r="X328" s="69"/>
    </row>
    <row r="329" spans="1:24" s="56" customFormat="1">
      <c r="A329" s="57" t="s">
        <v>13</v>
      </c>
      <c r="B329" s="57" t="s">
        <v>46</v>
      </c>
      <c r="C329" s="58">
        <v>10.7</v>
      </c>
      <c r="D329" s="59">
        <v>9.85</v>
      </c>
      <c r="E329" s="60">
        <v>13</v>
      </c>
      <c r="F329" s="61">
        <f t="shared" si="909"/>
        <v>1.3701349999999999</v>
      </c>
      <c r="G329" s="62"/>
      <c r="H329" s="63"/>
      <c r="I329" s="64">
        <f t="shared" si="910"/>
        <v>0</v>
      </c>
      <c r="J329" s="61"/>
      <c r="K329" s="63"/>
      <c r="L329" s="64">
        <f t="shared" si="911"/>
        <v>0</v>
      </c>
      <c r="M329" s="61"/>
      <c r="N329" s="63"/>
      <c r="O329" s="64">
        <f t="shared" si="912"/>
        <v>0</v>
      </c>
      <c r="P329" s="61"/>
      <c r="Q329" s="63"/>
      <c r="R329" s="64">
        <f t="shared" si="913"/>
        <v>0</v>
      </c>
      <c r="S329" s="65">
        <f t="shared" si="914"/>
        <v>0</v>
      </c>
      <c r="T329" s="64">
        <f t="shared" si="915"/>
        <v>0</v>
      </c>
      <c r="U329" s="42">
        <f t="shared" si="916"/>
        <v>13</v>
      </c>
      <c r="V329" s="64">
        <f t="shared" si="917"/>
        <v>1.3701349999999999</v>
      </c>
      <c r="X329" s="69"/>
    </row>
    <row r="330" spans="1:24" s="56" customFormat="1">
      <c r="A330" s="57" t="s">
        <v>13</v>
      </c>
      <c r="B330" s="57" t="s">
        <v>46</v>
      </c>
      <c r="C330" s="58">
        <v>10.7</v>
      </c>
      <c r="D330" s="59">
        <v>10</v>
      </c>
      <c r="E330" s="60">
        <v>5</v>
      </c>
      <c r="F330" s="61">
        <f t="shared" si="909"/>
        <v>0.53500000000000003</v>
      </c>
      <c r="G330" s="62"/>
      <c r="H330" s="63"/>
      <c r="I330" s="64">
        <f t="shared" si="910"/>
        <v>0</v>
      </c>
      <c r="J330" s="61"/>
      <c r="K330" s="63"/>
      <c r="L330" s="64">
        <f t="shared" si="911"/>
        <v>0</v>
      </c>
      <c r="M330" s="61"/>
      <c r="N330" s="63"/>
      <c r="O330" s="64">
        <f t="shared" si="912"/>
        <v>0</v>
      </c>
      <c r="P330" s="61"/>
      <c r="Q330" s="63"/>
      <c r="R330" s="64">
        <f t="shared" si="913"/>
        <v>0</v>
      </c>
      <c r="S330" s="65">
        <f t="shared" si="914"/>
        <v>0</v>
      </c>
      <c r="T330" s="64">
        <f t="shared" si="915"/>
        <v>0</v>
      </c>
      <c r="U330" s="42">
        <f t="shared" si="916"/>
        <v>5</v>
      </c>
      <c r="V330" s="64">
        <f t="shared" si="917"/>
        <v>0.53500000000000003</v>
      </c>
      <c r="X330" s="69"/>
    </row>
    <row r="331" spans="1:24" s="56" customFormat="1">
      <c r="A331" s="57" t="s">
        <v>13</v>
      </c>
      <c r="B331" s="57" t="s">
        <v>46</v>
      </c>
      <c r="C331" s="58">
        <v>10.7</v>
      </c>
      <c r="D331" s="59">
        <v>10.8</v>
      </c>
      <c r="E331" s="60">
        <v>2</v>
      </c>
      <c r="F331" s="61">
        <f t="shared" si="909"/>
        <v>0.23111999999999999</v>
      </c>
      <c r="G331" s="62"/>
      <c r="H331" s="63"/>
      <c r="I331" s="64">
        <f t="shared" si="910"/>
        <v>0</v>
      </c>
      <c r="J331" s="61"/>
      <c r="K331" s="63"/>
      <c r="L331" s="64">
        <f t="shared" si="911"/>
        <v>0</v>
      </c>
      <c r="M331" s="61"/>
      <c r="N331" s="63"/>
      <c r="O331" s="64">
        <f t="shared" si="912"/>
        <v>0</v>
      </c>
      <c r="P331" s="61"/>
      <c r="Q331" s="63"/>
      <c r="R331" s="64">
        <f t="shared" si="913"/>
        <v>0</v>
      </c>
      <c r="S331" s="65">
        <f t="shared" si="914"/>
        <v>0</v>
      </c>
      <c r="T331" s="64">
        <f t="shared" si="915"/>
        <v>0</v>
      </c>
      <c r="U331" s="42">
        <f t="shared" si="916"/>
        <v>2</v>
      </c>
      <c r="V331" s="64">
        <f t="shared" si="917"/>
        <v>0.23111999999999999</v>
      </c>
      <c r="X331" s="69"/>
    </row>
    <row r="332" spans="1:24" s="56" customFormat="1">
      <c r="A332" s="57" t="s">
        <v>13</v>
      </c>
      <c r="B332" s="57" t="s">
        <v>46</v>
      </c>
      <c r="C332" s="58">
        <v>10.7</v>
      </c>
      <c r="D332" s="59">
        <v>11</v>
      </c>
      <c r="E332" s="60">
        <v>67</v>
      </c>
      <c r="F332" s="61">
        <f t="shared" si="909"/>
        <v>7.8858999999999995</v>
      </c>
      <c r="G332" s="62"/>
      <c r="H332" s="63"/>
      <c r="I332" s="64">
        <f t="shared" si="910"/>
        <v>0</v>
      </c>
      <c r="J332" s="61"/>
      <c r="K332" s="63"/>
      <c r="L332" s="64">
        <f t="shared" si="911"/>
        <v>0</v>
      </c>
      <c r="M332" s="61"/>
      <c r="N332" s="63"/>
      <c r="O332" s="64">
        <f t="shared" si="912"/>
        <v>0</v>
      </c>
      <c r="P332" s="61"/>
      <c r="Q332" s="63"/>
      <c r="R332" s="64">
        <f t="shared" si="913"/>
        <v>0</v>
      </c>
      <c r="S332" s="65">
        <f t="shared" si="914"/>
        <v>0</v>
      </c>
      <c r="T332" s="64">
        <f t="shared" si="915"/>
        <v>0</v>
      </c>
      <c r="U332" s="42">
        <f t="shared" si="916"/>
        <v>67</v>
      </c>
      <c r="V332" s="64">
        <f t="shared" si="917"/>
        <v>7.8858999999999995</v>
      </c>
      <c r="X332" s="69"/>
    </row>
    <row r="333" spans="1:24" s="56" customFormat="1">
      <c r="A333" s="57" t="s">
        <v>13</v>
      </c>
      <c r="B333" s="57" t="s">
        <v>46</v>
      </c>
      <c r="C333" s="58">
        <v>10.7</v>
      </c>
      <c r="D333" s="59">
        <v>11.2</v>
      </c>
      <c r="E333" s="60">
        <v>14</v>
      </c>
      <c r="F333" s="61">
        <f t="shared" si="909"/>
        <v>1.6777599999999997</v>
      </c>
      <c r="G333" s="62"/>
      <c r="H333" s="63"/>
      <c r="I333" s="64">
        <f t="shared" si="910"/>
        <v>0</v>
      </c>
      <c r="J333" s="61"/>
      <c r="K333" s="63"/>
      <c r="L333" s="64">
        <f t="shared" si="911"/>
        <v>0</v>
      </c>
      <c r="M333" s="61"/>
      <c r="N333" s="63"/>
      <c r="O333" s="64">
        <f t="shared" si="912"/>
        <v>0</v>
      </c>
      <c r="P333" s="61"/>
      <c r="Q333" s="63"/>
      <c r="R333" s="64">
        <f t="shared" si="913"/>
        <v>0</v>
      </c>
      <c r="S333" s="65">
        <f t="shared" si="914"/>
        <v>0</v>
      </c>
      <c r="T333" s="64">
        <f t="shared" si="915"/>
        <v>0</v>
      </c>
      <c r="U333" s="42">
        <f t="shared" si="916"/>
        <v>14</v>
      </c>
      <c r="V333" s="64">
        <f t="shared" si="917"/>
        <v>1.6777599999999997</v>
      </c>
      <c r="X333" s="69"/>
    </row>
    <row r="334" spans="1:24" s="56" customFormat="1">
      <c r="A334" s="57" t="s">
        <v>13</v>
      </c>
      <c r="B334" s="57" t="s">
        <v>46</v>
      </c>
      <c r="C334" s="58">
        <v>10.7</v>
      </c>
      <c r="D334" s="59">
        <v>11.5</v>
      </c>
      <c r="E334" s="60">
        <v>49</v>
      </c>
      <c r="F334" s="61">
        <f t="shared" si="909"/>
        <v>6.0294499999999998</v>
      </c>
      <c r="G334" s="62"/>
      <c r="H334" s="63"/>
      <c r="I334" s="64">
        <f t="shared" si="910"/>
        <v>0</v>
      </c>
      <c r="J334" s="61"/>
      <c r="K334" s="63"/>
      <c r="L334" s="64">
        <f t="shared" si="911"/>
        <v>0</v>
      </c>
      <c r="M334" s="61"/>
      <c r="N334" s="63"/>
      <c r="O334" s="64">
        <f t="shared" si="912"/>
        <v>0</v>
      </c>
      <c r="P334" s="61"/>
      <c r="Q334" s="63"/>
      <c r="R334" s="64">
        <f t="shared" si="913"/>
        <v>0</v>
      </c>
      <c r="S334" s="65">
        <f t="shared" si="914"/>
        <v>0</v>
      </c>
      <c r="T334" s="64">
        <f t="shared" si="915"/>
        <v>0</v>
      </c>
      <c r="U334" s="42">
        <f t="shared" si="916"/>
        <v>49</v>
      </c>
      <c r="V334" s="64">
        <f t="shared" si="917"/>
        <v>6.0294499999999998</v>
      </c>
      <c r="X334" s="69"/>
    </row>
    <row r="335" spans="1:24" s="56" customFormat="1">
      <c r="A335" s="57" t="s">
        <v>13</v>
      </c>
      <c r="B335" s="57" t="s">
        <v>46</v>
      </c>
      <c r="C335" s="58">
        <v>10.7</v>
      </c>
      <c r="D335" s="59">
        <v>11.7</v>
      </c>
      <c r="E335" s="60">
        <v>58</v>
      </c>
      <c r="F335" s="61">
        <f t="shared" si="909"/>
        <v>7.2610199999999985</v>
      </c>
      <c r="G335" s="62"/>
      <c r="H335" s="63"/>
      <c r="I335" s="64">
        <f t="shared" si="910"/>
        <v>0</v>
      </c>
      <c r="J335" s="61"/>
      <c r="K335" s="63"/>
      <c r="L335" s="64">
        <f t="shared" si="911"/>
        <v>0</v>
      </c>
      <c r="M335" s="61"/>
      <c r="N335" s="63"/>
      <c r="O335" s="64">
        <f t="shared" si="912"/>
        <v>0</v>
      </c>
      <c r="P335" s="61"/>
      <c r="Q335" s="63"/>
      <c r="R335" s="64">
        <f t="shared" si="913"/>
        <v>0</v>
      </c>
      <c r="S335" s="65">
        <f t="shared" si="914"/>
        <v>0</v>
      </c>
      <c r="T335" s="64">
        <f t="shared" si="915"/>
        <v>0</v>
      </c>
      <c r="U335" s="42">
        <f t="shared" si="916"/>
        <v>58</v>
      </c>
      <c r="V335" s="64">
        <f t="shared" si="917"/>
        <v>7.2610199999999985</v>
      </c>
      <c r="X335" s="69"/>
    </row>
    <row r="336" spans="1:24" s="56" customFormat="1">
      <c r="A336" s="57" t="s">
        <v>13</v>
      </c>
      <c r="B336" s="57" t="s">
        <v>46</v>
      </c>
      <c r="C336" s="58">
        <v>10.7</v>
      </c>
      <c r="D336" s="59">
        <v>12</v>
      </c>
      <c r="E336" s="60">
        <v>72</v>
      </c>
      <c r="F336" s="61">
        <f t="shared" si="909"/>
        <v>9.2447999999999997</v>
      </c>
      <c r="G336" s="62"/>
      <c r="H336" s="63"/>
      <c r="I336" s="64">
        <f t="shared" si="910"/>
        <v>0</v>
      </c>
      <c r="J336" s="61"/>
      <c r="K336" s="63"/>
      <c r="L336" s="64">
        <f t="shared" si="911"/>
        <v>0</v>
      </c>
      <c r="M336" s="61"/>
      <c r="N336" s="63"/>
      <c r="O336" s="64">
        <f t="shared" si="912"/>
        <v>0</v>
      </c>
      <c r="P336" s="61"/>
      <c r="Q336" s="63"/>
      <c r="R336" s="64">
        <f t="shared" si="913"/>
        <v>0</v>
      </c>
      <c r="S336" s="65">
        <f t="shared" si="914"/>
        <v>0</v>
      </c>
      <c r="T336" s="64">
        <f t="shared" si="915"/>
        <v>0</v>
      </c>
      <c r="U336" s="42">
        <f t="shared" si="916"/>
        <v>72</v>
      </c>
      <c r="V336" s="64">
        <f t="shared" si="917"/>
        <v>9.2447999999999997</v>
      </c>
      <c r="X336" s="69"/>
    </row>
    <row r="337" spans="1:24" s="56" customFormat="1">
      <c r="A337" s="41"/>
      <c r="B337" s="41"/>
      <c r="C337" s="58"/>
      <c r="D337" s="67"/>
      <c r="E337" s="68">
        <f t="shared" ref="E337:F337" si="918">SUM(E326:E336)</f>
        <v>337</v>
      </c>
      <c r="F337" s="67">
        <f t="shared" si="918"/>
        <v>38.941044999999995</v>
      </c>
      <c r="G337" s="62"/>
      <c r="H337" s="68">
        <f t="shared" ref="H337" si="919">SUM(H326:H336)</f>
        <v>0</v>
      </c>
      <c r="I337" s="67">
        <f t="shared" ref="I337" si="920">SUM(I326:I336)</f>
        <v>0</v>
      </c>
      <c r="J337" s="61"/>
      <c r="K337" s="68">
        <f t="shared" ref="K337" si="921">SUM(K326:K336)</f>
        <v>0</v>
      </c>
      <c r="L337" s="67">
        <f t="shared" ref="L337" si="922">SUM(L326:L336)</f>
        <v>0</v>
      </c>
      <c r="M337" s="61"/>
      <c r="N337" s="68">
        <f t="shared" ref="N337" si="923">SUM(N326:N336)</f>
        <v>0</v>
      </c>
      <c r="O337" s="67">
        <f t="shared" ref="O337" si="924">SUM(O326:O336)</f>
        <v>0</v>
      </c>
      <c r="P337" s="61"/>
      <c r="Q337" s="68">
        <f t="shared" ref="Q337" si="925">SUM(Q326:Q336)</f>
        <v>0</v>
      </c>
      <c r="R337" s="67">
        <f t="shared" ref="R337" si="926">SUM(R326:R336)</f>
        <v>0</v>
      </c>
      <c r="S337" s="68">
        <f t="shared" ref="S337" si="927">SUM(S326:S336)</f>
        <v>0</v>
      </c>
      <c r="T337" s="67">
        <f t="shared" ref="T337" si="928">SUM(T326:T336)</f>
        <v>0</v>
      </c>
      <c r="U337" s="68">
        <f t="shared" ref="U337" si="929">SUM(U326:U336)</f>
        <v>337</v>
      </c>
      <c r="V337" s="67">
        <f t="shared" ref="V337" si="930">SUM(V326:V336)</f>
        <v>38.941044999999995</v>
      </c>
      <c r="X337" s="6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50"/>
  <dimension ref="A1:X9"/>
  <sheetViews>
    <sheetView zoomScale="75" zoomScaleNormal="75" workbookViewId="0">
      <pane ySplit="5" topLeftCell="A6" activePane="bottomLeft" state="frozen"/>
      <selection pane="bottomLeft" sqref="A1:D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LOI-499  03.07.23</v>
      </c>
      <c r="D1" s="1"/>
      <c r="E1" s="2"/>
      <c r="F1" s="2"/>
      <c r="G1" s="143" t="s">
        <v>271</v>
      </c>
      <c r="H1" s="144"/>
      <c r="I1" s="145" t="s">
        <v>272</v>
      </c>
      <c r="J1" s="144"/>
      <c r="K1" s="3"/>
      <c r="L1" s="4"/>
      <c r="M1" s="4"/>
      <c r="N1" s="3"/>
      <c r="O1" s="4"/>
      <c r="P1" s="146" t="str">
        <f>+F2</f>
        <v>LOI-499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242</v>
      </c>
      <c r="B2" s="8"/>
      <c r="C2" s="9"/>
      <c r="D2" s="9"/>
      <c r="E2" s="10"/>
      <c r="F2" s="146" t="s">
        <v>292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LOI-499  03.07.23</v>
      </c>
      <c r="V2" s="146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25</v>
      </c>
      <c r="C6" s="30">
        <v>13.4</v>
      </c>
      <c r="D6" s="27">
        <v>12</v>
      </c>
      <c r="E6" s="28">
        <v>20</v>
      </c>
      <c r="F6" s="16">
        <f t="shared" ref="F6:F7" si="0">(C6*D6*E6/1000)</f>
        <v>3.2160000000000002</v>
      </c>
      <c r="G6" s="16" t="s">
        <v>293</v>
      </c>
      <c r="H6" s="18">
        <v>20</v>
      </c>
      <c r="I6" s="19">
        <f t="shared" ref="I6:I7" si="1">(C6*D6*H6/1000)</f>
        <v>3.2160000000000002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>+H6+K6+Q6+N6</f>
        <v>20</v>
      </c>
      <c r="T6" s="19">
        <f>+I6+L6+R6+O6</f>
        <v>3.2160000000000002</v>
      </c>
      <c r="U6" s="21">
        <f>E6-S6</f>
        <v>0</v>
      </c>
      <c r="V6" s="19">
        <f>F6-T6</f>
        <v>0</v>
      </c>
      <c r="X6" s="29"/>
    </row>
    <row r="7" spans="1:24">
      <c r="A7" s="26"/>
      <c r="B7" s="26"/>
      <c r="C7" s="30"/>
      <c r="D7" s="27"/>
      <c r="E7" s="28"/>
      <c r="F7" s="16">
        <f t="shared" si="0"/>
        <v>0</v>
      </c>
      <c r="G7" s="16" t="s">
        <v>294</v>
      </c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>+H7+K7+Q7+N7</f>
        <v>0</v>
      </c>
      <c r="T7" s="19">
        <f>+I7+L7+R7+O7</f>
        <v>0</v>
      </c>
      <c r="U7" s="21">
        <f>E7-S7</f>
        <v>0</v>
      </c>
      <c r="V7" s="19">
        <f>F7-T7</f>
        <v>0</v>
      </c>
      <c r="X7" s="29"/>
    </row>
    <row r="8" spans="1:24">
      <c r="A8" s="36"/>
      <c r="B8" s="36"/>
      <c r="C8" s="30"/>
      <c r="D8" s="38"/>
      <c r="E8" s="31">
        <f>SUM(E6:E7)</f>
        <v>20</v>
      </c>
      <c r="F8" s="38">
        <f>SUM(F6:F7)</f>
        <v>3.2160000000000002</v>
      </c>
      <c r="G8" s="17"/>
      <c r="H8" s="31">
        <f>SUM(H6:H7)</f>
        <v>20</v>
      </c>
      <c r="I8" s="38">
        <f>SUM(I6:I7)</f>
        <v>3.2160000000000002</v>
      </c>
      <c r="J8" s="16"/>
      <c r="K8" s="31">
        <f>SUM(K6:K7)</f>
        <v>0</v>
      </c>
      <c r="L8" s="38">
        <f>SUM(L6:L7)</f>
        <v>0</v>
      </c>
      <c r="M8" s="16"/>
      <c r="N8" s="31">
        <f>SUM(N6:N7)</f>
        <v>0</v>
      </c>
      <c r="O8" s="38">
        <f>SUM(O6:O7)</f>
        <v>0</v>
      </c>
      <c r="P8" s="16"/>
      <c r="Q8" s="31">
        <f t="shared" ref="Q8:V8" si="5">SUM(Q6:Q7)</f>
        <v>0</v>
      </c>
      <c r="R8" s="38">
        <f t="shared" si="5"/>
        <v>0</v>
      </c>
      <c r="S8" s="31">
        <f t="shared" si="5"/>
        <v>20</v>
      </c>
      <c r="T8" s="38">
        <f t="shared" si="5"/>
        <v>3.2160000000000002</v>
      </c>
      <c r="U8" s="31">
        <f t="shared" si="5"/>
        <v>0</v>
      </c>
      <c r="V8" s="38">
        <f t="shared" si="5"/>
        <v>0</v>
      </c>
      <c r="X8" s="29"/>
    </row>
    <row r="9" spans="1:24">
      <c r="A9" s="33"/>
      <c r="B9" s="33"/>
      <c r="C9" s="34"/>
      <c r="D9" s="34"/>
      <c r="E9" s="34">
        <f>SUM(E6:E8)/2</f>
        <v>20</v>
      </c>
      <c r="F9" s="35">
        <f>SUM(F6:F8)/2</f>
        <v>3.2160000000000002</v>
      </c>
      <c r="G9" s="26"/>
      <c r="H9" s="34">
        <f>SUM(H6:H8)/2</f>
        <v>20</v>
      </c>
      <c r="I9" s="35">
        <f>SUM(I6:I8)/2</f>
        <v>3.2160000000000002</v>
      </c>
      <c r="J9" s="26"/>
      <c r="K9" s="34">
        <f>SUM(K6:K8)/2</f>
        <v>0</v>
      </c>
      <c r="L9" s="35">
        <f>SUM(L6:L8)/2</f>
        <v>0</v>
      </c>
      <c r="M9" s="26"/>
      <c r="N9" s="34">
        <f>SUM(N6:N8)/2</f>
        <v>0</v>
      </c>
      <c r="O9" s="35">
        <f>SUM(O6:O8)/2</f>
        <v>0</v>
      </c>
      <c r="P9" s="26"/>
      <c r="Q9" s="34">
        <f t="shared" ref="Q9:V9" si="6">SUM(Q6:Q8)/2</f>
        <v>0</v>
      </c>
      <c r="R9" s="35">
        <f t="shared" si="6"/>
        <v>0</v>
      </c>
      <c r="S9" s="34">
        <f t="shared" si="6"/>
        <v>20</v>
      </c>
      <c r="T9" s="35">
        <f t="shared" si="6"/>
        <v>3.2160000000000002</v>
      </c>
      <c r="U9" s="34">
        <f t="shared" si="6"/>
        <v>0</v>
      </c>
      <c r="V9" s="35">
        <f t="shared" si="6"/>
        <v>0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51"/>
  <dimension ref="A1:X33"/>
  <sheetViews>
    <sheetView zoomScale="75" zoomScaleNormal="75" workbookViewId="0">
      <pane ySplit="5" topLeftCell="A6" activePane="bottomLeft" state="frozen"/>
      <selection pane="bottomLeft" activeCell="M23" sqref="M2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LOI-500  03.07.23</v>
      </c>
      <c r="D1" s="1"/>
      <c r="E1" s="2"/>
      <c r="F1" s="2"/>
      <c r="G1" s="143" t="s">
        <v>230</v>
      </c>
      <c r="H1" s="144"/>
      <c r="I1" s="145" t="s">
        <v>275</v>
      </c>
      <c r="J1" s="144"/>
      <c r="K1" s="3"/>
      <c r="L1" s="4"/>
      <c r="M1" s="4"/>
      <c r="N1" s="3"/>
      <c r="O1" s="4"/>
      <c r="P1" s="146" t="str">
        <f>+F2</f>
        <v>LOI-500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232</v>
      </c>
      <c r="B2" s="8"/>
      <c r="C2" s="9"/>
      <c r="D2" s="9"/>
      <c r="E2" s="10"/>
      <c r="F2" s="146" t="s">
        <v>276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LOI-500  03.07.23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49</v>
      </c>
      <c r="C6" s="30">
        <v>14.7</v>
      </c>
      <c r="D6" s="27">
        <v>9.6</v>
      </c>
      <c r="E6" s="28">
        <v>8</v>
      </c>
      <c r="F6" s="16">
        <f>(C6*D6*E6/1000)</f>
        <v>1.1289599999999997</v>
      </c>
      <c r="G6" s="16" t="s">
        <v>89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8</v>
      </c>
      <c r="V6" s="19">
        <f>F6-T6</f>
        <v>1.1289599999999997</v>
      </c>
      <c r="X6" s="29"/>
    </row>
    <row r="7" spans="1:24">
      <c r="A7" s="26" t="s">
        <v>13</v>
      </c>
      <c r="B7" s="26" t="s">
        <v>49</v>
      </c>
      <c r="C7" s="30">
        <v>14.7</v>
      </c>
      <c r="D7" s="27">
        <v>9.8000000000000007</v>
      </c>
      <c r="E7" s="28"/>
      <c r="F7" s="16">
        <f>(C7*D7*E7/1000)</f>
        <v>0</v>
      </c>
      <c r="G7" s="16" t="s">
        <v>300</v>
      </c>
      <c r="H7" s="18">
        <v>8</v>
      </c>
      <c r="I7" s="19">
        <f>(C7*D7*H7/1000)</f>
        <v>1.1524799999999999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+H7+K7+Q7+N7</f>
        <v>8</v>
      </c>
      <c r="T7" s="19">
        <f>+I7+L7+R7+O7</f>
        <v>1.1524799999999999</v>
      </c>
      <c r="U7" s="21">
        <f>E7-S7</f>
        <v>-8</v>
      </c>
      <c r="V7" s="19">
        <f>F7-T7</f>
        <v>-1.1524799999999999</v>
      </c>
      <c r="X7" s="29"/>
    </row>
    <row r="8" spans="1:24">
      <c r="A8" s="36"/>
      <c r="B8" s="36"/>
      <c r="C8" s="37"/>
      <c r="D8" s="38"/>
      <c r="E8" s="31">
        <f t="shared" ref="E8:F8" si="0">SUM(E6:E7)</f>
        <v>8</v>
      </c>
      <c r="F8" s="38">
        <f t="shared" si="0"/>
        <v>1.1289599999999997</v>
      </c>
      <c r="G8" s="16"/>
      <c r="H8" s="31">
        <f t="shared" ref="H8" si="1">SUM(H6:H7)</f>
        <v>8</v>
      </c>
      <c r="I8" s="38">
        <f t="shared" ref="I8" si="2">SUM(I6:I7)</f>
        <v>1.1524799999999999</v>
      </c>
      <c r="J8" s="16"/>
      <c r="K8" s="31">
        <f t="shared" ref="K8" si="3">SUM(K6:K7)</f>
        <v>0</v>
      </c>
      <c r="L8" s="38">
        <f t="shared" ref="L8" si="4">SUM(L6:L7)</f>
        <v>0</v>
      </c>
      <c r="M8" s="16"/>
      <c r="N8" s="31">
        <f t="shared" ref="N8" si="5">SUM(N6:N7)</f>
        <v>0</v>
      </c>
      <c r="O8" s="38">
        <f t="shared" ref="O8" si="6">SUM(O6:O7)</f>
        <v>0</v>
      </c>
      <c r="P8" s="16"/>
      <c r="Q8" s="31">
        <f t="shared" ref="Q8" si="7">SUM(Q6:Q7)</f>
        <v>0</v>
      </c>
      <c r="R8" s="38">
        <f t="shared" ref="R8" si="8">SUM(R6:R7)</f>
        <v>0</v>
      </c>
      <c r="S8" s="31">
        <f t="shared" ref="S8" si="9">SUM(S6:S7)</f>
        <v>8</v>
      </c>
      <c r="T8" s="38">
        <f t="shared" ref="T8" si="10">SUM(T6:T7)</f>
        <v>1.1524799999999999</v>
      </c>
      <c r="U8" s="31">
        <f t="shared" ref="U8" si="11">SUM(U6:U7)</f>
        <v>0</v>
      </c>
      <c r="V8" s="38">
        <f t="shared" ref="V8" si="12">SUM(V6:V7)</f>
        <v>-2.3520000000000207E-2</v>
      </c>
      <c r="X8" s="29"/>
    </row>
    <row r="9" spans="1:24">
      <c r="A9" s="26" t="s">
        <v>13</v>
      </c>
      <c r="B9" s="26" t="s">
        <v>125</v>
      </c>
      <c r="C9" s="30">
        <v>27.3</v>
      </c>
      <c r="D9" s="27">
        <v>8.5</v>
      </c>
      <c r="E9" s="28">
        <v>10</v>
      </c>
      <c r="F9" s="16">
        <f>(C9*D9*E9/1000)</f>
        <v>2.3205</v>
      </c>
      <c r="G9" s="17" t="s">
        <v>88</v>
      </c>
      <c r="H9" s="18">
        <v>10</v>
      </c>
      <c r="I9" s="19">
        <f>(C9*D9*H9/1000)</f>
        <v>2.3205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10</v>
      </c>
      <c r="T9" s="19">
        <f>+I9+L9+R9+O9</f>
        <v>2.3205</v>
      </c>
      <c r="U9" s="21">
        <f>E9-S9</f>
        <v>0</v>
      </c>
      <c r="V9" s="19">
        <f>F9-T9</f>
        <v>0</v>
      </c>
      <c r="X9" s="29"/>
    </row>
    <row r="10" spans="1:24">
      <c r="A10" s="26" t="s">
        <v>13</v>
      </c>
      <c r="B10" s="26" t="s">
        <v>125</v>
      </c>
      <c r="C10" s="30">
        <v>27.3</v>
      </c>
      <c r="D10" s="27"/>
      <c r="E10" s="28"/>
      <c r="F10" s="16">
        <f>(C10*D10*E10/1000)</f>
        <v>0</v>
      </c>
      <c r="G10" s="17" t="s">
        <v>327</v>
      </c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13">SUM(E9:E10)</f>
        <v>10</v>
      </c>
      <c r="F11" s="38">
        <f t="shared" si="13"/>
        <v>2.3205</v>
      </c>
      <c r="G11" s="17"/>
      <c r="H11" s="31">
        <f t="shared" ref="H11:I11" si="14">SUM(H9:H10)</f>
        <v>10</v>
      </c>
      <c r="I11" s="38">
        <f t="shared" si="14"/>
        <v>2.3205</v>
      </c>
      <c r="J11" s="16"/>
      <c r="K11" s="31">
        <f t="shared" ref="K11:L11" si="15">SUM(K9:K10)</f>
        <v>0</v>
      </c>
      <c r="L11" s="38">
        <f t="shared" si="15"/>
        <v>0</v>
      </c>
      <c r="M11" s="16"/>
      <c r="N11" s="31">
        <f t="shared" ref="N11:O11" si="16">SUM(N9:N10)</f>
        <v>0</v>
      </c>
      <c r="O11" s="38">
        <f t="shared" si="16"/>
        <v>0</v>
      </c>
      <c r="P11" s="16"/>
      <c r="Q11" s="31">
        <f t="shared" ref="Q11:V11" si="17">SUM(Q9:Q10)</f>
        <v>0</v>
      </c>
      <c r="R11" s="38">
        <f t="shared" si="17"/>
        <v>0</v>
      </c>
      <c r="S11" s="31">
        <f t="shared" si="17"/>
        <v>10</v>
      </c>
      <c r="T11" s="38">
        <f t="shared" si="17"/>
        <v>2.3205</v>
      </c>
      <c r="U11" s="31">
        <f t="shared" si="17"/>
        <v>0</v>
      </c>
      <c r="V11" s="38">
        <f t="shared" si="17"/>
        <v>0</v>
      </c>
      <c r="X11" s="29"/>
    </row>
    <row r="12" spans="1:24">
      <c r="A12" s="26" t="s">
        <v>13</v>
      </c>
      <c r="B12" s="26" t="s">
        <v>273</v>
      </c>
      <c r="C12" s="30">
        <v>31.6</v>
      </c>
      <c r="D12" s="27">
        <v>6.9</v>
      </c>
      <c r="E12" s="28">
        <v>2</v>
      </c>
      <c r="F12" s="16">
        <f>(C12*D12*E12/1000)</f>
        <v>0.43608000000000002</v>
      </c>
      <c r="G12" s="16" t="s">
        <v>93</v>
      </c>
      <c r="H12" s="18">
        <v>2</v>
      </c>
      <c r="I12" s="19">
        <f>(C12*D12*H12/1000)</f>
        <v>0.43608000000000002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2</v>
      </c>
      <c r="T12" s="19">
        <f>+I12+L12+R12+O12</f>
        <v>0.43608000000000002</v>
      </c>
      <c r="U12" s="21">
        <f>E12-S12</f>
        <v>0</v>
      </c>
      <c r="V12" s="19">
        <f>F12-T12</f>
        <v>0</v>
      </c>
      <c r="X12" s="29"/>
    </row>
    <row r="13" spans="1:24">
      <c r="A13" s="26" t="s">
        <v>13</v>
      </c>
      <c r="B13" s="26" t="s">
        <v>273</v>
      </c>
      <c r="C13" s="30"/>
      <c r="D13" s="27"/>
      <c r="E13" s="28"/>
      <c r="F13" s="16">
        <f>(C13*D13*E13/1000)</f>
        <v>0</v>
      </c>
      <c r="G13" s="16" t="s">
        <v>351</v>
      </c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0</v>
      </c>
      <c r="T13" s="19">
        <f>+I13+L13+R13+O13</f>
        <v>0</v>
      </c>
      <c r="U13" s="21">
        <f>E13-S13</f>
        <v>0</v>
      </c>
      <c r="V13" s="19">
        <f>F13-T13</f>
        <v>0</v>
      </c>
      <c r="X13" s="29"/>
    </row>
    <row r="14" spans="1:24">
      <c r="A14" s="36"/>
      <c r="B14" s="36"/>
      <c r="C14" s="37"/>
      <c r="D14" s="38"/>
      <c r="E14" s="31">
        <f>SUM(E12:E13)</f>
        <v>2</v>
      </c>
      <c r="F14" s="38">
        <f>SUM(F12:F13)</f>
        <v>0.43608000000000002</v>
      </c>
      <c r="G14" s="17"/>
      <c r="H14" s="31">
        <f>SUM(H12:H13)</f>
        <v>2</v>
      </c>
      <c r="I14" s="38">
        <f>SUM(I12:I13)</f>
        <v>0.43608000000000002</v>
      </c>
      <c r="J14" s="16"/>
      <c r="K14" s="31">
        <f>SUM(K12:K13)</f>
        <v>0</v>
      </c>
      <c r="L14" s="38">
        <f>SUM(L12:L13)</f>
        <v>0</v>
      </c>
      <c r="M14" s="16"/>
      <c r="N14" s="31">
        <f>SUM(N12:N13)</f>
        <v>0</v>
      </c>
      <c r="O14" s="38">
        <f>SUM(O12:O13)</f>
        <v>0</v>
      </c>
      <c r="P14" s="16"/>
      <c r="Q14" s="31">
        <f t="shared" ref="Q14:V14" si="18">SUM(Q12:Q13)</f>
        <v>0</v>
      </c>
      <c r="R14" s="38">
        <f t="shared" si="18"/>
        <v>0</v>
      </c>
      <c r="S14" s="31">
        <f t="shared" si="18"/>
        <v>2</v>
      </c>
      <c r="T14" s="38">
        <f t="shared" si="18"/>
        <v>0.43608000000000002</v>
      </c>
      <c r="U14" s="31">
        <f t="shared" si="18"/>
        <v>0</v>
      </c>
      <c r="V14" s="38">
        <f t="shared" si="18"/>
        <v>0</v>
      </c>
      <c r="X14" s="29"/>
    </row>
    <row r="15" spans="1:24">
      <c r="A15" s="26" t="s">
        <v>13</v>
      </c>
      <c r="B15" s="26" t="s">
        <v>274</v>
      </c>
      <c r="C15" s="30">
        <v>40.1</v>
      </c>
      <c r="D15" s="27">
        <v>5.75</v>
      </c>
      <c r="E15" s="28">
        <v>8</v>
      </c>
      <c r="F15" s="16">
        <f>(C15*D15*E15/1000)</f>
        <v>1.8446000000000002</v>
      </c>
      <c r="G15" s="16" t="s">
        <v>89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8</v>
      </c>
      <c r="V15" s="19">
        <f>F15-T15</f>
        <v>1.8446000000000002</v>
      </c>
      <c r="X15" s="29"/>
    </row>
    <row r="16" spans="1:24">
      <c r="A16" s="26" t="s">
        <v>13</v>
      </c>
      <c r="B16" s="26" t="s">
        <v>274</v>
      </c>
      <c r="C16" s="30">
        <v>40.1</v>
      </c>
      <c r="D16" s="27">
        <v>6.15</v>
      </c>
      <c r="E16" s="28"/>
      <c r="F16" s="16">
        <f>(C16*D16*E16/1000)</f>
        <v>0</v>
      </c>
      <c r="G16" s="16" t="s">
        <v>320</v>
      </c>
      <c r="H16" s="18">
        <v>8</v>
      </c>
      <c r="I16" s="19">
        <f>(C16*D16*H16/1000)</f>
        <v>1.97292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8</v>
      </c>
      <c r="T16" s="19">
        <f>+I16+L16+R16+O16</f>
        <v>1.97292</v>
      </c>
      <c r="U16" s="21">
        <f>E16-S16</f>
        <v>-8</v>
      </c>
      <c r="V16" s="19">
        <f>F16-T16</f>
        <v>-1.97292</v>
      </c>
      <c r="X16" s="29"/>
    </row>
    <row r="17" spans="1:24">
      <c r="A17" s="36"/>
      <c r="B17" s="36"/>
      <c r="C17" s="37"/>
      <c r="D17" s="38"/>
      <c r="E17" s="31">
        <f>SUM(E15:E16)</f>
        <v>8</v>
      </c>
      <c r="F17" s="38">
        <f>SUM(F15:F16)</f>
        <v>1.8446000000000002</v>
      </c>
      <c r="G17" s="17"/>
      <c r="H17" s="31">
        <f>SUM(H15:H16)</f>
        <v>8</v>
      </c>
      <c r="I17" s="38">
        <f>SUM(I15:I16)</f>
        <v>1.97292</v>
      </c>
      <c r="J17" s="16"/>
      <c r="K17" s="31">
        <f>SUM(K15:K16)</f>
        <v>0</v>
      </c>
      <c r="L17" s="38">
        <f>SUM(L15:L16)</f>
        <v>0</v>
      </c>
      <c r="M17" s="16"/>
      <c r="N17" s="31">
        <f>SUM(N15:N16)</f>
        <v>0</v>
      </c>
      <c r="O17" s="38">
        <f>SUM(O15:O16)</f>
        <v>0</v>
      </c>
      <c r="P17" s="16"/>
      <c r="Q17" s="31">
        <f t="shared" ref="Q17:V17" si="19">SUM(Q15:Q16)</f>
        <v>0</v>
      </c>
      <c r="R17" s="38">
        <f t="shared" si="19"/>
        <v>0</v>
      </c>
      <c r="S17" s="31">
        <f t="shared" si="19"/>
        <v>8</v>
      </c>
      <c r="T17" s="38">
        <f t="shared" si="19"/>
        <v>1.97292</v>
      </c>
      <c r="U17" s="31">
        <f t="shared" si="19"/>
        <v>0</v>
      </c>
      <c r="V17" s="38">
        <f t="shared" si="19"/>
        <v>-0.12831999999999977</v>
      </c>
      <c r="X17" s="29"/>
    </row>
    <row r="18" spans="1:24">
      <c r="A18" s="33"/>
      <c r="B18" s="33"/>
      <c r="C18" s="34"/>
      <c r="D18" s="34"/>
      <c r="E18" s="34">
        <f t="shared" ref="E18" si="20">SUM(E17,E14,E11,E8)</f>
        <v>28</v>
      </c>
      <c r="F18" s="35">
        <f>SUM(F17,F14,F11,F8)</f>
        <v>5.7301400000000005</v>
      </c>
      <c r="G18" s="26"/>
      <c r="H18" s="34">
        <f t="shared" ref="H18:I18" si="21">SUM(H17,H11,H8)</f>
        <v>26</v>
      </c>
      <c r="I18" s="35">
        <f t="shared" si="21"/>
        <v>5.4459</v>
      </c>
      <c r="J18" s="26"/>
      <c r="K18" s="34">
        <f t="shared" ref="K18:L18" si="22">SUM(K17,K11,K8)</f>
        <v>0</v>
      </c>
      <c r="L18" s="35">
        <f t="shared" si="22"/>
        <v>0</v>
      </c>
      <c r="M18" s="26"/>
      <c r="N18" s="34">
        <f t="shared" ref="N18:O18" si="23">SUM(N17,N11,N8)</f>
        <v>0</v>
      </c>
      <c r="O18" s="35">
        <f t="shared" si="23"/>
        <v>0</v>
      </c>
      <c r="P18" s="26"/>
      <c r="Q18" s="34">
        <f t="shared" ref="Q18:V18" si="24">SUM(Q17,Q11,Q8)</f>
        <v>0</v>
      </c>
      <c r="R18" s="35">
        <f t="shared" si="24"/>
        <v>0</v>
      </c>
      <c r="S18" s="34">
        <f t="shared" si="24"/>
        <v>26</v>
      </c>
      <c r="T18" s="35">
        <f t="shared" si="24"/>
        <v>5.4459</v>
      </c>
      <c r="U18" s="34">
        <f t="shared" si="24"/>
        <v>0</v>
      </c>
      <c r="V18" s="35">
        <f t="shared" si="24"/>
        <v>-0.15183999999999997</v>
      </c>
    </row>
    <row r="33" spans="18:18">
      <c r="R3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52"/>
  <dimension ref="A1:X170"/>
  <sheetViews>
    <sheetView zoomScale="75" zoomScaleNormal="75" workbookViewId="0">
      <pane ySplit="5" topLeftCell="A21" activePane="bottomLeft" state="frozen"/>
      <selection activeCell="A4" sqref="A4"/>
      <selection pane="bottomLeft" activeCell="Q34" sqref="Q34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LOI-501  03.07.23</v>
      </c>
      <c r="D1" s="1"/>
      <c r="E1" s="2"/>
      <c r="F1" s="2"/>
      <c r="G1" s="143" t="s">
        <v>153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LOI-501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263</v>
      </c>
      <c r="B2" s="8"/>
      <c r="C2" s="9"/>
      <c r="D2" s="9"/>
      <c r="E2" s="10"/>
      <c r="F2" s="146" t="s">
        <v>277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LOI-501  03.07.23</v>
      </c>
      <c r="V2" s="146"/>
    </row>
    <row r="3" spans="1:24">
      <c r="A3" s="12" t="s">
        <v>264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18</v>
      </c>
      <c r="C6" s="30">
        <v>16.600000000000001</v>
      </c>
      <c r="D6" s="27">
        <v>6.4</v>
      </c>
      <c r="E6" s="28">
        <v>49</v>
      </c>
      <c r="F6" s="16">
        <f t="shared" ref="F6:F17" si="0">(C6*D6*E6/1000)</f>
        <v>5.2057600000000006</v>
      </c>
      <c r="G6" s="17" t="s">
        <v>93</v>
      </c>
      <c r="H6" s="18">
        <v>7</v>
      </c>
      <c r="I6" s="19">
        <f t="shared" ref="I6:I17" si="1">(C6*D6*H6/1000)</f>
        <v>0.74368000000000012</v>
      </c>
      <c r="J6" s="16" t="s">
        <v>93</v>
      </c>
      <c r="K6" s="18">
        <v>31</v>
      </c>
      <c r="L6" s="19">
        <f t="shared" ref="L6:L17" si="2">(C6*D6*K6/1000)</f>
        <v>3.2934400000000004</v>
      </c>
      <c r="M6" s="16"/>
      <c r="N6" s="18"/>
      <c r="O6" s="19">
        <f t="shared" ref="O6:O17" si="3">(C6*D6*N6/1000)</f>
        <v>0</v>
      </c>
      <c r="P6" s="16"/>
      <c r="Q6" s="18"/>
      <c r="R6" s="19">
        <f t="shared" ref="R6:R17" si="4">(C6*D6*Q6/1000)</f>
        <v>0</v>
      </c>
      <c r="S6" s="20">
        <f t="shared" ref="S6:T17" si="5">+H6+K6+Q6+N6</f>
        <v>38</v>
      </c>
      <c r="T6" s="19">
        <f t="shared" si="5"/>
        <v>4.0371200000000007</v>
      </c>
      <c r="U6" s="21">
        <f t="shared" ref="U6:V17" si="6">E6-S6</f>
        <v>11</v>
      </c>
      <c r="V6" s="19">
        <f t="shared" si="6"/>
        <v>1.1686399999999999</v>
      </c>
      <c r="X6" s="29"/>
    </row>
    <row r="7" spans="1:24">
      <c r="A7" s="26" t="s">
        <v>13</v>
      </c>
      <c r="B7" s="26" t="s">
        <v>18</v>
      </c>
      <c r="C7" s="30">
        <v>16.600000000000001</v>
      </c>
      <c r="D7" s="27">
        <v>10.199999999999999</v>
      </c>
      <c r="E7" s="28">
        <v>30</v>
      </c>
      <c r="F7" s="16">
        <f t="shared" si="0"/>
        <v>5.0795999999999992</v>
      </c>
      <c r="G7" s="17" t="s">
        <v>401</v>
      </c>
      <c r="H7" s="18">
        <v>20</v>
      </c>
      <c r="I7" s="19">
        <f t="shared" si="1"/>
        <v>3.3863999999999996</v>
      </c>
      <c r="J7" s="16" t="s">
        <v>409</v>
      </c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20</v>
      </c>
      <c r="T7" s="19">
        <f t="shared" si="5"/>
        <v>3.3863999999999996</v>
      </c>
      <c r="U7" s="21">
        <f t="shared" si="6"/>
        <v>10</v>
      </c>
      <c r="V7" s="19">
        <f t="shared" si="6"/>
        <v>1.6931999999999996</v>
      </c>
      <c r="X7" s="29"/>
    </row>
    <row r="8" spans="1:24">
      <c r="A8" s="26" t="s">
        <v>13</v>
      </c>
      <c r="B8" s="26" t="s">
        <v>18</v>
      </c>
      <c r="C8" s="30">
        <v>16.600000000000001</v>
      </c>
      <c r="D8" s="27">
        <v>10.7</v>
      </c>
      <c r="E8" s="28">
        <v>23</v>
      </c>
      <c r="F8" s="16">
        <f t="shared" si="0"/>
        <v>4.0852599999999999</v>
      </c>
      <c r="G8" s="17"/>
      <c r="H8" s="18">
        <v>18</v>
      </c>
      <c r="I8" s="19">
        <f t="shared" si="1"/>
        <v>3.1971599999999998</v>
      </c>
      <c r="J8" s="16"/>
      <c r="K8" s="18">
        <v>10</v>
      </c>
      <c r="L8" s="19">
        <f t="shared" si="2"/>
        <v>1.7762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28</v>
      </c>
      <c r="T8" s="19">
        <f t="shared" si="5"/>
        <v>4.9733599999999996</v>
      </c>
      <c r="U8" s="21">
        <f t="shared" si="6"/>
        <v>-5</v>
      </c>
      <c r="V8" s="19">
        <f t="shared" si="6"/>
        <v>-0.88809999999999967</v>
      </c>
      <c r="X8" s="29"/>
    </row>
    <row r="9" spans="1:24">
      <c r="A9" s="26" t="s">
        <v>13</v>
      </c>
      <c r="B9" s="26" t="s">
        <v>18</v>
      </c>
      <c r="C9" s="30">
        <v>16.600000000000001</v>
      </c>
      <c r="D9" s="27">
        <v>11.7</v>
      </c>
      <c r="E9" s="28">
        <v>22</v>
      </c>
      <c r="F9" s="16">
        <f t="shared" si="0"/>
        <v>4.2728400000000004</v>
      </c>
      <c r="G9" s="17"/>
      <c r="H9" s="18">
        <v>11</v>
      </c>
      <c r="I9" s="19">
        <f t="shared" si="1"/>
        <v>2.1364200000000002</v>
      </c>
      <c r="J9" s="16"/>
      <c r="K9" s="18">
        <v>17</v>
      </c>
      <c r="L9" s="19">
        <f t="shared" si="2"/>
        <v>3.3017399999999997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28</v>
      </c>
      <c r="T9" s="19">
        <f t="shared" si="5"/>
        <v>5.4381599999999999</v>
      </c>
      <c r="U9" s="21">
        <f t="shared" si="6"/>
        <v>-6</v>
      </c>
      <c r="V9" s="19">
        <f t="shared" si="6"/>
        <v>-1.1653199999999995</v>
      </c>
      <c r="X9" s="29"/>
    </row>
    <row r="10" spans="1:24">
      <c r="A10" s="26" t="s">
        <v>13</v>
      </c>
      <c r="B10" s="26" t="s">
        <v>18</v>
      </c>
      <c r="C10" s="30">
        <v>16.600000000000001</v>
      </c>
      <c r="D10" s="27">
        <v>12</v>
      </c>
      <c r="E10" s="28">
        <v>18</v>
      </c>
      <c r="F10" s="16">
        <f t="shared" ref="F10:F16" si="7">(C10*D10*E10/1000)</f>
        <v>3.5856000000000003</v>
      </c>
      <c r="G10" s="17"/>
      <c r="H10" s="18">
        <v>9</v>
      </c>
      <c r="I10" s="19">
        <f t="shared" ref="I10:I16" si="8">(C10*D10*H10/1000)</f>
        <v>1.7928000000000002</v>
      </c>
      <c r="J10" s="16"/>
      <c r="K10" s="18">
        <v>10</v>
      </c>
      <c r="L10" s="19">
        <f t="shared" ref="L10:L16" si="9">(C10*D10*K10/1000)</f>
        <v>1.9920000000000002</v>
      </c>
      <c r="M10" s="16"/>
      <c r="N10" s="18"/>
      <c r="O10" s="19">
        <f t="shared" ref="O10:O16" si="10">(C10*D10*N10/1000)</f>
        <v>0</v>
      </c>
      <c r="P10" s="16"/>
      <c r="Q10" s="18"/>
      <c r="R10" s="19">
        <f t="shared" ref="R10:R16" si="11">(C10*D10*Q10/1000)</f>
        <v>0</v>
      </c>
      <c r="S10" s="20">
        <f t="shared" ref="S10:S16" si="12">+H10+K10+Q10+N10</f>
        <v>19</v>
      </c>
      <c r="T10" s="19">
        <f t="shared" ref="T10:T16" si="13">+I10+L10+R10+O10</f>
        <v>3.7848000000000006</v>
      </c>
      <c r="U10" s="21">
        <f t="shared" ref="U10:U16" si="14">E10-S10</f>
        <v>-1</v>
      </c>
      <c r="V10" s="19">
        <f t="shared" ref="V10:V16" si="15">F10-T10</f>
        <v>-0.19920000000000027</v>
      </c>
      <c r="X10" s="29"/>
    </row>
    <row r="11" spans="1:24">
      <c r="A11" s="26" t="s">
        <v>13</v>
      </c>
      <c r="B11" s="26" t="s">
        <v>18</v>
      </c>
      <c r="C11" s="30">
        <v>16.600000000000001</v>
      </c>
      <c r="D11" s="27">
        <v>9.5</v>
      </c>
      <c r="E11" s="28"/>
      <c r="F11" s="16">
        <f t="shared" si="7"/>
        <v>0</v>
      </c>
      <c r="G11" s="17"/>
      <c r="H11" s="18"/>
      <c r="I11" s="19">
        <f t="shared" si="8"/>
        <v>0</v>
      </c>
      <c r="J11" s="16"/>
      <c r="K11" s="18">
        <v>1</v>
      </c>
      <c r="L11" s="19">
        <f t="shared" si="9"/>
        <v>0.15770000000000001</v>
      </c>
      <c r="M11" s="16"/>
      <c r="N11" s="18"/>
      <c r="O11" s="19">
        <f t="shared" si="10"/>
        <v>0</v>
      </c>
      <c r="P11" s="16"/>
      <c r="Q11" s="18"/>
      <c r="R11" s="19">
        <f t="shared" si="11"/>
        <v>0</v>
      </c>
      <c r="S11" s="20">
        <f t="shared" si="12"/>
        <v>1</v>
      </c>
      <c r="T11" s="19">
        <f t="shared" si="13"/>
        <v>0.15770000000000001</v>
      </c>
      <c r="U11" s="21">
        <f t="shared" si="14"/>
        <v>-1</v>
      </c>
      <c r="V11" s="19">
        <f t="shared" si="15"/>
        <v>-0.15770000000000001</v>
      </c>
      <c r="X11" s="29"/>
    </row>
    <row r="12" spans="1:24">
      <c r="A12" s="26" t="s">
        <v>13</v>
      </c>
      <c r="B12" s="26" t="s">
        <v>18</v>
      </c>
      <c r="C12" s="30">
        <v>16.600000000000001</v>
      </c>
      <c r="D12" s="27">
        <v>9.6999999999999993</v>
      </c>
      <c r="E12" s="28"/>
      <c r="F12" s="16">
        <f t="shared" si="7"/>
        <v>0</v>
      </c>
      <c r="G12" s="17"/>
      <c r="H12" s="18"/>
      <c r="I12" s="19">
        <f t="shared" si="8"/>
        <v>0</v>
      </c>
      <c r="J12" s="16"/>
      <c r="K12" s="18">
        <v>1</v>
      </c>
      <c r="L12" s="19">
        <f t="shared" si="9"/>
        <v>0.16102</v>
      </c>
      <c r="M12" s="16"/>
      <c r="N12" s="18"/>
      <c r="O12" s="19">
        <f t="shared" si="10"/>
        <v>0</v>
      </c>
      <c r="P12" s="16"/>
      <c r="Q12" s="18"/>
      <c r="R12" s="19">
        <f t="shared" si="11"/>
        <v>0</v>
      </c>
      <c r="S12" s="20">
        <f t="shared" si="12"/>
        <v>1</v>
      </c>
      <c r="T12" s="19">
        <f t="shared" si="13"/>
        <v>0.16102</v>
      </c>
      <c r="U12" s="21">
        <f t="shared" si="14"/>
        <v>-1</v>
      </c>
      <c r="V12" s="19">
        <f t="shared" si="15"/>
        <v>-0.16102</v>
      </c>
      <c r="X12" s="29"/>
    </row>
    <row r="13" spans="1:24">
      <c r="A13" s="26" t="s">
        <v>13</v>
      </c>
      <c r="B13" s="26" t="s">
        <v>18</v>
      </c>
      <c r="C13" s="30">
        <v>16.600000000000001</v>
      </c>
      <c r="D13" s="27">
        <v>9.9</v>
      </c>
      <c r="E13" s="28"/>
      <c r="F13" s="16">
        <f t="shared" si="7"/>
        <v>0</v>
      </c>
      <c r="G13" s="17"/>
      <c r="H13" s="18"/>
      <c r="I13" s="19">
        <f t="shared" si="8"/>
        <v>0</v>
      </c>
      <c r="J13" s="16"/>
      <c r="K13" s="18">
        <v>1</v>
      </c>
      <c r="L13" s="19">
        <f t="shared" si="9"/>
        <v>0.16434000000000004</v>
      </c>
      <c r="M13" s="16"/>
      <c r="N13" s="18"/>
      <c r="O13" s="19">
        <f t="shared" si="10"/>
        <v>0</v>
      </c>
      <c r="P13" s="16"/>
      <c r="Q13" s="18"/>
      <c r="R13" s="19">
        <f t="shared" si="11"/>
        <v>0</v>
      </c>
      <c r="S13" s="20">
        <f t="shared" si="12"/>
        <v>1</v>
      </c>
      <c r="T13" s="19">
        <f t="shared" si="13"/>
        <v>0.16434000000000004</v>
      </c>
      <c r="U13" s="21">
        <f t="shared" si="14"/>
        <v>-1</v>
      </c>
      <c r="V13" s="19">
        <f t="shared" si="15"/>
        <v>-0.16434000000000004</v>
      </c>
      <c r="X13" s="29"/>
    </row>
    <row r="14" spans="1:24">
      <c r="A14" s="26" t="s">
        <v>13</v>
      </c>
      <c r="B14" s="26" t="s">
        <v>18</v>
      </c>
      <c r="C14" s="30">
        <v>16.600000000000001</v>
      </c>
      <c r="D14" s="27">
        <v>10.199999999999999</v>
      </c>
      <c r="E14" s="28"/>
      <c r="F14" s="16">
        <f t="shared" si="7"/>
        <v>0</v>
      </c>
      <c r="G14" s="17"/>
      <c r="H14" s="18"/>
      <c r="I14" s="19">
        <f t="shared" si="8"/>
        <v>0</v>
      </c>
      <c r="J14" s="16"/>
      <c r="K14" s="18">
        <v>1</v>
      </c>
      <c r="L14" s="19">
        <f t="shared" si="9"/>
        <v>0.16932</v>
      </c>
      <c r="M14" s="16"/>
      <c r="N14" s="18"/>
      <c r="O14" s="19">
        <f t="shared" si="10"/>
        <v>0</v>
      </c>
      <c r="P14" s="16"/>
      <c r="Q14" s="18"/>
      <c r="R14" s="19">
        <f t="shared" si="11"/>
        <v>0</v>
      </c>
      <c r="S14" s="20">
        <f t="shared" si="12"/>
        <v>1</v>
      </c>
      <c r="T14" s="19">
        <f t="shared" si="13"/>
        <v>0.16932</v>
      </c>
      <c r="U14" s="21">
        <f t="shared" si="14"/>
        <v>-1</v>
      </c>
      <c r="V14" s="19">
        <f t="shared" si="15"/>
        <v>-0.16932</v>
      </c>
      <c r="X14" s="29"/>
    </row>
    <row r="15" spans="1:24">
      <c r="A15" s="26" t="s">
        <v>13</v>
      </c>
      <c r="B15" s="26" t="s">
        <v>18</v>
      </c>
      <c r="C15" s="30">
        <v>16.600000000000001</v>
      </c>
      <c r="D15" s="27">
        <v>11.4</v>
      </c>
      <c r="E15" s="28"/>
      <c r="F15" s="16">
        <f t="shared" si="7"/>
        <v>0</v>
      </c>
      <c r="G15" s="17"/>
      <c r="H15" s="18"/>
      <c r="I15" s="19">
        <f t="shared" si="8"/>
        <v>0</v>
      </c>
      <c r="J15" s="16"/>
      <c r="K15" s="18">
        <v>1</v>
      </c>
      <c r="L15" s="19">
        <f t="shared" si="9"/>
        <v>0.18924000000000002</v>
      </c>
      <c r="M15" s="16"/>
      <c r="N15" s="18"/>
      <c r="O15" s="19">
        <f t="shared" si="10"/>
        <v>0</v>
      </c>
      <c r="P15" s="16"/>
      <c r="Q15" s="18"/>
      <c r="R15" s="19">
        <f t="shared" si="11"/>
        <v>0</v>
      </c>
      <c r="S15" s="20">
        <f t="shared" si="12"/>
        <v>1</v>
      </c>
      <c r="T15" s="19">
        <f t="shared" si="13"/>
        <v>0.18924000000000002</v>
      </c>
      <c r="U15" s="21">
        <f t="shared" si="14"/>
        <v>-1</v>
      </c>
      <c r="V15" s="19">
        <f t="shared" si="15"/>
        <v>-0.18924000000000002</v>
      </c>
      <c r="X15" s="29"/>
    </row>
    <row r="16" spans="1:24">
      <c r="A16" s="26" t="s">
        <v>13</v>
      </c>
      <c r="B16" s="26" t="s">
        <v>18</v>
      </c>
      <c r="C16" s="30">
        <v>16.600000000000001</v>
      </c>
      <c r="D16" s="27"/>
      <c r="E16" s="28"/>
      <c r="F16" s="16">
        <f t="shared" si="7"/>
        <v>0</v>
      </c>
      <c r="G16" s="17"/>
      <c r="H16" s="18"/>
      <c r="I16" s="19">
        <f t="shared" si="8"/>
        <v>0</v>
      </c>
      <c r="J16" s="16"/>
      <c r="K16" s="18"/>
      <c r="L16" s="19">
        <f t="shared" si="9"/>
        <v>0</v>
      </c>
      <c r="M16" s="16"/>
      <c r="N16" s="18"/>
      <c r="O16" s="19">
        <f t="shared" si="10"/>
        <v>0</v>
      </c>
      <c r="P16" s="16"/>
      <c r="Q16" s="18"/>
      <c r="R16" s="19">
        <f t="shared" si="11"/>
        <v>0</v>
      </c>
      <c r="S16" s="20">
        <f t="shared" si="12"/>
        <v>0</v>
      </c>
      <c r="T16" s="19">
        <f t="shared" si="13"/>
        <v>0</v>
      </c>
      <c r="U16" s="21">
        <f t="shared" si="14"/>
        <v>0</v>
      </c>
      <c r="V16" s="19">
        <f t="shared" si="15"/>
        <v>0</v>
      </c>
      <c r="X16" s="29"/>
    </row>
    <row r="17" spans="1:24">
      <c r="A17" s="26" t="s">
        <v>13</v>
      </c>
      <c r="B17" s="26" t="s">
        <v>18</v>
      </c>
      <c r="C17" s="30">
        <v>16.600000000000001</v>
      </c>
      <c r="D17" s="27"/>
      <c r="E17" s="28"/>
      <c r="F17" s="16">
        <f t="shared" si="0"/>
        <v>0</v>
      </c>
      <c r="G17" s="17"/>
      <c r="H17" s="18"/>
      <c r="I17" s="19">
        <f t="shared" si="1"/>
        <v>0</v>
      </c>
      <c r="J17" s="16"/>
      <c r="K17" s="18"/>
      <c r="L17" s="19">
        <f t="shared" si="2"/>
        <v>0</v>
      </c>
      <c r="M17" s="16"/>
      <c r="N17" s="18"/>
      <c r="O17" s="19">
        <f t="shared" si="3"/>
        <v>0</v>
      </c>
      <c r="P17" s="16"/>
      <c r="Q17" s="18"/>
      <c r="R17" s="19">
        <f t="shared" si="4"/>
        <v>0</v>
      </c>
      <c r="S17" s="20">
        <f t="shared" si="5"/>
        <v>0</v>
      </c>
      <c r="T17" s="19">
        <f t="shared" si="5"/>
        <v>0</v>
      </c>
      <c r="U17" s="21">
        <f t="shared" si="6"/>
        <v>0</v>
      </c>
      <c r="V17" s="19">
        <f t="shared" si="6"/>
        <v>0</v>
      </c>
      <c r="X17" s="29"/>
    </row>
    <row r="18" spans="1:24">
      <c r="A18" s="36"/>
      <c r="B18" s="36"/>
      <c r="C18" s="37"/>
      <c r="D18" s="38"/>
      <c r="E18" s="31">
        <f t="shared" ref="E18:F18" si="16">SUM(E6:E17)</f>
        <v>142</v>
      </c>
      <c r="F18" s="38">
        <f t="shared" si="16"/>
        <v>22.22906</v>
      </c>
      <c r="G18" s="17"/>
      <c r="H18" s="31">
        <f t="shared" ref="H18" si="17">SUM(H6:H17)</f>
        <v>65</v>
      </c>
      <c r="I18" s="38">
        <f t="shared" ref="I18" si="18">SUM(I6:I17)</f>
        <v>11.256460000000001</v>
      </c>
      <c r="J18" s="16"/>
      <c r="K18" s="31">
        <f>SUM(K6:K17)</f>
        <v>73</v>
      </c>
      <c r="L18" s="38">
        <f t="shared" ref="L18" si="19">SUM(L6:L17)</f>
        <v>11.205000000000002</v>
      </c>
      <c r="M18" s="16"/>
      <c r="N18" s="31">
        <f t="shared" ref="N18" si="20">SUM(N6:N17)</f>
        <v>0</v>
      </c>
      <c r="O18" s="38">
        <f t="shared" ref="O18" si="21">SUM(O6:O17)</f>
        <v>0</v>
      </c>
      <c r="P18" s="16"/>
      <c r="Q18" s="31">
        <f t="shared" ref="Q18" si="22">SUM(Q6:Q17)</f>
        <v>0</v>
      </c>
      <c r="R18" s="38">
        <f t="shared" ref="R18" si="23">SUM(R6:R17)</f>
        <v>0</v>
      </c>
      <c r="S18" s="31">
        <f t="shared" ref="S18" si="24">SUM(S6:S17)</f>
        <v>138</v>
      </c>
      <c r="T18" s="38">
        <f t="shared" ref="T18" si="25">SUM(T6:T17)</f>
        <v>22.461459999999999</v>
      </c>
      <c r="U18" s="31">
        <f t="shared" ref="U18" si="26">SUM(U6:U17)</f>
        <v>4</v>
      </c>
      <c r="V18" s="38">
        <f t="shared" ref="V18" si="27">SUM(V6:V17)</f>
        <v>-0.23239999999999997</v>
      </c>
      <c r="X18" s="29"/>
    </row>
    <row r="19" spans="1:24">
      <c r="A19" s="26" t="s">
        <v>13</v>
      </c>
      <c r="B19" s="26" t="s">
        <v>25</v>
      </c>
      <c r="C19" s="30">
        <v>13.4</v>
      </c>
      <c r="D19" s="27">
        <v>9</v>
      </c>
      <c r="E19" s="28">
        <v>23</v>
      </c>
      <c r="F19" s="16">
        <f t="shared" ref="F19:F26" si="28">(C19*D19*E19/1000)</f>
        <v>2.7738</v>
      </c>
      <c r="G19" s="17" t="s">
        <v>114</v>
      </c>
      <c r="H19" s="18">
        <v>11</v>
      </c>
      <c r="I19" s="19">
        <f t="shared" ref="I19:I26" si="29">(C19*D19*H19/1000)</f>
        <v>1.3266000000000002</v>
      </c>
      <c r="J19" s="16" t="s">
        <v>93</v>
      </c>
      <c r="K19" s="18">
        <v>13</v>
      </c>
      <c r="L19" s="19">
        <f t="shared" ref="L19:L26" si="30">(C19*D19*K19/1000)</f>
        <v>1.5678000000000001</v>
      </c>
      <c r="M19" s="16"/>
      <c r="N19" s="18"/>
      <c r="O19" s="19">
        <f t="shared" ref="O19:O26" si="31">(C19*D19*N19/1000)</f>
        <v>0</v>
      </c>
      <c r="P19" s="16"/>
      <c r="Q19" s="18"/>
      <c r="R19" s="19">
        <f t="shared" ref="R19:R26" si="32">(C19*D19*Q19/1000)</f>
        <v>0</v>
      </c>
      <c r="S19" s="20">
        <f t="shared" ref="S19:T26" si="33">+H19+K19+Q19+N19</f>
        <v>24</v>
      </c>
      <c r="T19" s="19">
        <f t="shared" si="33"/>
        <v>2.8944000000000001</v>
      </c>
      <c r="U19" s="21">
        <f t="shared" ref="U19:V26" si="34">E19-S19</f>
        <v>-1</v>
      </c>
      <c r="V19" s="19">
        <f t="shared" si="34"/>
        <v>-0.12060000000000004</v>
      </c>
      <c r="X19" s="29"/>
    </row>
    <row r="20" spans="1:24">
      <c r="A20" s="26" t="s">
        <v>13</v>
      </c>
      <c r="B20" s="26" t="s">
        <v>25</v>
      </c>
      <c r="C20" s="30">
        <v>13.4</v>
      </c>
      <c r="D20" s="27">
        <v>10</v>
      </c>
      <c r="E20" s="28">
        <v>34</v>
      </c>
      <c r="F20" s="16">
        <f t="shared" si="28"/>
        <v>4.556</v>
      </c>
      <c r="G20" s="17" t="s">
        <v>409</v>
      </c>
      <c r="H20" s="18">
        <v>10</v>
      </c>
      <c r="I20" s="19">
        <f t="shared" si="29"/>
        <v>1.34</v>
      </c>
      <c r="J20" s="16" t="s">
        <v>415</v>
      </c>
      <c r="K20" s="18">
        <v>24</v>
      </c>
      <c r="L20" s="19">
        <f t="shared" si="30"/>
        <v>3.2160000000000002</v>
      </c>
      <c r="M20" s="16"/>
      <c r="N20" s="18"/>
      <c r="O20" s="19">
        <f t="shared" si="31"/>
        <v>0</v>
      </c>
      <c r="P20" s="16"/>
      <c r="Q20" s="18"/>
      <c r="R20" s="19">
        <f t="shared" si="32"/>
        <v>0</v>
      </c>
      <c r="S20" s="20">
        <f t="shared" si="33"/>
        <v>34</v>
      </c>
      <c r="T20" s="19">
        <f t="shared" si="33"/>
        <v>4.556</v>
      </c>
      <c r="U20" s="21">
        <f t="shared" si="34"/>
        <v>0</v>
      </c>
      <c r="V20" s="19">
        <f t="shared" si="34"/>
        <v>0</v>
      </c>
      <c r="X20" s="29"/>
    </row>
    <row r="21" spans="1:24">
      <c r="A21" s="26" t="s">
        <v>13</v>
      </c>
      <c r="B21" s="26" t="s">
        <v>25</v>
      </c>
      <c r="C21" s="30">
        <v>13.4</v>
      </c>
      <c r="D21" s="27">
        <v>10.5</v>
      </c>
      <c r="E21" s="28">
        <v>24</v>
      </c>
      <c r="F21" s="16">
        <f t="shared" si="28"/>
        <v>3.3768000000000002</v>
      </c>
      <c r="G21" s="17"/>
      <c r="H21" s="18">
        <v>9</v>
      </c>
      <c r="I21" s="19">
        <f t="shared" si="29"/>
        <v>1.2663000000000002</v>
      </c>
      <c r="J21" s="16"/>
      <c r="K21" s="18">
        <v>15</v>
      </c>
      <c r="L21" s="19">
        <f t="shared" si="30"/>
        <v>2.1105000000000005</v>
      </c>
      <c r="M21" s="16"/>
      <c r="N21" s="18"/>
      <c r="O21" s="19">
        <f t="shared" si="31"/>
        <v>0</v>
      </c>
      <c r="P21" s="16"/>
      <c r="Q21" s="18"/>
      <c r="R21" s="19">
        <f t="shared" si="32"/>
        <v>0</v>
      </c>
      <c r="S21" s="20">
        <f t="shared" si="33"/>
        <v>24</v>
      </c>
      <c r="T21" s="19">
        <f t="shared" si="33"/>
        <v>3.3768000000000007</v>
      </c>
      <c r="U21" s="21">
        <f t="shared" si="34"/>
        <v>0</v>
      </c>
      <c r="V21" s="19">
        <f t="shared" si="34"/>
        <v>0</v>
      </c>
      <c r="X21" s="29"/>
    </row>
    <row r="22" spans="1:24">
      <c r="A22" s="26" t="s">
        <v>13</v>
      </c>
      <c r="B22" s="26" t="s">
        <v>25</v>
      </c>
      <c r="C22" s="30">
        <v>13.4</v>
      </c>
      <c r="D22" s="27">
        <v>11</v>
      </c>
      <c r="E22" s="28">
        <v>27</v>
      </c>
      <c r="F22" s="16">
        <f t="shared" si="28"/>
        <v>3.9798</v>
      </c>
      <c r="G22" s="17"/>
      <c r="H22" s="18">
        <v>10</v>
      </c>
      <c r="I22" s="19">
        <f t="shared" si="29"/>
        <v>1.474</v>
      </c>
      <c r="J22" s="16"/>
      <c r="K22" s="18">
        <v>17</v>
      </c>
      <c r="L22" s="19">
        <f t="shared" si="30"/>
        <v>2.5058000000000002</v>
      </c>
      <c r="M22" s="16"/>
      <c r="N22" s="18"/>
      <c r="O22" s="19">
        <f t="shared" si="31"/>
        <v>0</v>
      </c>
      <c r="P22" s="16"/>
      <c r="Q22" s="18"/>
      <c r="R22" s="19">
        <f t="shared" si="32"/>
        <v>0</v>
      </c>
      <c r="S22" s="20">
        <f t="shared" si="33"/>
        <v>27</v>
      </c>
      <c r="T22" s="19">
        <f t="shared" si="33"/>
        <v>3.9798</v>
      </c>
      <c r="U22" s="21">
        <f t="shared" si="34"/>
        <v>0</v>
      </c>
      <c r="V22" s="19">
        <f t="shared" si="34"/>
        <v>0</v>
      </c>
      <c r="X22" s="29"/>
    </row>
    <row r="23" spans="1:24">
      <c r="A23" s="26" t="s">
        <v>13</v>
      </c>
      <c r="B23" s="26" t="s">
        <v>25</v>
      </c>
      <c r="C23" s="30">
        <v>13.4</v>
      </c>
      <c r="D23" s="27">
        <v>11.7</v>
      </c>
      <c r="E23" s="28">
        <v>23</v>
      </c>
      <c r="F23" s="16">
        <f t="shared" si="28"/>
        <v>3.6059399999999999</v>
      </c>
      <c r="G23" s="17"/>
      <c r="H23" s="18">
        <v>15</v>
      </c>
      <c r="I23" s="19">
        <f t="shared" si="29"/>
        <v>2.3516999999999997</v>
      </c>
      <c r="J23" s="16"/>
      <c r="K23" s="18">
        <v>7</v>
      </c>
      <c r="L23" s="19">
        <f t="shared" si="30"/>
        <v>1.0974600000000001</v>
      </c>
      <c r="M23" s="16"/>
      <c r="N23" s="18"/>
      <c r="O23" s="19">
        <f t="shared" si="31"/>
        <v>0</v>
      </c>
      <c r="P23" s="16"/>
      <c r="Q23" s="18"/>
      <c r="R23" s="19">
        <f t="shared" si="32"/>
        <v>0</v>
      </c>
      <c r="S23" s="20">
        <f t="shared" si="33"/>
        <v>22</v>
      </c>
      <c r="T23" s="19">
        <f t="shared" si="33"/>
        <v>3.44916</v>
      </c>
      <c r="U23" s="21">
        <f t="shared" si="34"/>
        <v>1</v>
      </c>
      <c r="V23" s="19">
        <f t="shared" si="34"/>
        <v>0.15677999999999992</v>
      </c>
      <c r="X23" s="29"/>
    </row>
    <row r="24" spans="1:24">
      <c r="A24" s="26" t="s">
        <v>13</v>
      </c>
      <c r="B24" s="26" t="s">
        <v>25</v>
      </c>
      <c r="C24" s="30">
        <v>13.4</v>
      </c>
      <c r="D24" s="27">
        <v>11.9</v>
      </c>
      <c r="E24" s="28">
        <v>20</v>
      </c>
      <c r="F24" s="16">
        <f t="shared" si="28"/>
        <v>3.1892000000000005</v>
      </c>
      <c r="G24" s="17"/>
      <c r="H24" s="18">
        <v>13</v>
      </c>
      <c r="I24" s="19">
        <f t="shared" si="29"/>
        <v>2.0729799999999998</v>
      </c>
      <c r="J24" s="16"/>
      <c r="K24" s="18">
        <v>6</v>
      </c>
      <c r="L24" s="19">
        <f t="shared" si="30"/>
        <v>0.95675999999999994</v>
      </c>
      <c r="M24" s="16"/>
      <c r="N24" s="18"/>
      <c r="O24" s="19">
        <f t="shared" si="31"/>
        <v>0</v>
      </c>
      <c r="P24" s="16"/>
      <c r="Q24" s="18"/>
      <c r="R24" s="19">
        <f t="shared" si="32"/>
        <v>0</v>
      </c>
      <c r="S24" s="20">
        <f t="shared" si="33"/>
        <v>19</v>
      </c>
      <c r="T24" s="19">
        <f t="shared" si="33"/>
        <v>3.0297399999999999</v>
      </c>
      <c r="U24" s="21">
        <f t="shared" si="34"/>
        <v>1</v>
      </c>
      <c r="V24" s="19">
        <f t="shared" si="34"/>
        <v>0.1594600000000006</v>
      </c>
      <c r="X24" s="29"/>
    </row>
    <row r="25" spans="1:24">
      <c r="A25" s="26" t="s">
        <v>13</v>
      </c>
      <c r="B25" s="26" t="s">
        <v>25</v>
      </c>
      <c r="C25" s="30">
        <v>13.4</v>
      </c>
      <c r="D25" s="27">
        <v>12</v>
      </c>
      <c r="E25" s="28">
        <v>20</v>
      </c>
      <c r="F25" s="16">
        <f t="shared" ref="F25" si="35">(C25*D25*E25/1000)</f>
        <v>3.2160000000000002</v>
      </c>
      <c r="G25" s="17"/>
      <c r="H25" s="18">
        <v>8</v>
      </c>
      <c r="I25" s="19">
        <f t="shared" ref="I25" si="36">(C25*D25*H25/1000)</f>
        <v>1.2864</v>
      </c>
      <c r="J25" s="16"/>
      <c r="K25" s="18">
        <v>13</v>
      </c>
      <c r="L25" s="19">
        <f t="shared" ref="L25" si="37">(C25*D25*K25/1000)</f>
        <v>2.0904000000000003</v>
      </c>
      <c r="M25" s="16"/>
      <c r="N25" s="18"/>
      <c r="O25" s="19">
        <f t="shared" ref="O25" si="38">(C25*D25*N25/1000)</f>
        <v>0</v>
      </c>
      <c r="P25" s="16"/>
      <c r="Q25" s="18"/>
      <c r="R25" s="19">
        <f t="shared" ref="R25" si="39">(C25*D25*Q25/1000)</f>
        <v>0</v>
      </c>
      <c r="S25" s="20">
        <f t="shared" ref="S25" si="40">+H25+K25+Q25+N25</f>
        <v>21</v>
      </c>
      <c r="T25" s="19">
        <f t="shared" ref="T25" si="41">+I25+L25+R25+O25</f>
        <v>3.3768000000000002</v>
      </c>
      <c r="U25" s="21">
        <f t="shared" ref="U25" si="42">E25-S25</f>
        <v>-1</v>
      </c>
      <c r="V25" s="19">
        <f t="shared" ref="V25" si="43">F25-T25</f>
        <v>-0.16080000000000005</v>
      </c>
      <c r="X25" s="29"/>
    </row>
    <row r="26" spans="1:24">
      <c r="A26" s="26" t="s">
        <v>13</v>
      </c>
      <c r="B26" s="26" t="s">
        <v>25</v>
      </c>
      <c r="C26" s="30">
        <v>13.4</v>
      </c>
      <c r="D26" s="27">
        <v>11.2</v>
      </c>
      <c r="E26" s="28"/>
      <c r="F26" s="16">
        <f t="shared" si="28"/>
        <v>0</v>
      </c>
      <c r="G26" s="17"/>
      <c r="H26" s="18"/>
      <c r="I26" s="19">
        <f t="shared" si="29"/>
        <v>0</v>
      </c>
      <c r="J26" s="16"/>
      <c r="K26" s="18">
        <v>1</v>
      </c>
      <c r="L26" s="19">
        <f t="shared" si="30"/>
        <v>0.15007999999999999</v>
      </c>
      <c r="M26" s="16"/>
      <c r="N26" s="18"/>
      <c r="O26" s="19">
        <f t="shared" si="31"/>
        <v>0</v>
      </c>
      <c r="P26" s="16"/>
      <c r="Q26" s="18"/>
      <c r="R26" s="19">
        <f t="shared" si="32"/>
        <v>0</v>
      </c>
      <c r="S26" s="20">
        <f t="shared" si="33"/>
        <v>1</v>
      </c>
      <c r="T26" s="19">
        <f t="shared" si="33"/>
        <v>0.15007999999999999</v>
      </c>
      <c r="U26" s="21">
        <f t="shared" si="34"/>
        <v>-1</v>
      </c>
      <c r="V26" s="19">
        <f t="shared" si="34"/>
        <v>-0.15007999999999999</v>
      </c>
      <c r="X26" s="29"/>
    </row>
    <row r="27" spans="1:24">
      <c r="A27" s="36"/>
      <c r="B27" s="36"/>
      <c r="C27" s="37"/>
      <c r="D27" s="38"/>
      <c r="E27" s="31">
        <f t="shared" ref="E27:F27" si="44">SUM(E19:E26)</f>
        <v>171</v>
      </c>
      <c r="F27" s="38">
        <f t="shared" si="44"/>
        <v>24.697540000000004</v>
      </c>
      <c r="G27" s="17"/>
      <c r="H27" s="31">
        <f t="shared" ref="H27" si="45">SUM(H19:H26)</f>
        <v>76</v>
      </c>
      <c r="I27" s="38">
        <f t="shared" ref="I27" si="46">SUM(I19:I26)</f>
        <v>11.117979999999999</v>
      </c>
      <c r="J27" s="16"/>
      <c r="K27" s="31">
        <f t="shared" ref="K27" si="47">SUM(K19:K26)</f>
        <v>96</v>
      </c>
      <c r="L27" s="38">
        <f t="shared" ref="L27" si="48">SUM(L19:L26)</f>
        <v>13.694800000000001</v>
      </c>
      <c r="M27" s="16"/>
      <c r="N27" s="31">
        <f t="shared" ref="N27" si="49">SUM(N19:N26)</f>
        <v>0</v>
      </c>
      <c r="O27" s="38">
        <f t="shared" ref="O27" si="50">SUM(O19:O26)</f>
        <v>0</v>
      </c>
      <c r="P27" s="16"/>
      <c r="Q27" s="31">
        <f t="shared" ref="Q27" si="51">SUM(Q19:Q26)</f>
        <v>0</v>
      </c>
      <c r="R27" s="38">
        <f t="shared" ref="R27" si="52">SUM(R19:R26)</f>
        <v>0</v>
      </c>
      <c r="S27" s="31">
        <f t="shared" ref="S27" si="53">SUM(S19:S26)</f>
        <v>172</v>
      </c>
      <c r="T27" s="38">
        <f t="shared" ref="T27" si="54">SUM(T19:T26)</f>
        <v>24.81278</v>
      </c>
      <c r="U27" s="31">
        <f t="shared" ref="U27" si="55">SUM(U19:U26)</f>
        <v>-1</v>
      </c>
      <c r="V27" s="38">
        <f t="shared" ref="V27" si="56">SUM(V19:V26)</f>
        <v>-0.11523999999999957</v>
      </c>
      <c r="X27" s="29"/>
    </row>
    <row r="28" spans="1:24">
      <c r="A28" s="26" t="s">
        <v>13</v>
      </c>
      <c r="B28" s="26" t="s">
        <v>47</v>
      </c>
      <c r="C28" s="30">
        <v>18.2</v>
      </c>
      <c r="D28" s="27">
        <v>8.6999999999999993</v>
      </c>
      <c r="E28" s="28">
        <v>17</v>
      </c>
      <c r="F28" s="16">
        <f t="shared" ref="F28:F40" si="57">(C28*D28*E28/1000)</f>
        <v>2.6917799999999996</v>
      </c>
      <c r="G28" s="17" t="s">
        <v>88</v>
      </c>
      <c r="H28" s="18">
        <v>1</v>
      </c>
      <c r="I28" s="19">
        <f t="shared" ref="I28:I40" si="58">(C28*D28*H28/1000)</f>
        <v>0.15833999999999998</v>
      </c>
      <c r="J28" s="16" t="s">
        <v>288</v>
      </c>
      <c r="K28" s="18">
        <v>16</v>
      </c>
      <c r="L28" s="19">
        <f t="shared" ref="L28:L40" si="59">(C28*D28*K28/1000)</f>
        <v>2.5334399999999997</v>
      </c>
      <c r="M28" s="16" t="s">
        <v>86</v>
      </c>
      <c r="N28" s="18"/>
      <c r="O28" s="19">
        <f t="shared" ref="O28:O40" si="60">(C28*D28*N28/1000)</f>
        <v>0</v>
      </c>
      <c r="P28" s="16" t="s">
        <v>64</v>
      </c>
      <c r="Q28" s="18"/>
      <c r="R28" s="19">
        <f t="shared" ref="R28:R40" si="61">(C28*D28*Q28/1000)</f>
        <v>0</v>
      </c>
      <c r="S28" s="20">
        <f t="shared" ref="S28:T40" si="62">+H28+K28+Q28+N28</f>
        <v>17</v>
      </c>
      <c r="T28" s="19">
        <f t="shared" si="62"/>
        <v>2.6917799999999996</v>
      </c>
      <c r="U28" s="21">
        <f t="shared" ref="U28:V40" si="63">E28-S28</f>
        <v>0</v>
      </c>
      <c r="V28" s="19">
        <f t="shared" si="63"/>
        <v>0</v>
      </c>
      <c r="X28" s="29"/>
    </row>
    <row r="29" spans="1:24">
      <c r="A29" s="26" t="s">
        <v>13</v>
      </c>
      <c r="B29" s="26" t="s">
        <v>47</v>
      </c>
      <c r="C29" s="30">
        <v>18.2</v>
      </c>
      <c r="D29" s="27">
        <v>9.5</v>
      </c>
      <c r="E29" s="28">
        <v>11</v>
      </c>
      <c r="F29" s="16">
        <f t="shared" si="57"/>
        <v>1.9019000000000001</v>
      </c>
      <c r="G29" s="17" t="s">
        <v>326</v>
      </c>
      <c r="H29" s="18">
        <v>11</v>
      </c>
      <c r="I29" s="19">
        <f t="shared" si="58"/>
        <v>1.9019000000000001</v>
      </c>
      <c r="J29" s="16" t="s">
        <v>327</v>
      </c>
      <c r="K29" s="18">
        <v>1</v>
      </c>
      <c r="L29" s="19">
        <f t="shared" si="59"/>
        <v>0.1729</v>
      </c>
      <c r="M29" s="16" t="s">
        <v>328</v>
      </c>
      <c r="N29" s="18"/>
      <c r="O29" s="19">
        <f t="shared" si="60"/>
        <v>0</v>
      </c>
      <c r="P29" s="16" t="s">
        <v>341</v>
      </c>
      <c r="Q29" s="18"/>
      <c r="R29" s="19">
        <f t="shared" si="61"/>
        <v>0</v>
      </c>
      <c r="S29" s="20">
        <f t="shared" si="62"/>
        <v>12</v>
      </c>
      <c r="T29" s="19">
        <f t="shared" si="62"/>
        <v>2.0748000000000002</v>
      </c>
      <c r="U29" s="21">
        <f t="shared" si="63"/>
        <v>-1</v>
      </c>
      <c r="V29" s="19">
        <f t="shared" si="63"/>
        <v>-0.17290000000000005</v>
      </c>
      <c r="X29" s="29"/>
    </row>
    <row r="30" spans="1:24">
      <c r="A30" s="26" t="s">
        <v>13</v>
      </c>
      <c r="B30" s="26" t="s">
        <v>47</v>
      </c>
      <c r="C30" s="30">
        <v>18.2</v>
      </c>
      <c r="D30" s="27">
        <v>10.4</v>
      </c>
      <c r="E30" s="28">
        <v>33</v>
      </c>
      <c r="F30" s="16">
        <f t="shared" si="57"/>
        <v>6.2462399999999993</v>
      </c>
      <c r="G30" s="17"/>
      <c r="H30" s="18"/>
      <c r="I30" s="19">
        <f t="shared" si="58"/>
        <v>0</v>
      </c>
      <c r="J30" s="16"/>
      <c r="K30" s="18">
        <v>18</v>
      </c>
      <c r="L30" s="19">
        <f t="shared" si="59"/>
        <v>3.4070399999999998</v>
      </c>
      <c r="M30" s="16"/>
      <c r="N30" s="18"/>
      <c r="O30" s="19">
        <f t="shared" si="60"/>
        <v>0</v>
      </c>
      <c r="P30" s="16"/>
      <c r="Q30" s="18"/>
      <c r="R30" s="19">
        <f t="shared" si="61"/>
        <v>0</v>
      </c>
      <c r="S30" s="20">
        <f t="shared" si="62"/>
        <v>18</v>
      </c>
      <c r="T30" s="19">
        <f t="shared" si="62"/>
        <v>3.4070399999999998</v>
      </c>
      <c r="U30" s="21">
        <f t="shared" si="63"/>
        <v>15</v>
      </c>
      <c r="V30" s="19">
        <f t="shared" si="63"/>
        <v>2.8391999999999995</v>
      </c>
      <c r="X30" s="29"/>
    </row>
    <row r="31" spans="1:24">
      <c r="A31" s="26" t="s">
        <v>13</v>
      </c>
      <c r="B31" s="26" t="s">
        <v>47</v>
      </c>
      <c r="C31" s="30">
        <v>18.2</v>
      </c>
      <c r="D31" s="27">
        <v>10.6</v>
      </c>
      <c r="E31" s="28">
        <v>14</v>
      </c>
      <c r="F31" s="16">
        <f t="shared" si="57"/>
        <v>2.7008799999999997</v>
      </c>
      <c r="G31" s="17"/>
      <c r="H31" s="18">
        <v>6</v>
      </c>
      <c r="I31" s="19">
        <f t="shared" si="58"/>
        <v>1.1575199999999999</v>
      </c>
      <c r="J31" s="16"/>
      <c r="K31" s="18">
        <v>6</v>
      </c>
      <c r="L31" s="19">
        <f t="shared" si="59"/>
        <v>1.1575199999999999</v>
      </c>
      <c r="M31" s="16"/>
      <c r="N31" s="18"/>
      <c r="O31" s="19">
        <f t="shared" si="60"/>
        <v>0</v>
      </c>
      <c r="P31" s="16" t="s">
        <v>89</v>
      </c>
      <c r="Q31" s="18"/>
      <c r="R31" s="19">
        <f t="shared" si="61"/>
        <v>0</v>
      </c>
      <c r="S31" s="20">
        <f t="shared" si="62"/>
        <v>12</v>
      </c>
      <c r="T31" s="19">
        <f t="shared" si="62"/>
        <v>2.3150399999999998</v>
      </c>
      <c r="U31" s="21">
        <f t="shared" si="63"/>
        <v>2</v>
      </c>
      <c r="V31" s="19">
        <f t="shared" si="63"/>
        <v>0.38583999999999996</v>
      </c>
      <c r="X31" s="29"/>
    </row>
    <row r="32" spans="1:24">
      <c r="A32" s="26" t="s">
        <v>13</v>
      </c>
      <c r="B32" s="26" t="s">
        <v>47</v>
      </c>
      <c r="C32" s="30">
        <v>18.2</v>
      </c>
      <c r="D32" s="27">
        <v>10.8</v>
      </c>
      <c r="E32" s="28">
        <v>38</v>
      </c>
      <c r="F32" s="16">
        <f t="shared" si="57"/>
        <v>7.4692799999999995</v>
      </c>
      <c r="G32" s="17"/>
      <c r="H32" s="18">
        <v>14</v>
      </c>
      <c r="I32" s="19">
        <f t="shared" si="58"/>
        <v>2.7518400000000001</v>
      </c>
      <c r="J32" s="16"/>
      <c r="K32" s="18">
        <v>24</v>
      </c>
      <c r="L32" s="19">
        <f t="shared" si="59"/>
        <v>4.7174400000000007</v>
      </c>
      <c r="M32" s="16"/>
      <c r="N32" s="18"/>
      <c r="O32" s="19">
        <f t="shared" si="60"/>
        <v>0</v>
      </c>
      <c r="P32" s="16" t="s">
        <v>418</v>
      </c>
      <c r="Q32" s="18"/>
      <c r="R32" s="19">
        <f t="shared" si="61"/>
        <v>0</v>
      </c>
      <c r="S32" s="20">
        <f t="shared" si="62"/>
        <v>38</v>
      </c>
      <c r="T32" s="19">
        <f t="shared" si="62"/>
        <v>7.4692800000000013</v>
      </c>
      <c r="U32" s="21">
        <f t="shared" si="63"/>
        <v>0</v>
      </c>
      <c r="V32" s="19">
        <f t="shared" si="63"/>
        <v>0</v>
      </c>
      <c r="X32" s="29"/>
    </row>
    <row r="33" spans="1:24">
      <c r="A33" s="26" t="s">
        <v>13</v>
      </c>
      <c r="B33" s="26" t="s">
        <v>47</v>
      </c>
      <c r="C33" s="30">
        <v>18.2</v>
      </c>
      <c r="D33" s="27">
        <v>11.3</v>
      </c>
      <c r="E33" s="28">
        <v>28</v>
      </c>
      <c r="F33" s="16">
        <f t="shared" si="57"/>
        <v>5.7584799999999996</v>
      </c>
      <c r="G33" s="17"/>
      <c r="H33" s="18">
        <v>4</v>
      </c>
      <c r="I33" s="19">
        <f t="shared" si="58"/>
        <v>0.82264000000000004</v>
      </c>
      <c r="J33" s="16"/>
      <c r="K33" s="18"/>
      <c r="L33" s="19">
        <f t="shared" si="59"/>
        <v>0</v>
      </c>
      <c r="M33" s="16"/>
      <c r="N33" s="18">
        <v>15</v>
      </c>
      <c r="O33" s="19">
        <f t="shared" si="60"/>
        <v>3.0849000000000002</v>
      </c>
      <c r="P33" s="16"/>
      <c r="Q33" s="18">
        <v>3</v>
      </c>
      <c r="R33" s="19">
        <f t="shared" si="61"/>
        <v>0.61697999999999997</v>
      </c>
      <c r="S33" s="20">
        <f t="shared" si="62"/>
        <v>22</v>
      </c>
      <c r="T33" s="19">
        <f t="shared" si="62"/>
        <v>4.5245200000000008</v>
      </c>
      <c r="U33" s="21">
        <f t="shared" si="63"/>
        <v>6</v>
      </c>
      <c r="V33" s="19">
        <f t="shared" si="63"/>
        <v>1.2339599999999988</v>
      </c>
      <c r="X33" s="29"/>
    </row>
    <row r="34" spans="1:24">
      <c r="A34" s="26" t="s">
        <v>13</v>
      </c>
      <c r="B34" s="26" t="s">
        <v>47</v>
      </c>
      <c r="C34" s="30">
        <v>18.2</v>
      </c>
      <c r="D34" s="27">
        <v>11.4</v>
      </c>
      <c r="E34" s="28">
        <v>29</v>
      </c>
      <c r="F34" s="16">
        <f t="shared" si="57"/>
        <v>6.0169199999999998</v>
      </c>
      <c r="G34" s="17"/>
      <c r="H34" s="18">
        <v>10</v>
      </c>
      <c r="I34" s="19">
        <f t="shared" si="58"/>
        <v>2.0747999999999998</v>
      </c>
      <c r="J34" s="16"/>
      <c r="K34" s="18">
        <v>10</v>
      </c>
      <c r="L34" s="19">
        <f t="shared" si="59"/>
        <v>2.0747999999999998</v>
      </c>
      <c r="M34" s="16"/>
      <c r="N34" s="18">
        <v>11</v>
      </c>
      <c r="O34" s="19">
        <f t="shared" si="60"/>
        <v>2.2822799999999996</v>
      </c>
      <c r="P34" s="16"/>
      <c r="Q34" s="18">
        <f>1+15</f>
        <v>16</v>
      </c>
      <c r="R34" s="19">
        <f t="shared" si="61"/>
        <v>3.31968</v>
      </c>
      <c r="S34" s="20">
        <f t="shared" si="62"/>
        <v>47</v>
      </c>
      <c r="T34" s="19">
        <f t="shared" si="62"/>
        <v>9.7515599999999996</v>
      </c>
      <c r="U34" s="21">
        <f t="shared" si="63"/>
        <v>-18</v>
      </c>
      <c r="V34" s="19">
        <f t="shared" si="63"/>
        <v>-3.7346399999999997</v>
      </c>
      <c r="X34" s="29"/>
    </row>
    <row r="35" spans="1:24">
      <c r="A35" s="26" t="s">
        <v>13</v>
      </c>
      <c r="B35" s="26" t="s">
        <v>47</v>
      </c>
      <c r="C35" s="30">
        <v>18.2</v>
      </c>
      <c r="D35" s="27">
        <v>12</v>
      </c>
      <c r="E35" s="28">
        <v>13</v>
      </c>
      <c r="F35" s="16">
        <f t="shared" ref="F35:F39" si="64">(C35*D35*E35/1000)</f>
        <v>2.8391999999999999</v>
      </c>
      <c r="G35" s="17"/>
      <c r="H35" s="18">
        <v>5</v>
      </c>
      <c r="I35" s="19">
        <f t="shared" ref="I35:I39" si="65">(C35*D35*H35/1000)</f>
        <v>1.0920000000000001</v>
      </c>
      <c r="J35" s="16"/>
      <c r="K35" s="18">
        <v>2</v>
      </c>
      <c r="L35" s="19">
        <f t="shared" ref="L35:L39" si="66">(C35*D35*K35/1000)</f>
        <v>0.43679999999999997</v>
      </c>
      <c r="M35" s="16"/>
      <c r="N35" s="18">
        <v>4</v>
      </c>
      <c r="O35" s="19">
        <f t="shared" ref="O35:O39" si="67">(C35*D35*N35/1000)</f>
        <v>0.87359999999999993</v>
      </c>
      <c r="P35" s="16"/>
      <c r="Q35" s="18">
        <v>2</v>
      </c>
      <c r="R35" s="19">
        <f t="shared" ref="R35:R39" si="68">(C35*D35*Q35/1000)</f>
        <v>0.43679999999999997</v>
      </c>
      <c r="S35" s="20">
        <f t="shared" ref="S35:S39" si="69">+H35+K35+Q35+N35</f>
        <v>13</v>
      </c>
      <c r="T35" s="19">
        <f t="shared" ref="T35:T39" si="70">+I35+L35+R35+O35</f>
        <v>2.8391999999999999</v>
      </c>
      <c r="U35" s="21">
        <f t="shared" ref="U35:U39" si="71">E35-S35</f>
        <v>0</v>
      </c>
      <c r="V35" s="19">
        <f t="shared" ref="V35:V39" si="72">F35-T35</f>
        <v>0</v>
      </c>
      <c r="X35" s="29"/>
    </row>
    <row r="36" spans="1:24">
      <c r="A36" s="26" t="s">
        <v>13</v>
      </c>
      <c r="B36" s="26" t="s">
        <v>47</v>
      </c>
      <c r="C36" s="30">
        <v>18.2</v>
      </c>
      <c r="D36" s="27">
        <v>11.8</v>
      </c>
      <c r="E36" s="28"/>
      <c r="F36" s="16">
        <f t="shared" si="64"/>
        <v>0</v>
      </c>
      <c r="G36" s="17"/>
      <c r="H36" s="18"/>
      <c r="I36" s="19">
        <f t="shared" si="65"/>
        <v>0</v>
      </c>
      <c r="J36" s="16"/>
      <c r="K36" s="18"/>
      <c r="L36" s="19">
        <f t="shared" si="66"/>
        <v>0</v>
      </c>
      <c r="M36" s="16"/>
      <c r="N36" s="18">
        <v>2</v>
      </c>
      <c r="O36" s="19">
        <f t="shared" si="67"/>
        <v>0.42951999999999996</v>
      </c>
      <c r="P36" s="16"/>
      <c r="Q36" s="18"/>
      <c r="R36" s="19">
        <f t="shared" si="68"/>
        <v>0</v>
      </c>
      <c r="S36" s="20">
        <f t="shared" si="69"/>
        <v>2</v>
      </c>
      <c r="T36" s="19">
        <f t="shared" si="70"/>
        <v>0.42951999999999996</v>
      </c>
      <c r="U36" s="21">
        <f t="shared" si="71"/>
        <v>-2</v>
      </c>
      <c r="V36" s="19">
        <f t="shared" si="72"/>
        <v>-0.42951999999999996</v>
      </c>
      <c r="X36" s="29"/>
    </row>
    <row r="37" spans="1:24">
      <c r="A37" s="26" t="s">
        <v>13</v>
      </c>
      <c r="B37" s="26" t="s">
        <v>47</v>
      </c>
      <c r="C37" s="30">
        <v>18.2</v>
      </c>
      <c r="D37" s="27">
        <v>8.5</v>
      </c>
      <c r="E37" s="28"/>
      <c r="F37" s="16">
        <f t="shared" si="64"/>
        <v>0</v>
      </c>
      <c r="G37" s="17"/>
      <c r="H37" s="18"/>
      <c r="I37" s="19">
        <f t="shared" si="65"/>
        <v>0</v>
      </c>
      <c r="J37" s="16"/>
      <c r="K37" s="18"/>
      <c r="L37" s="19">
        <f t="shared" si="66"/>
        <v>0</v>
      </c>
      <c r="M37" s="16"/>
      <c r="N37" s="18">
        <v>1</v>
      </c>
      <c r="O37" s="19">
        <f t="shared" si="67"/>
        <v>0.15469999999999998</v>
      </c>
      <c r="P37" s="16"/>
      <c r="Q37" s="18"/>
      <c r="R37" s="19">
        <f t="shared" si="68"/>
        <v>0</v>
      </c>
      <c r="S37" s="20">
        <f t="shared" si="69"/>
        <v>1</v>
      </c>
      <c r="T37" s="19">
        <f t="shared" si="70"/>
        <v>0.15469999999999998</v>
      </c>
      <c r="U37" s="21">
        <f t="shared" si="71"/>
        <v>-1</v>
      </c>
      <c r="V37" s="19">
        <f t="shared" si="72"/>
        <v>-0.15469999999999998</v>
      </c>
      <c r="X37" s="29"/>
    </row>
    <row r="38" spans="1:24">
      <c r="A38" s="26" t="s">
        <v>13</v>
      </c>
      <c r="B38" s="26" t="s">
        <v>47</v>
      </c>
      <c r="C38" s="30">
        <v>18.2</v>
      </c>
      <c r="D38" s="27">
        <v>6.2</v>
      </c>
      <c r="E38" s="28"/>
      <c r="F38" s="16">
        <f t="shared" si="64"/>
        <v>0</v>
      </c>
      <c r="G38" s="17"/>
      <c r="H38" s="18"/>
      <c r="I38" s="19">
        <f t="shared" si="65"/>
        <v>0</v>
      </c>
      <c r="J38" s="16"/>
      <c r="K38" s="18"/>
      <c r="L38" s="19">
        <f t="shared" si="66"/>
        <v>0</v>
      </c>
      <c r="M38" s="16"/>
      <c r="N38" s="18">
        <v>1</v>
      </c>
      <c r="O38" s="19">
        <f t="shared" si="67"/>
        <v>0.11284000000000001</v>
      </c>
      <c r="P38" s="16"/>
      <c r="Q38" s="18"/>
      <c r="R38" s="19">
        <f t="shared" si="68"/>
        <v>0</v>
      </c>
      <c r="S38" s="20">
        <f t="shared" si="69"/>
        <v>1</v>
      </c>
      <c r="T38" s="19">
        <f t="shared" si="70"/>
        <v>0.11284000000000001</v>
      </c>
      <c r="U38" s="21">
        <f t="shared" si="71"/>
        <v>-1</v>
      </c>
      <c r="V38" s="19">
        <f t="shared" si="72"/>
        <v>-0.11284000000000001</v>
      </c>
      <c r="X38" s="29"/>
    </row>
    <row r="39" spans="1:24">
      <c r="A39" s="26" t="s">
        <v>13</v>
      </c>
      <c r="B39" s="26" t="s">
        <v>47</v>
      </c>
      <c r="C39" s="30">
        <v>18.2</v>
      </c>
      <c r="D39" s="27">
        <v>11.8</v>
      </c>
      <c r="E39" s="28"/>
      <c r="F39" s="16">
        <f t="shared" si="64"/>
        <v>0</v>
      </c>
      <c r="G39" s="17"/>
      <c r="H39" s="18"/>
      <c r="I39" s="19">
        <f t="shared" si="65"/>
        <v>0</v>
      </c>
      <c r="J39" s="16"/>
      <c r="K39" s="18"/>
      <c r="L39" s="19">
        <f t="shared" si="66"/>
        <v>0</v>
      </c>
      <c r="M39" s="16"/>
      <c r="N39" s="18"/>
      <c r="O39" s="19">
        <f t="shared" si="67"/>
        <v>0</v>
      </c>
      <c r="P39" s="16"/>
      <c r="Q39" s="18">
        <v>1</v>
      </c>
      <c r="R39" s="19">
        <f t="shared" si="68"/>
        <v>0.21475999999999998</v>
      </c>
      <c r="S39" s="20">
        <f t="shared" si="69"/>
        <v>1</v>
      </c>
      <c r="T39" s="19">
        <f t="shared" si="70"/>
        <v>0.21475999999999998</v>
      </c>
      <c r="U39" s="21">
        <f t="shared" si="71"/>
        <v>-1</v>
      </c>
      <c r="V39" s="19">
        <f t="shared" si="72"/>
        <v>-0.21475999999999998</v>
      </c>
      <c r="X39" s="29"/>
    </row>
    <row r="40" spans="1:24">
      <c r="A40" s="26" t="s">
        <v>13</v>
      </c>
      <c r="B40" s="26" t="s">
        <v>47</v>
      </c>
      <c r="C40" s="30">
        <v>18.2</v>
      </c>
      <c r="D40" s="27">
        <v>7.1</v>
      </c>
      <c r="E40" s="28"/>
      <c r="F40" s="16">
        <f t="shared" si="57"/>
        <v>0</v>
      </c>
      <c r="G40" s="17"/>
      <c r="H40" s="18"/>
      <c r="I40" s="19">
        <f t="shared" si="58"/>
        <v>0</v>
      </c>
      <c r="J40" s="16"/>
      <c r="K40" s="18"/>
      <c r="L40" s="19">
        <f t="shared" si="59"/>
        <v>0</v>
      </c>
      <c r="M40" s="16"/>
      <c r="N40" s="18"/>
      <c r="O40" s="19">
        <f t="shared" si="60"/>
        <v>0</v>
      </c>
      <c r="P40" s="16"/>
      <c r="Q40" s="18">
        <v>1</v>
      </c>
      <c r="R40" s="19">
        <f t="shared" si="61"/>
        <v>0.12922</v>
      </c>
      <c r="S40" s="20">
        <f t="shared" si="62"/>
        <v>1</v>
      </c>
      <c r="T40" s="19">
        <f t="shared" si="62"/>
        <v>0.12922</v>
      </c>
      <c r="U40" s="21">
        <f t="shared" si="63"/>
        <v>-1</v>
      </c>
      <c r="V40" s="19">
        <f t="shared" si="63"/>
        <v>-0.12922</v>
      </c>
      <c r="X40" s="29"/>
    </row>
    <row r="41" spans="1:24">
      <c r="A41" s="36"/>
      <c r="B41" s="36"/>
      <c r="C41" s="37"/>
      <c r="D41" s="38"/>
      <c r="E41" s="31">
        <f t="shared" ref="E41:F41" si="73">SUM(E28:E40)</f>
        <v>183</v>
      </c>
      <c r="F41" s="38">
        <f t="shared" si="73"/>
        <v>35.624679999999998</v>
      </c>
      <c r="G41" s="17"/>
      <c r="H41" s="31">
        <f t="shared" ref="H41" si="74">SUM(H28:H40)</f>
        <v>51</v>
      </c>
      <c r="I41" s="38">
        <f t="shared" ref="I41" si="75">SUM(I28:I40)</f>
        <v>9.9590399999999999</v>
      </c>
      <c r="J41" s="16"/>
      <c r="K41" s="31">
        <f t="shared" ref="K41" si="76">SUM(K28:K40)</f>
        <v>77</v>
      </c>
      <c r="L41" s="38">
        <f t="shared" ref="L41" si="77">SUM(L28:L40)</f>
        <v>14.49994</v>
      </c>
      <c r="M41" s="16"/>
      <c r="N41" s="31">
        <f t="shared" ref="N41" si="78">SUM(N28:N40)</f>
        <v>34</v>
      </c>
      <c r="O41" s="38">
        <f t="shared" ref="O41" si="79">SUM(O28:O40)</f>
        <v>6.9378399999999996</v>
      </c>
      <c r="P41" s="16"/>
      <c r="Q41" s="31">
        <f t="shared" ref="Q41" si="80">SUM(Q28:Q40)</f>
        <v>23</v>
      </c>
      <c r="R41" s="38">
        <f t="shared" ref="R41" si="81">SUM(R28:R40)</f>
        <v>4.7174399999999999</v>
      </c>
      <c r="S41" s="31">
        <f t="shared" ref="S41" si="82">SUM(S28:S40)</f>
        <v>185</v>
      </c>
      <c r="T41" s="38">
        <f t="shared" ref="T41" si="83">SUM(T28:T40)</f>
        <v>36.114259999999987</v>
      </c>
      <c r="U41" s="31">
        <f t="shared" ref="U41" si="84">SUM(U28:U40)</f>
        <v>-2</v>
      </c>
      <c r="V41" s="38">
        <f t="shared" ref="V41" si="85">SUM(V28:V40)</f>
        <v>-0.48958000000000124</v>
      </c>
      <c r="X41" s="29"/>
    </row>
    <row r="42" spans="1:24">
      <c r="A42" s="26" t="s">
        <v>13</v>
      </c>
      <c r="B42" s="26" t="s">
        <v>49</v>
      </c>
      <c r="C42" s="30">
        <v>14.7</v>
      </c>
      <c r="D42" s="27">
        <v>10.15</v>
      </c>
      <c r="E42" s="28">
        <v>32</v>
      </c>
      <c r="F42" s="16">
        <f t="shared" ref="F42:F47" si="86">(C42*D42*E42/1000)</f>
        <v>4.7745599999999992</v>
      </c>
      <c r="G42" s="16" t="s">
        <v>288</v>
      </c>
      <c r="H42" s="18"/>
      <c r="I42" s="19">
        <f t="shared" ref="I42:I47" si="87">(C42*D42*H42/1000)</f>
        <v>0</v>
      </c>
      <c r="J42" s="16" t="s">
        <v>89</v>
      </c>
      <c r="K42" s="18"/>
      <c r="L42" s="19">
        <f t="shared" ref="L42:L47" si="88">(C42*D42*K42/1000)</f>
        <v>0</v>
      </c>
      <c r="M42" s="17" t="s">
        <v>318</v>
      </c>
      <c r="N42" s="18"/>
      <c r="O42" s="19">
        <f t="shared" ref="O42:O47" si="89">(C42*D42*N42/1000)</f>
        <v>0</v>
      </c>
      <c r="P42" s="16"/>
      <c r="Q42" s="18"/>
      <c r="R42" s="19">
        <f t="shared" ref="R42:R47" si="90">(C42*D42*Q42/1000)</f>
        <v>0</v>
      </c>
      <c r="S42" s="20">
        <f t="shared" ref="S42:T47" si="91">+H42+K42+Q42+N42</f>
        <v>0</v>
      </c>
      <c r="T42" s="19">
        <f t="shared" si="91"/>
        <v>0</v>
      </c>
      <c r="U42" s="21">
        <f t="shared" ref="U42:V47" si="92">E42-S42</f>
        <v>32</v>
      </c>
      <c r="V42" s="19">
        <f t="shared" si="92"/>
        <v>4.7745599999999992</v>
      </c>
      <c r="X42" s="29"/>
    </row>
    <row r="43" spans="1:24">
      <c r="A43" s="26" t="s">
        <v>13</v>
      </c>
      <c r="B43" s="26" t="s">
        <v>49</v>
      </c>
      <c r="C43" s="30">
        <v>14.7</v>
      </c>
      <c r="D43" s="27">
        <v>11.5</v>
      </c>
      <c r="E43" s="28">
        <v>27</v>
      </c>
      <c r="F43" s="16">
        <f t="shared" ref="F43:F46" si="93">(C43*D43*E43/1000)</f>
        <v>4.5643499999999992</v>
      </c>
      <c r="G43" s="16" t="s">
        <v>327</v>
      </c>
      <c r="H43" s="18"/>
      <c r="I43" s="19">
        <f t="shared" ref="I43:I46" si="94">(C43*D43*H43/1000)</f>
        <v>0</v>
      </c>
      <c r="J43" s="16" t="s">
        <v>341</v>
      </c>
      <c r="K43" s="18">
        <v>27</v>
      </c>
      <c r="L43" s="19">
        <f t="shared" ref="L43:L46" si="95">(C43*D43*K43/1000)</f>
        <v>4.5643499999999992</v>
      </c>
      <c r="M43" s="17" t="s">
        <v>344</v>
      </c>
      <c r="N43" s="18"/>
      <c r="O43" s="19">
        <f t="shared" ref="O43:O46" si="96">(C43*D43*N43/1000)</f>
        <v>0</v>
      </c>
      <c r="P43" s="16"/>
      <c r="Q43" s="18"/>
      <c r="R43" s="19">
        <f t="shared" ref="R43:R46" si="97">(C43*D43*Q43/1000)</f>
        <v>0</v>
      </c>
      <c r="S43" s="20">
        <f t="shared" si="91"/>
        <v>27</v>
      </c>
      <c r="T43" s="19">
        <f t="shared" si="91"/>
        <v>4.5643499999999992</v>
      </c>
      <c r="U43" s="21">
        <f t="shared" si="92"/>
        <v>0</v>
      </c>
      <c r="V43" s="19">
        <f t="shared" si="92"/>
        <v>0</v>
      </c>
      <c r="X43" s="29"/>
    </row>
    <row r="44" spans="1:24">
      <c r="A44" s="26" t="s">
        <v>13</v>
      </c>
      <c r="B44" s="26" t="s">
        <v>49</v>
      </c>
      <c r="C44" s="30">
        <v>14.7</v>
      </c>
      <c r="D44" s="27">
        <v>10.199999999999999</v>
      </c>
      <c r="E44" s="28"/>
      <c r="F44" s="16">
        <f t="shared" si="93"/>
        <v>0</v>
      </c>
      <c r="G44" s="16"/>
      <c r="H44" s="18">
        <v>18</v>
      </c>
      <c r="I44" s="19">
        <f t="shared" si="94"/>
        <v>2.6989199999999998</v>
      </c>
      <c r="J44" s="16"/>
      <c r="K44" s="18"/>
      <c r="L44" s="19">
        <f t="shared" si="95"/>
        <v>0</v>
      </c>
      <c r="M44" s="16"/>
      <c r="N44" s="18">
        <v>10</v>
      </c>
      <c r="O44" s="19">
        <f t="shared" si="96"/>
        <v>1.4993999999999996</v>
      </c>
      <c r="P44" s="16"/>
      <c r="Q44" s="18"/>
      <c r="R44" s="19">
        <f t="shared" si="97"/>
        <v>0</v>
      </c>
      <c r="S44" s="20">
        <f t="shared" ref="S44:S46" si="98">+H44+K44+Q44+N44</f>
        <v>28</v>
      </c>
      <c r="T44" s="19">
        <f t="shared" ref="T44:T46" si="99">+I44+L44+R44+O44</f>
        <v>4.1983199999999989</v>
      </c>
      <c r="U44" s="21">
        <f t="shared" ref="U44:U46" si="100">E44-S44</f>
        <v>-28</v>
      </c>
      <c r="V44" s="19">
        <f t="shared" ref="V44:V46" si="101">F44-T44</f>
        <v>-4.1983199999999989</v>
      </c>
      <c r="X44" s="29"/>
    </row>
    <row r="45" spans="1:24">
      <c r="A45" s="26" t="s">
        <v>13</v>
      </c>
      <c r="B45" s="26" t="s">
        <v>49</v>
      </c>
      <c r="C45" s="30">
        <v>14.7</v>
      </c>
      <c r="D45" s="27">
        <v>11</v>
      </c>
      <c r="E45" s="28"/>
      <c r="F45" s="16">
        <f t="shared" si="93"/>
        <v>0</v>
      </c>
      <c r="G45" s="16"/>
      <c r="H45" s="18"/>
      <c r="I45" s="19">
        <f t="shared" si="94"/>
        <v>0</v>
      </c>
      <c r="J45" s="16"/>
      <c r="K45" s="18"/>
      <c r="L45" s="19">
        <f t="shared" si="95"/>
        <v>0</v>
      </c>
      <c r="M45" s="16"/>
      <c r="N45" s="18">
        <v>2</v>
      </c>
      <c r="O45" s="19">
        <f t="shared" si="96"/>
        <v>0.32339999999999997</v>
      </c>
      <c r="P45" s="16"/>
      <c r="Q45" s="18"/>
      <c r="R45" s="19">
        <f t="shared" si="97"/>
        <v>0</v>
      </c>
      <c r="S45" s="20">
        <f t="shared" si="98"/>
        <v>2</v>
      </c>
      <c r="T45" s="19">
        <f t="shared" si="99"/>
        <v>0.32339999999999997</v>
      </c>
      <c r="U45" s="21">
        <f t="shared" si="100"/>
        <v>-2</v>
      </c>
      <c r="V45" s="19">
        <f t="shared" si="101"/>
        <v>-0.32339999999999997</v>
      </c>
      <c r="X45" s="29"/>
    </row>
    <row r="46" spans="1:24">
      <c r="A46" s="26" t="s">
        <v>13</v>
      </c>
      <c r="B46" s="26" t="s">
        <v>49</v>
      </c>
      <c r="C46" s="30">
        <v>14.7</v>
      </c>
      <c r="D46" s="27">
        <v>11.7</v>
      </c>
      <c r="E46" s="28"/>
      <c r="F46" s="16">
        <f t="shared" si="93"/>
        <v>0</v>
      </c>
      <c r="G46" s="16"/>
      <c r="H46" s="18"/>
      <c r="I46" s="19">
        <f t="shared" si="94"/>
        <v>0</v>
      </c>
      <c r="J46" s="16"/>
      <c r="K46" s="18"/>
      <c r="L46" s="19">
        <f t="shared" si="95"/>
        <v>0</v>
      </c>
      <c r="M46" s="16"/>
      <c r="N46" s="18">
        <v>1</v>
      </c>
      <c r="O46" s="19">
        <f t="shared" si="96"/>
        <v>0.17198999999999998</v>
      </c>
      <c r="P46" s="16"/>
      <c r="Q46" s="18"/>
      <c r="R46" s="19">
        <f t="shared" si="97"/>
        <v>0</v>
      </c>
      <c r="S46" s="20">
        <f t="shared" si="98"/>
        <v>1</v>
      </c>
      <c r="T46" s="19">
        <f t="shared" si="99"/>
        <v>0.17198999999999998</v>
      </c>
      <c r="U46" s="21">
        <f t="shared" si="100"/>
        <v>-1</v>
      </c>
      <c r="V46" s="19">
        <f t="shared" si="101"/>
        <v>-0.17198999999999998</v>
      </c>
      <c r="X46" s="29"/>
    </row>
    <row r="47" spans="1:24">
      <c r="A47" s="26" t="s">
        <v>13</v>
      </c>
      <c r="B47" s="26" t="s">
        <v>49</v>
      </c>
      <c r="C47" s="30">
        <v>14.7</v>
      </c>
      <c r="D47" s="27">
        <v>10.5</v>
      </c>
      <c r="E47" s="28"/>
      <c r="F47" s="16">
        <f t="shared" si="86"/>
        <v>0</v>
      </c>
      <c r="G47" s="16"/>
      <c r="H47" s="18"/>
      <c r="I47" s="19">
        <f t="shared" si="87"/>
        <v>0</v>
      </c>
      <c r="J47" s="16"/>
      <c r="K47" s="18"/>
      <c r="L47" s="19">
        <f t="shared" si="88"/>
        <v>0</v>
      </c>
      <c r="M47" s="16"/>
      <c r="N47" s="18">
        <v>1</v>
      </c>
      <c r="O47" s="19">
        <f t="shared" si="89"/>
        <v>0.15434999999999999</v>
      </c>
      <c r="P47" s="16"/>
      <c r="Q47" s="18"/>
      <c r="R47" s="19">
        <f t="shared" si="90"/>
        <v>0</v>
      </c>
      <c r="S47" s="20">
        <f t="shared" si="91"/>
        <v>1</v>
      </c>
      <c r="T47" s="19">
        <f t="shared" si="91"/>
        <v>0.15434999999999999</v>
      </c>
      <c r="U47" s="21">
        <f t="shared" si="92"/>
        <v>-1</v>
      </c>
      <c r="V47" s="19">
        <f t="shared" si="92"/>
        <v>-0.15434999999999999</v>
      </c>
      <c r="X47" s="29"/>
    </row>
    <row r="48" spans="1:24">
      <c r="A48" s="36"/>
      <c r="B48" s="36"/>
      <c r="C48" s="37"/>
      <c r="D48" s="38"/>
      <c r="E48" s="31">
        <f t="shared" ref="E48:F48" si="102">SUM(E42:E47)</f>
        <v>59</v>
      </c>
      <c r="F48" s="38">
        <f t="shared" si="102"/>
        <v>9.3389099999999985</v>
      </c>
      <c r="G48" s="17"/>
      <c r="H48" s="31">
        <f t="shared" ref="H48" si="103">SUM(H42:H47)</f>
        <v>18</v>
      </c>
      <c r="I48" s="38">
        <f t="shared" ref="I48" si="104">SUM(I42:I47)</f>
        <v>2.6989199999999998</v>
      </c>
      <c r="J48" s="16"/>
      <c r="K48" s="31">
        <f t="shared" ref="K48" si="105">SUM(K42:K47)</f>
        <v>27</v>
      </c>
      <c r="L48" s="38">
        <f t="shared" ref="L48" si="106">SUM(L42:L47)</f>
        <v>4.5643499999999992</v>
      </c>
      <c r="M48" s="16"/>
      <c r="N48" s="31">
        <f t="shared" ref="N48" si="107">SUM(N42:N47)</f>
        <v>14</v>
      </c>
      <c r="O48" s="38">
        <f t="shared" ref="O48" si="108">SUM(O42:O47)</f>
        <v>2.1491399999999996</v>
      </c>
      <c r="P48" s="16"/>
      <c r="Q48" s="31">
        <f t="shared" ref="Q48" si="109">SUM(Q42:Q47)</f>
        <v>0</v>
      </c>
      <c r="R48" s="38">
        <f t="shared" ref="R48" si="110">SUM(R42:R47)</f>
        <v>0</v>
      </c>
      <c r="S48" s="31">
        <f t="shared" ref="S48" si="111">SUM(S42:S47)</f>
        <v>59</v>
      </c>
      <c r="T48" s="38">
        <f t="shared" ref="T48" si="112">SUM(T42:T47)</f>
        <v>9.4124099999999977</v>
      </c>
      <c r="U48" s="31">
        <f t="shared" ref="U48" si="113">SUM(U42:U47)</f>
        <v>0</v>
      </c>
      <c r="V48" s="38">
        <f t="shared" ref="V48" si="114">SUM(V42:V47)</f>
        <v>-7.3499999999999621E-2</v>
      </c>
      <c r="X48" s="29"/>
    </row>
    <row r="49" spans="1:24">
      <c r="A49" s="26" t="s">
        <v>13</v>
      </c>
      <c r="B49" s="26" t="s">
        <v>124</v>
      </c>
      <c r="C49" s="30">
        <v>23</v>
      </c>
      <c r="D49" s="27">
        <v>11.2</v>
      </c>
      <c r="E49" s="28">
        <v>15</v>
      </c>
      <c r="F49" s="16">
        <f t="shared" ref="F49:F50" si="115">(C49*D49*E49/1000)</f>
        <v>3.8639999999999994</v>
      </c>
      <c r="G49" s="17" t="s">
        <v>86</v>
      </c>
      <c r="H49" s="18">
        <v>15</v>
      </c>
      <c r="I49" s="19">
        <f t="shared" ref="I49:I50" si="116">(C49*D49*H49/1000)</f>
        <v>3.8639999999999994</v>
      </c>
      <c r="J49" s="16"/>
      <c r="K49" s="18"/>
      <c r="L49" s="19">
        <f t="shared" ref="L49:L50" si="117">(C49*D49*K49/1000)</f>
        <v>0</v>
      </c>
      <c r="M49" s="16"/>
      <c r="N49" s="18"/>
      <c r="O49" s="19">
        <f t="shared" ref="O49:O50" si="118">(C49*D49*N49/1000)</f>
        <v>0</v>
      </c>
      <c r="P49" s="16"/>
      <c r="Q49" s="18"/>
      <c r="R49" s="19">
        <f t="shared" ref="R49:R50" si="119">(C49*D49*Q49/1000)</f>
        <v>0</v>
      </c>
      <c r="S49" s="20">
        <f>+H49+K49+Q49+N49</f>
        <v>15</v>
      </c>
      <c r="T49" s="19">
        <f>+I49+L49+R49+O49</f>
        <v>3.8639999999999994</v>
      </c>
      <c r="U49" s="21">
        <f>E49-S49</f>
        <v>0</v>
      </c>
      <c r="V49" s="19">
        <f>F49-T49</f>
        <v>0</v>
      </c>
      <c r="X49" s="29"/>
    </row>
    <row r="50" spans="1:24">
      <c r="A50" s="26" t="s">
        <v>13</v>
      </c>
      <c r="B50" s="26" t="s">
        <v>124</v>
      </c>
      <c r="C50" s="30">
        <v>23</v>
      </c>
      <c r="D50" s="27">
        <v>11.5</v>
      </c>
      <c r="E50" s="28">
        <v>8</v>
      </c>
      <c r="F50" s="16">
        <f t="shared" si="115"/>
        <v>2.1160000000000001</v>
      </c>
      <c r="G50" s="17" t="s">
        <v>396</v>
      </c>
      <c r="H50" s="18">
        <v>8</v>
      </c>
      <c r="I50" s="19">
        <f t="shared" si="116"/>
        <v>2.1160000000000001</v>
      </c>
      <c r="J50" s="16"/>
      <c r="K50" s="18"/>
      <c r="L50" s="19">
        <f t="shared" si="117"/>
        <v>0</v>
      </c>
      <c r="M50" s="16"/>
      <c r="N50" s="18"/>
      <c r="O50" s="19">
        <f t="shared" si="118"/>
        <v>0</v>
      </c>
      <c r="P50" s="16"/>
      <c r="Q50" s="18"/>
      <c r="R50" s="19">
        <f t="shared" si="119"/>
        <v>0</v>
      </c>
      <c r="S50" s="20">
        <f>+H50+K50+Q50+N50</f>
        <v>8</v>
      </c>
      <c r="T50" s="19">
        <f>+I50+L50+R50+O50</f>
        <v>2.1160000000000001</v>
      </c>
      <c r="U50" s="21">
        <f>E50-S50</f>
        <v>0</v>
      </c>
      <c r="V50" s="19">
        <f>F50-T50</f>
        <v>0</v>
      </c>
      <c r="X50" s="29"/>
    </row>
    <row r="51" spans="1:24">
      <c r="A51" s="36"/>
      <c r="B51" s="36"/>
      <c r="C51" s="37"/>
      <c r="D51" s="38"/>
      <c r="E51" s="31">
        <f t="shared" ref="E51:F51" si="120">SUM(E49:E50)</f>
        <v>23</v>
      </c>
      <c r="F51" s="38">
        <f t="shared" si="120"/>
        <v>5.9799999999999995</v>
      </c>
      <c r="G51" s="17"/>
      <c r="H51" s="31">
        <f t="shared" ref="H51" si="121">SUM(H49:H50)</f>
        <v>23</v>
      </c>
      <c r="I51" s="38">
        <f t="shared" ref="I51" si="122">SUM(I49:I50)</f>
        <v>5.9799999999999995</v>
      </c>
      <c r="J51" s="16"/>
      <c r="K51" s="31">
        <f t="shared" ref="K51" si="123">SUM(K49:K50)</f>
        <v>0</v>
      </c>
      <c r="L51" s="38">
        <f t="shared" ref="L51" si="124">SUM(L49:L50)</f>
        <v>0</v>
      </c>
      <c r="M51" s="16"/>
      <c r="N51" s="31">
        <f t="shared" ref="N51" si="125">SUM(N49:N50)</f>
        <v>0</v>
      </c>
      <c r="O51" s="38">
        <f t="shared" ref="O51" si="126">SUM(O49:O50)</f>
        <v>0</v>
      </c>
      <c r="P51" s="16"/>
      <c r="Q51" s="31">
        <f t="shared" ref="Q51" si="127">SUM(Q49:Q50)</f>
        <v>0</v>
      </c>
      <c r="R51" s="38">
        <f t="shared" ref="R51" si="128">SUM(R49:R50)</f>
        <v>0</v>
      </c>
      <c r="S51" s="31">
        <f t="shared" ref="S51" si="129">SUM(S49:S50)</f>
        <v>23</v>
      </c>
      <c r="T51" s="38">
        <f t="shared" ref="T51" si="130">SUM(T49:T50)</f>
        <v>5.9799999999999995</v>
      </c>
      <c r="U51" s="31">
        <f t="shared" ref="U51" si="131">SUM(U49:U50)</f>
        <v>0</v>
      </c>
      <c r="V51" s="38">
        <f t="shared" ref="V51" si="132">SUM(V49:V50)</f>
        <v>0</v>
      </c>
      <c r="X51" s="29"/>
    </row>
    <row r="52" spans="1:24">
      <c r="A52" s="26" t="s">
        <v>13</v>
      </c>
      <c r="B52" s="26" t="s">
        <v>255</v>
      </c>
      <c r="C52" s="30">
        <v>25.2</v>
      </c>
      <c r="D52" s="27">
        <v>8.6999999999999993</v>
      </c>
      <c r="E52" s="28">
        <v>10</v>
      </c>
      <c r="F52" s="16">
        <f>(C52*D52*E52/1000)</f>
        <v>2.1923999999999997</v>
      </c>
      <c r="G52" s="17" t="s">
        <v>288</v>
      </c>
      <c r="H52" s="18">
        <v>8</v>
      </c>
      <c r="I52" s="19">
        <f>(C52*D52*H52/1000)</f>
        <v>1.7539199999999999</v>
      </c>
      <c r="J52" s="16"/>
      <c r="K52" s="18"/>
      <c r="L52" s="19">
        <f>(C52*D52*K52/1000)</f>
        <v>0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 t="shared" ref="S52:T54" si="133">+H52+K52+Q52+N52</f>
        <v>8</v>
      </c>
      <c r="T52" s="19">
        <f t="shared" si="133"/>
        <v>1.7539199999999999</v>
      </c>
      <c r="U52" s="21">
        <f t="shared" ref="U52:V54" si="134">E52-S52</f>
        <v>2</v>
      </c>
      <c r="V52" s="19">
        <f t="shared" si="134"/>
        <v>0.43847999999999976</v>
      </c>
      <c r="X52" s="29"/>
    </row>
    <row r="53" spans="1:24">
      <c r="A53" s="26" t="s">
        <v>13</v>
      </c>
      <c r="B53" s="26" t="s">
        <v>255</v>
      </c>
      <c r="C53" s="30">
        <v>25.2</v>
      </c>
      <c r="D53" s="27">
        <v>10.6</v>
      </c>
      <c r="E53" s="28">
        <v>10</v>
      </c>
      <c r="F53" s="16">
        <f>(C53*D53*E53/1000)</f>
        <v>2.6711999999999998</v>
      </c>
      <c r="G53" s="17" t="s">
        <v>395</v>
      </c>
      <c r="H53" s="18">
        <v>10</v>
      </c>
      <c r="I53" s="19">
        <f>(C53*D53*H53/1000)</f>
        <v>2.6711999999999998</v>
      </c>
      <c r="J53" s="16"/>
      <c r="K53" s="18"/>
      <c r="L53" s="19">
        <f>(C53*D53*K53/1000)</f>
        <v>0</v>
      </c>
      <c r="M53" s="16"/>
      <c r="N53" s="18"/>
      <c r="O53" s="19">
        <f>(C53*D53*N53/1000)</f>
        <v>0</v>
      </c>
      <c r="P53" s="16"/>
      <c r="Q53" s="18"/>
      <c r="R53" s="19">
        <f>(C53*D53*Q53/1000)</f>
        <v>0</v>
      </c>
      <c r="S53" s="20">
        <f t="shared" si="133"/>
        <v>10</v>
      </c>
      <c r="T53" s="19">
        <f t="shared" si="133"/>
        <v>2.6711999999999998</v>
      </c>
      <c r="U53" s="21">
        <f t="shared" si="134"/>
        <v>0</v>
      </c>
      <c r="V53" s="19">
        <f t="shared" si="134"/>
        <v>0</v>
      </c>
      <c r="X53" s="29"/>
    </row>
    <row r="54" spans="1:24">
      <c r="A54" s="26" t="s">
        <v>13</v>
      </c>
      <c r="B54" s="26" t="s">
        <v>255</v>
      </c>
      <c r="C54" s="30">
        <v>25.2</v>
      </c>
      <c r="D54" s="27">
        <v>10</v>
      </c>
      <c r="E54" s="28"/>
      <c r="F54" s="16">
        <f>(C54*D54*E54/1000)</f>
        <v>0</v>
      </c>
      <c r="G54" s="17"/>
      <c r="H54" s="18">
        <v>2</v>
      </c>
      <c r="I54" s="19">
        <f>(C54*D54*H54/1000)</f>
        <v>0.504</v>
      </c>
      <c r="J54" s="16"/>
      <c r="K54" s="18"/>
      <c r="L54" s="19">
        <f>(C54*D54*K54/1000)</f>
        <v>0</v>
      </c>
      <c r="M54" s="16"/>
      <c r="N54" s="18"/>
      <c r="O54" s="19">
        <f>(C54*D54*N54/1000)</f>
        <v>0</v>
      </c>
      <c r="P54" s="16"/>
      <c r="Q54" s="18"/>
      <c r="R54" s="19">
        <f>(C54*D54*Q54/1000)</f>
        <v>0</v>
      </c>
      <c r="S54" s="20">
        <f t="shared" si="133"/>
        <v>2</v>
      </c>
      <c r="T54" s="19">
        <f t="shared" si="133"/>
        <v>0.504</v>
      </c>
      <c r="U54" s="21">
        <f t="shared" si="134"/>
        <v>-2</v>
      </c>
      <c r="V54" s="19">
        <f t="shared" si="134"/>
        <v>-0.504</v>
      </c>
      <c r="X54" s="29"/>
    </row>
    <row r="55" spans="1:24">
      <c r="A55" s="36"/>
      <c r="B55" s="36"/>
      <c r="C55" s="37"/>
      <c r="D55" s="38"/>
      <c r="E55" s="31">
        <f t="shared" ref="E55:F55" si="135">SUM(E52:E54)</f>
        <v>20</v>
      </c>
      <c r="F55" s="38">
        <f t="shared" si="135"/>
        <v>4.8635999999999999</v>
      </c>
      <c r="G55" s="17"/>
      <c r="H55" s="31">
        <f t="shared" ref="H55" si="136">SUM(H52:H54)</f>
        <v>20</v>
      </c>
      <c r="I55" s="38">
        <f t="shared" ref="I55" si="137">SUM(I52:I54)</f>
        <v>4.9291199999999993</v>
      </c>
      <c r="J55" s="16"/>
      <c r="K55" s="31">
        <f t="shared" ref="K55" si="138">SUM(K52:K54)</f>
        <v>0</v>
      </c>
      <c r="L55" s="38">
        <f t="shared" ref="L55" si="139">SUM(L52:L54)</f>
        <v>0</v>
      </c>
      <c r="M55" s="16"/>
      <c r="N55" s="31">
        <f t="shared" ref="N55" si="140">SUM(N52:N54)</f>
        <v>0</v>
      </c>
      <c r="O55" s="38">
        <f t="shared" ref="O55" si="141">SUM(O52:O54)</f>
        <v>0</v>
      </c>
      <c r="P55" s="16"/>
      <c r="Q55" s="31">
        <f t="shared" ref="Q55" si="142">SUM(Q52:Q54)</f>
        <v>0</v>
      </c>
      <c r="R55" s="38">
        <f t="shared" ref="R55" si="143">SUM(R52:R54)</f>
        <v>0</v>
      </c>
      <c r="S55" s="31">
        <f t="shared" ref="S55" si="144">SUM(S52:S54)</f>
        <v>20</v>
      </c>
      <c r="T55" s="38">
        <f t="shared" ref="T55" si="145">SUM(T52:T54)</f>
        <v>4.9291199999999993</v>
      </c>
      <c r="U55" s="31">
        <f t="shared" ref="U55" si="146">SUM(U52:U54)</f>
        <v>0</v>
      </c>
      <c r="V55" s="38">
        <f t="shared" ref="V55" si="147">SUM(V52:V54)</f>
        <v>-6.5520000000000245E-2</v>
      </c>
      <c r="X55" s="29"/>
    </row>
    <row r="56" spans="1:24">
      <c r="A56" s="26" t="s">
        <v>13</v>
      </c>
      <c r="B56" s="26" t="s">
        <v>125</v>
      </c>
      <c r="C56" s="30">
        <v>27.3</v>
      </c>
      <c r="D56" s="27">
        <v>8.4</v>
      </c>
      <c r="E56" s="28">
        <v>27</v>
      </c>
      <c r="F56" s="16">
        <f t="shared" ref="F56:F63" si="148">(C56*D56*E56/1000)</f>
        <v>6.1916400000000005</v>
      </c>
      <c r="G56" s="17" t="s">
        <v>88</v>
      </c>
      <c r="H56" s="18">
        <v>27</v>
      </c>
      <c r="I56" s="19">
        <f t="shared" ref="I56:I63" si="149">(C56*D56*H56/1000)</f>
        <v>6.1916400000000005</v>
      </c>
      <c r="J56" s="16" t="s">
        <v>86</v>
      </c>
      <c r="K56" s="18"/>
      <c r="L56" s="19">
        <f t="shared" ref="L56:L63" si="150">(C56*D56*K56/1000)</f>
        <v>0</v>
      </c>
      <c r="M56" s="16"/>
      <c r="N56" s="18"/>
      <c r="O56" s="19">
        <f t="shared" ref="O56:O63" si="151">(C56*D56*N56/1000)</f>
        <v>0</v>
      </c>
      <c r="P56" s="16"/>
      <c r="Q56" s="18"/>
      <c r="R56" s="19">
        <f t="shared" ref="R56:R63" si="152">(C56*D56*Q56/1000)</f>
        <v>0</v>
      </c>
      <c r="S56" s="20">
        <f t="shared" ref="S56:T63" si="153">+H56+K56+Q56+N56</f>
        <v>27</v>
      </c>
      <c r="T56" s="19">
        <f t="shared" si="153"/>
        <v>6.1916400000000005</v>
      </c>
      <c r="U56" s="21">
        <f t="shared" ref="U56:V63" si="154">E56-S56</f>
        <v>0</v>
      </c>
      <c r="V56" s="19">
        <f t="shared" si="154"/>
        <v>0</v>
      </c>
      <c r="X56" s="29"/>
    </row>
    <row r="57" spans="1:24">
      <c r="A57" s="26" t="s">
        <v>13</v>
      </c>
      <c r="B57" s="26" t="s">
        <v>125</v>
      </c>
      <c r="C57" s="30">
        <v>27.3</v>
      </c>
      <c r="D57" s="27">
        <v>9</v>
      </c>
      <c r="E57" s="28">
        <v>13</v>
      </c>
      <c r="F57" s="16">
        <f t="shared" si="148"/>
        <v>3.1941000000000002</v>
      </c>
      <c r="G57" s="17" t="s">
        <v>394</v>
      </c>
      <c r="H57" s="18">
        <v>13</v>
      </c>
      <c r="I57" s="19">
        <f t="shared" si="149"/>
        <v>3.1941000000000002</v>
      </c>
      <c r="J57" s="16" t="s">
        <v>394</v>
      </c>
      <c r="K57" s="18"/>
      <c r="L57" s="19">
        <f t="shared" si="150"/>
        <v>0</v>
      </c>
      <c r="M57" s="16"/>
      <c r="N57" s="18"/>
      <c r="O57" s="19">
        <f t="shared" si="151"/>
        <v>0</v>
      </c>
      <c r="P57" s="16"/>
      <c r="Q57" s="18"/>
      <c r="R57" s="19">
        <f t="shared" si="152"/>
        <v>0</v>
      </c>
      <c r="S57" s="20">
        <f t="shared" si="153"/>
        <v>13</v>
      </c>
      <c r="T57" s="19">
        <f t="shared" si="153"/>
        <v>3.1941000000000002</v>
      </c>
      <c r="U57" s="21">
        <f t="shared" si="154"/>
        <v>0</v>
      </c>
      <c r="V57" s="19">
        <f t="shared" si="154"/>
        <v>0</v>
      </c>
      <c r="X57" s="29"/>
    </row>
    <row r="58" spans="1:24">
      <c r="A58" s="26" t="s">
        <v>13</v>
      </c>
      <c r="B58" s="26" t="s">
        <v>125</v>
      </c>
      <c r="C58" s="30">
        <v>27.3</v>
      </c>
      <c r="D58" s="27">
        <v>9.1999999999999993</v>
      </c>
      <c r="E58" s="28">
        <v>17</v>
      </c>
      <c r="F58" s="16">
        <f t="shared" si="148"/>
        <v>4.2697200000000004</v>
      </c>
      <c r="G58" s="17"/>
      <c r="H58" s="18">
        <v>17</v>
      </c>
      <c r="I58" s="19">
        <f t="shared" si="149"/>
        <v>4.2697200000000004</v>
      </c>
      <c r="J58" s="16"/>
      <c r="K58" s="18"/>
      <c r="L58" s="19">
        <f t="shared" si="150"/>
        <v>0</v>
      </c>
      <c r="M58" s="16"/>
      <c r="N58" s="18"/>
      <c r="O58" s="19">
        <f t="shared" si="151"/>
        <v>0</v>
      </c>
      <c r="P58" s="16"/>
      <c r="Q58" s="18"/>
      <c r="R58" s="19">
        <f t="shared" si="152"/>
        <v>0</v>
      </c>
      <c r="S58" s="20">
        <f t="shared" si="153"/>
        <v>17</v>
      </c>
      <c r="T58" s="19">
        <f t="shared" si="153"/>
        <v>4.2697200000000004</v>
      </c>
      <c r="U58" s="21">
        <f t="shared" si="154"/>
        <v>0</v>
      </c>
      <c r="V58" s="19">
        <f t="shared" si="154"/>
        <v>0</v>
      </c>
      <c r="X58" s="29"/>
    </row>
    <row r="59" spans="1:24">
      <c r="A59" s="26" t="s">
        <v>13</v>
      </c>
      <c r="B59" s="26" t="s">
        <v>125</v>
      </c>
      <c r="C59" s="30">
        <v>27.3</v>
      </c>
      <c r="D59" s="27">
        <v>9.5</v>
      </c>
      <c r="E59" s="28">
        <v>12</v>
      </c>
      <c r="F59" s="16">
        <f t="shared" si="148"/>
        <v>3.1122000000000001</v>
      </c>
      <c r="G59" s="17"/>
      <c r="H59" s="18">
        <v>12</v>
      </c>
      <c r="I59" s="19">
        <f t="shared" si="149"/>
        <v>3.1122000000000001</v>
      </c>
      <c r="J59" s="16"/>
      <c r="K59" s="18"/>
      <c r="L59" s="19">
        <f t="shared" si="150"/>
        <v>0</v>
      </c>
      <c r="M59" s="16"/>
      <c r="N59" s="18"/>
      <c r="O59" s="19">
        <f t="shared" si="151"/>
        <v>0</v>
      </c>
      <c r="P59" s="16"/>
      <c r="Q59" s="18"/>
      <c r="R59" s="19">
        <f t="shared" si="152"/>
        <v>0</v>
      </c>
      <c r="S59" s="20">
        <f t="shared" si="153"/>
        <v>12</v>
      </c>
      <c r="T59" s="19">
        <f t="shared" si="153"/>
        <v>3.1122000000000001</v>
      </c>
      <c r="U59" s="21">
        <f t="shared" si="154"/>
        <v>0</v>
      </c>
      <c r="V59" s="19">
        <f t="shared" si="154"/>
        <v>0</v>
      </c>
      <c r="X59" s="29"/>
    </row>
    <row r="60" spans="1:24">
      <c r="A60" s="26" t="s">
        <v>13</v>
      </c>
      <c r="B60" s="26" t="s">
        <v>125</v>
      </c>
      <c r="C60" s="30">
        <v>27.3</v>
      </c>
      <c r="D60" s="27">
        <v>10</v>
      </c>
      <c r="E60" s="28">
        <v>6</v>
      </c>
      <c r="F60" s="16">
        <f t="shared" si="148"/>
        <v>1.6379999999999999</v>
      </c>
      <c r="G60" s="17"/>
      <c r="H60" s="18">
        <v>2</v>
      </c>
      <c r="I60" s="19">
        <f t="shared" si="149"/>
        <v>0.54600000000000004</v>
      </c>
      <c r="J60" s="16"/>
      <c r="K60" s="18">
        <v>4</v>
      </c>
      <c r="L60" s="19">
        <f t="shared" si="150"/>
        <v>1.0920000000000001</v>
      </c>
      <c r="M60" s="16"/>
      <c r="N60" s="18"/>
      <c r="O60" s="19">
        <f t="shared" si="151"/>
        <v>0</v>
      </c>
      <c r="P60" s="16"/>
      <c r="Q60" s="18"/>
      <c r="R60" s="19">
        <f t="shared" si="152"/>
        <v>0</v>
      </c>
      <c r="S60" s="20">
        <f t="shared" si="153"/>
        <v>6</v>
      </c>
      <c r="T60" s="19">
        <f t="shared" si="153"/>
        <v>1.6380000000000001</v>
      </c>
      <c r="U60" s="21">
        <f t="shared" si="154"/>
        <v>0</v>
      </c>
      <c r="V60" s="19">
        <f t="shared" si="154"/>
        <v>0</v>
      </c>
      <c r="X60" s="29"/>
    </row>
    <row r="61" spans="1:24">
      <c r="A61" s="26" t="s">
        <v>13</v>
      </c>
      <c r="B61" s="26" t="s">
        <v>125</v>
      </c>
      <c r="C61" s="30">
        <v>27.3</v>
      </c>
      <c r="D61" s="27">
        <v>11.1</v>
      </c>
      <c r="E61" s="28">
        <v>8</v>
      </c>
      <c r="F61" s="16">
        <f t="shared" si="148"/>
        <v>2.4242399999999997</v>
      </c>
      <c r="G61" s="17"/>
      <c r="H61" s="18">
        <v>8</v>
      </c>
      <c r="I61" s="19">
        <f t="shared" si="149"/>
        <v>2.4242399999999997</v>
      </c>
      <c r="J61" s="16"/>
      <c r="K61" s="18"/>
      <c r="L61" s="19">
        <f t="shared" si="150"/>
        <v>0</v>
      </c>
      <c r="M61" s="16"/>
      <c r="N61" s="18"/>
      <c r="O61" s="19">
        <f t="shared" si="151"/>
        <v>0</v>
      </c>
      <c r="P61" s="16"/>
      <c r="Q61" s="18"/>
      <c r="R61" s="19">
        <f t="shared" si="152"/>
        <v>0</v>
      </c>
      <c r="S61" s="20">
        <f t="shared" si="153"/>
        <v>8</v>
      </c>
      <c r="T61" s="19">
        <f t="shared" si="153"/>
        <v>2.4242399999999997</v>
      </c>
      <c r="U61" s="21">
        <f t="shared" si="154"/>
        <v>0</v>
      </c>
      <c r="V61" s="19">
        <f t="shared" si="154"/>
        <v>0</v>
      </c>
      <c r="X61" s="29"/>
    </row>
    <row r="62" spans="1:24">
      <c r="A62" s="26" t="s">
        <v>13</v>
      </c>
      <c r="B62" s="26" t="s">
        <v>125</v>
      </c>
      <c r="C62" s="30">
        <v>27.3</v>
      </c>
      <c r="D62" s="27">
        <v>11.8</v>
      </c>
      <c r="E62" s="28">
        <v>19</v>
      </c>
      <c r="F62" s="16">
        <f t="shared" si="148"/>
        <v>6.1206600000000009</v>
      </c>
      <c r="G62" s="17"/>
      <c r="H62" s="18">
        <v>17</v>
      </c>
      <c r="I62" s="19">
        <f t="shared" si="149"/>
        <v>5.4763800000000007</v>
      </c>
      <c r="J62" s="16"/>
      <c r="K62" s="18">
        <v>2</v>
      </c>
      <c r="L62" s="19">
        <f t="shared" si="150"/>
        <v>0.64428000000000007</v>
      </c>
      <c r="M62" s="16"/>
      <c r="N62" s="18"/>
      <c r="O62" s="19">
        <f t="shared" si="151"/>
        <v>0</v>
      </c>
      <c r="P62" s="16"/>
      <c r="Q62" s="18"/>
      <c r="R62" s="19">
        <f t="shared" si="152"/>
        <v>0</v>
      </c>
      <c r="S62" s="20">
        <f t="shared" si="153"/>
        <v>19</v>
      </c>
      <c r="T62" s="19">
        <f t="shared" si="153"/>
        <v>6.1206600000000009</v>
      </c>
      <c r="U62" s="21">
        <f t="shared" si="154"/>
        <v>0</v>
      </c>
      <c r="V62" s="19">
        <f t="shared" si="154"/>
        <v>0</v>
      </c>
      <c r="X62" s="29"/>
    </row>
    <row r="63" spans="1:24">
      <c r="A63" s="26" t="s">
        <v>13</v>
      </c>
      <c r="B63" s="26" t="s">
        <v>125</v>
      </c>
      <c r="C63" s="30">
        <v>27.3</v>
      </c>
      <c r="D63" s="27">
        <v>12</v>
      </c>
      <c r="E63" s="28">
        <v>18</v>
      </c>
      <c r="F63" s="16">
        <f t="shared" si="148"/>
        <v>5.8967999999999998</v>
      </c>
      <c r="G63" s="17"/>
      <c r="H63" s="18">
        <f>6+12</f>
        <v>18</v>
      </c>
      <c r="I63" s="19">
        <f t="shared" si="149"/>
        <v>5.8967999999999998</v>
      </c>
      <c r="J63" s="16"/>
      <c r="K63" s="18"/>
      <c r="L63" s="19">
        <f t="shared" si="150"/>
        <v>0</v>
      </c>
      <c r="M63" s="16"/>
      <c r="N63" s="18"/>
      <c r="O63" s="19">
        <f t="shared" si="151"/>
        <v>0</v>
      </c>
      <c r="P63" s="16"/>
      <c r="Q63" s="18"/>
      <c r="R63" s="19">
        <f t="shared" si="152"/>
        <v>0</v>
      </c>
      <c r="S63" s="20">
        <f t="shared" si="153"/>
        <v>18</v>
      </c>
      <c r="T63" s="19">
        <f t="shared" si="153"/>
        <v>5.8967999999999998</v>
      </c>
      <c r="U63" s="21">
        <f t="shared" si="154"/>
        <v>0</v>
      </c>
      <c r="V63" s="19">
        <f t="shared" si="154"/>
        <v>0</v>
      </c>
      <c r="X63" s="29"/>
    </row>
    <row r="64" spans="1:24">
      <c r="A64" s="36"/>
      <c r="B64" s="36"/>
      <c r="C64" s="37"/>
      <c r="D64" s="38"/>
      <c r="E64" s="31">
        <f t="shared" ref="E64:F64" si="155">SUM(E56:E63)</f>
        <v>120</v>
      </c>
      <c r="F64" s="38">
        <f t="shared" si="155"/>
        <v>32.847360000000009</v>
      </c>
      <c r="G64" s="17"/>
      <c r="H64" s="31">
        <f t="shared" ref="H64" si="156">SUM(H56:H63)</f>
        <v>114</v>
      </c>
      <c r="I64" s="38">
        <f t="shared" ref="I64" si="157">SUM(I56:I63)</f>
        <v>31.111080000000001</v>
      </c>
      <c r="J64" s="16"/>
      <c r="K64" s="31">
        <f t="shared" ref="K64" si="158">SUM(K56:K63)</f>
        <v>6</v>
      </c>
      <c r="L64" s="38">
        <f t="shared" ref="L64" si="159">SUM(L56:L63)</f>
        <v>1.7362800000000003</v>
      </c>
      <c r="M64" s="16"/>
      <c r="N64" s="31">
        <f t="shared" ref="N64" si="160">SUM(N56:N63)</f>
        <v>0</v>
      </c>
      <c r="O64" s="38">
        <f t="shared" ref="O64" si="161">SUM(O56:O63)</f>
        <v>0</v>
      </c>
      <c r="P64" s="16"/>
      <c r="Q64" s="31">
        <f t="shared" ref="Q64" si="162">SUM(Q56:Q63)</f>
        <v>0</v>
      </c>
      <c r="R64" s="38">
        <f t="shared" ref="R64" si="163">SUM(R56:R63)</f>
        <v>0</v>
      </c>
      <c r="S64" s="31">
        <f t="shared" ref="S64" si="164">SUM(S56:S63)</f>
        <v>120</v>
      </c>
      <c r="T64" s="38">
        <f t="shared" ref="T64" si="165">SUM(T56:T63)</f>
        <v>32.847360000000009</v>
      </c>
      <c r="U64" s="31">
        <f t="shared" ref="U64" si="166">SUM(U56:U63)</f>
        <v>0</v>
      </c>
      <c r="V64" s="38">
        <f t="shared" ref="V64" si="167">SUM(V56:V63)</f>
        <v>0</v>
      </c>
      <c r="X64" s="29"/>
    </row>
    <row r="65" spans="1:24">
      <c r="A65" s="26" t="s">
        <v>13</v>
      </c>
      <c r="B65" s="26" t="s">
        <v>75</v>
      </c>
      <c r="C65" s="30">
        <v>31.6</v>
      </c>
      <c r="D65" s="27">
        <v>7.4</v>
      </c>
      <c r="E65" s="28">
        <v>10</v>
      </c>
      <c r="F65" s="16">
        <f t="shared" ref="F65:F69" si="168">(C65*D65*E65/1000)</f>
        <v>2.3384000000000005</v>
      </c>
      <c r="G65" s="16" t="s">
        <v>86</v>
      </c>
      <c r="H65" s="18">
        <v>10</v>
      </c>
      <c r="I65" s="19">
        <f t="shared" ref="I65:I69" si="169">(C65*D65*H65/1000)</f>
        <v>2.3384000000000005</v>
      </c>
      <c r="J65" s="16"/>
      <c r="K65" s="18"/>
      <c r="L65" s="19">
        <f t="shared" ref="L65:L69" si="170">(C65*D65*K65/1000)</f>
        <v>0</v>
      </c>
      <c r="M65" s="16"/>
      <c r="N65" s="18"/>
      <c r="O65" s="19">
        <f t="shared" ref="O65:O69" si="171">(C65*D65*N65/1000)</f>
        <v>0</v>
      </c>
      <c r="P65" s="16"/>
      <c r="Q65" s="18"/>
      <c r="R65" s="19">
        <f t="shared" ref="R65:R69" si="172">(C65*D65*Q65/1000)</f>
        <v>0</v>
      </c>
      <c r="S65" s="20">
        <f t="shared" ref="S65:T69" si="173">+H65+K65+Q65+N65</f>
        <v>10</v>
      </c>
      <c r="T65" s="19">
        <f t="shared" si="173"/>
        <v>2.3384000000000005</v>
      </c>
      <c r="U65" s="21">
        <f t="shared" ref="U65:V69" si="174">E65-S65</f>
        <v>0</v>
      </c>
      <c r="V65" s="19">
        <f t="shared" si="174"/>
        <v>0</v>
      </c>
      <c r="X65" s="29"/>
    </row>
    <row r="66" spans="1:24">
      <c r="A66" s="26" t="s">
        <v>13</v>
      </c>
      <c r="B66" s="26" t="s">
        <v>75</v>
      </c>
      <c r="C66" s="30">
        <v>31.6</v>
      </c>
      <c r="D66" s="27">
        <v>9.5</v>
      </c>
      <c r="E66" s="28">
        <v>10</v>
      </c>
      <c r="F66" s="16">
        <f t="shared" si="168"/>
        <v>3.0019999999999998</v>
      </c>
      <c r="G66" s="16" t="s">
        <v>394</v>
      </c>
      <c r="H66" s="18">
        <v>10</v>
      </c>
      <c r="I66" s="19">
        <f t="shared" si="169"/>
        <v>3.0019999999999998</v>
      </c>
      <c r="J66" s="16"/>
      <c r="K66" s="18"/>
      <c r="L66" s="19">
        <f t="shared" si="170"/>
        <v>0</v>
      </c>
      <c r="M66" s="16"/>
      <c r="N66" s="18"/>
      <c r="O66" s="19">
        <f t="shared" si="171"/>
        <v>0</v>
      </c>
      <c r="P66" s="16"/>
      <c r="Q66" s="18"/>
      <c r="R66" s="19">
        <f t="shared" si="172"/>
        <v>0</v>
      </c>
      <c r="S66" s="20">
        <f t="shared" si="173"/>
        <v>10</v>
      </c>
      <c r="T66" s="19">
        <f t="shared" si="173"/>
        <v>3.0019999999999998</v>
      </c>
      <c r="U66" s="21">
        <f t="shared" si="174"/>
        <v>0</v>
      </c>
      <c r="V66" s="19">
        <f t="shared" si="174"/>
        <v>0</v>
      </c>
      <c r="X66" s="29"/>
    </row>
    <row r="67" spans="1:24">
      <c r="A67" s="26" t="s">
        <v>13</v>
      </c>
      <c r="B67" s="26" t="s">
        <v>75</v>
      </c>
      <c r="C67" s="30">
        <v>31.6</v>
      </c>
      <c r="D67" s="27">
        <v>9.6</v>
      </c>
      <c r="E67" s="28">
        <v>16</v>
      </c>
      <c r="F67" s="16">
        <f t="shared" si="168"/>
        <v>4.8537600000000003</v>
      </c>
      <c r="G67" s="17"/>
      <c r="H67" s="18">
        <v>16</v>
      </c>
      <c r="I67" s="19">
        <f t="shared" si="169"/>
        <v>4.8537600000000003</v>
      </c>
      <c r="J67" s="16"/>
      <c r="K67" s="18"/>
      <c r="L67" s="19">
        <f t="shared" si="170"/>
        <v>0</v>
      </c>
      <c r="M67" s="16"/>
      <c r="N67" s="18"/>
      <c r="O67" s="19">
        <f t="shared" si="171"/>
        <v>0</v>
      </c>
      <c r="P67" s="16"/>
      <c r="Q67" s="18"/>
      <c r="R67" s="19">
        <f t="shared" si="172"/>
        <v>0</v>
      </c>
      <c r="S67" s="20">
        <f t="shared" si="173"/>
        <v>16</v>
      </c>
      <c r="T67" s="19">
        <f t="shared" si="173"/>
        <v>4.8537600000000003</v>
      </c>
      <c r="U67" s="21">
        <f t="shared" si="174"/>
        <v>0</v>
      </c>
      <c r="V67" s="19">
        <f t="shared" si="174"/>
        <v>0</v>
      </c>
      <c r="X67" s="29"/>
    </row>
    <row r="68" spans="1:24">
      <c r="A68" s="26" t="s">
        <v>13</v>
      </c>
      <c r="B68" s="26" t="s">
        <v>75</v>
      </c>
      <c r="C68" s="30">
        <v>31.6</v>
      </c>
      <c r="D68" s="27">
        <v>10.5</v>
      </c>
      <c r="E68" s="28">
        <v>3</v>
      </c>
      <c r="F68" s="16">
        <f t="shared" si="168"/>
        <v>0.99540000000000006</v>
      </c>
      <c r="G68" s="17"/>
      <c r="H68" s="18">
        <v>3</v>
      </c>
      <c r="I68" s="19">
        <f t="shared" si="169"/>
        <v>0.99540000000000006</v>
      </c>
      <c r="J68" s="16"/>
      <c r="K68" s="18"/>
      <c r="L68" s="19">
        <f t="shared" si="170"/>
        <v>0</v>
      </c>
      <c r="M68" s="16"/>
      <c r="N68" s="18"/>
      <c r="O68" s="19">
        <f t="shared" si="171"/>
        <v>0</v>
      </c>
      <c r="P68" s="16"/>
      <c r="Q68" s="18"/>
      <c r="R68" s="19">
        <f t="shared" si="172"/>
        <v>0</v>
      </c>
      <c r="S68" s="20">
        <f t="shared" si="173"/>
        <v>3</v>
      </c>
      <c r="T68" s="19">
        <f t="shared" si="173"/>
        <v>0.99540000000000006</v>
      </c>
      <c r="U68" s="21">
        <f t="shared" si="174"/>
        <v>0</v>
      </c>
      <c r="V68" s="19">
        <f t="shared" si="174"/>
        <v>0</v>
      </c>
      <c r="X68" s="29"/>
    </row>
    <row r="69" spans="1:24">
      <c r="A69" s="26" t="s">
        <v>13</v>
      </c>
      <c r="B69" s="26" t="s">
        <v>75</v>
      </c>
      <c r="C69" s="30">
        <v>31.6</v>
      </c>
      <c r="D69" s="27">
        <v>11.4</v>
      </c>
      <c r="E69" s="28">
        <v>8</v>
      </c>
      <c r="F69" s="16">
        <f t="shared" si="168"/>
        <v>2.88192</v>
      </c>
      <c r="G69" s="17"/>
      <c r="H69" s="18">
        <v>8</v>
      </c>
      <c r="I69" s="19">
        <f t="shared" si="169"/>
        <v>2.88192</v>
      </c>
      <c r="J69" s="16"/>
      <c r="K69" s="18"/>
      <c r="L69" s="19">
        <f t="shared" si="170"/>
        <v>0</v>
      </c>
      <c r="M69" s="16"/>
      <c r="N69" s="18"/>
      <c r="O69" s="19">
        <f t="shared" si="171"/>
        <v>0</v>
      </c>
      <c r="P69" s="16"/>
      <c r="Q69" s="18"/>
      <c r="R69" s="19">
        <f t="shared" si="172"/>
        <v>0</v>
      </c>
      <c r="S69" s="20">
        <f t="shared" si="173"/>
        <v>8</v>
      </c>
      <c r="T69" s="19">
        <f t="shared" si="173"/>
        <v>2.88192</v>
      </c>
      <c r="U69" s="21">
        <f t="shared" si="174"/>
        <v>0</v>
      </c>
      <c r="V69" s="19">
        <f t="shared" si="174"/>
        <v>0</v>
      </c>
      <c r="X69" s="29"/>
    </row>
    <row r="70" spans="1:24">
      <c r="A70" s="36"/>
      <c r="B70" s="36"/>
      <c r="C70" s="37"/>
      <c r="D70" s="38"/>
      <c r="E70" s="31">
        <f t="shared" ref="E70:F70" si="175">SUM(E65:E69)</f>
        <v>47</v>
      </c>
      <c r="F70" s="38">
        <f t="shared" si="175"/>
        <v>14.071480000000001</v>
      </c>
      <c r="G70" s="17"/>
      <c r="H70" s="31">
        <f t="shared" ref="H70" si="176">SUM(H65:H69)</f>
        <v>47</v>
      </c>
      <c r="I70" s="38">
        <f t="shared" ref="I70" si="177">SUM(I65:I69)</f>
        <v>14.071480000000001</v>
      </c>
      <c r="J70" s="16"/>
      <c r="K70" s="31">
        <f t="shared" ref="K70" si="178">SUM(K65:K69)</f>
        <v>0</v>
      </c>
      <c r="L70" s="38">
        <f t="shared" ref="L70" si="179">SUM(L65:L69)</f>
        <v>0</v>
      </c>
      <c r="M70" s="16"/>
      <c r="N70" s="31">
        <f t="shared" ref="N70" si="180">SUM(N65:N69)</f>
        <v>0</v>
      </c>
      <c r="O70" s="38">
        <f t="shared" ref="O70" si="181">SUM(O65:O69)</f>
        <v>0</v>
      </c>
      <c r="P70" s="16"/>
      <c r="Q70" s="31">
        <f t="shared" ref="Q70" si="182">SUM(Q65:Q69)</f>
        <v>0</v>
      </c>
      <c r="R70" s="38">
        <f t="shared" ref="R70" si="183">SUM(R65:R69)</f>
        <v>0</v>
      </c>
      <c r="S70" s="31">
        <f t="shared" ref="S70" si="184">SUM(S65:S69)</f>
        <v>47</v>
      </c>
      <c r="T70" s="38">
        <f t="shared" ref="T70" si="185">SUM(T65:T69)</f>
        <v>14.071480000000001</v>
      </c>
      <c r="U70" s="31">
        <f t="shared" ref="U70" si="186">SUM(U65:U69)</f>
        <v>0</v>
      </c>
      <c r="V70" s="38">
        <f t="shared" ref="V70" si="187">SUM(V65:V69)</f>
        <v>0</v>
      </c>
      <c r="X70" s="29"/>
    </row>
    <row r="71" spans="1:24">
      <c r="A71" s="26" t="s">
        <v>13</v>
      </c>
      <c r="B71" s="26" t="s">
        <v>126</v>
      </c>
      <c r="C71" s="30">
        <v>33.799999999999997</v>
      </c>
      <c r="D71" s="27">
        <v>6.1</v>
      </c>
      <c r="E71" s="28">
        <v>12</v>
      </c>
      <c r="F71" s="16">
        <f t="shared" ref="F71:F90" si="188">(C71*D71*E71/1000)</f>
        <v>2.4741599999999999</v>
      </c>
      <c r="G71" s="17" t="s">
        <v>86</v>
      </c>
      <c r="H71" s="18"/>
      <c r="I71" s="19">
        <f t="shared" ref="I71:I90" si="189">(C71*D71*H71/1000)</f>
        <v>0</v>
      </c>
      <c r="J71" s="16" t="s">
        <v>86</v>
      </c>
      <c r="K71" s="18"/>
      <c r="L71" s="19">
        <f t="shared" ref="L71:L90" si="190">(C71*D71*K71/1000)</f>
        <v>0</v>
      </c>
      <c r="M71" s="16" t="s">
        <v>89</v>
      </c>
      <c r="N71" s="18"/>
      <c r="O71" s="19">
        <f t="shared" ref="O71:O90" si="191">(C71*D71*N71/1000)</f>
        <v>0</v>
      </c>
      <c r="P71" s="16" t="s">
        <v>93</v>
      </c>
      <c r="Q71" s="18"/>
      <c r="R71" s="19">
        <f t="shared" ref="R71:R90" si="192">(C71*D71*Q71/1000)</f>
        <v>0</v>
      </c>
      <c r="S71" s="20">
        <f t="shared" ref="S71:T90" si="193">+H71+K71+Q71+N71</f>
        <v>0</v>
      </c>
      <c r="T71" s="19">
        <f t="shared" si="193"/>
        <v>0</v>
      </c>
      <c r="U71" s="21">
        <f t="shared" ref="U71:V90" si="194">E71-S71</f>
        <v>12</v>
      </c>
      <c r="V71" s="19">
        <f t="shared" si="194"/>
        <v>2.4741599999999999</v>
      </c>
      <c r="X71" s="29"/>
    </row>
    <row r="72" spans="1:24">
      <c r="A72" s="26" t="s">
        <v>13</v>
      </c>
      <c r="B72" s="26" t="s">
        <v>126</v>
      </c>
      <c r="C72" s="30">
        <v>33.799999999999997</v>
      </c>
      <c r="D72" s="27">
        <v>6.7</v>
      </c>
      <c r="E72" s="28">
        <v>64</v>
      </c>
      <c r="F72" s="16">
        <f t="shared" si="188"/>
        <v>14.493439999999998</v>
      </c>
      <c r="G72" s="17" t="s">
        <v>327</v>
      </c>
      <c r="H72" s="18">
        <v>28</v>
      </c>
      <c r="I72" s="19">
        <f t="shared" si="189"/>
        <v>6.3408799999999994</v>
      </c>
      <c r="J72" s="16" t="s">
        <v>328</v>
      </c>
      <c r="K72" s="18">
        <v>6</v>
      </c>
      <c r="L72" s="19">
        <f t="shared" si="190"/>
        <v>1.3587599999999997</v>
      </c>
      <c r="M72" s="16" t="s">
        <v>341</v>
      </c>
      <c r="N72" s="18"/>
      <c r="O72" s="19">
        <f t="shared" si="191"/>
        <v>0</v>
      </c>
      <c r="P72" s="16" t="s">
        <v>348</v>
      </c>
      <c r="Q72" s="18">
        <v>11</v>
      </c>
      <c r="R72" s="19">
        <f t="shared" si="192"/>
        <v>2.4910600000000001</v>
      </c>
      <c r="S72" s="20">
        <f t="shared" si="193"/>
        <v>45</v>
      </c>
      <c r="T72" s="19">
        <f t="shared" si="193"/>
        <v>10.1907</v>
      </c>
      <c r="U72" s="21">
        <f t="shared" si="194"/>
        <v>19</v>
      </c>
      <c r="V72" s="19">
        <f t="shared" si="194"/>
        <v>4.3027399999999982</v>
      </c>
      <c r="X72" s="29"/>
    </row>
    <row r="73" spans="1:24">
      <c r="A73" s="26" t="s">
        <v>13</v>
      </c>
      <c r="B73" s="26" t="s">
        <v>126</v>
      </c>
      <c r="C73" s="30">
        <v>33.799999999999997</v>
      </c>
      <c r="D73" s="27">
        <v>7.8</v>
      </c>
      <c r="E73" s="28">
        <v>8</v>
      </c>
      <c r="F73" s="16">
        <f t="shared" si="188"/>
        <v>2.1091199999999999</v>
      </c>
      <c r="G73" s="17"/>
      <c r="H73" s="18"/>
      <c r="I73" s="19">
        <f t="shared" si="189"/>
        <v>0</v>
      </c>
      <c r="J73" s="16"/>
      <c r="K73" s="18"/>
      <c r="L73" s="19">
        <f t="shared" si="190"/>
        <v>0</v>
      </c>
      <c r="M73" s="16"/>
      <c r="N73" s="18"/>
      <c r="O73" s="19">
        <f t="shared" si="191"/>
        <v>0</v>
      </c>
      <c r="P73" s="16"/>
      <c r="Q73" s="18"/>
      <c r="R73" s="19">
        <f t="shared" si="192"/>
        <v>0</v>
      </c>
      <c r="S73" s="20">
        <f t="shared" si="193"/>
        <v>0</v>
      </c>
      <c r="T73" s="19">
        <f t="shared" si="193"/>
        <v>0</v>
      </c>
      <c r="U73" s="21">
        <f t="shared" si="194"/>
        <v>8</v>
      </c>
      <c r="V73" s="19">
        <f t="shared" si="194"/>
        <v>2.1091199999999999</v>
      </c>
      <c r="X73" s="29"/>
    </row>
    <row r="74" spans="1:24">
      <c r="A74" s="26" t="s">
        <v>13</v>
      </c>
      <c r="B74" s="26" t="s">
        <v>126</v>
      </c>
      <c r="C74" s="30">
        <v>33.799999999999997</v>
      </c>
      <c r="D74" s="27">
        <v>8.35</v>
      </c>
      <c r="E74" s="28">
        <v>8</v>
      </c>
      <c r="F74" s="16">
        <f t="shared" si="188"/>
        <v>2.2578399999999998</v>
      </c>
      <c r="G74" s="17"/>
      <c r="H74" s="18"/>
      <c r="I74" s="19">
        <f t="shared" si="189"/>
        <v>0</v>
      </c>
      <c r="J74" s="16"/>
      <c r="K74" s="18"/>
      <c r="L74" s="19">
        <f t="shared" si="190"/>
        <v>0</v>
      </c>
      <c r="M74" s="16"/>
      <c r="N74" s="18"/>
      <c r="O74" s="19">
        <f t="shared" si="191"/>
        <v>0</v>
      </c>
      <c r="P74" s="16"/>
      <c r="Q74" s="18"/>
      <c r="R74" s="19">
        <f t="shared" si="192"/>
        <v>0</v>
      </c>
      <c r="S74" s="20">
        <f t="shared" si="193"/>
        <v>0</v>
      </c>
      <c r="T74" s="19">
        <f t="shared" si="193"/>
        <v>0</v>
      </c>
      <c r="U74" s="21">
        <f t="shared" si="194"/>
        <v>8</v>
      </c>
      <c r="V74" s="19">
        <f t="shared" si="194"/>
        <v>2.2578399999999998</v>
      </c>
      <c r="X74" s="29"/>
    </row>
    <row r="75" spans="1:24">
      <c r="A75" s="26" t="s">
        <v>13</v>
      </c>
      <c r="B75" s="26" t="s">
        <v>126</v>
      </c>
      <c r="C75" s="30">
        <v>33.799999999999997</v>
      </c>
      <c r="D75" s="27">
        <v>11.3</v>
      </c>
      <c r="E75" s="28">
        <v>9</v>
      </c>
      <c r="F75" s="16">
        <f t="shared" ref="F75:F89" si="195">(C75*D75*E75/1000)</f>
        <v>3.4374600000000002</v>
      </c>
      <c r="G75" s="17"/>
      <c r="H75" s="18"/>
      <c r="I75" s="19">
        <f t="shared" ref="I75:I89" si="196">(C75*D75*H75/1000)</f>
        <v>0</v>
      </c>
      <c r="J75" s="16"/>
      <c r="K75" s="18">
        <v>1</v>
      </c>
      <c r="L75" s="19">
        <f t="shared" ref="L75:L89" si="197">(C75*D75*K75/1000)</f>
        <v>0.38194</v>
      </c>
      <c r="M75" s="16"/>
      <c r="N75" s="18">
        <v>1</v>
      </c>
      <c r="O75" s="19">
        <f t="shared" ref="O75:O89" si="198">(C75*D75*N75/1000)</f>
        <v>0.38194</v>
      </c>
      <c r="P75" s="16"/>
      <c r="Q75" s="18">
        <v>2</v>
      </c>
      <c r="R75" s="19">
        <f t="shared" ref="R75:R89" si="199">(C75*D75*Q75/1000)</f>
        <v>0.76388</v>
      </c>
      <c r="S75" s="20">
        <f t="shared" ref="S75:S89" si="200">+H75+K75+Q75+N75</f>
        <v>4</v>
      </c>
      <c r="T75" s="19">
        <f t="shared" ref="T75:T89" si="201">+I75+L75+R75+O75</f>
        <v>1.52776</v>
      </c>
      <c r="U75" s="21">
        <f t="shared" ref="U75:U89" si="202">E75-S75</f>
        <v>5</v>
      </c>
      <c r="V75" s="19">
        <f t="shared" ref="V75:V89" si="203">F75-T75</f>
        <v>1.9097000000000002</v>
      </c>
      <c r="X75" s="29"/>
    </row>
    <row r="76" spans="1:24">
      <c r="A76" s="26" t="s">
        <v>13</v>
      </c>
      <c r="B76" s="26" t="s">
        <v>126</v>
      </c>
      <c r="C76" s="30">
        <v>33.799999999999997</v>
      </c>
      <c r="D76" s="27">
        <v>6.3</v>
      </c>
      <c r="E76" s="28"/>
      <c r="F76" s="16">
        <f t="shared" si="195"/>
        <v>0</v>
      </c>
      <c r="G76" s="17"/>
      <c r="H76" s="18"/>
      <c r="I76" s="19">
        <f t="shared" si="196"/>
        <v>0</v>
      </c>
      <c r="J76" s="16"/>
      <c r="K76" s="18">
        <v>2</v>
      </c>
      <c r="L76" s="19">
        <f t="shared" si="197"/>
        <v>0.42587999999999993</v>
      </c>
      <c r="M76" s="16"/>
      <c r="N76" s="18"/>
      <c r="O76" s="19">
        <f t="shared" si="198"/>
        <v>0</v>
      </c>
      <c r="P76" s="16"/>
      <c r="Q76" s="18"/>
      <c r="R76" s="19">
        <f t="shared" si="199"/>
        <v>0</v>
      </c>
      <c r="S76" s="20">
        <f t="shared" si="200"/>
        <v>2</v>
      </c>
      <c r="T76" s="19">
        <f t="shared" si="201"/>
        <v>0.42587999999999993</v>
      </c>
      <c r="U76" s="21">
        <f t="shared" si="202"/>
        <v>-2</v>
      </c>
      <c r="V76" s="19">
        <f t="shared" si="203"/>
        <v>-0.42587999999999993</v>
      </c>
      <c r="X76" s="29"/>
    </row>
    <row r="77" spans="1:24">
      <c r="A77" s="26" t="s">
        <v>13</v>
      </c>
      <c r="B77" s="26" t="s">
        <v>126</v>
      </c>
      <c r="C77" s="30">
        <v>33.799999999999997</v>
      </c>
      <c r="D77" s="27">
        <v>6.5</v>
      </c>
      <c r="E77" s="28"/>
      <c r="F77" s="16">
        <f t="shared" si="195"/>
        <v>0</v>
      </c>
      <c r="G77" s="17"/>
      <c r="H77" s="18"/>
      <c r="I77" s="19">
        <f t="shared" si="196"/>
        <v>0</v>
      </c>
      <c r="J77" s="16"/>
      <c r="K77" s="18">
        <v>12</v>
      </c>
      <c r="L77" s="19">
        <f t="shared" si="197"/>
        <v>2.6363999999999996</v>
      </c>
      <c r="M77" s="16"/>
      <c r="N77" s="18"/>
      <c r="O77" s="19">
        <f t="shared" si="198"/>
        <v>0</v>
      </c>
      <c r="P77" s="16"/>
      <c r="Q77" s="18"/>
      <c r="R77" s="19">
        <f t="shared" si="199"/>
        <v>0</v>
      </c>
      <c r="S77" s="20">
        <f t="shared" si="200"/>
        <v>12</v>
      </c>
      <c r="T77" s="19">
        <f t="shared" si="201"/>
        <v>2.6363999999999996</v>
      </c>
      <c r="U77" s="21">
        <f t="shared" si="202"/>
        <v>-12</v>
      </c>
      <c r="V77" s="19">
        <f t="shared" si="203"/>
        <v>-2.6363999999999996</v>
      </c>
      <c r="X77" s="29"/>
    </row>
    <row r="78" spans="1:24">
      <c r="A78" s="26" t="s">
        <v>13</v>
      </c>
      <c r="B78" s="26" t="s">
        <v>126</v>
      </c>
      <c r="C78" s="30">
        <v>33.799999999999997</v>
      </c>
      <c r="D78" s="27">
        <v>6.8</v>
      </c>
      <c r="E78" s="28"/>
      <c r="F78" s="16">
        <f t="shared" si="195"/>
        <v>0</v>
      </c>
      <c r="G78" s="17"/>
      <c r="H78" s="18"/>
      <c r="I78" s="19">
        <f t="shared" si="196"/>
        <v>0</v>
      </c>
      <c r="J78" s="16"/>
      <c r="K78" s="18">
        <v>11</v>
      </c>
      <c r="L78" s="19">
        <f t="shared" si="197"/>
        <v>2.5282399999999998</v>
      </c>
      <c r="M78" s="16"/>
      <c r="N78" s="18"/>
      <c r="O78" s="19">
        <f t="shared" si="198"/>
        <v>0</v>
      </c>
      <c r="P78" s="16"/>
      <c r="Q78" s="18"/>
      <c r="R78" s="19">
        <f t="shared" si="199"/>
        <v>0</v>
      </c>
      <c r="S78" s="20">
        <f t="shared" si="200"/>
        <v>11</v>
      </c>
      <c r="T78" s="19">
        <f t="shared" si="201"/>
        <v>2.5282399999999998</v>
      </c>
      <c r="U78" s="21">
        <f t="shared" si="202"/>
        <v>-11</v>
      </c>
      <c r="V78" s="19">
        <f t="shared" si="203"/>
        <v>-2.5282399999999998</v>
      </c>
      <c r="X78" s="29"/>
    </row>
    <row r="79" spans="1:24">
      <c r="A79" s="26" t="s">
        <v>13</v>
      </c>
      <c r="B79" s="26" t="s">
        <v>126</v>
      </c>
      <c r="C79" s="30">
        <v>33.799999999999997</v>
      </c>
      <c r="D79" s="27">
        <v>8.1999999999999993</v>
      </c>
      <c r="E79" s="28"/>
      <c r="F79" s="16">
        <f t="shared" si="195"/>
        <v>0</v>
      </c>
      <c r="G79" s="17"/>
      <c r="H79" s="18"/>
      <c r="I79" s="19">
        <f t="shared" si="196"/>
        <v>0</v>
      </c>
      <c r="J79" s="16"/>
      <c r="K79" s="18">
        <v>1</v>
      </c>
      <c r="L79" s="19">
        <f t="shared" si="197"/>
        <v>0.27715999999999996</v>
      </c>
      <c r="M79" s="16"/>
      <c r="N79" s="18"/>
      <c r="O79" s="19">
        <f t="shared" si="198"/>
        <v>0</v>
      </c>
      <c r="P79" s="16"/>
      <c r="Q79" s="18"/>
      <c r="R79" s="19">
        <f t="shared" si="199"/>
        <v>0</v>
      </c>
      <c r="S79" s="20">
        <f t="shared" si="200"/>
        <v>1</v>
      </c>
      <c r="T79" s="19">
        <f t="shared" si="201"/>
        <v>0.27715999999999996</v>
      </c>
      <c r="U79" s="21">
        <f t="shared" si="202"/>
        <v>-1</v>
      </c>
      <c r="V79" s="19">
        <f t="shared" si="203"/>
        <v>-0.27715999999999996</v>
      </c>
      <c r="X79" s="29"/>
    </row>
    <row r="80" spans="1:24">
      <c r="A80" s="26" t="s">
        <v>13</v>
      </c>
      <c r="B80" s="26" t="s">
        <v>126</v>
      </c>
      <c r="C80" s="30">
        <v>33.799999999999997</v>
      </c>
      <c r="D80" s="27">
        <v>11.2</v>
      </c>
      <c r="E80" s="28"/>
      <c r="F80" s="16">
        <f t="shared" si="195"/>
        <v>0</v>
      </c>
      <c r="G80" s="17"/>
      <c r="H80" s="18"/>
      <c r="I80" s="19">
        <f t="shared" si="196"/>
        <v>0</v>
      </c>
      <c r="J80" s="16"/>
      <c r="K80" s="18">
        <v>3</v>
      </c>
      <c r="L80" s="19">
        <f t="shared" si="197"/>
        <v>1.1356799999999998</v>
      </c>
      <c r="M80" s="16"/>
      <c r="N80" s="18"/>
      <c r="O80" s="19">
        <f t="shared" si="198"/>
        <v>0</v>
      </c>
      <c r="P80" s="16"/>
      <c r="Q80" s="18"/>
      <c r="R80" s="19">
        <f t="shared" si="199"/>
        <v>0</v>
      </c>
      <c r="S80" s="20">
        <f t="shared" si="200"/>
        <v>3</v>
      </c>
      <c r="T80" s="19">
        <f t="shared" si="201"/>
        <v>1.1356799999999998</v>
      </c>
      <c r="U80" s="21">
        <f t="shared" si="202"/>
        <v>-3</v>
      </c>
      <c r="V80" s="19">
        <f t="shared" si="203"/>
        <v>-1.1356799999999998</v>
      </c>
      <c r="X80" s="29"/>
    </row>
    <row r="81" spans="1:24">
      <c r="A81" s="26" t="s">
        <v>13</v>
      </c>
      <c r="B81" s="26" t="s">
        <v>126</v>
      </c>
      <c r="C81" s="30">
        <v>33.799999999999997</v>
      </c>
      <c r="D81" s="27">
        <v>11.4</v>
      </c>
      <c r="E81" s="28"/>
      <c r="F81" s="16">
        <f t="shared" si="195"/>
        <v>0</v>
      </c>
      <c r="G81" s="17"/>
      <c r="H81" s="18"/>
      <c r="I81" s="19">
        <f t="shared" si="196"/>
        <v>0</v>
      </c>
      <c r="J81" s="16"/>
      <c r="K81" s="18">
        <v>1</v>
      </c>
      <c r="L81" s="19">
        <f t="shared" si="197"/>
        <v>0.38532</v>
      </c>
      <c r="M81" s="16"/>
      <c r="N81" s="18">
        <v>4</v>
      </c>
      <c r="O81" s="19">
        <f t="shared" si="198"/>
        <v>1.54128</v>
      </c>
      <c r="P81" s="16"/>
      <c r="Q81" s="18"/>
      <c r="R81" s="19">
        <f t="shared" si="199"/>
        <v>0</v>
      </c>
      <c r="S81" s="20">
        <f t="shared" si="200"/>
        <v>5</v>
      </c>
      <c r="T81" s="19">
        <f t="shared" si="201"/>
        <v>1.9266000000000001</v>
      </c>
      <c r="U81" s="21">
        <f t="shared" si="202"/>
        <v>-5</v>
      </c>
      <c r="V81" s="19">
        <f t="shared" si="203"/>
        <v>-1.9266000000000001</v>
      </c>
      <c r="X81" s="29"/>
    </row>
    <row r="82" spans="1:24">
      <c r="A82" s="26" t="s">
        <v>13</v>
      </c>
      <c r="B82" s="26" t="s">
        <v>126</v>
      </c>
      <c r="C82" s="30">
        <v>33.799999999999997</v>
      </c>
      <c r="D82" s="27">
        <v>11</v>
      </c>
      <c r="E82" s="28"/>
      <c r="F82" s="16">
        <f t="shared" si="195"/>
        <v>0</v>
      </c>
      <c r="G82" s="17"/>
      <c r="H82" s="18"/>
      <c r="I82" s="19">
        <f t="shared" si="196"/>
        <v>0</v>
      </c>
      <c r="J82" s="16"/>
      <c r="K82" s="18"/>
      <c r="L82" s="19">
        <f t="shared" si="197"/>
        <v>0</v>
      </c>
      <c r="M82" s="16"/>
      <c r="N82" s="18">
        <v>2</v>
      </c>
      <c r="O82" s="19">
        <f t="shared" si="198"/>
        <v>0.74359999999999993</v>
      </c>
      <c r="P82" s="16"/>
      <c r="Q82" s="18"/>
      <c r="R82" s="19">
        <f t="shared" si="199"/>
        <v>0</v>
      </c>
      <c r="S82" s="20">
        <f t="shared" si="200"/>
        <v>2</v>
      </c>
      <c r="T82" s="19">
        <f t="shared" si="201"/>
        <v>0.74359999999999993</v>
      </c>
      <c r="U82" s="21">
        <f t="shared" si="202"/>
        <v>-2</v>
      </c>
      <c r="V82" s="19">
        <f t="shared" si="203"/>
        <v>-0.74359999999999993</v>
      </c>
      <c r="X82" s="29"/>
    </row>
    <row r="83" spans="1:24">
      <c r="A83" s="26" t="s">
        <v>13</v>
      </c>
      <c r="B83" s="26" t="s">
        <v>126</v>
      </c>
      <c r="C83" s="30">
        <v>33.799999999999997</v>
      </c>
      <c r="D83" s="27">
        <v>10.7</v>
      </c>
      <c r="E83" s="28"/>
      <c r="F83" s="16">
        <f t="shared" si="195"/>
        <v>0</v>
      </c>
      <c r="G83" s="17"/>
      <c r="H83" s="18"/>
      <c r="I83" s="19">
        <f t="shared" si="196"/>
        <v>0</v>
      </c>
      <c r="J83" s="16"/>
      <c r="K83" s="18"/>
      <c r="L83" s="19">
        <f t="shared" si="197"/>
        <v>0</v>
      </c>
      <c r="M83" s="16"/>
      <c r="N83" s="18">
        <v>1</v>
      </c>
      <c r="O83" s="19">
        <f t="shared" si="198"/>
        <v>0.36165999999999998</v>
      </c>
      <c r="P83" s="16"/>
      <c r="Q83" s="18"/>
      <c r="R83" s="19">
        <f t="shared" si="199"/>
        <v>0</v>
      </c>
      <c r="S83" s="20">
        <f t="shared" si="200"/>
        <v>1</v>
      </c>
      <c r="T83" s="19">
        <f t="shared" si="201"/>
        <v>0.36165999999999998</v>
      </c>
      <c r="U83" s="21">
        <f t="shared" si="202"/>
        <v>-1</v>
      </c>
      <c r="V83" s="19">
        <f t="shared" si="203"/>
        <v>-0.36165999999999998</v>
      </c>
      <c r="X83" s="29"/>
    </row>
    <row r="84" spans="1:24">
      <c r="A84" s="26" t="s">
        <v>13</v>
      </c>
      <c r="B84" s="26" t="s">
        <v>126</v>
      </c>
      <c r="C84" s="30">
        <v>33.799999999999997</v>
      </c>
      <c r="D84" s="27">
        <v>10.199999999999999</v>
      </c>
      <c r="E84" s="28"/>
      <c r="F84" s="16">
        <f t="shared" si="195"/>
        <v>0</v>
      </c>
      <c r="G84" s="17"/>
      <c r="H84" s="18"/>
      <c r="I84" s="19">
        <f t="shared" si="196"/>
        <v>0</v>
      </c>
      <c r="J84" s="16"/>
      <c r="K84" s="18"/>
      <c r="L84" s="19">
        <f t="shared" si="197"/>
        <v>0</v>
      </c>
      <c r="M84" s="16"/>
      <c r="N84" s="18">
        <v>1</v>
      </c>
      <c r="O84" s="19">
        <f t="shared" si="198"/>
        <v>0.34475999999999996</v>
      </c>
      <c r="P84" s="16"/>
      <c r="Q84" s="18"/>
      <c r="R84" s="19">
        <f t="shared" si="199"/>
        <v>0</v>
      </c>
      <c r="S84" s="20">
        <f t="shared" si="200"/>
        <v>1</v>
      </c>
      <c r="T84" s="19">
        <f t="shared" si="201"/>
        <v>0.34475999999999996</v>
      </c>
      <c r="U84" s="21">
        <f t="shared" si="202"/>
        <v>-1</v>
      </c>
      <c r="V84" s="19">
        <f t="shared" si="203"/>
        <v>-0.34475999999999996</v>
      </c>
      <c r="X84" s="29"/>
    </row>
    <row r="85" spans="1:24">
      <c r="A85" s="26" t="s">
        <v>13</v>
      </c>
      <c r="B85" s="26" t="s">
        <v>126</v>
      </c>
      <c r="C85" s="30">
        <v>33.799999999999997</v>
      </c>
      <c r="D85" s="27">
        <v>8.1</v>
      </c>
      <c r="E85" s="28"/>
      <c r="F85" s="16">
        <f t="shared" si="195"/>
        <v>0</v>
      </c>
      <c r="G85" s="17"/>
      <c r="H85" s="18"/>
      <c r="I85" s="19">
        <f t="shared" si="196"/>
        <v>0</v>
      </c>
      <c r="J85" s="16"/>
      <c r="K85" s="18"/>
      <c r="L85" s="19">
        <f t="shared" si="197"/>
        <v>0</v>
      </c>
      <c r="M85" s="16"/>
      <c r="N85" s="18">
        <v>2</v>
      </c>
      <c r="O85" s="19">
        <f t="shared" si="198"/>
        <v>0.54755999999999994</v>
      </c>
      <c r="P85" s="16"/>
      <c r="Q85" s="18"/>
      <c r="R85" s="19">
        <f t="shared" si="199"/>
        <v>0</v>
      </c>
      <c r="S85" s="20">
        <f t="shared" si="200"/>
        <v>2</v>
      </c>
      <c r="T85" s="19">
        <f t="shared" si="201"/>
        <v>0.54755999999999994</v>
      </c>
      <c r="U85" s="21">
        <f t="shared" si="202"/>
        <v>-2</v>
      </c>
      <c r="V85" s="19">
        <f t="shared" si="203"/>
        <v>-0.54755999999999994</v>
      </c>
      <c r="X85" s="29"/>
    </row>
    <row r="86" spans="1:24">
      <c r="A86" s="26" t="s">
        <v>13</v>
      </c>
      <c r="B86" s="26" t="s">
        <v>126</v>
      </c>
      <c r="C86" s="30">
        <v>33.799999999999997</v>
      </c>
      <c r="D86" s="27">
        <v>7</v>
      </c>
      <c r="E86" s="28"/>
      <c r="F86" s="16">
        <f t="shared" si="195"/>
        <v>0</v>
      </c>
      <c r="G86" s="17"/>
      <c r="H86" s="18"/>
      <c r="I86" s="19">
        <f t="shared" si="196"/>
        <v>0</v>
      </c>
      <c r="J86" s="16"/>
      <c r="K86" s="18"/>
      <c r="L86" s="19">
        <f t="shared" si="197"/>
        <v>0</v>
      </c>
      <c r="M86" s="16"/>
      <c r="N86" s="18"/>
      <c r="O86" s="19">
        <f t="shared" si="198"/>
        <v>0</v>
      </c>
      <c r="P86" s="16"/>
      <c r="Q86" s="18">
        <v>5</v>
      </c>
      <c r="R86" s="19">
        <f t="shared" si="199"/>
        <v>1.1829999999999998</v>
      </c>
      <c r="S86" s="20">
        <f t="shared" si="200"/>
        <v>5</v>
      </c>
      <c r="T86" s="19">
        <f t="shared" si="201"/>
        <v>1.1829999999999998</v>
      </c>
      <c r="U86" s="21">
        <f t="shared" si="202"/>
        <v>-5</v>
      </c>
      <c r="V86" s="19">
        <f t="shared" si="203"/>
        <v>-1.1829999999999998</v>
      </c>
      <c r="X86" s="29"/>
    </row>
    <row r="87" spans="1:24">
      <c r="A87" s="26" t="s">
        <v>13</v>
      </c>
      <c r="B87" s="26" t="s">
        <v>126</v>
      </c>
      <c r="C87" s="30">
        <v>33.799999999999997</v>
      </c>
      <c r="D87" s="27">
        <v>10.9</v>
      </c>
      <c r="E87" s="28"/>
      <c r="F87" s="16">
        <f t="shared" si="195"/>
        <v>0</v>
      </c>
      <c r="G87" s="17"/>
      <c r="H87" s="18"/>
      <c r="I87" s="19">
        <f t="shared" si="196"/>
        <v>0</v>
      </c>
      <c r="J87" s="16"/>
      <c r="K87" s="18"/>
      <c r="L87" s="19">
        <f t="shared" si="197"/>
        <v>0</v>
      </c>
      <c r="M87" s="16"/>
      <c r="N87" s="18"/>
      <c r="O87" s="19">
        <f t="shared" si="198"/>
        <v>0</v>
      </c>
      <c r="P87" s="16"/>
      <c r="Q87" s="18">
        <v>2</v>
      </c>
      <c r="R87" s="19">
        <f t="shared" si="199"/>
        <v>0.73683999999999994</v>
      </c>
      <c r="S87" s="20">
        <f t="shared" si="200"/>
        <v>2</v>
      </c>
      <c r="T87" s="19">
        <f t="shared" si="201"/>
        <v>0.73683999999999994</v>
      </c>
      <c r="U87" s="21">
        <f t="shared" si="202"/>
        <v>-2</v>
      </c>
      <c r="V87" s="19">
        <f t="shared" si="203"/>
        <v>-0.73683999999999994</v>
      </c>
      <c r="X87" s="29"/>
    </row>
    <row r="88" spans="1:24">
      <c r="A88" s="26" t="s">
        <v>13</v>
      </c>
      <c r="B88" s="26" t="s">
        <v>126</v>
      </c>
      <c r="C88" s="30">
        <v>33.799999999999997</v>
      </c>
      <c r="D88" s="27">
        <v>11.4</v>
      </c>
      <c r="E88" s="28"/>
      <c r="F88" s="16">
        <f t="shared" si="195"/>
        <v>0</v>
      </c>
      <c r="G88" s="17"/>
      <c r="H88" s="18"/>
      <c r="I88" s="19">
        <f t="shared" si="196"/>
        <v>0</v>
      </c>
      <c r="J88" s="16"/>
      <c r="K88" s="18"/>
      <c r="L88" s="19">
        <f t="shared" si="197"/>
        <v>0</v>
      </c>
      <c r="M88" s="16"/>
      <c r="N88" s="18"/>
      <c r="O88" s="19">
        <f t="shared" si="198"/>
        <v>0</v>
      </c>
      <c r="P88" s="16"/>
      <c r="Q88" s="18">
        <v>1</v>
      </c>
      <c r="R88" s="19">
        <f t="shared" si="199"/>
        <v>0.38532</v>
      </c>
      <c r="S88" s="20">
        <f t="shared" si="200"/>
        <v>1</v>
      </c>
      <c r="T88" s="19">
        <f t="shared" si="201"/>
        <v>0.38532</v>
      </c>
      <c r="U88" s="21">
        <f t="shared" si="202"/>
        <v>-1</v>
      </c>
      <c r="V88" s="19">
        <f t="shared" si="203"/>
        <v>-0.38532</v>
      </c>
      <c r="X88" s="29"/>
    </row>
    <row r="89" spans="1:24">
      <c r="A89" s="26" t="s">
        <v>13</v>
      </c>
      <c r="B89" s="26" t="s">
        <v>126</v>
      </c>
      <c r="C89" s="30">
        <v>33.799999999999997</v>
      </c>
      <c r="D89" s="27"/>
      <c r="E89" s="28"/>
      <c r="F89" s="16">
        <f t="shared" si="195"/>
        <v>0</v>
      </c>
      <c r="G89" s="17"/>
      <c r="H89" s="18"/>
      <c r="I89" s="19">
        <f t="shared" si="196"/>
        <v>0</v>
      </c>
      <c r="J89" s="16"/>
      <c r="K89" s="18"/>
      <c r="L89" s="19">
        <f t="shared" si="197"/>
        <v>0</v>
      </c>
      <c r="M89" s="16"/>
      <c r="N89" s="18"/>
      <c r="O89" s="19">
        <f t="shared" si="198"/>
        <v>0</v>
      </c>
      <c r="P89" s="16"/>
      <c r="Q89" s="18"/>
      <c r="R89" s="19">
        <f t="shared" si="199"/>
        <v>0</v>
      </c>
      <c r="S89" s="20">
        <f t="shared" si="200"/>
        <v>0</v>
      </c>
      <c r="T89" s="19">
        <f t="shared" si="201"/>
        <v>0</v>
      </c>
      <c r="U89" s="21">
        <f t="shared" si="202"/>
        <v>0</v>
      </c>
      <c r="V89" s="19">
        <f t="shared" si="203"/>
        <v>0</v>
      </c>
      <c r="X89" s="29"/>
    </row>
    <row r="90" spans="1:24">
      <c r="A90" s="26" t="s">
        <v>13</v>
      </c>
      <c r="B90" s="26" t="s">
        <v>126</v>
      </c>
      <c r="C90" s="30">
        <v>33.799999999999997</v>
      </c>
      <c r="D90" s="27"/>
      <c r="E90" s="28"/>
      <c r="F90" s="16">
        <f t="shared" si="188"/>
        <v>0</v>
      </c>
      <c r="G90" s="17"/>
      <c r="H90" s="18"/>
      <c r="I90" s="19">
        <f t="shared" si="189"/>
        <v>0</v>
      </c>
      <c r="J90" s="16"/>
      <c r="K90" s="18"/>
      <c r="L90" s="19">
        <f t="shared" si="190"/>
        <v>0</v>
      </c>
      <c r="M90" s="16"/>
      <c r="N90" s="18"/>
      <c r="O90" s="19">
        <f t="shared" si="191"/>
        <v>0</v>
      </c>
      <c r="P90" s="16"/>
      <c r="Q90" s="18"/>
      <c r="R90" s="19">
        <f t="shared" si="192"/>
        <v>0</v>
      </c>
      <c r="S90" s="20">
        <f t="shared" si="193"/>
        <v>0</v>
      </c>
      <c r="T90" s="19">
        <f t="shared" si="193"/>
        <v>0</v>
      </c>
      <c r="U90" s="21">
        <f t="shared" si="194"/>
        <v>0</v>
      </c>
      <c r="V90" s="19">
        <f t="shared" si="194"/>
        <v>0</v>
      </c>
      <c r="X90" s="29"/>
    </row>
    <row r="91" spans="1:24">
      <c r="A91" s="36"/>
      <c r="B91" s="36"/>
      <c r="C91" s="37"/>
      <c r="D91" s="38"/>
      <c r="E91" s="31">
        <f t="shared" ref="E91:F91" si="204">SUM(E71:E90)</f>
        <v>101</v>
      </c>
      <c r="F91" s="38">
        <f t="shared" si="204"/>
        <v>24.772019999999998</v>
      </c>
      <c r="G91" s="17"/>
      <c r="H91" s="31">
        <f t="shared" ref="H91" si="205">SUM(H71:H90)</f>
        <v>28</v>
      </c>
      <c r="I91" s="38">
        <f t="shared" ref="I91" si="206">SUM(I71:I90)</f>
        <v>6.3408799999999994</v>
      </c>
      <c r="J91" s="16"/>
      <c r="K91" s="31">
        <f t="shared" ref="K91" si="207">SUM(K71:K90)</f>
        <v>37</v>
      </c>
      <c r="L91" s="38">
        <f t="shared" ref="L91" si="208">SUM(L71:L90)</f>
        <v>9.1293800000000012</v>
      </c>
      <c r="M91" s="16"/>
      <c r="N91" s="31">
        <f t="shared" ref="N91" si="209">SUM(N71:N90)</f>
        <v>11</v>
      </c>
      <c r="O91" s="38">
        <f t="shared" ref="O91" si="210">SUM(O71:O90)</f>
        <v>3.9207999999999998</v>
      </c>
      <c r="P91" s="16"/>
      <c r="Q91" s="31">
        <f t="shared" ref="Q91" si="211">SUM(Q71:Q90)</f>
        <v>21</v>
      </c>
      <c r="R91" s="38">
        <f t="shared" ref="R91" si="212">SUM(R71:R90)</f>
        <v>5.5600999999999994</v>
      </c>
      <c r="S91" s="31">
        <f t="shared" ref="S91" si="213">SUM(S71:S90)</f>
        <v>97</v>
      </c>
      <c r="T91" s="38">
        <f t="shared" ref="T91" si="214">SUM(T71:T90)</f>
        <v>24.951160000000002</v>
      </c>
      <c r="U91" s="31">
        <f t="shared" ref="U91" si="215">SUM(U71:U90)</f>
        <v>4</v>
      </c>
      <c r="V91" s="38">
        <f t="shared" ref="V91" si="216">SUM(V71:V90)</f>
        <v>-0.17913999999999974</v>
      </c>
      <c r="X91" s="29"/>
    </row>
    <row r="92" spans="1:24">
      <c r="A92" s="26" t="s">
        <v>13</v>
      </c>
      <c r="B92" s="26" t="s">
        <v>127</v>
      </c>
      <c r="C92" s="30">
        <v>35.9</v>
      </c>
      <c r="D92" s="27">
        <v>6.5</v>
      </c>
      <c r="E92" s="28">
        <v>8</v>
      </c>
      <c r="F92" s="16">
        <f t="shared" ref="F92:F94" si="217">(C92*D92*E92/1000)</f>
        <v>1.8668</v>
      </c>
      <c r="G92" s="16" t="s">
        <v>93</v>
      </c>
      <c r="H92" s="18">
        <v>8</v>
      </c>
      <c r="I92" s="19">
        <f t="shared" ref="I92:I94" si="218">(C92*D92*H92/1000)</f>
        <v>1.8668</v>
      </c>
      <c r="J92" s="16"/>
      <c r="K92" s="18"/>
      <c r="L92" s="19">
        <f t="shared" ref="L92:L94" si="219">(C92*D92*K92/1000)</f>
        <v>0</v>
      </c>
      <c r="M92" s="16"/>
      <c r="N92" s="18"/>
      <c r="O92" s="19">
        <f t="shared" ref="O92:O94" si="220">(C92*D92*N92/1000)</f>
        <v>0</v>
      </c>
      <c r="P92" s="16"/>
      <c r="Q92" s="18"/>
      <c r="R92" s="19">
        <f t="shared" ref="R92:R94" si="221">(C92*D92*Q92/1000)</f>
        <v>0</v>
      </c>
      <c r="S92" s="20">
        <f t="shared" ref="S92:T94" si="222">+H92+K92+Q92+N92</f>
        <v>8</v>
      </c>
      <c r="T92" s="19">
        <f t="shared" si="222"/>
        <v>1.8668</v>
      </c>
      <c r="U92" s="21">
        <f t="shared" ref="U92:V94" si="223">E92-S92</f>
        <v>0</v>
      </c>
      <c r="V92" s="19">
        <f t="shared" si="223"/>
        <v>0</v>
      </c>
      <c r="X92" s="29"/>
    </row>
    <row r="93" spans="1:24">
      <c r="A93" s="26" t="s">
        <v>13</v>
      </c>
      <c r="B93" s="26" t="s">
        <v>127</v>
      </c>
      <c r="C93" s="30">
        <v>35.9</v>
      </c>
      <c r="D93" s="27">
        <v>10.1</v>
      </c>
      <c r="E93" s="28">
        <v>8</v>
      </c>
      <c r="F93" s="16">
        <f t="shared" si="217"/>
        <v>2.9007199999999997</v>
      </c>
      <c r="G93" s="16" t="s">
        <v>391</v>
      </c>
      <c r="H93" s="18">
        <v>8</v>
      </c>
      <c r="I93" s="19">
        <f t="shared" si="218"/>
        <v>2.9007199999999997</v>
      </c>
      <c r="J93" s="16"/>
      <c r="K93" s="18"/>
      <c r="L93" s="19">
        <f t="shared" si="219"/>
        <v>0</v>
      </c>
      <c r="M93" s="16"/>
      <c r="N93" s="18"/>
      <c r="O93" s="19">
        <f t="shared" si="220"/>
        <v>0</v>
      </c>
      <c r="P93" s="16"/>
      <c r="Q93" s="18"/>
      <c r="R93" s="19">
        <f t="shared" si="221"/>
        <v>0</v>
      </c>
      <c r="S93" s="20">
        <f t="shared" si="222"/>
        <v>8</v>
      </c>
      <c r="T93" s="19">
        <f t="shared" si="222"/>
        <v>2.9007199999999997</v>
      </c>
      <c r="U93" s="21">
        <f t="shared" si="223"/>
        <v>0</v>
      </c>
      <c r="V93" s="19">
        <f t="shared" si="223"/>
        <v>0</v>
      </c>
      <c r="X93" s="29"/>
    </row>
    <row r="94" spans="1:24">
      <c r="A94" s="26" t="s">
        <v>13</v>
      </c>
      <c r="B94" s="26" t="s">
        <v>127</v>
      </c>
      <c r="C94" s="30">
        <v>35.9</v>
      </c>
      <c r="D94" s="27">
        <v>11.5</v>
      </c>
      <c r="E94" s="28">
        <v>20</v>
      </c>
      <c r="F94" s="16">
        <f t="shared" si="217"/>
        <v>8.2569999999999997</v>
      </c>
      <c r="G94" s="17"/>
      <c r="H94" s="18">
        <v>20</v>
      </c>
      <c r="I94" s="19">
        <f t="shared" si="218"/>
        <v>8.2569999999999997</v>
      </c>
      <c r="J94" s="16"/>
      <c r="K94" s="18"/>
      <c r="L94" s="19">
        <f t="shared" si="219"/>
        <v>0</v>
      </c>
      <c r="M94" s="16"/>
      <c r="N94" s="18"/>
      <c r="O94" s="19">
        <f t="shared" si="220"/>
        <v>0</v>
      </c>
      <c r="P94" s="16"/>
      <c r="Q94" s="18"/>
      <c r="R94" s="19">
        <f t="shared" si="221"/>
        <v>0</v>
      </c>
      <c r="S94" s="20">
        <f t="shared" si="222"/>
        <v>20</v>
      </c>
      <c r="T94" s="19">
        <f t="shared" si="222"/>
        <v>8.2569999999999997</v>
      </c>
      <c r="U94" s="21">
        <f t="shared" si="223"/>
        <v>0</v>
      </c>
      <c r="V94" s="19">
        <f t="shared" si="223"/>
        <v>0</v>
      </c>
      <c r="X94" s="29"/>
    </row>
    <row r="95" spans="1:24">
      <c r="A95" s="36"/>
      <c r="B95" s="36"/>
      <c r="C95" s="37"/>
      <c r="D95" s="38"/>
      <c r="E95" s="31">
        <f t="shared" ref="E95:F95" si="224">SUM(E92:E94)</f>
        <v>36</v>
      </c>
      <c r="F95" s="38">
        <f t="shared" si="224"/>
        <v>13.024519999999999</v>
      </c>
      <c r="G95" s="17"/>
      <c r="H95" s="31">
        <f t="shared" ref="H95" si="225">SUM(H92:H94)</f>
        <v>36</v>
      </c>
      <c r="I95" s="38">
        <f t="shared" ref="I95" si="226">SUM(I92:I94)</f>
        <v>13.024519999999999</v>
      </c>
      <c r="J95" s="16"/>
      <c r="K95" s="31">
        <f t="shared" ref="K95" si="227">SUM(K92:K94)</f>
        <v>0</v>
      </c>
      <c r="L95" s="38">
        <f t="shared" ref="L95" si="228">SUM(L92:L94)</f>
        <v>0</v>
      </c>
      <c r="M95" s="16"/>
      <c r="N95" s="31">
        <f t="shared" ref="N95" si="229">SUM(N92:N94)</f>
        <v>0</v>
      </c>
      <c r="O95" s="38">
        <f t="shared" ref="O95" si="230">SUM(O92:O94)</f>
        <v>0</v>
      </c>
      <c r="P95" s="16"/>
      <c r="Q95" s="31">
        <f t="shared" ref="Q95" si="231">SUM(Q92:Q94)</f>
        <v>0</v>
      </c>
      <c r="R95" s="38">
        <f t="shared" ref="R95" si="232">SUM(R92:R94)</f>
        <v>0</v>
      </c>
      <c r="S95" s="31">
        <f t="shared" ref="S95" si="233">SUM(S92:S94)</f>
        <v>36</v>
      </c>
      <c r="T95" s="38">
        <f t="shared" ref="T95" si="234">SUM(T92:T94)</f>
        <v>13.024519999999999</v>
      </c>
      <c r="U95" s="31">
        <f t="shared" ref="U95" si="235">SUM(U92:U94)</f>
        <v>0</v>
      </c>
      <c r="V95" s="38">
        <f t="shared" ref="V95" si="236">SUM(V92:V94)</f>
        <v>0</v>
      </c>
      <c r="X95" s="29"/>
    </row>
    <row r="96" spans="1:24">
      <c r="A96" s="26" t="s">
        <v>13</v>
      </c>
      <c r="B96" s="26" t="s">
        <v>128</v>
      </c>
      <c r="C96" s="30">
        <v>40.1</v>
      </c>
      <c r="D96" s="27">
        <v>5.8</v>
      </c>
      <c r="E96" s="28">
        <v>20</v>
      </c>
      <c r="F96" s="16">
        <f t="shared" ref="F96:F105" si="237">(C96*D96*E96/1000)</f>
        <v>4.6516000000000002</v>
      </c>
      <c r="G96" s="16" t="s">
        <v>389</v>
      </c>
      <c r="H96" s="18">
        <v>13</v>
      </c>
      <c r="I96" s="19">
        <f t="shared" ref="I96:I105" si="238">(C96*D96*H96/1000)</f>
        <v>3.0235400000000001</v>
      </c>
      <c r="J96" s="16" t="s">
        <v>93</v>
      </c>
      <c r="K96" s="18"/>
      <c r="L96" s="19">
        <f t="shared" ref="L96:L105" si="239">(C96*D96*K96/1000)</f>
        <v>0</v>
      </c>
      <c r="M96" s="16" t="s">
        <v>392</v>
      </c>
      <c r="N96" s="18">
        <v>6</v>
      </c>
      <c r="O96" s="19">
        <f t="shared" ref="O96:O105" si="240">(C96*D96*N96/1000)</f>
        <v>1.3954800000000001</v>
      </c>
      <c r="P96" s="16" t="s">
        <v>93</v>
      </c>
      <c r="Q96" s="18">
        <v>1</v>
      </c>
      <c r="R96" s="19">
        <f t="shared" ref="R96:R105" si="241">(C96*D96*Q96/1000)</f>
        <v>0.23258000000000001</v>
      </c>
      <c r="S96" s="20">
        <f t="shared" ref="S96:T105" si="242">+H96+K96+Q96+N96</f>
        <v>20</v>
      </c>
      <c r="T96" s="19">
        <f t="shared" si="242"/>
        <v>4.6516000000000002</v>
      </c>
      <c r="U96" s="21">
        <f t="shared" ref="U96:V105" si="243">E96-S96</f>
        <v>0</v>
      </c>
      <c r="V96" s="19">
        <f t="shared" si="243"/>
        <v>0</v>
      </c>
      <c r="X96" s="29"/>
    </row>
    <row r="97" spans="1:24">
      <c r="A97" s="26" t="s">
        <v>13</v>
      </c>
      <c r="B97" s="26" t="s">
        <v>128</v>
      </c>
      <c r="C97" s="30">
        <v>40.1</v>
      </c>
      <c r="D97" s="27">
        <v>6.3</v>
      </c>
      <c r="E97" s="28">
        <v>8</v>
      </c>
      <c r="F97" s="16">
        <f t="shared" si="237"/>
        <v>2.0210400000000002</v>
      </c>
      <c r="G97" s="16" t="s">
        <v>390</v>
      </c>
      <c r="H97" s="18">
        <v>8</v>
      </c>
      <c r="I97" s="19">
        <f t="shared" si="238"/>
        <v>2.0210400000000002</v>
      </c>
      <c r="J97" s="16" t="s">
        <v>391</v>
      </c>
      <c r="K97" s="18"/>
      <c r="L97" s="19">
        <f t="shared" si="239"/>
        <v>0</v>
      </c>
      <c r="M97" s="16" t="s">
        <v>393</v>
      </c>
      <c r="N97" s="18"/>
      <c r="O97" s="19">
        <f t="shared" si="240"/>
        <v>0</v>
      </c>
      <c r="P97" s="16" t="s">
        <v>394</v>
      </c>
      <c r="Q97" s="18"/>
      <c r="R97" s="19">
        <f t="shared" si="241"/>
        <v>0</v>
      </c>
      <c r="S97" s="20">
        <f t="shared" si="242"/>
        <v>8</v>
      </c>
      <c r="T97" s="19">
        <f t="shared" si="242"/>
        <v>2.0210400000000002</v>
      </c>
      <c r="U97" s="21">
        <f t="shared" si="243"/>
        <v>0</v>
      </c>
      <c r="V97" s="19">
        <f t="shared" si="243"/>
        <v>0</v>
      </c>
      <c r="X97" s="29"/>
    </row>
    <row r="98" spans="1:24">
      <c r="A98" s="26" t="s">
        <v>13</v>
      </c>
      <c r="B98" s="26" t="s">
        <v>128</v>
      </c>
      <c r="C98" s="30">
        <v>40.1</v>
      </c>
      <c r="D98" s="27">
        <v>6.7</v>
      </c>
      <c r="E98" s="28">
        <v>28</v>
      </c>
      <c r="F98" s="16">
        <f t="shared" si="237"/>
        <v>7.5227599999999999</v>
      </c>
      <c r="G98" s="17"/>
      <c r="H98" s="18">
        <v>11</v>
      </c>
      <c r="I98" s="19">
        <f t="shared" si="238"/>
        <v>2.9553700000000003</v>
      </c>
      <c r="J98" s="16"/>
      <c r="K98" s="18"/>
      <c r="L98" s="19">
        <f t="shared" si="239"/>
        <v>0</v>
      </c>
      <c r="M98" s="16"/>
      <c r="N98" s="18">
        <v>12</v>
      </c>
      <c r="O98" s="19">
        <f t="shared" si="240"/>
        <v>3.22404</v>
      </c>
      <c r="P98" s="16"/>
      <c r="Q98" s="18">
        <v>4</v>
      </c>
      <c r="R98" s="19">
        <f t="shared" si="241"/>
        <v>1.0746800000000001</v>
      </c>
      <c r="S98" s="20">
        <f t="shared" si="242"/>
        <v>27</v>
      </c>
      <c r="T98" s="19">
        <f t="shared" si="242"/>
        <v>7.2540899999999997</v>
      </c>
      <c r="U98" s="21">
        <f t="shared" si="243"/>
        <v>1</v>
      </c>
      <c r="V98" s="19">
        <f t="shared" si="243"/>
        <v>0.26867000000000019</v>
      </c>
      <c r="X98" s="29"/>
    </row>
    <row r="99" spans="1:24">
      <c r="A99" s="26" t="s">
        <v>13</v>
      </c>
      <c r="B99" s="26" t="s">
        <v>128</v>
      </c>
      <c r="C99" s="30">
        <v>40.1</v>
      </c>
      <c r="D99" s="27">
        <v>7.1</v>
      </c>
      <c r="E99" s="28">
        <v>20</v>
      </c>
      <c r="F99" s="16">
        <f t="shared" si="237"/>
        <v>5.6941999999999995</v>
      </c>
      <c r="G99" s="17"/>
      <c r="H99" s="18">
        <v>6</v>
      </c>
      <c r="I99" s="19">
        <f t="shared" si="238"/>
        <v>1.7082599999999997</v>
      </c>
      <c r="J99" s="16"/>
      <c r="K99" s="18"/>
      <c r="L99" s="19">
        <f t="shared" si="239"/>
        <v>0</v>
      </c>
      <c r="M99" s="16"/>
      <c r="N99" s="18">
        <v>11</v>
      </c>
      <c r="O99" s="19">
        <f t="shared" si="240"/>
        <v>3.1318099999999998</v>
      </c>
      <c r="P99" s="16"/>
      <c r="Q99" s="18">
        <v>3</v>
      </c>
      <c r="R99" s="19">
        <f t="shared" si="241"/>
        <v>0.85412999999999983</v>
      </c>
      <c r="S99" s="20">
        <f t="shared" si="242"/>
        <v>20</v>
      </c>
      <c r="T99" s="19">
        <f t="shared" si="242"/>
        <v>5.6941999999999995</v>
      </c>
      <c r="U99" s="21">
        <f t="shared" si="243"/>
        <v>0</v>
      </c>
      <c r="V99" s="19">
        <f t="shared" si="243"/>
        <v>0</v>
      </c>
      <c r="X99" s="29"/>
    </row>
    <row r="100" spans="1:24">
      <c r="A100" s="26" t="s">
        <v>13</v>
      </c>
      <c r="B100" s="26" t="s">
        <v>128</v>
      </c>
      <c r="C100" s="30">
        <v>40.1</v>
      </c>
      <c r="D100" s="27">
        <v>7.8</v>
      </c>
      <c r="E100" s="28">
        <v>20</v>
      </c>
      <c r="F100" s="16">
        <f t="shared" si="237"/>
        <v>6.2556000000000003</v>
      </c>
      <c r="G100" s="17"/>
      <c r="H100" s="18">
        <v>8</v>
      </c>
      <c r="I100" s="19">
        <f t="shared" si="238"/>
        <v>2.50224</v>
      </c>
      <c r="J100" s="16"/>
      <c r="K100" s="18"/>
      <c r="L100" s="19">
        <f t="shared" si="239"/>
        <v>0</v>
      </c>
      <c r="M100" s="16"/>
      <c r="N100" s="18">
        <v>12</v>
      </c>
      <c r="O100" s="19">
        <f t="shared" si="240"/>
        <v>3.7533600000000007</v>
      </c>
      <c r="P100" s="16"/>
      <c r="Q100" s="18"/>
      <c r="R100" s="19">
        <f t="shared" si="241"/>
        <v>0</v>
      </c>
      <c r="S100" s="20">
        <f t="shared" si="242"/>
        <v>20</v>
      </c>
      <c r="T100" s="19">
        <f t="shared" si="242"/>
        <v>6.2556000000000012</v>
      </c>
      <c r="U100" s="21">
        <f t="shared" si="243"/>
        <v>0</v>
      </c>
      <c r="V100" s="19">
        <f t="shared" si="243"/>
        <v>0</v>
      </c>
      <c r="X100" s="29"/>
    </row>
    <row r="101" spans="1:24">
      <c r="A101" s="26" t="s">
        <v>13</v>
      </c>
      <c r="B101" s="26" t="s">
        <v>128</v>
      </c>
      <c r="C101" s="30">
        <v>40.1</v>
      </c>
      <c r="D101" s="27">
        <v>8.3000000000000007</v>
      </c>
      <c r="E101" s="28">
        <v>6</v>
      </c>
      <c r="F101" s="16">
        <f t="shared" si="237"/>
        <v>1.9969800000000002</v>
      </c>
      <c r="G101" s="17"/>
      <c r="H101" s="18">
        <v>5</v>
      </c>
      <c r="I101" s="19">
        <f t="shared" si="238"/>
        <v>1.66415</v>
      </c>
      <c r="J101" s="16"/>
      <c r="K101" s="18"/>
      <c r="L101" s="19">
        <f t="shared" si="239"/>
        <v>0</v>
      </c>
      <c r="M101" s="16"/>
      <c r="N101" s="18">
        <v>1</v>
      </c>
      <c r="O101" s="19">
        <f t="shared" si="240"/>
        <v>0.33283000000000001</v>
      </c>
      <c r="P101" s="16"/>
      <c r="Q101" s="18"/>
      <c r="R101" s="19">
        <f t="shared" si="241"/>
        <v>0</v>
      </c>
      <c r="S101" s="20">
        <f t="shared" si="242"/>
        <v>6</v>
      </c>
      <c r="T101" s="19">
        <f t="shared" si="242"/>
        <v>1.99698</v>
      </c>
      <c r="U101" s="21">
        <f t="shared" si="243"/>
        <v>0</v>
      </c>
      <c r="V101" s="19">
        <f t="shared" si="243"/>
        <v>0</v>
      </c>
      <c r="X101" s="29"/>
    </row>
    <row r="102" spans="1:24">
      <c r="A102" s="26" t="s">
        <v>13</v>
      </c>
      <c r="B102" s="26" t="s">
        <v>128</v>
      </c>
      <c r="C102" s="30">
        <v>40.1</v>
      </c>
      <c r="D102" s="27">
        <v>8.5500000000000007</v>
      </c>
      <c r="E102" s="28">
        <v>4</v>
      </c>
      <c r="F102" s="16">
        <f t="shared" si="237"/>
        <v>1.3714200000000001</v>
      </c>
      <c r="G102" s="17"/>
      <c r="H102" s="18">
        <v>3</v>
      </c>
      <c r="I102" s="19">
        <f t="shared" si="238"/>
        <v>1.028565</v>
      </c>
      <c r="J102" s="16"/>
      <c r="K102" s="18"/>
      <c r="L102" s="19">
        <f t="shared" si="239"/>
        <v>0</v>
      </c>
      <c r="M102" s="16"/>
      <c r="N102" s="18">
        <v>1</v>
      </c>
      <c r="O102" s="19">
        <f t="shared" si="240"/>
        <v>0.34285500000000002</v>
      </c>
      <c r="P102" s="16"/>
      <c r="Q102" s="18"/>
      <c r="R102" s="19">
        <f t="shared" si="241"/>
        <v>0</v>
      </c>
      <c r="S102" s="20">
        <f t="shared" si="242"/>
        <v>4</v>
      </c>
      <c r="T102" s="19">
        <f t="shared" si="242"/>
        <v>1.3714200000000001</v>
      </c>
      <c r="U102" s="21">
        <f t="shared" si="243"/>
        <v>0</v>
      </c>
      <c r="V102" s="19">
        <f t="shared" si="243"/>
        <v>0</v>
      </c>
      <c r="X102" s="29"/>
    </row>
    <row r="103" spans="1:24">
      <c r="A103" s="26" t="s">
        <v>13</v>
      </c>
      <c r="B103" s="26" t="s">
        <v>128</v>
      </c>
      <c r="C103" s="30">
        <v>40.1</v>
      </c>
      <c r="D103" s="27">
        <v>9.65</v>
      </c>
      <c r="E103" s="28">
        <v>16</v>
      </c>
      <c r="F103" s="16">
        <f t="shared" ref="F103:F104" si="244">(C103*D103*E103/1000)</f>
        <v>6.1914400000000009</v>
      </c>
      <c r="G103" s="17"/>
      <c r="H103" s="18"/>
      <c r="I103" s="19">
        <f t="shared" ref="I103:I104" si="245">(C103*D103*H103/1000)</f>
        <v>0</v>
      </c>
      <c r="J103" s="16"/>
      <c r="K103" s="18">
        <v>6</v>
      </c>
      <c r="L103" s="19">
        <f t="shared" ref="L103:L104" si="246">(C103*D103*K103/1000)</f>
        <v>2.32179</v>
      </c>
      <c r="M103" s="16"/>
      <c r="N103" s="18">
        <v>10</v>
      </c>
      <c r="O103" s="19">
        <f t="shared" ref="O103:O104" si="247">(C103*D103*N103/1000)</f>
        <v>3.8696500000000005</v>
      </c>
      <c r="P103" s="16"/>
      <c r="Q103" s="18"/>
      <c r="R103" s="19">
        <f t="shared" ref="R103:R104" si="248">(C103*D103*Q103/1000)</f>
        <v>0</v>
      </c>
      <c r="S103" s="20">
        <f t="shared" ref="S103:S104" si="249">+H103+K103+Q103+N103</f>
        <v>16</v>
      </c>
      <c r="T103" s="19">
        <f t="shared" ref="T103:T104" si="250">+I103+L103+R103+O103</f>
        <v>6.1914400000000001</v>
      </c>
      <c r="U103" s="21">
        <f t="shared" ref="U103:U104" si="251">E103-S103</f>
        <v>0</v>
      </c>
      <c r="V103" s="19">
        <f t="shared" ref="V103:V104" si="252">F103-T103</f>
        <v>0</v>
      </c>
      <c r="X103" s="29"/>
    </row>
    <row r="104" spans="1:24">
      <c r="A104" s="26" t="s">
        <v>13</v>
      </c>
      <c r="B104" s="26" t="s">
        <v>128</v>
      </c>
      <c r="C104" s="30">
        <v>40.1</v>
      </c>
      <c r="D104" s="27">
        <v>5</v>
      </c>
      <c r="E104" s="28"/>
      <c r="F104" s="16">
        <f t="shared" si="244"/>
        <v>0</v>
      </c>
      <c r="G104" s="17"/>
      <c r="H104" s="18"/>
      <c r="I104" s="19">
        <f t="shared" si="245"/>
        <v>0</v>
      </c>
      <c r="J104" s="16"/>
      <c r="K104" s="18"/>
      <c r="L104" s="19">
        <f t="shared" si="246"/>
        <v>0</v>
      </c>
      <c r="M104" s="16"/>
      <c r="N104" s="18"/>
      <c r="O104" s="19">
        <f t="shared" si="247"/>
        <v>0</v>
      </c>
      <c r="P104" s="16"/>
      <c r="Q104" s="18">
        <v>1</v>
      </c>
      <c r="R104" s="19">
        <f t="shared" si="248"/>
        <v>0.20050000000000001</v>
      </c>
      <c r="S104" s="20">
        <f t="shared" si="249"/>
        <v>1</v>
      </c>
      <c r="T104" s="19">
        <f t="shared" si="250"/>
        <v>0.20050000000000001</v>
      </c>
      <c r="U104" s="21">
        <f t="shared" si="251"/>
        <v>-1</v>
      </c>
      <c r="V104" s="19">
        <f t="shared" si="252"/>
        <v>-0.20050000000000001</v>
      </c>
      <c r="X104" s="29"/>
    </row>
    <row r="105" spans="1:24">
      <c r="A105" s="26" t="s">
        <v>13</v>
      </c>
      <c r="B105" s="26" t="s">
        <v>128</v>
      </c>
      <c r="C105" s="30">
        <v>40.1</v>
      </c>
      <c r="D105" s="27">
        <v>5.2</v>
      </c>
      <c r="E105" s="28"/>
      <c r="F105" s="16">
        <f t="shared" si="237"/>
        <v>0</v>
      </c>
      <c r="G105" s="17"/>
      <c r="H105" s="18"/>
      <c r="I105" s="19">
        <f t="shared" si="238"/>
        <v>0</v>
      </c>
      <c r="J105" s="16"/>
      <c r="K105" s="18"/>
      <c r="L105" s="19">
        <f t="shared" si="239"/>
        <v>0</v>
      </c>
      <c r="M105" s="16"/>
      <c r="N105" s="18"/>
      <c r="O105" s="19">
        <f t="shared" si="240"/>
        <v>0</v>
      </c>
      <c r="P105" s="16"/>
      <c r="Q105" s="18">
        <v>1</v>
      </c>
      <c r="R105" s="19">
        <f t="shared" si="241"/>
        <v>0.20852000000000001</v>
      </c>
      <c r="S105" s="20">
        <f t="shared" si="242"/>
        <v>1</v>
      </c>
      <c r="T105" s="19">
        <f t="shared" si="242"/>
        <v>0.20852000000000001</v>
      </c>
      <c r="U105" s="21">
        <f t="shared" si="243"/>
        <v>-1</v>
      </c>
      <c r="V105" s="19">
        <f t="shared" si="243"/>
        <v>-0.20852000000000001</v>
      </c>
      <c r="X105" s="29"/>
    </row>
    <row r="106" spans="1:24">
      <c r="A106" s="36"/>
      <c r="B106" s="36"/>
      <c r="C106" s="37"/>
      <c r="D106" s="38"/>
      <c r="E106" s="31">
        <f t="shared" ref="E106:F106" si="253">SUM(E96:E105)</f>
        <v>122</v>
      </c>
      <c r="F106" s="38">
        <f t="shared" si="253"/>
        <v>35.705040000000004</v>
      </c>
      <c r="G106" s="17"/>
      <c r="H106" s="31">
        <f t="shared" ref="H106" si="254">SUM(H96:H105)</f>
        <v>54</v>
      </c>
      <c r="I106" s="38">
        <f t="shared" ref="I106" si="255">SUM(I96:I105)</f>
        <v>14.903165</v>
      </c>
      <c r="J106" s="16"/>
      <c r="K106" s="31">
        <f t="shared" ref="K106" si="256">SUM(K96:K105)</f>
        <v>6</v>
      </c>
      <c r="L106" s="38">
        <f t="shared" ref="L106" si="257">SUM(L96:L105)</f>
        <v>2.32179</v>
      </c>
      <c r="M106" s="16"/>
      <c r="N106" s="31">
        <f t="shared" ref="N106" si="258">SUM(N96:N105)</f>
        <v>53</v>
      </c>
      <c r="O106" s="38">
        <f t="shared" ref="O106" si="259">SUM(O96:O105)</f>
        <v>16.050025000000002</v>
      </c>
      <c r="P106" s="16"/>
      <c r="Q106" s="31">
        <f t="shared" ref="Q106" si="260">SUM(Q96:Q105)</f>
        <v>10</v>
      </c>
      <c r="R106" s="38">
        <f t="shared" ref="R106" si="261">SUM(R96:R105)</f>
        <v>2.5704099999999999</v>
      </c>
      <c r="S106" s="31">
        <f t="shared" ref="S106" si="262">SUM(S96:S105)</f>
        <v>123</v>
      </c>
      <c r="T106" s="38">
        <f t="shared" ref="T106" si="263">SUM(T96:T105)</f>
        <v>35.845389999999995</v>
      </c>
      <c r="U106" s="31">
        <f t="shared" ref="U106" si="264">SUM(U96:U105)</f>
        <v>-1</v>
      </c>
      <c r="V106" s="38">
        <f t="shared" ref="V106" si="265">SUM(V96:V105)</f>
        <v>-0.14034999999999984</v>
      </c>
      <c r="X106" s="29"/>
    </row>
    <row r="107" spans="1:24">
      <c r="A107" s="26" t="s">
        <v>13</v>
      </c>
      <c r="B107" s="26" t="s">
        <v>161</v>
      </c>
      <c r="C107" s="30">
        <v>44.2</v>
      </c>
      <c r="D107" s="27">
        <v>6.8</v>
      </c>
      <c r="E107" s="28">
        <v>20</v>
      </c>
      <c r="F107" s="16">
        <f t="shared" ref="F107:F111" si="266">(C107*D107*E107/1000)</f>
        <v>6.0111999999999997</v>
      </c>
      <c r="G107" s="16" t="s">
        <v>86</v>
      </c>
      <c r="H107" s="18">
        <v>13</v>
      </c>
      <c r="I107" s="19">
        <f t="shared" ref="I107:I111" si="267">(C107*D107*H107/1000)</f>
        <v>3.9072800000000001</v>
      </c>
      <c r="J107" s="16" t="s">
        <v>93</v>
      </c>
      <c r="K107" s="18">
        <v>7</v>
      </c>
      <c r="L107" s="19">
        <f t="shared" ref="L107:L111" si="268">(C107*D107*K107/1000)</f>
        <v>2.10392</v>
      </c>
      <c r="M107" s="16"/>
      <c r="N107" s="18"/>
      <c r="O107" s="19">
        <f t="shared" ref="O107:O111" si="269">(C107*D107*N107/1000)</f>
        <v>0</v>
      </c>
      <c r="P107" s="16"/>
      <c r="Q107" s="18"/>
      <c r="R107" s="19">
        <f t="shared" ref="R107:R111" si="270">(C107*D107*Q107/1000)</f>
        <v>0</v>
      </c>
      <c r="S107" s="20">
        <f t="shared" ref="S107:T111" si="271">+H107+K107+Q107+N107</f>
        <v>20</v>
      </c>
      <c r="T107" s="19">
        <f t="shared" si="271"/>
        <v>6.0112000000000005</v>
      </c>
      <c r="U107" s="21">
        <f t="shared" ref="U107:V111" si="272">E107-S107</f>
        <v>0</v>
      </c>
      <c r="V107" s="19">
        <f t="shared" si="272"/>
        <v>0</v>
      </c>
      <c r="X107" s="29"/>
    </row>
    <row r="108" spans="1:24">
      <c r="A108" s="26" t="s">
        <v>13</v>
      </c>
      <c r="B108" s="26" t="s">
        <v>161</v>
      </c>
      <c r="C108" s="30">
        <v>44.2</v>
      </c>
      <c r="D108" s="27">
        <v>7.3</v>
      </c>
      <c r="E108" s="28">
        <v>20</v>
      </c>
      <c r="F108" s="16">
        <f t="shared" si="266"/>
        <v>6.4532000000000007</v>
      </c>
      <c r="G108" s="16" t="s">
        <v>388</v>
      </c>
      <c r="H108" s="18">
        <v>13</v>
      </c>
      <c r="I108" s="19">
        <f t="shared" si="267"/>
        <v>4.1945800000000002</v>
      </c>
      <c r="J108" s="16" t="s">
        <v>391</v>
      </c>
      <c r="K108" s="18">
        <v>7</v>
      </c>
      <c r="L108" s="19">
        <f t="shared" si="268"/>
        <v>2.2586200000000005</v>
      </c>
      <c r="M108" s="16"/>
      <c r="N108" s="18"/>
      <c r="O108" s="19">
        <f t="shared" si="269"/>
        <v>0</v>
      </c>
      <c r="P108" s="16"/>
      <c r="Q108" s="18"/>
      <c r="R108" s="19">
        <f t="shared" si="270"/>
        <v>0</v>
      </c>
      <c r="S108" s="20">
        <f t="shared" si="271"/>
        <v>20</v>
      </c>
      <c r="T108" s="19">
        <f t="shared" si="271"/>
        <v>6.4532000000000007</v>
      </c>
      <c r="U108" s="21">
        <f t="shared" si="272"/>
        <v>0</v>
      </c>
      <c r="V108" s="19">
        <f t="shared" si="272"/>
        <v>0</v>
      </c>
      <c r="X108" s="29"/>
    </row>
    <row r="109" spans="1:24">
      <c r="A109" s="26" t="s">
        <v>13</v>
      </c>
      <c r="B109" s="26" t="s">
        <v>161</v>
      </c>
      <c r="C109" s="30">
        <v>44.2</v>
      </c>
      <c r="D109" s="27">
        <v>8.1</v>
      </c>
      <c r="E109" s="28">
        <v>13</v>
      </c>
      <c r="F109" s="16">
        <f t="shared" si="266"/>
        <v>4.6542599999999998</v>
      </c>
      <c r="G109" s="17"/>
      <c r="H109" s="18">
        <v>10</v>
      </c>
      <c r="I109" s="19">
        <f t="shared" si="267"/>
        <v>3.5801999999999996</v>
      </c>
      <c r="J109" s="16"/>
      <c r="K109" s="18">
        <v>3</v>
      </c>
      <c r="L109" s="19">
        <f t="shared" si="268"/>
        <v>1.07406</v>
      </c>
      <c r="M109" s="16"/>
      <c r="N109" s="18"/>
      <c r="O109" s="19">
        <f t="shared" si="269"/>
        <v>0</v>
      </c>
      <c r="P109" s="16"/>
      <c r="Q109" s="18"/>
      <c r="R109" s="19">
        <f t="shared" si="270"/>
        <v>0</v>
      </c>
      <c r="S109" s="20">
        <f t="shared" si="271"/>
        <v>13</v>
      </c>
      <c r="T109" s="19">
        <f t="shared" si="271"/>
        <v>4.6542599999999998</v>
      </c>
      <c r="U109" s="21">
        <f t="shared" si="272"/>
        <v>0</v>
      </c>
      <c r="V109" s="19">
        <f t="shared" si="272"/>
        <v>0</v>
      </c>
      <c r="X109" s="29"/>
    </row>
    <row r="110" spans="1:24">
      <c r="A110" s="26" t="s">
        <v>13</v>
      </c>
      <c r="B110" s="26" t="s">
        <v>161</v>
      </c>
      <c r="C110" s="30">
        <v>44.2</v>
      </c>
      <c r="D110" s="27">
        <v>9.4</v>
      </c>
      <c r="E110" s="28">
        <v>12</v>
      </c>
      <c r="F110" s="16">
        <f t="shared" ref="F110" si="273">(C110*D110*E110/1000)</f>
        <v>4.98576</v>
      </c>
      <c r="G110" s="17"/>
      <c r="H110" s="18">
        <v>5</v>
      </c>
      <c r="I110" s="19">
        <f t="shared" ref="I110" si="274">(C110*D110*H110/1000)</f>
        <v>2.0773999999999999</v>
      </c>
      <c r="J110" s="16"/>
      <c r="K110" s="18">
        <v>6</v>
      </c>
      <c r="L110" s="19">
        <f t="shared" ref="L110" si="275">(C110*D110*K110/1000)</f>
        <v>2.49288</v>
      </c>
      <c r="M110" s="16"/>
      <c r="N110" s="18"/>
      <c r="O110" s="19">
        <f t="shared" ref="O110" si="276">(C110*D110*N110/1000)</f>
        <v>0</v>
      </c>
      <c r="P110" s="16"/>
      <c r="Q110" s="18"/>
      <c r="R110" s="19">
        <f t="shared" ref="R110" si="277">(C110*D110*Q110/1000)</f>
        <v>0</v>
      </c>
      <c r="S110" s="20">
        <f t="shared" ref="S110" si="278">+H110+K110+Q110+N110</f>
        <v>11</v>
      </c>
      <c r="T110" s="19">
        <f t="shared" ref="T110" si="279">+I110+L110+R110+O110</f>
        <v>4.5702800000000003</v>
      </c>
      <c r="U110" s="21">
        <f t="shared" ref="U110" si="280">E110-S110</f>
        <v>1</v>
      </c>
      <c r="V110" s="19">
        <f t="shared" ref="V110" si="281">F110-T110</f>
        <v>0.41547999999999963</v>
      </c>
      <c r="X110" s="29"/>
    </row>
    <row r="111" spans="1:24">
      <c r="A111" s="26" t="s">
        <v>13</v>
      </c>
      <c r="B111" s="26" t="s">
        <v>161</v>
      </c>
      <c r="C111" s="30">
        <v>44.2</v>
      </c>
      <c r="D111" s="27">
        <v>9.1999999999999993</v>
      </c>
      <c r="E111" s="28"/>
      <c r="F111" s="16">
        <f t="shared" si="266"/>
        <v>0</v>
      </c>
      <c r="G111" s="17"/>
      <c r="H111" s="18"/>
      <c r="I111" s="19">
        <f t="shared" si="267"/>
        <v>0</v>
      </c>
      <c r="J111" s="16"/>
      <c r="K111" s="18">
        <v>1</v>
      </c>
      <c r="L111" s="19">
        <f t="shared" si="268"/>
        <v>0.40664</v>
      </c>
      <c r="M111" s="16"/>
      <c r="N111" s="18"/>
      <c r="O111" s="19">
        <f t="shared" si="269"/>
        <v>0</v>
      </c>
      <c r="P111" s="16"/>
      <c r="Q111" s="18"/>
      <c r="R111" s="19">
        <f t="shared" si="270"/>
        <v>0</v>
      </c>
      <c r="S111" s="20">
        <f t="shared" si="271"/>
        <v>1</v>
      </c>
      <c r="T111" s="19">
        <f t="shared" si="271"/>
        <v>0.40664</v>
      </c>
      <c r="U111" s="21">
        <f t="shared" si="272"/>
        <v>-1</v>
      </c>
      <c r="V111" s="19">
        <f t="shared" si="272"/>
        <v>-0.40664</v>
      </c>
      <c r="X111" s="29"/>
    </row>
    <row r="112" spans="1:24">
      <c r="A112" s="36"/>
      <c r="B112" s="36"/>
      <c r="C112" s="37"/>
      <c r="D112" s="38"/>
      <c r="E112" s="31">
        <f t="shared" ref="E112:F112" si="282">SUM(E107:E111)</f>
        <v>65</v>
      </c>
      <c r="F112" s="38">
        <f t="shared" si="282"/>
        <v>22.104420000000001</v>
      </c>
      <c r="G112" s="17"/>
      <c r="H112" s="31">
        <f t="shared" ref="H112" si="283">SUM(H107:H111)</f>
        <v>41</v>
      </c>
      <c r="I112" s="38">
        <f t="shared" ref="I112" si="284">SUM(I107:I111)</f>
        <v>13.759460000000001</v>
      </c>
      <c r="J112" s="16"/>
      <c r="K112" s="31">
        <f t="shared" ref="K112" si="285">SUM(K107:K111)</f>
        <v>24</v>
      </c>
      <c r="L112" s="38">
        <f t="shared" ref="L112" si="286">SUM(L107:L111)</f>
        <v>8.3361200000000011</v>
      </c>
      <c r="M112" s="16"/>
      <c r="N112" s="31">
        <f t="shared" ref="N112" si="287">SUM(N107:N111)</f>
        <v>0</v>
      </c>
      <c r="O112" s="38">
        <f t="shared" ref="O112" si="288">SUM(O107:O111)</f>
        <v>0</v>
      </c>
      <c r="P112" s="16"/>
      <c r="Q112" s="31">
        <f t="shared" ref="Q112" si="289">SUM(Q107:Q111)</f>
        <v>0</v>
      </c>
      <c r="R112" s="38">
        <f t="shared" ref="R112" si="290">SUM(R107:R111)</f>
        <v>0</v>
      </c>
      <c r="S112" s="31">
        <f t="shared" ref="S112" si="291">SUM(S107:S111)</f>
        <v>65</v>
      </c>
      <c r="T112" s="38">
        <f t="shared" ref="T112" si="292">SUM(T107:T111)</f>
        <v>22.095580000000002</v>
      </c>
      <c r="U112" s="31">
        <f t="shared" ref="U112" si="293">SUM(U107:U111)</f>
        <v>0</v>
      </c>
      <c r="V112" s="38">
        <f t="shared" ref="V112" si="294">SUM(V107:V111)</f>
        <v>8.8399999999996259E-3</v>
      </c>
      <c r="X112" s="29"/>
    </row>
    <row r="113" spans="1:24">
      <c r="A113" s="26" t="s">
        <v>13</v>
      </c>
      <c r="B113" s="26" t="s">
        <v>34</v>
      </c>
      <c r="C113" s="30">
        <v>5.76</v>
      </c>
      <c r="D113" s="27">
        <v>10.5</v>
      </c>
      <c r="E113" s="28">
        <v>36</v>
      </c>
      <c r="F113" s="16">
        <f t="shared" ref="F113:F116" si="295">(C113*D113*E113/1000)</f>
        <v>2.1772799999999997</v>
      </c>
      <c r="G113" s="16" t="s">
        <v>93</v>
      </c>
      <c r="H113" s="18">
        <v>18</v>
      </c>
      <c r="I113" s="19">
        <f t="shared" ref="I113:I116" si="296">(C113*D113*H113/1000)</f>
        <v>1.0886399999999998</v>
      </c>
      <c r="J113" s="16" t="s">
        <v>93</v>
      </c>
      <c r="K113" s="18">
        <v>15</v>
      </c>
      <c r="L113" s="19">
        <f t="shared" ref="L113:L116" si="297">(C113*D113*K113/1000)</f>
        <v>0.9071999999999999</v>
      </c>
      <c r="M113" s="16" t="s">
        <v>389</v>
      </c>
      <c r="N113" s="18">
        <v>1</v>
      </c>
      <c r="O113" s="19">
        <f t="shared" ref="O113:O116" si="298">(C113*D113*N113/1000)</f>
        <v>6.0479999999999999E-2</v>
      </c>
      <c r="P113" s="16"/>
      <c r="Q113" s="18"/>
      <c r="R113" s="19">
        <f t="shared" ref="R113:R116" si="299">(C113*D113*Q113/1000)</f>
        <v>0</v>
      </c>
      <c r="S113" s="20">
        <f>+H113+K113+Q113+N113</f>
        <v>34</v>
      </c>
      <c r="T113" s="19">
        <f>+I113+L113+R113+O113</f>
        <v>2.0563199999999999</v>
      </c>
      <c r="U113" s="21">
        <f>E113-S113</f>
        <v>2</v>
      </c>
      <c r="V113" s="19">
        <f>F113-T113</f>
        <v>0.12095999999999973</v>
      </c>
      <c r="X113" s="29"/>
    </row>
    <row r="114" spans="1:24">
      <c r="A114" s="26" t="s">
        <v>13</v>
      </c>
      <c r="B114" s="26" t="s">
        <v>34</v>
      </c>
      <c r="C114" s="30">
        <v>5.76</v>
      </c>
      <c r="D114" s="27">
        <v>12</v>
      </c>
      <c r="E114" s="28">
        <v>27</v>
      </c>
      <c r="F114" s="16">
        <f t="shared" ref="F114:F115" si="300">(C114*D114*E114/1000)</f>
        <v>1.8662400000000003</v>
      </c>
      <c r="G114" s="16" t="s">
        <v>352</v>
      </c>
      <c r="H114" s="18">
        <v>10</v>
      </c>
      <c r="I114" s="19">
        <f t="shared" ref="I114:I115" si="301">(C114*D114*H114/1000)</f>
        <v>0.69120000000000004</v>
      </c>
      <c r="J114" s="16" t="s">
        <v>342</v>
      </c>
      <c r="K114" s="18">
        <v>2</v>
      </c>
      <c r="L114" s="19">
        <f t="shared" ref="L114:L115" si="302">(C114*D114*K114/1000)</f>
        <v>0.13824</v>
      </c>
      <c r="M114" s="16" t="s">
        <v>390</v>
      </c>
      <c r="N114" s="18">
        <v>10</v>
      </c>
      <c r="O114" s="19">
        <f t="shared" ref="O114:O115" si="303">(C114*D114*N114/1000)</f>
        <v>0.69120000000000004</v>
      </c>
      <c r="P114" s="16"/>
      <c r="Q114" s="18"/>
      <c r="R114" s="19">
        <f t="shared" ref="R114:R115" si="304">(C114*D114*Q114/1000)</f>
        <v>0</v>
      </c>
      <c r="S114" s="20">
        <f t="shared" ref="S114:S115" si="305">+H114+K114+Q114+N114</f>
        <v>22</v>
      </c>
      <c r="T114" s="19">
        <f t="shared" ref="T114:T115" si="306">+I114+L114+R114+O114</f>
        <v>1.5206400000000002</v>
      </c>
      <c r="U114" s="21">
        <f t="shared" ref="U114:U115" si="307">E114-S114</f>
        <v>5</v>
      </c>
      <c r="V114" s="19">
        <f t="shared" ref="V114:V115" si="308">F114-T114</f>
        <v>0.34560000000000013</v>
      </c>
      <c r="X114" s="29"/>
    </row>
    <row r="115" spans="1:24">
      <c r="A115" s="26" t="s">
        <v>13</v>
      </c>
      <c r="B115" s="26" t="s">
        <v>34</v>
      </c>
      <c r="C115" s="30">
        <v>5.76</v>
      </c>
      <c r="D115" s="27">
        <v>11</v>
      </c>
      <c r="E115" s="28"/>
      <c r="F115" s="16">
        <f t="shared" si="300"/>
        <v>0</v>
      </c>
      <c r="G115" s="16"/>
      <c r="H115" s="18"/>
      <c r="I115" s="19">
        <f t="shared" si="301"/>
        <v>0</v>
      </c>
      <c r="J115" s="16"/>
      <c r="K115" s="18"/>
      <c r="L115" s="19">
        <f t="shared" si="302"/>
        <v>0</v>
      </c>
      <c r="M115" s="16"/>
      <c r="N115" s="18">
        <v>1</v>
      </c>
      <c r="O115" s="19">
        <f t="shared" si="303"/>
        <v>6.336E-2</v>
      </c>
      <c r="P115" s="16"/>
      <c r="Q115" s="18"/>
      <c r="R115" s="19">
        <f t="shared" si="304"/>
        <v>0</v>
      </c>
      <c r="S115" s="20">
        <f t="shared" si="305"/>
        <v>1</v>
      </c>
      <c r="T115" s="19">
        <f t="shared" si="306"/>
        <v>6.336E-2</v>
      </c>
      <c r="U115" s="21">
        <f t="shared" si="307"/>
        <v>-1</v>
      </c>
      <c r="V115" s="19">
        <f t="shared" si="308"/>
        <v>-6.336E-2</v>
      </c>
      <c r="X115" s="29"/>
    </row>
    <row r="116" spans="1:24">
      <c r="A116" s="26" t="s">
        <v>13</v>
      </c>
      <c r="B116" s="26" t="s">
        <v>34</v>
      </c>
      <c r="C116" s="30">
        <v>5.76</v>
      </c>
      <c r="D116" s="27">
        <v>11.9</v>
      </c>
      <c r="E116" s="28"/>
      <c r="F116" s="16">
        <f t="shared" si="295"/>
        <v>0</v>
      </c>
      <c r="G116" s="16"/>
      <c r="H116" s="18"/>
      <c r="I116" s="19">
        <f t="shared" si="296"/>
        <v>0</v>
      </c>
      <c r="J116" s="16"/>
      <c r="K116" s="18"/>
      <c r="L116" s="19">
        <f t="shared" si="297"/>
        <v>0</v>
      </c>
      <c r="M116" s="16"/>
      <c r="N116" s="18">
        <v>6</v>
      </c>
      <c r="O116" s="19">
        <f t="shared" si="298"/>
        <v>0.41126400000000002</v>
      </c>
      <c r="P116" s="16"/>
      <c r="Q116" s="18"/>
      <c r="R116" s="19">
        <f t="shared" si="299"/>
        <v>0</v>
      </c>
      <c r="S116" s="20">
        <f>+H116+K116+Q116+N116</f>
        <v>6</v>
      </c>
      <c r="T116" s="19">
        <f>+I116+L116+R116+O116</f>
        <v>0.41126400000000002</v>
      </c>
      <c r="U116" s="21">
        <f>E116-S116</f>
        <v>-6</v>
      </c>
      <c r="V116" s="19">
        <f>F116-T116</f>
        <v>-0.41126400000000002</v>
      </c>
      <c r="X116" s="29"/>
    </row>
    <row r="117" spans="1:24">
      <c r="A117" s="36"/>
      <c r="B117" s="36"/>
      <c r="C117" s="37"/>
      <c r="D117" s="38"/>
      <c r="E117" s="31">
        <f t="shared" ref="E117:F117" si="309">SUM(E113:E116)</f>
        <v>63</v>
      </c>
      <c r="F117" s="38">
        <f t="shared" si="309"/>
        <v>4.04352</v>
      </c>
      <c r="G117" s="17"/>
      <c r="H117" s="31">
        <f t="shared" ref="H117" si="310">SUM(H113:H116)</f>
        <v>28</v>
      </c>
      <c r="I117" s="38">
        <f t="shared" ref="I117" si="311">SUM(I113:I116)</f>
        <v>1.7798399999999999</v>
      </c>
      <c r="J117" s="16"/>
      <c r="K117" s="31">
        <f t="shared" ref="K117" si="312">SUM(K113:K116)</f>
        <v>17</v>
      </c>
      <c r="L117" s="38">
        <f t="shared" ref="L117" si="313">SUM(L113:L116)</f>
        <v>1.0454399999999999</v>
      </c>
      <c r="M117" s="16"/>
      <c r="N117" s="31">
        <f t="shared" ref="N117" si="314">SUM(N113:N116)</f>
        <v>18</v>
      </c>
      <c r="O117" s="38">
        <f t="shared" ref="O117" si="315">SUM(O113:O116)</f>
        <v>1.2263040000000001</v>
      </c>
      <c r="P117" s="16"/>
      <c r="Q117" s="31">
        <f t="shared" ref="Q117" si="316">SUM(Q113:Q116)</f>
        <v>0</v>
      </c>
      <c r="R117" s="38">
        <f t="shared" ref="R117" si="317">SUM(R113:R116)</f>
        <v>0</v>
      </c>
      <c r="S117" s="31">
        <f t="shared" ref="S117" si="318">SUM(S113:S116)</f>
        <v>63</v>
      </c>
      <c r="T117" s="38">
        <f t="shared" ref="T117" si="319">SUM(T113:T116)</f>
        <v>4.0515840000000001</v>
      </c>
      <c r="U117" s="31">
        <f t="shared" ref="U117" si="320">SUM(U113:U116)</f>
        <v>0</v>
      </c>
      <c r="V117" s="38">
        <f t="shared" ref="V117" si="321">SUM(V113:V116)</f>
        <v>-8.0640000000001266E-3</v>
      </c>
      <c r="X117" s="29"/>
    </row>
    <row r="118" spans="1:24">
      <c r="A118" s="26" t="s">
        <v>13</v>
      </c>
      <c r="B118" s="26" t="s">
        <v>35</v>
      </c>
      <c r="C118" s="30">
        <v>6.85</v>
      </c>
      <c r="D118" s="27">
        <v>10</v>
      </c>
      <c r="E118" s="28">
        <v>84</v>
      </c>
      <c r="F118" s="16">
        <f t="shared" ref="F118:F119" si="322">(C118*D118*E118/1000)</f>
        <v>5.7539999999999996</v>
      </c>
      <c r="G118" s="16" t="s">
        <v>93</v>
      </c>
      <c r="H118" s="18">
        <v>84</v>
      </c>
      <c r="I118" s="19">
        <f t="shared" ref="I118:I119" si="323">(C118*D118*H118/1000)</f>
        <v>5.7539999999999996</v>
      </c>
      <c r="J118" s="16"/>
      <c r="K118" s="18"/>
      <c r="L118" s="19">
        <f t="shared" ref="L118:L119" si="324">(C118*D118*K118/1000)</f>
        <v>0</v>
      </c>
      <c r="M118" s="16"/>
      <c r="N118" s="18"/>
      <c r="O118" s="19">
        <f t="shared" ref="O118:O119" si="325">(C118*D118*N118/1000)</f>
        <v>0</v>
      </c>
      <c r="P118" s="16"/>
      <c r="Q118" s="18"/>
      <c r="R118" s="19">
        <f t="shared" ref="R118:R119" si="326">(C118*D118*Q118/1000)</f>
        <v>0</v>
      </c>
      <c r="S118" s="20">
        <f>+H118+K118+Q118+N118</f>
        <v>84</v>
      </c>
      <c r="T118" s="19">
        <f>+I118+L118+R118+O118</f>
        <v>5.7539999999999996</v>
      </c>
      <c r="U118" s="21">
        <f>E118-S118</f>
        <v>0</v>
      </c>
      <c r="V118" s="19">
        <f>F118-T118</f>
        <v>0</v>
      </c>
      <c r="X118" s="29"/>
    </row>
    <row r="119" spans="1:24">
      <c r="A119" s="26" t="s">
        <v>13</v>
      </c>
      <c r="B119" s="26" t="s">
        <v>35</v>
      </c>
      <c r="C119" s="30">
        <v>6.85</v>
      </c>
      <c r="D119" s="27">
        <v>12</v>
      </c>
      <c r="E119" s="28">
        <v>42</v>
      </c>
      <c r="F119" s="16">
        <f t="shared" si="322"/>
        <v>3.4523999999999995</v>
      </c>
      <c r="G119" s="16" t="s">
        <v>352</v>
      </c>
      <c r="H119" s="18">
        <v>42</v>
      </c>
      <c r="I119" s="19">
        <f t="shared" si="323"/>
        <v>3.4523999999999995</v>
      </c>
      <c r="J119" s="16"/>
      <c r="K119" s="18"/>
      <c r="L119" s="19">
        <f t="shared" si="324"/>
        <v>0</v>
      </c>
      <c r="M119" s="16"/>
      <c r="N119" s="18"/>
      <c r="O119" s="19">
        <f t="shared" si="325"/>
        <v>0</v>
      </c>
      <c r="P119" s="16"/>
      <c r="Q119" s="18"/>
      <c r="R119" s="19">
        <f t="shared" si="326"/>
        <v>0</v>
      </c>
      <c r="S119" s="20">
        <f>+H119+K119+Q119+N119</f>
        <v>42</v>
      </c>
      <c r="T119" s="19">
        <f>+I119+L119+R119+O119</f>
        <v>3.4523999999999995</v>
      </c>
      <c r="U119" s="21">
        <f>E119-S119</f>
        <v>0</v>
      </c>
      <c r="V119" s="19">
        <f>F119-T119</f>
        <v>0</v>
      </c>
      <c r="X119" s="29"/>
    </row>
    <row r="120" spans="1:24">
      <c r="A120" s="36"/>
      <c r="B120" s="36"/>
      <c r="C120" s="37"/>
      <c r="D120" s="38"/>
      <c r="E120" s="31">
        <f t="shared" ref="E120:F120" si="327">SUM(E118:E119)</f>
        <v>126</v>
      </c>
      <c r="F120" s="38">
        <f t="shared" si="327"/>
        <v>9.2063999999999986</v>
      </c>
      <c r="G120" s="17"/>
      <c r="H120" s="31">
        <f t="shared" ref="H120" si="328">SUM(H118:H119)</f>
        <v>126</v>
      </c>
      <c r="I120" s="38">
        <f t="shared" ref="I120" si="329">SUM(I118:I119)</f>
        <v>9.2063999999999986</v>
      </c>
      <c r="J120" s="16"/>
      <c r="K120" s="31">
        <f t="shared" ref="K120" si="330">SUM(K118:K119)</f>
        <v>0</v>
      </c>
      <c r="L120" s="38">
        <f t="shared" ref="L120" si="331">SUM(L118:L119)</f>
        <v>0</v>
      </c>
      <c r="M120" s="16"/>
      <c r="N120" s="31">
        <f t="shared" ref="N120" si="332">SUM(N118:N119)</f>
        <v>0</v>
      </c>
      <c r="O120" s="38">
        <f t="shared" ref="O120" si="333">SUM(O118:O119)</f>
        <v>0</v>
      </c>
      <c r="P120" s="16"/>
      <c r="Q120" s="31">
        <f t="shared" ref="Q120" si="334">SUM(Q118:Q119)</f>
        <v>0</v>
      </c>
      <c r="R120" s="38">
        <f t="shared" ref="R120" si="335">SUM(R118:R119)</f>
        <v>0</v>
      </c>
      <c r="S120" s="31">
        <f t="shared" ref="S120" si="336">SUM(S118:S119)</f>
        <v>126</v>
      </c>
      <c r="T120" s="38">
        <f t="shared" ref="T120" si="337">SUM(T118:T119)</f>
        <v>9.2063999999999986</v>
      </c>
      <c r="U120" s="31">
        <f t="shared" ref="U120" si="338">SUM(U118:U119)</f>
        <v>0</v>
      </c>
      <c r="V120" s="38">
        <f t="shared" ref="V120" si="339">SUM(V118:V119)</f>
        <v>0</v>
      </c>
      <c r="X120" s="29"/>
    </row>
    <row r="121" spans="1:24">
      <c r="A121" s="26" t="s">
        <v>14</v>
      </c>
      <c r="B121" s="26" t="s">
        <v>46</v>
      </c>
      <c r="C121" s="30">
        <v>10.7</v>
      </c>
      <c r="D121" s="27">
        <v>8.25</v>
      </c>
      <c r="E121" s="28">
        <v>14</v>
      </c>
      <c r="F121" s="16">
        <f t="shared" ref="F121:F130" si="340">(C121*D121*E121/1000)</f>
        <v>1.2358499999999999</v>
      </c>
      <c r="G121" s="17" t="s">
        <v>295</v>
      </c>
      <c r="H121" s="18"/>
      <c r="I121" s="19">
        <f t="shared" ref="I121:I130" si="341">(C121*D121*H121/1000)</f>
        <v>0</v>
      </c>
      <c r="J121" s="16"/>
      <c r="K121" s="18"/>
      <c r="L121" s="19">
        <f t="shared" ref="L121:L130" si="342">(C121*D121*K121/1000)</f>
        <v>0</v>
      </c>
      <c r="M121" s="16"/>
      <c r="N121" s="18"/>
      <c r="O121" s="19">
        <f t="shared" ref="O121:O130" si="343">(C121*D121*N121/1000)</f>
        <v>0</v>
      </c>
      <c r="P121" s="16"/>
      <c r="Q121" s="18"/>
      <c r="R121" s="19">
        <f t="shared" ref="R121:R130" si="344">(C121*D121*Q121/1000)</f>
        <v>0</v>
      </c>
      <c r="S121" s="20">
        <f>+H121+K121+Q121+N121</f>
        <v>0</v>
      </c>
      <c r="T121" s="19">
        <f>+I121+L121+R121+O121</f>
        <v>0</v>
      </c>
      <c r="U121" s="21">
        <f>E121-S121</f>
        <v>14</v>
      </c>
      <c r="V121" s="19">
        <f>F121-T121</f>
        <v>1.2358499999999999</v>
      </c>
      <c r="X121" s="29"/>
    </row>
    <row r="122" spans="1:24">
      <c r="A122" s="26" t="s">
        <v>14</v>
      </c>
      <c r="B122" s="26" t="s">
        <v>46</v>
      </c>
      <c r="C122" s="30">
        <v>10.7</v>
      </c>
      <c r="D122" s="27">
        <v>12</v>
      </c>
      <c r="E122" s="28">
        <v>2</v>
      </c>
      <c r="F122" s="16">
        <f t="shared" ref="F122:F129" si="345">(C122*D122*E122/1000)</f>
        <v>0.25679999999999997</v>
      </c>
      <c r="G122" s="17" t="s">
        <v>324</v>
      </c>
      <c r="H122" s="18"/>
      <c r="I122" s="19">
        <f t="shared" ref="I122:I129" si="346">(C122*D122*H122/1000)</f>
        <v>0</v>
      </c>
      <c r="J122" s="16"/>
      <c r="K122" s="18"/>
      <c r="L122" s="19">
        <f t="shared" ref="L122:L129" si="347">(C122*D122*K122/1000)</f>
        <v>0</v>
      </c>
      <c r="M122" s="16"/>
      <c r="N122" s="18"/>
      <c r="O122" s="19">
        <f t="shared" ref="O122:O129" si="348">(C122*D122*N122/1000)</f>
        <v>0</v>
      </c>
      <c r="P122" s="16"/>
      <c r="Q122" s="18"/>
      <c r="R122" s="19">
        <f t="shared" ref="R122:R129" si="349">(C122*D122*Q122/1000)</f>
        <v>0</v>
      </c>
      <c r="S122" s="20">
        <f t="shared" ref="S122:S129" si="350">+H122+K122+Q122+N122</f>
        <v>0</v>
      </c>
      <c r="T122" s="19">
        <f t="shared" ref="T122:T129" si="351">+I122+L122+R122+O122</f>
        <v>0</v>
      </c>
      <c r="U122" s="21">
        <f t="shared" ref="U122:U129" si="352">E122-S122</f>
        <v>2</v>
      </c>
      <c r="V122" s="19">
        <f t="shared" ref="V122:V129" si="353">F122-T122</f>
        <v>0.25679999999999997</v>
      </c>
      <c r="X122" s="29"/>
    </row>
    <row r="123" spans="1:24">
      <c r="A123" s="26" t="s">
        <v>14</v>
      </c>
      <c r="B123" s="26" t="s">
        <v>46</v>
      </c>
      <c r="C123" s="30">
        <v>10.7</v>
      </c>
      <c r="D123" s="27">
        <v>7.5</v>
      </c>
      <c r="E123" s="28"/>
      <c r="F123" s="16">
        <f t="shared" si="345"/>
        <v>0</v>
      </c>
      <c r="G123" s="17"/>
      <c r="H123" s="18">
        <v>1</v>
      </c>
      <c r="I123" s="19">
        <f t="shared" si="346"/>
        <v>8.0250000000000002E-2</v>
      </c>
      <c r="J123" s="16"/>
      <c r="K123" s="18"/>
      <c r="L123" s="19">
        <f t="shared" si="347"/>
        <v>0</v>
      </c>
      <c r="M123" s="16"/>
      <c r="N123" s="18"/>
      <c r="O123" s="19">
        <f t="shared" si="348"/>
        <v>0</v>
      </c>
      <c r="P123" s="16"/>
      <c r="Q123" s="18"/>
      <c r="R123" s="19">
        <f t="shared" si="349"/>
        <v>0</v>
      </c>
      <c r="S123" s="20">
        <f t="shared" si="350"/>
        <v>1</v>
      </c>
      <c r="T123" s="19">
        <f t="shared" si="351"/>
        <v>8.0250000000000002E-2</v>
      </c>
      <c r="U123" s="21">
        <f t="shared" si="352"/>
        <v>-1</v>
      </c>
      <c r="V123" s="19">
        <f t="shared" si="353"/>
        <v>-8.0250000000000002E-2</v>
      </c>
      <c r="X123" s="29"/>
    </row>
    <row r="124" spans="1:24">
      <c r="A124" s="26" t="s">
        <v>14</v>
      </c>
      <c r="B124" s="26" t="s">
        <v>46</v>
      </c>
      <c r="C124" s="30">
        <v>10.7</v>
      </c>
      <c r="D124" s="27">
        <v>7.4</v>
      </c>
      <c r="E124" s="28"/>
      <c r="F124" s="16">
        <f t="shared" si="345"/>
        <v>0</v>
      </c>
      <c r="G124" s="17"/>
      <c r="H124" s="18">
        <v>1</v>
      </c>
      <c r="I124" s="19">
        <f t="shared" si="346"/>
        <v>7.9179999999999987E-2</v>
      </c>
      <c r="J124" s="16"/>
      <c r="K124" s="18"/>
      <c r="L124" s="19">
        <f t="shared" si="347"/>
        <v>0</v>
      </c>
      <c r="M124" s="16"/>
      <c r="N124" s="18"/>
      <c r="O124" s="19">
        <f t="shared" si="348"/>
        <v>0</v>
      </c>
      <c r="P124" s="16"/>
      <c r="Q124" s="18"/>
      <c r="R124" s="19">
        <f t="shared" si="349"/>
        <v>0</v>
      </c>
      <c r="S124" s="20">
        <f t="shared" si="350"/>
        <v>1</v>
      </c>
      <c r="T124" s="19">
        <f t="shared" si="351"/>
        <v>7.9179999999999987E-2</v>
      </c>
      <c r="U124" s="21">
        <f t="shared" si="352"/>
        <v>-1</v>
      </c>
      <c r="V124" s="19">
        <f t="shared" si="353"/>
        <v>-7.9179999999999987E-2</v>
      </c>
      <c r="X124" s="29"/>
    </row>
    <row r="125" spans="1:24">
      <c r="A125" s="26" t="s">
        <v>14</v>
      </c>
      <c r="B125" s="26" t="s">
        <v>46</v>
      </c>
      <c r="C125" s="30">
        <v>10.7</v>
      </c>
      <c r="D125" s="27">
        <v>7.6</v>
      </c>
      <c r="E125" s="28"/>
      <c r="F125" s="16">
        <f t="shared" si="345"/>
        <v>0</v>
      </c>
      <c r="G125" s="17"/>
      <c r="H125" s="18">
        <v>2</v>
      </c>
      <c r="I125" s="19">
        <f t="shared" si="346"/>
        <v>0.16263999999999998</v>
      </c>
      <c r="J125" s="16"/>
      <c r="K125" s="18"/>
      <c r="L125" s="19">
        <f t="shared" si="347"/>
        <v>0</v>
      </c>
      <c r="M125" s="16"/>
      <c r="N125" s="18"/>
      <c r="O125" s="19">
        <f t="shared" si="348"/>
        <v>0</v>
      </c>
      <c r="P125" s="16"/>
      <c r="Q125" s="18"/>
      <c r="R125" s="19">
        <f t="shared" si="349"/>
        <v>0</v>
      </c>
      <c r="S125" s="20">
        <f t="shared" si="350"/>
        <v>2</v>
      </c>
      <c r="T125" s="19">
        <f t="shared" si="351"/>
        <v>0.16263999999999998</v>
      </c>
      <c r="U125" s="21">
        <f t="shared" si="352"/>
        <v>-2</v>
      </c>
      <c r="V125" s="19">
        <f t="shared" si="353"/>
        <v>-0.16263999999999998</v>
      </c>
      <c r="X125" s="29"/>
    </row>
    <row r="126" spans="1:24">
      <c r="A126" s="26" t="s">
        <v>14</v>
      </c>
      <c r="B126" s="26" t="s">
        <v>46</v>
      </c>
      <c r="C126" s="30">
        <v>10.7</v>
      </c>
      <c r="D126" s="27">
        <v>9.3000000000000007</v>
      </c>
      <c r="E126" s="28"/>
      <c r="F126" s="16">
        <f t="shared" si="345"/>
        <v>0</v>
      </c>
      <c r="G126" s="17"/>
      <c r="H126" s="18">
        <v>1</v>
      </c>
      <c r="I126" s="19">
        <f t="shared" si="346"/>
        <v>9.9510000000000001E-2</v>
      </c>
      <c r="J126" s="16"/>
      <c r="K126" s="18"/>
      <c r="L126" s="19">
        <f t="shared" si="347"/>
        <v>0</v>
      </c>
      <c r="M126" s="16"/>
      <c r="N126" s="18"/>
      <c r="O126" s="19">
        <f t="shared" si="348"/>
        <v>0</v>
      </c>
      <c r="P126" s="16"/>
      <c r="Q126" s="18"/>
      <c r="R126" s="19">
        <f t="shared" si="349"/>
        <v>0</v>
      </c>
      <c r="S126" s="20">
        <f t="shared" si="350"/>
        <v>1</v>
      </c>
      <c r="T126" s="19">
        <f t="shared" si="351"/>
        <v>9.9510000000000001E-2</v>
      </c>
      <c r="U126" s="21">
        <f t="shared" si="352"/>
        <v>-1</v>
      </c>
      <c r="V126" s="19">
        <f t="shared" si="353"/>
        <v>-9.9510000000000001E-2</v>
      </c>
      <c r="X126" s="29"/>
    </row>
    <row r="127" spans="1:24">
      <c r="A127" s="26" t="s">
        <v>14</v>
      </c>
      <c r="B127" s="26" t="s">
        <v>46</v>
      </c>
      <c r="C127" s="30">
        <v>10.7</v>
      </c>
      <c r="D127" s="27">
        <v>10.5</v>
      </c>
      <c r="E127" s="28"/>
      <c r="F127" s="16">
        <f t="shared" si="345"/>
        <v>0</v>
      </c>
      <c r="G127" s="17"/>
      <c r="H127" s="18">
        <v>1</v>
      </c>
      <c r="I127" s="19">
        <f t="shared" si="346"/>
        <v>0.11234999999999999</v>
      </c>
      <c r="J127" s="16"/>
      <c r="K127" s="18"/>
      <c r="L127" s="19">
        <f t="shared" si="347"/>
        <v>0</v>
      </c>
      <c r="M127" s="16"/>
      <c r="N127" s="18"/>
      <c r="O127" s="19">
        <f t="shared" si="348"/>
        <v>0</v>
      </c>
      <c r="P127" s="16"/>
      <c r="Q127" s="18"/>
      <c r="R127" s="19">
        <f t="shared" si="349"/>
        <v>0</v>
      </c>
      <c r="S127" s="20">
        <f t="shared" si="350"/>
        <v>1</v>
      </c>
      <c r="T127" s="19">
        <f t="shared" si="351"/>
        <v>0.11234999999999999</v>
      </c>
      <c r="U127" s="21">
        <f t="shared" si="352"/>
        <v>-1</v>
      </c>
      <c r="V127" s="19">
        <f t="shared" si="353"/>
        <v>-0.11234999999999999</v>
      </c>
      <c r="X127" s="29"/>
    </row>
    <row r="128" spans="1:24">
      <c r="A128" s="26" t="s">
        <v>14</v>
      </c>
      <c r="B128" s="26" t="s">
        <v>46</v>
      </c>
      <c r="C128" s="30">
        <v>10.7</v>
      </c>
      <c r="D128" s="27">
        <v>11</v>
      </c>
      <c r="E128" s="28"/>
      <c r="F128" s="16">
        <f t="shared" si="345"/>
        <v>0</v>
      </c>
      <c r="G128" s="17"/>
      <c r="H128" s="18">
        <v>7</v>
      </c>
      <c r="I128" s="19">
        <f t="shared" si="346"/>
        <v>0.82389999999999985</v>
      </c>
      <c r="J128" s="16"/>
      <c r="K128" s="18"/>
      <c r="L128" s="19">
        <f t="shared" si="347"/>
        <v>0</v>
      </c>
      <c r="M128" s="16"/>
      <c r="N128" s="18"/>
      <c r="O128" s="19">
        <f t="shared" si="348"/>
        <v>0</v>
      </c>
      <c r="P128" s="16"/>
      <c r="Q128" s="18"/>
      <c r="R128" s="19">
        <f t="shared" si="349"/>
        <v>0</v>
      </c>
      <c r="S128" s="20">
        <f t="shared" si="350"/>
        <v>7</v>
      </c>
      <c r="T128" s="19">
        <f t="shared" si="351"/>
        <v>0.82389999999999985</v>
      </c>
      <c r="U128" s="21">
        <f t="shared" si="352"/>
        <v>-7</v>
      </c>
      <c r="V128" s="19">
        <f t="shared" si="353"/>
        <v>-0.82389999999999985</v>
      </c>
      <c r="X128" s="29"/>
    </row>
    <row r="129" spans="1:24">
      <c r="A129" s="26" t="s">
        <v>14</v>
      </c>
      <c r="B129" s="26" t="s">
        <v>46</v>
      </c>
      <c r="C129" s="30">
        <v>10.7</v>
      </c>
      <c r="D129" s="27">
        <v>11.5</v>
      </c>
      <c r="E129" s="28"/>
      <c r="F129" s="16">
        <f t="shared" si="345"/>
        <v>0</v>
      </c>
      <c r="G129" s="17"/>
      <c r="H129" s="18">
        <v>1</v>
      </c>
      <c r="I129" s="19">
        <f t="shared" si="346"/>
        <v>0.12304999999999999</v>
      </c>
      <c r="J129" s="16"/>
      <c r="K129" s="18"/>
      <c r="L129" s="19">
        <f t="shared" si="347"/>
        <v>0</v>
      </c>
      <c r="M129" s="16"/>
      <c r="N129" s="18"/>
      <c r="O129" s="19">
        <f t="shared" si="348"/>
        <v>0</v>
      </c>
      <c r="P129" s="16"/>
      <c r="Q129" s="18"/>
      <c r="R129" s="19">
        <f t="shared" si="349"/>
        <v>0</v>
      </c>
      <c r="S129" s="20">
        <f t="shared" si="350"/>
        <v>1</v>
      </c>
      <c r="T129" s="19">
        <f t="shared" si="351"/>
        <v>0.12304999999999999</v>
      </c>
      <c r="U129" s="21">
        <f t="shared" si="352"/>
        <v>-1</v>
      </c>
      <c r="V129" s="19">
        <f t="shared" si="353"/>
        <v>-0.12304999999999999</v>
      </c>
      <c r="X129" s="29"/>
    </row>
    <row r="130" spans="1:24">
      <c r="A130" s="26" t="s">
        <v>14</v>
      </c>
      <c r="B130" s="26" t="s">
        <v>46</v>
      </c>
      <c r="C130" s="30">
        <v>10.7</v>
      </c>
      <c r="D130" s="27">
        <v>11.7</v>
      </c>
      <c r="E130" s="28"/>
      <c r="F130" s="16">
        <f t="shared" si="340"/>
        <v>0</v>
      </c>
      <c r="G130" s="17"/>
      <c r="H130" s="18">
        <v>1</v>
      </c>
      <c r="I130" s="19">
        <f t="shared" si="341"/>
        <v>0.12519</v>
      </c>
      <c r="J130" s="16"/>
      <c r="K130" s="18"/>
      <c r="L130" s="19">
        <f t="shared" si="342"/>
        <v>0</v>
      </c>
      <c r="M130" s="16"/>
      <c r="N130" s="18"/>
      <c r="O130" s="19">
        <f t="shared" si="343"/>
        <v>0</v>
      </c>
      <c r="P130" s="16"/>
      <c r="Q130" s="18"/>
      <c r="R130" s="19">
        <f t="shared" si="344"/>
        <v>0</v>
      </c>
      <c r="S130" s="20">
        <f>+H130+K130+Q130+N130</f>
        <v>1</v>
      </c>
      <c r="T130" s="19">
        <f>+I130+L130+R130+O130</f>
        <v>0.12519</v>
      </c>
      <c r="U130" s="21">
        <f>E130-S130</f>
        <v>-1</v>
      </c>
      <c r="V130" s="19">
        <f>F130-T130</f>
        <v>-0.12519</v>
      </c>
      <c r="X130" s="29"/>
    </row>
    <row r="131" spans="1:24">
      <c r="A131" s="36"/>
      <c r="B131" s="36"/>
      <c r="C131" s="37"/>
      <c r="D131" s="38"/>
      <c r="E131" s="31">
        <f t="shared" ref="E131:F131" si="354">SUM(E121:E130)</f>
        <v>16</v>
      </c>
      <c r="F131" s="38">
        <f t="shared" si="354"/>
        <v>1.4926499999999998</v>
      </c>
      <c r="G131" s="17"/>
      <c r="H131" s="31">
        <f t="shared" ref="H131" si="355">SUM(H121:H130)</f>
        <v>15</v>
      </c>
      <c r="I131" s="38">
        <f t="shared" ref="I131" si="356">SUM(I121:I130)</f>
        <v>1.6060699999999999</v>
      </c>
      <c r="J131" s="16"/>
      <c r="K131" s="31">
        <f t="shared" ref="K131" si="357">SUM(K121:K130)</f>
        <v>0</v>
      </c>
      <c r="L131" s="38">
        <f t="shared" ref="L131" si="358">SUM(L121:L130)</f>
        <v>0</v>
      </c>
      <c r="M131" s="16"/>
      <c r="N131" s="31">
        <f t="shared" ref="N131" si="359">SUM(N121:N130)</f>
        <v>0</v>
      </c>
      <c r="O131" s="38">
        <f t="shared" ref="O131" si="360">SUM(O121:O130)</f>
        <v>0</v>
      </c>
      <c r="P131" s="16"/>
      <c r="Q131" s="31">
        <f t="shared" ref="Q131" si="361">SUM(Q121:Q130)</f>
        <v>0</v>
      </c>
      <c r="R131" s="38">
        <f t="shared" ref="R131" si="362">SUM(R121:R130)</f>
        <v>0</v>
      </c>
      <c r="S131" s="31">
        <f t="shared" ref="S131" si="363">SUM(S121:S130)</f>
        <v>15</v>
      </c>
      <c r="T131" s="38">
        <f t="shared" ref="T131" si="364">SUM(T121:T130)</f>
        <v>1.6060699999999999</v>
      </c>
      <c r="U131" s="31">
        <f t="shared" ref="U131" si="365">SUM(U121:U130)</f>
        <v>1</v>
      </c>
      <c r="V131" s="38">
        <f t="shared" ref="V131" si="366">SUM(V121:V130)</f>
        <v>-0.11341999999999983</v>
      </c>
      <c r="X131" s="29"/>
    </row>
    <row r="132" spans="1:24">
      <c r="A132" s="26" t="s">
        <v>14</v>
      </c>
      <c r="B132" s="26" t="s">
        <v>61</v>
      </c>
      <c r="C132" s="30">
        <v>12.2</v>
      </c>
      <c r="D132" s="27">
        <v>9.4</v>
      </c>
      <c r="E132" s="28">
        <v>7</v>
      </c>
      <c r="F132" s="16">
        <f>(C132*D132*E132/1000)</f>
        <v>0.80276000000000003</v>
      </c>
      <c r="G132" s="17" t="s">
        <v>88</v>
      </c>
      <c r="H132" s="18"/>
      <c r="I132" s="19">
        <f>(C132*D132*H132/1000)</f>
        <v>0</v>
      </c>
      <c r="J132" s="16"/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>(C132*D132*Q132/1000)</f>
        <v>0</v>
      </c>
      <c r="S132" s="20">
        <f>+H132+K132+Q132+N132</f>
        <v>0</v>
      </c>
      <c r="T132" s="19">
        <f>+I132+L132+R132+O132</f>
        <v>0</v>
      </c>
      <c r="U132" s="21">
        <f>E132-S132</f>
        <v>7</v>
      </c>
      <c r="V132" s="19">
        <f>F132-T132</f>
        <v>0.80276000000000003</v>
      </c>
      <c r="X132" s="29"/>
    </row>
    <row r="133" spans="1:24">
      <c r="A133" s="26" t="s">
        <v>14</v>
      </c>
      <c r="B133" s="26" t="s">
        <v>61</v>
      </c>
      <c r="C133" s="30">
        <v>12.2</v>
      </c>
      <c r="D133" s="27">
        <v>9.5</v>
      </c>
      <c r="E133" s="28"/>
      <c r="F133" s="16">
        <f>(C133*D133*E133/1000)</f>
        <v>0</v>
      </c>
      <c r="G133" s="17" t="s">
        <v>291</v>
      </c>
      <c r="H133" s="18">
        <v>7</v>
      </c>
      <c r="I133" s="19">
        <f>(C133*D133*H133/1000)</f>
        <v>0.81129999999999991</v>
      </c>
      <c r="J133" s="16"/>
      <c r="K133" s="18"/>
      <c r="L133" s="19">
        <f>(C133*D133*K133/1000)</f>
        <v>0</v>
      </c>
      <c r="M133" s="16"/>
      <c r="N133" s="18"/>
      <c r="O133" s="19">
        <f>(C133*D133*N133/1000)</f>
        <v>0</v>
      </c>
      <c r="P133" s="16"/>
      <c r="Q133" s="18"/>
      <c r="R133" s="19">
        <f>(C133*D133*Q133/1000)</f>
        <v>0</v>
      </c>
      <c r="S133" s="20">
        <f>+H133+K133+Q133+N133</f>
        <v>7</v>
      </c>
      <c r="T133" s="19">
        <f>+I133+L133+R133+O133</f>
        <v>0.81129999999999991</v>
      </c>
      <c r="U133" s="21">
        <f>E133-S133</f>
        <v>-7</v>
      </c>
      <c r="V133" s="19">
        <f>F133-T133</f>
        <v>-0.81129999999999991</v>
      </c>
      <c r="X133" s="29"/>
    </row>
    <row r="134" spans="1:24">
      <c r="A134" s="36"/>
      <c r="B134" s="36"/>
      <c r="C134" s="37"/>
      <c r="D134" s="38"/>
      <c r="E134" s="31">
        <f t="shared" ref="E134:F134" si="367">SUM(E132:E133)</f>
        <v>7</v>
      </c>
      <c r="F134" s="38">
        <f t="shared" si="367"/>
        <v>0.80276000000000003</v>
      </c>
      <c r="G134" s="17"/>
      <c r="H134" s="31">
        <f t="shared" ref="H134" si="368">SUM(H132:H133)</f>
        <v>7</v>
      </c>
      <c r="I134" s="38">
        <f t="shared" ref="I134" si="369">SUM(I132:I133)</f>
        <v>0.81129999999999991</v>
      </c>
      <c r="J134" s="16"/>
      <c r="K134" s="31">
        <f t="shared" ref="K134" si="370">SUM(K132:K133)</f>
        <v>0</v>
      </c>
      <c r="L134" s="38">
        <f t="shared" ref="L134" si="371">SUM(L132:L133)</f>
        <v>0</v>
      </c>
      <c r="M134" s="16"/>
      <c r="N134" s="31">
        <f t="shared" ref="N134" si="372">SUM(N132:N133)</f>
        <v>0</v>
      </c>
      <c r="O134" s="38">
        <f t="shared" ref="O134" si="373">SUM(O132:O133)</f>
        <v>0</v>
      </c>
      <c r="P134" s="16"/>
      <c r="Q134" s="31">
        <f t="shared" ref="Q134" si="374">SUM(Q132:Q133)</f>
        <v>0</v>
      </c>
      <c r="R134" s="38">
        <f t="shared" ref="R134" si="375">SUM(R132:R133)</f>
        <v>0</v>
      </c>
      <c r="S134" s="31">
        <f t="shared" ref="S134" si="376">SUM(S132:S133)</f>
        <v>7</v>
      </c>
      <c r="T134" s="38">
        <f t="shared" ref="T134" si="377">SUM(T132:T133)</f>
        <v>0.81129999999999991</v>
      </c>
      <c r="U134" s="31">
        <f t="shared" ref="U134" si="378">SUM(U132:U133)</f>
        <v>0</v>
      </c>
      <c r="V134" s="38">
        <f t="shared" ref="V134" si="379">SUM(V132:V133)</f>
        <v>-8.539999999999881E-3</v>
      </c>
      <c r="X134" s="29"/>
    </row>
    <row r="135" spans="1:24">
      <c r="A135" s="26" t="s">
        <v>14</v>
      </c>
      <c r="B135" s="26" t="s">
        <v>18</v>
      </c>
      <c r="C135" s="30">
        <v>16.600000000000001</v>
      </c>
      <c r="D135" s="27">
        <v>10.7</v>
      </c>
      <c r="E135" s="28">
        <v>3</v>
      </c>
      <c r="F135" s="16">
        <f>(C135*D135*E135/1000)</f>
        <v>0.53286</v>
      </c>
      <c r="G135" s="17" t="s">
        <v>298</v>
      </c>
      <c r="H135" s="18"/>
      <c r="I135" s="19">
        <f>(C135*D135*H135/1000)</f>
        <v>0</v>
      </c>
      <c r="J135" s="16"/>
      <c r="K135" s="18"/>
      <c r="L135" s="19">
        <f>(C135*D135*K135/1000)</f>
        <v>0</v>
      </c>
      <c r="M135" s="16"/>
      <c r="N135" s="18"/>
      <c r="O135" s="19">
        <f>(C135*D135*N135/1000)</f>
        <v>0</v>
      </c>
      <c r="P135" s="16"/>
      <c r="Q135" s="18"/>
      <c r="R135" s="19">
        <f>(C135*D135*Q135/1000)</f>
        <v>0</v>
      </c>
      <c r="S135" s="20">
        <f>+H135+K135+Q135+N135</f>
        <v>0</v>
      </c>
      <c r="T135" s="19">
        <f>+I135+L135+R135+O135</f>
        <v>0</v>
      </c>
      <c r="U135" s="21">
        <f>E135-S135</f>
        <v>3</v>
      </c>
      <c r="V135" s="19">
        <f>F135-T135</f>
        <v>0.53286</v>
      </c>
      <c r="X135" s="29"/>
    </row>
    <row r="136" spans="1:24">
      <c r="A136" s="26" t="s">
        <v>14</v>
      </c>
      <c r="B136" s="26" t="s">
        <v>18</v>
      </c>
      <c r="C136" s="30">
        <v>16.600000000000001</v>
      </c>
      <c r="D136" s="27">
        <v>11.5</v>
      </c>
      <c r="E136" s="28"/>
      <c r="F136" s="16">
        <f>(C136*D136*E136/1000)</f>
        <v>0</v>
      </c>
      <c r="G136" s="17" t="s">
        <v>297</v>
      </c>
      <c r="H136" s="18">
        <v>3</v>
      </c>
      <c r="I136" s="19">
        <f>(C136*D136*H136/1000)</f>
        <v>0.5727000000000001</v>
      </c>
      <c r="J136" s="16"/>
      <c r="K136" s="18"/>
      <c r="L136" s="19">
        <f>(C136*D136*K136/1000)</f>
        <v>0</v>
      </c>
      <c r="M136" s="16"/>
      <c r="N136" s="18"/>
      <c r="O136" s="19">
        <f>(C136*D136*N136/1000)</f>
        <v>0</v>
      </c>
      <c r="P136" s="16"/>
      <c r="Q136" s="18"/>
      <c r="R136" s="19">
        <f>(C136*D136*Q136/1000)</f>
        <v>0</v>
      </c>
      <c r="S136" s="20">
        <f>+H136+K136+Q136+N136</f>
        <v>3</v>
      </c>
      <c r="T136" s="19">
        <f>+I136+L136+R136+O136</f>
        <v>0.5727000000000001</v>
      </c>
      <c r="U136" s="21">
        <f>E136-S136</f>
        <v>-3</v>
      </c>
      <c r="V136" s="19">
        <f>F136-T136</f>
        <v>-0.5727000000000001</v>
      </c>
      <c r="X136" s="29"/>
    </row>
    <row r="137" spans="1:24">
      <c r="A137" s="36"/>
      <c r="B137" s="36"/>
      <c r="C137" s="37"/>
      <c r="D137" s="38"/>
      <c r="E137" s="31">
        <f t="shared" ref="E137:F137" si="380">SUM(E135:E136)</f>
        <v>3</v>
      </c>
      <c r="F137" s="38">
        <f t="shared" si="380"/>
        <v>0.53286</v>
      </c>
      <c r="G137" s="17"/>
      <c r="H137" s="31">
        <f t="shared" ref="H137" si="381">SUM(H135:H136)</f>
        <v>3</v>
      </c>
      <c r="I137" s="38">
        <f t="shared" ref="I137" si="382">SUM(I135:I136)</f>
        <v>0.5727000000000001</v>
      </c>
      <c r="J137" s="16"/>
      <c r="K137" s="31">
        <f t="shared" ref="K137" si="383">SUM(K135:K136)</f>
        <v>0</v>
      </c>
      <c r="L137" s="38">
        <f t="shared" ref="L137" si="384">SUM(L135:L136)</f>
        <v>0</v>
      </c>
      <c r="M137" s="16"/>
      <c r="N137" s="31">
        <f t="shared" ref="N137" si="385">SUM(N135:N136)</f>
        <v>0</v>
      </c>
      <c r="O137" s="38">
        <f t="shared" ref="O137" si="386">SUM(O135:O136)</f>
        <v>0</v>
      </c>
      <c r="P137" s="16"/>
      <c r="Q137" s="31">
        <f t="shared" ref="Q137" si="387">SUM(Q135:Q136)</f>
        <v>0</v>
      </c>
      <c r="R137" s="38">
        <f t="shared" ref="R137" si="388">SUM(R135:R136)</f>
        <v>0</v>
      </c>
      <c r="S137" s="31">
        <f t="shared" ref="S137" si="389">SUM(S135:S136)</f>
        <v>3</v>
      </c>
      <c r="T137" s="38">
        <f t="shared" ref="T137" si="390">SUM(T135:T136)</f>
        <v>0.5727000000000001</v>
      </c>
      <c r="U137" s="31">
        <f t="shared" ref="U137" si="391">SUM(U135:U136)</f>
        <v>0</v>
      </c>
      <c r="V137" s="38">
        <f t="shared" ref="V137" si="392">SUM(V135:V136)</f>
        <v>-3.9840000000000098E-2</v>
      </c>
      <c r="X137" s="29"/>
    </row>
    <row r="138" spans="1:24">
      <c r="A138" s="26" t="s">
        <v>14</v>
      </c>
      <c r="B138" s="26" t="s">
        <v>47</v>
      </c>
      <c r="C138" s="30">
        <v>18.2</v>
      </c>
      <c r="D138" s="27">
        <v>12</v>
      </c>
      <c r="E138" s="28">
        <v>5</v>
      </c>
      <c r="F138" s="16">
        <f>(C138*D138*E138/1000)</f>
        <v>1.0920000000000001</v>
      </c>
      <c r="G138" s="17" t="s">
        <v>301</v>
      </c>
      <c r="H138" s="18">
        <v>5</v>
      </c>
      <c r="I138" s="19">
        <f>(C138*D138*H138/1000)</f>
        <v>1.0920000000000001</v>
      </c>
      <c r="J138" s="16"/>
      <c r="K138" s="18"/>
      <c r="L138" s="19">
        <f>(C138*D138*K138/1000)</f>
        <v>0</v>
      </c>
      <c r="M138" s="16"/>
      <c r="N138" s="18"/>
      <c r="O138" s="19">
        <f>(C138*D138*N138/1000)</f>
        <v>0</v>
      </c>
      <c r="P138" s="16"/>
      <c r="Q138" s="18"/>
      <c r="R138" s="19">
        <f>(C138*D138*Q138/1000)</f>
        <v>0</v>
      </c>
      <c r="S138" s="20">
        <f>+H138+K138+Q138+N138</f>
        <v>5</v>
      </c>
      <c r="T138" s="19">
        <f>+I138+L138+R138+O138</f>
        <v>1.0920000000000001</v>
      </c>
      <c r="U138" s="21">
        <f>E138-S138</f>
        <v>0</v>
      </c>
      <c r="V138" s="19">
        <f>F138-T138</f>
        <v>0</v>
      </c>
      <c r="X138" s="29"/>
    </row>
    <row r="139" spans="1:24">
      <c r="A139" s="36"/>
      <c r="B139" s="36"/>
      <c r="C139" s="37"/>
      <c r="D139" s="38"/>
      <c r="E139" s="31">
        <f t="shared" ref="E139:F139" si="393">SUM(E138)</f>
        <v>5</v>
      </c>
      <c r="F139" s="38">
        <f t="shared" si="393"/>
        <v>1.0920000000000001</v>
      </c>
      <c r="G139" s="17" t="s">
        <v>302</v>
      </c>
      <c r="H139" s="31">
        <f t="shared" ref="H139" si="394">SUM(H138)</f>
        <v>5</v>
      </c>
      <c r="I139" s="38">
        <f t="shared" ref="I139" si="395">SUM(I138)</f>
        <v>1.0920000000000001</v>
      </c>
      <c r="J139" s="16"/>
      <c r="K139" s="31">
        <f t="shared" ref="K139" si="396">SUM(K138)</f>
        <v>0</v>
      </c>
      <c r="L139" s="38">
        <f t="shared" ref="L139" si="397">SUM(L138)</f>
        <v>0</v>
      </c>
      <c r="M139" s="16"/>
      <c r="N139" s="31">
        <f t="shared" ref="N139" si="398">SUM(N138)</f>
        <v>0</v>
      </c>
      <c r="O139" s="38">
        <f t="shared" ref="O139" si="399">SUM(O138)</f>
        <v>0</v>
      </c>
      <c r="P139" s="16"/>
      <c r="Q139" s="31">
        <f t="shared" ref="Q139" si="400">SUM(Q138)</f>
        <v>0</v>
      </c>
      <c r="R139" s="38">
        <f t="shared" ref="R139" si="401">SUM(R138)</f>
        <v>0</v>
      </c>
      <c r="S139" s="31">
        <f t="shared" ref="S139" si="402">SUM(S138)</f>
        <v>5</v>
      </c>
      <c r="T139" s="38">
        <f t="shared" ref="T139" si="403">SUM(T138)</f>
        <v>1.0920000000000001</v>
      </c>
      <c r="U139" s="31">
        <f t="shared" ref="U139" si="404">SUM(U138)</f>
        <v>0</v>
      </c>
      <c r="V139" s="38">
        <f t="shared" ref="V139" si="405">SUM(V138)</f>
        <v>0</v>
      </c>
      <c r="X139" s="29"/>
    </row>
    <row r="140" spans="1:24">
      <c r="A140" s="33"/>
      <c r="B140" s="33"/>
      <c r="C140" s="34"/>
      <c r="D140" s="34"/>
      <c r="E140" s="34">
        <f>SUM(E139,E137,E134,E131,E120,E117,E112,E106,E95,E91,E70,E64,E55,E51,E48,E41,E27,E18,E159,E153,E146)</f>
        <v>1610</v>
      </c>
      <c r="F140" s="35">
        <f>SUM(F139,F137,F134,F131,F120,F117,F112,F106,F95,F91,F70,F64,F55,F51,F48,F41,F27,F18,F159,F153,F146)</f>
        <v>298.98304999999999</v>
      </c>
      <c r="G140" s="26"/>
      <c r="H140" s="34">
        <f>SUM(H139,H137,H134,H131,H120,H117,H112,H106,H95,H91,H70,H64,H55,H51,H48,H41,H27,H18,H159,H153,H146)</f>
        <v>757</v>
      </c>
      <c r="I140" s="35">
        <f>SUM(I139,I137,I134,I131,I120,I117,I112,I106,I95,I91,I70,I64,I55,I51,I48,I41,I27,I18,I159,I153,I146)</f>
        <v>154.22041499999997</v>
      </c>
      <c r="J140" s="26"/>
      <c r="K140" s="34">
        <f>SUM(K139,K137,K134,K131,K120,K117,K112,K106,K95,K91,K70,K64,K55,K51,K48,K41,K27,K18,K159,K153,K146)</f>
        <v>363</v>
      </c>
      <c r="L140" s="35">
        <f>SUM(L139,L137,L134,L131,L120,L117,L112,L106,L95,L91,L70,L64,L55,L51,L48,L41,L27,L18,L159,L153,L146)</f>
        <v>66.533100000000005</v>
      </c>
      <c r="M140" s="26"/>
      <c r="N140" s="34">
        <f>SUM(N139,N137,N134,N131,N120,N117,N112,N106,N95,N91,N70,N64,N55,N51,N48,N41,N27,N18,N159,N153,N146)</f>
        <v>130</v>
      </c>
      <c r="O140" s="35">
        <f>SUM(O139,O137,O134,O131,O120,O117,O112,O106,O95,O91,O70,O64,O55,O51,O48,O41,O27,O18,O159,O153,O146)</f>
        <v>30.284109000000001</v>
      </c>
      <c r="P140" s="26"/>
      <c r="Q140" s="34">
        <f t="shared" ref="Q140:V140" si="406">SUM(Q139,Q137,Q134,Q131,Q120,Q117,Q112,Q106,Q95,Q91,Q70,Q64,Q55,Q51,Q48,Q41,Q27,Q18,Q159,Q153,Q146)</f>
        <v>54</v>
      </c>
      <c r="R140" s="35">
        <f t="shared" si="406"/>
        <v>12.847949999999999</v>
      </c>
      <c r="S140" s="34">
        <f t="shared" si="406"/>
        <v>1304</v>
      </c>
      <c r="T140" s="35">
        <f t="shared" si="406"/>
        <v>263.88557400000002</v>
      </c>
      <c r="U140" s="34">
        <f t="shared" si="406"/>
        <v>306</v>
      </c>
      <c r="V140" s="35">
        <f t="shared" si="406"/>
        <v>35.097475999999993</v>
      </c>
    </row>
    <row r="145" spans="1:24" s="56" customFormat="1">
      <c r="A145" s="57" t="s">
        <v>13</v>
      </c>
      <c r="B145" s="57" t="s">
        <v>45</v>
      </c>
      <c r="C145" s="58">
        <v>9.26</v>
      </c>
      <c r="D145" s="59">
        <v>12</v>
      </c>
      <c r="E145" s="60">
        <v>29</v>
      </c>
      <c r="F145" s="61">
        <f>(C145*D145*E145/1000)</f>
        <v>3.22248</v>
      </c>
      <c r="G145" s="62"/>
      <c r="H145" s="63"/>
      <c r="I145" s="64">
        <f>(C145*D145*H145/1000)</f>
        <v>0</v>
      </c>
      <c r="J145" s="61"/>
      <c r="K145" s="63"/>
      <c r="L145" s="64">
        <f>(C145*D145*K145/1000)</f>
        <v>0</v>
      </c>
      <c r="M145" s="61"/>
      <c r="N145" s="63"/>
      <c r="O145" s="64">
        <f>(C145*D145*N145/1000)</f>
        <v>0</v>
      </c>
      <c r="P145" s="61"/>
      <c r="Q145" s="63"/>
      <c r="R145" s="64">
        <f>(C145*D145*Q145/1000)</f>
        <v>0</v>
      </c>
      <c r="S145" s="65">
        <f>+H145+K145+Q145+N145</f>
        <v>0</v>
      </c>
      <c r="T145" s="64">
        <f>+I145+L145+R145+O145</f>
        <v>0</v>
      </c>
      <c r="U145" s="42">
        <f>E145-S145</f>
        <v>29</v>
      </c>
      <c r="V145" s="64">
        <f>F145-T145</f>
        <v>3.22248</v>
      </c>
      <c r="X145" s="69"/>
    </row>
    <row r="146" spans="1:24" s="56" customFormat="1">
      <c r="A146" s="57"/>
      <c r="B146" s="57"/>
      <c r="C146" s="58"/>
      <c r="D146" s="59"/>
      <c r="E146" s="68">
        <f t="shared" ref="E146:F146" si="407">SUM(E145)</f>
        <v>29</v>
      </c>
      <c r="F146" s="67">
        <f t="shared" si="407"/>
        <v>3.22248</v>
      </c>
      <c r="G146" s="62"/>
      <c r="H146" s="68">
        <f t="shared" ref="H146" si="408">SUM(H145)</f>
        <v>0</v>
      </c>
      <c r="I146" s="67">
        <f t="shared" ref="I146" si="409">SUM(I145)</f>
        <v>0</v>
      </c>
      <c r="J146" s="61"/>
      <c r="K146" s="68">
        <f t="shared" ref="K146" si="410">SUM(K145)</f>
        <v>0</v>
      </c>
      <c r="L146" s="67">
        <f t="shared" ref="L146" si="411">SUM(L145)</f>
        <v>0</v>
      </c>
      <c r="M146" s="61"/>
      <c r="N146" s="68">
        <f t="shared" ref="N146" si="412">SUM(N145)</f>
        <v>0</v>
      </c>
      <c r="O146" s="67">
        <f t="shared" ref="O146" si="413">SUM(O145)</f>
        <v>0</v>
      </c>
      <c r="P146" s="61"/>
      <c r="Q146" s="68">
        <f t="shared" ref="Q146" si="414">SUM(Q145)</f>
        <v>0</v>
      </c>
      <c r="R146" s="67">
        <f t="shared" ref="R146" si="415">SUM(R145)</f>
        <v>0</v>
      </c>
      <c r="S146" s="68">
        <f t="shared" ref="S146" si="416">SUM(S145)</f>
        <v>0</v>
      </c>
      <c r="T146" s="67">
        <f t="shared" ref="T146" si="417">SUM(T145)</f>
        <v>0</v>
      </c>
      <c r="U146" s="68">
        <f t="shared" ref="U146" si="418">SUM(U145)</f>
        <v>29</v>
      </c>
      <c r="V146" s="67">
        <f t="shared" ref="V146" si="419">SUM(V145)</f>
        <v>3.22248</v>
      </c>
      <c r="X146" s="69"/>
    </row>
    <row r="147" spans="1:24" s="56" customFormat="1">
      <c r="A147" s="57" t="s">
        <v>13</v>
      </c>
      <c r="B147" s="57" t="s">
        <v>46</v>
      </c>
      <c r="C147" s="58">
        <v>10.7</v>
      </c>
      <c r="D147" s="59">
        <v>8</v>
      </c>
      <c r="E147" s="60">
        <v>23</v>
      </c>
      <c r="F147" s="61">
        <f t="shared" ref="F147:F152" si="420">(C147*D147*E147/1000)</f>
        <v>1.9687999999999999</v>
      </c>
      <c r="G147" s="62"/>
      <c r="H147" s="63"/>
      <c r="I147" s="64">
        <f t="shared" ref="I147:I152" si="421">(C147*D147*H147/1000)</f>
        <v>0</v>
      </c>
      <c r="J147" s="61"/>
      <c r="K147" s="63"/>
      <c r="L147" s="64">
        <f t="shared" ref="L147:L152" si="422">(C147*D147*K147/1000)</f>
        <v>0</v>
      </c>
      <c r="M147" s="61"/>
      <c r="N147" s="63"/>
      <c r="O147" s="64">
        <f t="shared" ref="O147:O152" si="423">(C147*D147*N147/1000)</f>
        <v>0</v>
      </c>
      <c r="P147" s="61"/>
      <c r="Q147" s="63"/>
      <c r="R147" s="64">
        <f t="shared" ref="R147:R152" si="424">(C147*D147*Q147/1000)</f>
        <v>0</v>
      </c>
      <c r="S147" s="65">
        <f t="shared" ref="S147:T152" si="425">+H147+K147+Q147+N147</f>
        <v>0</v>
      </c>
      <c r="T147" s="64">
        <f t="shared" si="425"/>
        <v>0</v>
      </c>
      <c r="U147" s="42">
        <f t="shared" ref="U147:V152" si="426">E147-S147</f>
        <v>23</v>
      </c>
      <c r="V147" s="64">
        <f t="shared" si="426"/>
        <v>1.9687999999999999</v>
      </c>
      <c r="X147" s="69"/>
    </row>
    <row r="148" spans="1:24" s="56" customFormat="1">
      <c r="A148" s="57" t="s">
        <v>13</v>
      </c>
      <c r="B148" s="57" t="s">
        <v>46</v>
      </c>
      <c r="C148" s="58">
        <v>10.7</v>
      </c>
      <c r="D148" s="59">
        <v>9</v>
      </c>
      <c r="E148" s="60">
        <v>25</v>
      </c>
      <c r="F148" s="61">
        <f t="shared" si="420"/>
        <v>2.4075000000000002</v>
      </c>
      <c r="G148" s="62"/>
      <c r="H148" s="63"/>
      <c r="I148" s="64">
        <f t="shared" si="421"/>
        <v>0</v>
      </c>
      <c r="J148" s="61"/>
      <c r="K148" s="63"/>
      <c r="L148" s="64">
        <f t="shared" si="422"/>
        <v>0</v>
      </c>
      <c r="M148" s="61"/>
      <c r="N148" s="63"/>
      <c r="O148" s="64">
        <f t="shared" si="423"/>
        <v>0</v>
      </c>
      <c r="P148" s="61"/>
      <c r="Q148" s="63"/>
      <c r="R148" s="64">
        <f t="shared" si="424"/>
        <v>0</v>
      </c>
      <c r="S148" s="65">
        <f t="shared" si="425"/>
        <v>0</v>
      </c>
      <c r="T148" s="64">
        <f t="shared" si="425"/>
        <v>0</v>
      </c>
      <c r="U148" s="42">
        <f t="shared" si="426"/>
        <v>25</v>
      </c>
      <c r="V148" s="64">
        <f t="shared" si="426"/>
        <v>2.4075000000000002</v>
      </c>
      <c r="X148" s="69"/>
    </row>
    <row r="149" spans="1:24" s="56" customFormat="1">
      <c r="A149" s="57" t="s">
        <v>13</v>
      </c>
      <c r="B149" s="57" t="s">
        <v>46</v>
      </c>
      <c r="C149" s="58">
        <v>10.7</v>
      </c>
      <c r="D149" s="59">
        <v>10</v>
      </c>
      <c r="E149" s="60">
        <v>26</v>
      </c>
      <c r="F149" s="61">
        <f t="shared" si="420"/>
        <v>2.782</v>
      </c>
      <c r="G149" s="62"/>
      <c r="H149" s="63"/>
      <c r="I149" s="64">
        <f t="shared" si="421"/>
        <v>0</v>
      </c>
      <c r="J149" s="61"/>
      <c r="K149" s="63"/>
      <c r="L149" s="64">
        <f t="shared" si="422"/>
        <v>0</v>
      </c>
      <c r="M149" s="61"/>
      <c r="N149" s="63"/>
      <c r="O149" s="64">
        <f t="shared" si="423"/>
        <v>0</v>
      </c>
      <c r="P149" s="61"/>
      <c r="Q149" s="63"/>
      <c r="R149" s="64">
        <f t="shared" si="424"/>
        <v>0</v>
      </c>
      <c r="S149" s="65">
        <f t="shared" si="425"/>
        <v>0</v>
      </c>
      <c r="T149" s="64">
        <f t="shared" si="425"/>
        <v>0</v>
      </c>
      <c r="U149" s="42">
        <f t="shared" si="426"/>
        <v>26</v>
      </c>
      <c r="V149" s="64">
        <f t="shared" si="426"/>
        <v>2.782</v>
      </c>
      <c r="X149" s="69"/>
    </row>
    <row r="150" spans="1:24" s="56" customFormat="1">
      <c r="A150" s="57" t="s">
        <v>13</v>
      </c>
      <c r="B150" s="57" t="s">
        <v>46</v>
      </c>
      <c r="C150" s="58">
        <v>10.7</v>
      </c>
      <c r="D150" s="59">
        <v>11</v>
      </c>
      <c r="E150" s="60">
        <v>16</v>
      </c>
      <c r="F150" s="61">
        <f t="shared" si="420"/>
        <v>1.8831999999999998</v>
      </c>
      <c r="G150" s="62"/>
      <c r="H150" s="63"/>
      <c r="I150" s="64">
        <f t="shared" si="421"/>
        <v>0</v>
      </c>
      <c r="J150" s="61"/>
      <c r="K150" s="63"/>
      <c r="L150" s="64">
        <f t="shared" si="422"/>
        <v>0</v>
      </c>
      <c r="M150" s="61"/>
      <c r="N150" s="63"/>
      <c r="O150" s="64">
        <f t="shared" si="423"/>
        <v>0</v>
      </c>
      <c r="P150" s="61"/>
      <c r="Q150" s="63"/>
      <c r="R150" s="64">
        <f t="shared" si="424"/>
        <v>0</v>
      </c>
      <c r="S150" s="65">
        <f t="shared" si="425"/>
        <v>0</v>
      </c>
      <c r="T150" s="64">
        <f t="shared" si="425"/>
        <v>0</v>
      </c>
      <c r="U150" s="42">
        <f t="shared" si="426"/>
        <v>16</v>
      </c>
      <c r="V150" s="64">
        <f t="shared" si="426"/>
        <v>1.8831999999999998</v>
      </c>
      <c r="X150" s="69"/>
    </row>
    <row r="151" spans="1:24" s="56" customFormat="1">
      <c r="A151" s="57" t="s">
        <v>13</v>
      </c>
      <c r="B151" s="57" t="s">
        <v>46</v>
      </c>
      <c r="C151" s="58">
        <v>10.7</v>
      </c>
      <c r="D151" s="59">
        <v>11.9</v>
      </c>
      <c r="E151" s="60">
        <v>9</v>
      </c>
      <c r="F151" s="61">
        <f t="shared" si="420"/>
        <v>1.1459699999999999</v>
      </c>
      <c r="G151" s="62"/>
      <c r="H151" s="63"/>
      <c r="I151" s="64">
        <f t="shared" si="421"/>
        <v>0</v>
      </c>
      <c r="J151" s="61"/>
      <c r="K151" s="63"/>
      <c r="L151" s="64">
        <f t="shared" si="422"/>
        <v>0</v>
      </c>
      <c r="M151" s="61"/>
      <c r="N151" s="63"/>
      <c r="O151" s="64">
        <f t="shared" si="423"/>
        <v>0</v>
      </c>
      <c r="P151" s="61"/>
      <c r="Q151" s="63"/>
      <c r="R151" s="64">
        <f t="shared" si="424"/>
        <v>0</v>
      </c>
      <c r="S151" s="65">
        <f t="shared" si="425"/>
        <v>0</v>
      </c>
      <c r="T151" s="64">
        <f t="shared" si="425"/>
        <v>0</v>
      </c>
      <c r="U151" s="42">
        <f t="shared" si="426"/>
        <v>9</v>
      </c>
      <c r="V151" s="64">
        <f t="shared" si="426"/>
        <v>1.1459699999999999</v>
      </c>
      <c r="X151" s="69"/>
    </row>
    <row r="152" spans="1:24" s="56" customFormat="1">
      <c r="A152" s="57" t="s">
        <v>13</v>
      </c>
      <c r="B152" s="57" t="s">
        <v>46</v>
      </c>
      <c r="C152" s="58">
        <v>10.7</v>
      </c>
      <c r="D152" s="59">
        <v>12</v>
      </c>
      <c r="E152" s="60">
        <v>7</v>
      </c>
      <c r="F152" s="61">
        <f t="shared" si="420"/>
        <v>0.89879999999999982</v>
      </c>
      <c r="G152" s="62"/>
      <c r="H152" s="63"/>
      <c r="I152" s="64">
        <f t="shared" si="421"/>
        <v>0</v>
      </c>
      <c r="J152" s="61"/>
      <c r="K152" s="63"/>
      <c r="L152" s="64">
        <f t="shared" si="422"/>
        <v>0</v>
      </c>
      <c r="M152" s="61"/>
      <c r="N152" s="63"/>
      <c r="O152" s="64">
        <f t="shared" si="423"/>
        <v>0</v>
      </c>
      <c r="P152" s="61"/>
      <c r="Q152" s="63"/>
      <c r="R152" s="64">
        <f t="shared" si="424"/>
        <v>0</v>
      </c>
      <c r="S152" s="65">
        <f t="shared" si="425"/>
        <v>0</v>
      </c>
      <c r="T152" s="64">
        <f t="shared" si="425"/>
        <v>0</v>
      </c>
      <c r="U152" s="42">
        <f t="shared" si="426"/>
        <v>7</v>
      </c>
      <c r="V152" s="64">
        <f t="shared" si="426"/>
        <v>0.89879999999999982</v>
      </c>
      <c r="X152" s="69"/>
    </row>
    <row r="153" spans="1:24" s="56" customFormat="1">
      <c r="A153" s="41"/>
      <c r="B153" s="41"/>
      <c r="C153" s="66"/>
      <c r="D153" s="67"/>
      <c r="E153" s="68">
        <f>SUM(E147:E152)</f>
        <v>106</v>
      </c>
      <c r="F153" s="67">
        <f>SUM(F147:F152)</f>
        <v>11.086270000000001</v>
      </c>
      <c r="G153" s="62"/>
      <c r="H153" s="68">
        <f t="shared" ref="H153" si="427">SUM(H147:H152)</f>
        <v>0</v>
      </c>
      <c r="I153" s="67">
        <f t="shared" ref="I153" si="428">SUM(I147:I152)</f>
        <v>0</v>
      </c>
      <c r="J153" s="61"/>
      <c r="K153" s="68">
        <f t="shared" ref="K153" si="429">SUM(K147:K152)</f>
        <v>0</v>
      </c>
      <c r="L153" s="67">
        <f t="shared" ref="L153" si="430">SUM(L147:L152)</f>
        <v>0</v>
      </c>
      <c r="M153" s="61"/>
      <c r="N153" s="68">
        <f t="shared" ref="N153" si="431">SUM(N147:N152)</f>
        <v>0</v>
      </c>
      <c r="O153" s="67">
        <f t="shared" ref="O153" si="432">SUM(O147:O152)</f>
        <v>0</v>
      </c>
      <c r="P153" s="61"/>
      <c r="Q153" s="68">
        <f t="shared" ref="Q153" si="433">SUM(Q147:Q152)</f>
        <v>0</v>
      </c>
      <c r="R153" s="67">
        <f t="shared" ref="R153" si="434">SUM(R147:R152)</f>
        <v>0</v>
      </c>
      <c r="S153" s="68">
        <f t="shared" ref="S153" si="435">SUM(S147:S152)</f>
        <v>0</v>
      </c>
      <c r="T153" s="67">
        <f t="shared" ref="T153" si="436">SUM(T147:T152)</f>
        <v>0</v>
      </c>
      <c r="U153" s="68">
        <f t="shared" ref="U153" si="437">SUM(U147:U152)</f>
        <v>106</v>
      </c>
      <c r="V153" s="67">
        <f t="shared" ref="V153" si="438">SUM(V147:V152)</f>
        <v>11.086270000000001</v>
      </c>
      <c r="X153" s="69"/>
    </row>
    <row r="154" spans="1:24" s="56" customFormat="1">
      <c r="A154" s="57" t="s">
        <v>13</v>
      </c>
      <c r="B154" s="57" t="s">
        <v>61</v>
      </c>
      <c r="C154" s="58">
        <v>12.2</v>
      </c>
      <c r="D154" s="59">
        <v>10</v>
      </c>
      <c r="E154" s="60">
        <v>52</v>
      </c>
      <c r="F154" s="61">
        <f t="shared" ref="F154:F158" si="439">(C154*D154*E154/1000)</f>
        <v>6.3440000000000003</v>
      </c>
      <c r="G154" s="62"/>
      <c r="H154" s="63"/>
      <c r="I154" s="64">
        <f t="shared" ref="I154:I158" si="440">(C154*D154*H154/1000)</f>
        <v>0</v>
      </c>
      <c r="J154" s="61"/>
      <c r="K154" s="63"/>
      <c r="L154" s="64">
        <f t="shared" ref="L154:L158" si="441">(C154*D154*K154/1000)</f>
        <v>0</v>
      </c>
      <c r="M154" s="61"/>
      <c r="N154" s="63"/>
      <c r="O154" s="64">
        <f t="shared" ref="O154:O158" si="442">(C154*D154*N154/1000)</f>
        <v>0</v>
      </c>
      <c r="P154" s="61"/>
      <c r="Q154" s="63"/>
      <c r="R154" s="64">
        <f t="shared" ref="R154:R158" si="443">(C154*D154*Q154/1000)</f>
        <v>0</v>
      </c>
      <c r="S154" s="65">
        <f t="shared" ref="S154:T158" si="444">+H154+K154+Q154+N154</f>
        <v>0</v>
      </c>
      <c r="T154" s="64">
        <f t="shared" si="444"/>
        <v>0</v>
      </c>
      <c r="U154" s="42">
        <f t="shared" ref="U154:V158" si="445">E154-S154</f>
        <v>52</v>
      </c>
      <c r="V154" s="64">
        <f t="shared" si="445"/>
        <v>6.3440000000000003</v>
      </c>
      <c r="X154" s="69"/>
    </row>
    <row r="155" spans="1:24" s="56" customFormat="1">
      <c r="A155" s="57" t="s">
        <v>13</v>
      </c>
      <c r="B155" s="57" t="s">
        <v>61</v>
      </c>
      <c r="C155" s="58">
        <v>12.2</v>
      </c>
      <c r="D155" s="59">
        <v>10.4</v>
      </c>
      <c r="E155" s="60">
        <v>20</v>
      </c>
      <c r="F155" s="61">
        <f t="shared" si="439"/>
        <v>2.5375999999999999</v>
      </c>
      <c r="G155" s="62"/>
      <c r="H155" s="63"/>
      <c r="I155" s="64">
        <f t="shared" si="440"/>
        <v>0</v>
      </c>
      <c r="J155" s="61"/>
      <c r="K155" s="63"/>
      <c r="L155" s="64">
        <f t="shared" si="441"/>
        <v>0</v>
      </c>
      <c r="M155" s="61"/>
      <c r="N155" s="63"/>
      <c r="O155" s="64">
        <f t="shared" si="442"/>
        <v>0</v>
      </c>
      <c r="P155" s="61"/>
      <c r="Q155" s="63"/>
      <c r="R155" s="64">
        <f t="shared" si="443"/>
        <v>0</v>
      </c>
      <c r="S155" s="65">
        <f t="shared" si="444"/>
        <v>0</v>
      </c>
      <c r="T155" s="64">
        <f t="shared" si="444"/>
        <v>0</v>
      </c>
      <c r="U155" s="42">
        <f t="shared" si="445"/>
        <v>20</v>
      </c>
      <c r="V155" s="64">
        <f t="shared" si="445"/>
        <v>2.5375999999999999</v>
      </c>
      <c r="X155" s="69"/>
    </row>
    <row r="156" spans="1:24" s="56" customFormat="1">
      <c r="A156" s="57" t="s">
        <v>13</v>
      </c>
      <c r="B156" s="57" t="s">
        <v>61</v>
      </c>
      <c r="C156" s="58">
        <v>12.2</v>
      </c>
      <c r="D156" s="59">
        <v>11</v>
      </c>
      <c r="E156" s="60">
        <v>20</v>
      </c>
      <c r="F156" s="61">
        <f t="shared" si="439"/>
        <v>2.6840000000000002</v>
      </c>
      <c r="G156" s="62"/>
      <c r="H156" s="63"/>
      <c r="I156" s="64">
        <f t="shared" si="440"/>
        <v>0</v>
      </c>
      <c r="J156" s="61"/>
      <c r="K156" s="63"/>
      <c r="L156" s="64">
        <f t="shared" si="441"/>
        <v>0</v>
      </c>
      <c r="M156" s="61"/>
      <c r="N156" s="63"/>
      <c r="O156" s="64">
        <f t="shared" si="442"/>
        <v>0</v>
      </c>
      <c r="P156" s="61"/>
      <c r="Q156" s="63"/>
      <c r="R156" s="64">
        <f t="shared" si="443"/>
        <v>0</v>
      </c>
      <c r="S156" s="65">
        <f t="shared" si="444"/>
        <v>0</v>
      </c>
      <c r="T156" s="64">
        <f t="shared" si="444"/>
        <v>0</v>
      </c>
      <c r="U156" s="42">
        <f t="shared" si="445"/>
        <v>20</v>
      </c>
      <c r="V156" s="64">
        <f t="shared" si="445"/>
        <v>2.6840000000000002</v>
      </c>
      <c r="X156" s="69"/>
    </row>
    <row r="157" spans="1:24" s="56" customFormat="1">
      <c r="A157" s="57" t="s">
        <v>13</v>
      </c>
      <c r="B157" s="57" t="s">
        <v>61</v>
      </c>
      <c r="C157" s="58">
        <v>12.2</v>
      </c>
      <c r="D157" s="59">
        <v>11.7</v>
      </c>
      <c r="E157" s="60">
        <v>42</v>
      </c>
      <c r="F157" s="61">
        <f t="shared" si="439"/>
        <v>5.9950799999999989</v>
      </c>
      <c r="G157" s="62"/>
      <c r="H157" s="63"/>
      <c r="I157" s="64">
        <f t="shared" si="440"/>
        <v>0</v>
      </c>
      <c r="J157" s="61"/>
      <c r="K157" s="63"/>
      <c r="L157" s="64">
        <f t="shared" si="441"/>
        <v>0</v>
      </c>
      <c r="M157" s="61"/>
      <c r="N157" s="63"/>
      <c r="O157" s="64">
        <f t="shared" si="442"/>
        <v>0</v>
      </c>
      <c r="P157" s="61"/>
      <c r="Q157" s="63"/>
      <c r="R157" s="64">
        <f t="shared" si="443"/>
        <v>0</v>
      </c>
      <c r="S157" s="65">
        <f t="shared" si="444"/>
        <v>0</v>
      </c>
      <c r="T157" s="64">
        <f t="shared" si="444"/>
        <v>0</v>
      </c>
      <c r="U157" s="42">
        <f t="shared" si="445"/>
        <v>42</v>
      </c>
      <c r="V157" s="64">
        <f t="shared" si="445"/>
        <v>5.9950799999999989</v>
      </c>
      <c r="X157" s="69"/>
    </row>
    <row r="158" spans="1:24" s="56" customFormat="1">
      <c r="A158" s="57" t="s">
        <v>13</v>
      </c>
      <c r="B158" s="57" t="s">
        <v>61</v>
      </c>
      <c r="C158" s="58">
        <v>12.2</v>
      </c>
      <c r="D158" s="59">
        <v>12</v>
      </c>
      <c r="E158" s="60">
        <v>32</v>
      </c>
      <c r="F158" s="61">
        <f t="shared" si="439"/>
        <v>4.6847999999999992</v>
      </c>
      <c r="G158" s="62"/>
      <c r="H158" s="63"/>
      <c r="I158" s="64">
        <f t="shared" si="440"/>
        <v>0</v>
      </c>
      <c r="J158" s="61"/>
      <c r="K158" s="63"/>
      <c r="L158" s="64">
        <f t="shared" si="441"/>
        <v>0</v>
      </c>
      <c r="M158" s="61"/>
      <c r="N158" s="63"/>
      <c r="O158" s="64">
        <f t="shared" si="442"/>
        <v>0</v>
      </c>
      <c r="P158" s="61"/>
      <c r="Q158" s="63"/>
      <c r="R158" s="64">
        <f t="shared" si="443"/>
        <v>0</v>
      </c>
      <c r="S158" s="65">
        <f t="shared" si="444"/>
        <v>0</v>
      </c>
      <c r="T158" s="64">
        <f t="shared" si="444"/>
        <v>0</v>
      </c>
      <c r="U158" s="42">
        <f t="shared" si="445"/>
        <v>32</v>
      </c>
      <c r="V158" s="64">
        <f t="shared" si="445"/>
        <v>4.6847999999999992</v>
      </c>
      <c r="X158" s="69"/>
    </row>
    <row r="159" spans="1:24" s="56" customFormat="1">
      <c r="A159" s="41"/>
      <c r="B159" s="41"/>
      <c r="C159" s="66"/>
      <c r="D159" s="67"/>
      <c r="E159" s="68">
        <f t="shared" ref="E159:F159" si="446">SUM(E154:E158)</f>
        <v>166</v>
      </c>
      <c r="F159" s="67">
        <f t="shared" si="446"/>
        <v>22.245479999999997</v>
      </c>
      <c r="G159" s="62"/>
      <c r="H159" s="68">
        <f t="shared" ref="H159" si="447">SUM(H154:H158)</f>
        <v>0</v>
      </c>
      <c r="I159" s="67">
        <f t="shared" ref="I159" si="448">SUM(I154:I158)</f>
        <v>0</v>
      </c>
      <c r="J159" s="61"/>
      <c r="K159" s="68">
        <f t="shared" ref="K159" si="449">SUM(K154:K158)</f>
        <v>0</v>
      </c>
      <c r="L159" s="67">
        <f t="shared" ref="L159" si="450">SUM(L154:L158)</f>
        <v>0</v>
      </c>
      <c r="M159" s="61"/>
      <c r="N159" s="68">
        <f t="shared" ref="N159" si="451">SUM(N154:N158)</f>
        <v>0</v>
      </c>
      <c r="O159" s="67">
        <f t="shared" ref="O159" si="452">SUM(O154:O158)</f>
        <v>0</v>
      </c>
      <c r="P159" s="61"/>
      <c r="Q159" s="68">
        <f t="shared" ref="Q159" si="453">SUM(Q154:Q158)</f>
        <v>0</v>
      </c>
      <c r="R159" s="67">
        <f t="shared" ref="R159" si="454">SUM(R154:R158)</f>
        <v>0</v>
      </c>
      <c r="S159" s="68">
        <f t="shared" ref="S159" si="455">SUM(S154:S158)</f>
        <v>0</v>
      </c>
      <c r="T159" s="67">
        <f t="shared" ref="T159" si="456">SUM(T154:T158)</f>
        <v>0</v>
      </c>
      <c r="U159" s="68">
        <f t="shared" ref="U159" si="457">SUM(U154:U158)</f>
        <v>166</v>
      </c>
      <c r="V159" s="67">
        <f t="shared" ref="V159" si="458">SUM(V154:V158)</f>
        <v>22.245479999999997</v>
      </c>
      <c r="X159" s="69"/>
    </row>
    <row r="170" spans="18:18">
      <c r="R170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53"/>
  <dimension ref="A1:X46"/>
  <sheetViews>
    <sheetView zoomScale="75" zoomScaleNormal="75" workbookViewId="0">
      <pane ySplit="5" topLeftCell="A15" activePane="bottomLeft" state="frozen"/>
      <selection pane="bottomLeft" activeCell="H29" sqref="H2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LOI-563  28.07.23</v>
      </c>
      <c r="D1" s="1"/>
      <c r="E1" s="2"/>
      <c r="F1" s="2"/>
      <c r="G1" s="143" t="s">
        <v>222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LOI-563  28.07.23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218</v>
      </c>
      <c r="B2" s="8"/>
      <c r="C2" s="9"/>
      <c r="D2" s="9"/>
      <c r="E2" s="10"/>
      <c r="F2" s="146" t="s">
        <v>305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LOI-563  28.07.23</v>
      </c>
      <c r="V2" s="146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49</v>
      </c>
      <c r="C6" s="30">
        <v>14.66</v>
      </c>
      <c r="D6" s="27">
        <v>12</v>
      </c>
      <c r="E6" s="28">
        <v>4</v>
      </c>
      <c r="F6" s="16">
        <f>(C6*D6*E6/1000)</f>
        <v>0.70368000000000008</v>
      </c>
      <c r="G6" s="17" t="s">
        <v>111</v>
      </c>
      <c r="H6" s="18">
        <v>4</v>
      </c>
      <c r="I6" s="19">
        <f>(C6*D6*H6/1000)</f>
        <v>0.70368000000000008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4</v>
      </c>
      <c r="T6" s="19">
        <f>+I6+L6+R6+O6</f>
        <v>0.70368000000000008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4</v>
      </c>
      <c r="F7" s="38">
        <f t="shared" si="0"/>
        <v>0.70368000000000008</v>
      </c>
      <c r="G7" t="s">
        <v>422</v>
      </c>
      <c r="H7" s="31">
        <f t="shared" ref="H7" si="1">SUM(H6)</f>
        <v>4</v>
      </c>
      <c r="I7" s="38">
        <f t="shared" ref="I7" si="2">SUM(I6)</f>
        <v>0.70368000000000008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4</v>
      </c>
      <c r="T7" s="38">
        <f t="shared" ref="T7" si="10">SUM(T6)</f>
        <v>0.70368000000000008</v>
      </c>
      <c r="U7" s="31">
        <f t="shared" ref="U7" si="11">SUM(U6)</f>
        <v>0</v>
      </c>
      <c r="V7" s="38">
        <f t="shared" ref="V7" si="12">SUM(V6)</f>
        <v>0</v>
      </c>
      <c r="X7" s="29"/>
    </row>
    <row r="8" spans="1:24">
      <c r="A8" s="26" t="s">
        <v>13</v>
      </c>
      <c r="B8" s="26" t="s">
        <v>31</v>
      </c>
      <c r="C8" s="30">
        <v>10.199999999999999</v>
      </c>
      <c r="D8" s="27">
        <v>10</v>
      </c>
      <c r="E8" s="28">
        <v>2</v>
      </c>
      <c r="F8" s="16">
        <f t="shared" ref="F8:F9" si="13">(C8*D8*E8/1000)</f>
        <v>0.20399999999999999</v>
      </c>
      <c r="G8" s="17" t="s">
        <v>111</v>
      </c>
      <c r="H8" s="18">
        <v>2</v>
      </c>
      <c r="I8" s="19">
        <f t="shared" ref="I8:I9" si="14">(C8*D8*H8/1000)</f>
        <v>0.20399999999999999</v>
      </c>
      <c r="J8" s="16"/>
      <c r="K8" s="18"/>
      <c r="L8" s="19">
        <f t="shared" ref="L8:L9" si="15">(C8*D8*K8/1000)</f>
        <v>0</v>
      </c>
      <c r="M8" s="16"/>
      <c r="N8" s="18"/>
      <c r="O8" s="19">
        <f t="shared" ref="O8:O9" si="16">(C8*D8*N8/1000)</f>
        <v>0</v>
      </c>
      <c r="P8" s="16"/>
      <c r="Q8" s="18"/>
      <c r="R8" s="19">
        <f t="shared" ref="R8:R9" si="17">(C8*D8*Q8/1000)</f>
        <v>0</v>
      </c>
      <c r="S8" s="20">
        <f t="shared" ref="S8:S9" si="18">+H8+K8+Q8+N8</f>
        <v>2</v>
      </c>
      <c r="T8" s="19">
        <f t="shared" ref="T8:T9" si="19">+I8+L8+R8+O8</f>
        <v>0.20399999999999999</v>
      </c>
      <c r="U8" s="21">
        <f t="shared" ref="U8:U9" si="20">E8-S8</f>
        <v>0</v>
      </c>
      <c r="V8" s="19">
        <f t="shared" ref="V8:V9" si="21">F8-T8</f>
        <v>0</v>
      </c>
      <c r="X8" s="29"/>
    </row>
    <row r="9" spans="1:24">
      <c r="A9" s="26" t="s">
        <v>13</v>
      </c>
      <c r="B9" s="26" t="s">
        <v>31</v>
      </c>
      <c r="C9" s="30">
        <v>10.199999999999999</v>
      </c>
      <c r="D9" s="27">
        <v>10.5</v>
      </c>
      <c r="E9" s="28">
        <v>29</v>
      </c>
      <c r="F9" s="16">
        <f t="shared" si="13"/>
        <v>3.1058999999999997</v>
      </c>
      <c r="G9" t="s">
        <v>422</v>
      </c>
      <c r="H9" s="18">
        <v>29</v>
      </c>
      <c r="I9" s="19">
        <f t="shared" si="14"/>
        <v>3.1058999999999997</v>
      </c>
      <c r="J9" s="16"/>
      <c r="K9" s="18"/>
      <c r="L9" s="19">
        <f t="shared" si="15"/>
        <v>0</v>
      </c>
      <c r="M9" s="16"/>
      <c r="N9" s="18"/>
      <c r="O9" s="19">
        <f t="shared" si="16"/>
        <v>0</v>
      </c>
      <c r="P9" s="16"/>
      <c r="Q9" s="18"/>
      <c r="R9" s="19">
        <f t="shared" si="17"/>
        <v>0</v>
      </c>
      <c r="S9" s="20">
        <f t="shared" si="18"/>
        <v>29</v>
      </c>
      <c r="T9" s="19">
        <f t="shared" si="19"/>
        <v>3.1058999999999997</v>
      </c>
      <c r="U9" s="21">
        <f t="shared" si="20"/>
        <v>0</v>
      </c>
      <c r="V9" s="19">
        <f t="shared" si="21"/>
        <v>0</v>
      </c>
      <c r="X9" s="29"/>
    </row>
    <row r="10" spans="1:24">
      <c r="A10" s="36"/>
      <c r="B10" s="36"/>
      <c r="C10" s="37"/>
      <c r="D10" s="38"/>
      <c r="E10" s="31">
        <f t="shared" ref="E10:F10" si="22">SUM(E8:E9)</f>
        <v>31</v>
      </c>
      <c r="F10" s="38">
        <f t="shared" si="22"/>
        <v>3.3098999999999998</v>
      </c>
      <c r="G10" s="17"/>
      <c r="H10" s="31">
        <f t="shared" ref="H10" si="23">SUM(H8:H9)</f>
        <v>31</v>
      </c>
      <c r="I10" s="38">
        <f t="shared" ref="I10" si="24">SUM(I8:I9)</f>
        <v>3.3098999999999998</v>
      </c>
      <c r="J10" s="16"/>
      <c r="K10" s="31">
        <f t="shared" ref="K10" si="25">SUM(K8:K9)</f>
        <v>0</v>
      </c>
      <c r="L10" s="38">
        <f t="shared" ref="L10" si="26">SUM(L8:L9)</f>
        <v>0</v>
      </c>
      <c r="M10" s="16"/>
      <c r="N10" s="31">
        <f t="shared" ref="N10" si="27">SUM(N8:N9)</f>
        <v>0</v>
      </c>
      <c r="O10" s="38">
        <f t="shared" ref="O10" si="28">SUM(O8:O9)</f>
        <v>0</v>
      </c>
      <c r="P10" s="16"/>
      <c r="Q10" s="31">
        <f t="shared" ref="Q10" si="29">SUM(Q8:Q9)</f>
        <v>0</v>
      </c>
      <c r="R10" s="38">
        <f t="shared" ref="R10" si="30">SUM(R8:R9)</f>
        <v>0</v>
      </c>
      <c r="S10" s="31">
        <f t="shared" ref="S10" si="31">SUM(S8:S9)</f>
        <v>31</v>
      </c>
      <c r="T10" s="38">
        <f t="shared" ref="T10" si="32">SUM(T8:T9)</f>
        <v>3.3098999999999998</v>
      </c>
      <c r="U10" s="31">
        <f t="shared" ref="U10" si="33">SUM(U8:U9)</f>
        <v>0</v>
      </c>
      <c r="V10" s="38">
        <f t="shared" ref="V10" si="34">SUM(V8:V9)</f>
        <v>0</v>
      </c>
      <c r="X10" s="29"/>
    </row>
    <row r="11" spans="1:24">
      <c r="A11" s="26" t="s">
        <v>13</v>
      </c>
      <c r="B11" s="26" t="s">
        <v>47</v>
      </c>
      <c r="C11" s="30">
        <v>18.149999999999999</v>
      </c>
      <c r="D11" s="27">
        <v>12</v>
      </c>
      <c r="E11" s="28">
        <v>4</v>
      </c>
      <c r="F11" s="16">
        <f>(C11*D11*E11/1000)</f>
        <v>0.87119999999999997</v>
      </c>
      <c r="G11" s="17" t="s">
        <v>111</v>
      </c>
      <c r="H11" s="18">
        <v>4</v>
      </c>
      <c r="I11" s="19">
        <f>(C11*D11*H11/1000)</f>
        <v>0.87119999999999997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4</v>
      </c>
      <c r="T11" s="19">
        <f>+I11+L11+R11+O11</f>
        <v>0.87119999999999997</v>
      </c>
      <c r="U11" s="21">
        <f>E11-S11</f>
        <v>0</v>
      </c>
      <c r="V11" s="19">
        <f>F11-T11</f>
        <v>0</v>
      </c>
      <c r="X11" s="29"/>
    </row>
    <row r="12" spans="1:24">
      <c r="A12" s="36"/>
      <c r="B12" s="36"/>
      <c r="C12" s="37"/>
      <c r="D12" s="38"/>
      <c r="E12" s="31">
        <f t="shared" ref="E12:F12" si="35">SUM(E11)</f>
        <v>4</v>
      </c>
      <c r="F12" s="38">
        <f t="shared" si="35"/>
        <v>0.87119999999999997</v>
      </c>
      <c r="G12" t="s">
        <v>422</v>
      </c>
      <c r="H12" s="31">
        <f t="shared" ref="H12" si="36">SUM(H11)</f>
        <v>4</v>
      </c>
      <c r="I12" s="38">
        <f t="shared" ref="I12" si="37">SUM(I11)</f>
        <v>0.87119999999999997</v>
      </c>
      <c r="J12" s="16"/>
      <c r="K12" s="31">
        <f t="shared" ref="K12" si="38">SUM(K11)</f>
        <v>0</v>
      </c>
      <c r="L12" s="38">
        <f t="shared" ref="L12" si="39">SUM(L11)</f>
        <v>0</v>
      </c>
      <c r="M12" s="16"/>
      <c r="N12" s="31">
        <f t="shared" ref="N12" si="40">SUM(N11)</f>
        <v>0</v>
      </c>
      <c r="O12" s="38">
        <f t="shared" ref="O12" si="41">SUM(O11)</f>
        <v>0</v>
      </c>
      <c r="P12" s="16"/>
      <c r="Q12" s="31">
        <f t="shared" ref="Q12" si="42">SUM(Q11)</f>
        <v>0</v>
      </c>
      <c r="R12" s="38">
        <f t="shared" ref="R12" si="43">SUM(R11)</f>
        <v>0</v>
      </c>
      <c r="S12" s="31">
        <f t="shared" ref="S12" si="44">SUM(S11)</f>
        <v>4</v>
      </c>
      <c r="T12" s="38">
        <f t="shared" ref="T12" si="45">SUM(T11)</f>
        <v>0.87119999999999997</v>
      </c>
      <c r="U12" s="31">
        <f t="shared" ref="U12" si="46">SUM(U11)</f>
        <v>0</v>
      </c>
      <c r="V12" s="38">
        <f t="shared" ref="V12" si="47">SUM(V11)</f>
        <v>0</v>
      </c>
      <c r="X12" s="29"/>
    </row>
    <row r="13" spans="1:24">
      <c r="A13" s="26" t="s">
        <v>13</v>
      </c>
      <c r="B13" s="26" t="s">
        <v>51</v>
      </c>
      <c r="C13" s="30">
        <v>19.72</v>
      </c>
      <c r="D13" s="27">
        <v>10.6</v>
      </c>
      <c r="E13" s="28">
        <v>4</v>
      </c>
      <c r="F13" s="16">
        <f>(C13*D13*E13/1000)</f>
        <v>0.83612799999999998</v>
      </c>
      <c r="G13" s="17" t="s">
        <v>111</v>
      </c>
      <c r="H13" s="18">
        <v>4</v>
      </c>
      <c r="I13" s="19">
        <f>(C13*D13*H13/1000)</f>
        <v>0.83612799999999998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4</v>
      </c>
      <c r="T13" s="19">
        <f>+I13+L13+R13+O13</f>
        <v>0.83612799999999998</v>
      </c>
      <c r="U13" s="21">
        <f>E13-S13</f>
        <v>0</v>
      </c>
      <c r="V13" s="19">
        <f>F13-T13</f>
        <v>0</v>
      </c>
      <c r="X13" s="29"/>
    </row>
    <row r="14" spans="1:24">
      <c r="A14" s="26" t="s">
        <v>13</v>
      </c>
      <c r="B14" s="26" t="s">
        <v>51</v>
      </c>
      <c r="C14" s="30">
        <v>19.72</v>
      </c>
      <c r="D14" s="27">
        <v>11.4</v>
      </c>
      <c r="E14" s="28">
        <v>12</v>
      </c>
      <c r="F14" s="16">
        <f>(C14*D14*E14/1000)</f>
        <v>2.6976960000000001</v>
      </c>
      <c r="G14" t="s">
        <v>422</v>
      </c>
      <c r="H14" s="18">
        <v>12</v>
      </c>
      <c r="I14" s="19">
        <f>(C14*D14*H14/1000)</f>
        <v>2.6976960000000001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12</v>
      </c>
      <c r="T14" s="19">
        <f>+I14+L14+R14+O14</f>
        <v>2.6976960000000001</v>
      </c>
      <c r="U14" s="21">
        <f>E14-S14</f>
        <v>0</v>
      </c>
      <c r="V14" s="19">
        <f>F14-T14</f>
        <v>0</v>
      </c>
      <c r="X14" s="29"/>
    </row>
    <row r="15" spans="1:24">
      <c r="A15" s="36"/>
      <c r="B15" s="36"/>
      <c r="C15" s="37"/>
      <c r="D15" s="38"/>
      <c r="E15" s="31">
        <f t="shared" ref="E15:F15" si="48">SUM(E13:E14)</f>
        <v>16</v>
      </c>
      <c r="F15" s="38">
        <f t="shared" si="48"/>
        <v>3.5338240000000001</v>
      </c>
      <c r="G15" s="17"/>
      <c r="H15" s="31">
        <f t="shared" ref="H15" si="49">SUM(H13:H14)</f>
        <v>16</v>
      </c>
      <c r="I15" s="38">
        <f t="shared" ref="I15" si="50">SUM(I13:I14)</f>
        <v>3.5338240000000001</v>
      </c>
      <c r="J15" s="16"/>
      <c r="K15" s="31">
        <f t="shared" ref="K15" si="51">SUM(K13:K14)</f>
        <v>0</v>
      </c>
      <c r="L15" s="38">
        <f t="shared" ref="L15" si="52">SUM(L13:L14)</f>
        <v>0</v>
      </c>
      <c r="M15" s="16"/>
      <c r="N15" s="31">
        <f t="shared" ref="N15" si="53">SUM(N13:N14)</f>
        <v>0</v>
      </c>
      <c r="O15" s="38">
        <f t="shared" ref="O15" si="54">SUM(O13:O14)</f>
        <v>0</v>
      </c>
      <c r="P15" s="16"/>
      <c r="Q15" s="31">
        <f t="shared" ref="Q15" si="55">SUM(Q13:Q14)</f>
        <v>0</v>
      </c>
      <c r="R15" s="38">
        <f t="shared" ref="R15" si="56">SUM(R13:R14)</f>
        <v>0</v>
      </c>
      <c r="S15" s="31">
        <f t="shared" ref="S15" si="57">SUM(S13:S14)</f>
        <v>16</v>
      </c>
      <c r="T15" s="38">
        <f t="shared" ref="T15" si="58">SUM(T13:T14)</f>
        <v>3.5338240000000001</v>
      </c>
      <c r="U15" s="31">
        <f t="shared" ref="U15" si="59">SUM(U13:U14)</f>
        <v>0</v>
      </c>
      <c r="V15" s="38">
        <f t="shared" ref="V15" si="60">SUM(V13:V14)</f>
        <v>0</v>
      </c>
      <c r="X15" s="29"/>
    </row>
    <row r="16" spans="1:24">
      <c r="A16" s="26" t="s">
        <v>13</v>
      </c>
      <c r="B16" s="26" t="s">
        <v>52</v>
      </c>
      <c r="C16" s="30">
        <v>21.7</v>
      </c>
      <c r="D16" s="27">
        <v>8.9</v>
      </c>
      <c r="E16" s="28">
        <v>2</v>
      </c>
      <c r="F16" s="16">
        <f>(C16*D16*E16/1000)</f>
        <v>0.38625999999999999</v>
      </c>
      <c r="G16" s="17" t="s">
        <v>111</v>
      </c>
      <c r="H16" s="18">
        <v>2</v>
      </c>
      <c r="I16" s="19">
        <f>(C16*D16*H16/1000)</f>
        <v>0.38625999999999999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2</v>
      </c>
      <c r="T16" s="19">
        <f>+I16+L16+R16+O16</f>
        <v>0.38625999999999999</v>
      </c>
      <c r="U16" s="21">
        <f>E16-S16</f>
        <v>0</v>
      </c>
      <c r="V16" s="19">
        <f>F16-T16</f>
        <v>0</v>
      </c>
    </row>
    <row r="17" spans="1:24">
      <c r="A17" s="36"/>
      <c r="B17" s="36"/>
      <c r="C17" s="37"/>
      <c r="D17" s="38"/>
      <c r="E17" s="31">
        <f t="shared" ref="E17:F17" si="61">SUM(E16)</f>
        <v>2</v>
      </c>
      <c r="F17" s="38">
        <f t="shared" si="61"/>
        <v>0.38625999999999999</v>
      </c>
      <c r="G17" t="s">
        <v>422</v>
      </c>
      <c r="H17" s="31">
        <f t="shared" ref="H17" si="62">SUM(H16)</f>
        <v>2</v>
      </c>
      <c r="I17" s="38">
        <f t="shared" ref="I17" si="63">SUM(I16)</f>
        <v>0.38625999999999999</v>
      </c>
      <c r="K17" s="31">
        <f t="shared" ref="K17" si="64">SUM(K16)</f>
        <v>0</v>
      </c>
      <c r="L17" s="38">
        <f t="shared" ref="L17" si="65">SUM(L16)</f>
        <v>0</v>
      </c>
      <c r="N17" s="31">
        <f t="shared" ref="N17" si="66">SUM(N16)</f>
        <v>0</v>
      </c>
      <c r="O17" s="38">
        <f t="shared" ref="O17" si="67">SUM(O16)</f>
        <v>0</v>
      </c>
      <c r="Q17" s="31">
        <f t="shared" ref="Q17" si="68">SUM(Q16)</f>
        <v>0</v>
      </c>
      <c r="R17" s="38">
        <f t="shared" ref="R17" si="69">SUM(R16)</f>
        <v>0</v>
      </c>
      <c r="S17" s="31">
        <f t="shared" ref="S17" si="70">SUM(S16)</f>
        <v>2</v>
      </c>
      <c r="T17" s="38">
        <f t="shared" ref="T17" si="71">SUM(T16)</f>
        <v>0.38625999999999999</v>
      </c>
      <c r="U17" s="31">
        <f t="shared" ref="U17" si="72">SUM(U16)</f>
        <v>0</v>
      </c>
      <c r="V17" s="38">
        <f t="shared" ref="V17" si="73">SUM(V16)</f>
        <v>0</v>
      </c>
    </row>
    <row r="18" spans="1:24">
      <c r="A18" s="26" t="s">
        <v>13</v>
      </c>
      <c r="B18" s="26" t="s">
        <v>56</v>
      </c>
      <c r="C18" s="30">
        <v>17.82</v>
      </c>
      <c r="D18" s="27">
        <v>12</v>
      </c>
      <c r="E18" s="28">
        <v>1</v>
      </c>
      <c r="F18" s="16">
        <f>(C18*D18*E18/1000)</f>
        <v>0.21384</v>
      </c>
      <c r="G18" s="17" t="s">
        <v>111</v>
      </c>
      <c r="H18" s="18">
        <v>1</v>
      </c>
      <c r="I18" s="19">
        <f>(C18*D18*H18/1000)</f>
        <v>0.21384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1</v>
      </c>
      <c r="T18" s="19">
        <f>+I18+L18+R18+O18</f>
        <v>0.21384</v>
      </c>
      <c r="U18" s="21">
        <f>E18-S18</f>
        <v>0</v>
      </c>
      <c r="V18" s="19">
        <f>F18-T18</f>
        <v>0</v>
      </c>
    </row>
    <row r="19" spans="1:24">
      <c r="A19" s="36"/>
      <c r="B19" s="36"/>
      <c r="C19" s="37"/>
      <c r="D19" s="38"/>
      <c r="E19" s="31">
        <f t="shared" ref="E19:F19" si="74">SUM(E18)</f>
        <v>1</v>
      </c>
      <c r="F19" s="38">
        <f t="shared" si="74"/>
        <v>0.21384</v>
      </c>
      <c r="G19" t="s">
        <v>422</v>
      </c>
      <c r="H19" s="31">
        <f t="shared" ref="H19" si="75">SUM(H18)</f>
        <v>1</v>
      </c>
      <c r="I19" s="38">
        <f t="shared" ref="I19" si="76">SUM(I18)</f>
        <v>0.21384</v>
      </c>
      <c r="K19" s="31">
        <f t="shared" ref="K19" si="77">SUM(K18)</f>
        <v>0</v>
      </c>
      <c r="L19" s="38">
        <f t="shared" ref="L19" si="78">SUM(L18)</f>
        <v>0</v>
      </c>
      <c r="N19" s="31">
        <f t="shared" ref="N19" si="79">SUM(N18)</f>
        <v>0</v>
      </c>
      <c r="O19" s="38">
        <f t="shared" ref="O19" si="80">SUM(O18)</f>
        <v>0</v>
      </c>
      <c r="Q19" s="31">
        <f t="shared" ref="Q19" si="81">SUM(Q18)</f>
        <v>0</v>
      </c>
      <c r="R19" s="38">
        <f t="shared" ref="R19" si="82">SUM(R18)</f>
        <v>0</v>
      </c>
      <c r="S19" s="31">
        <f t="shared" ref="S19" si="83">SUM(S18)</f>
        <v>1</v>
      </c>
      <c r="T19" s="38">
        <f t="shared" ref="T19" si="84">SUM(T18)</f>
        <v>0.21384</v>
      </c>
      <c r="U19" s="31">
        <f t="shared" ref="U19" si="85">SUM(U18)</f>
        <v>0</v>
      </c>
      <c r="V19" s="38">
        <f t="shared" ref="V19" si="86">SUM(V18)</f>
        <v>0</v>
      </c>
    </row>
    <row r="20" spans="1:24" s="56" customFormat="1">
      <c r="A20" s="26" t="s">
        <v>13</v>
      </c>
      <c r="B20" s="26" t="s">
        <v>124</v>
      </c>
      <c r="C20" s="30">
        <v>22.93</v>
      </c>
      <c r="D20" s="27">
        <v>7</v>
      </c>
      <c r="E20" s="28">
        <v>17</v>
      </c>
      <c r="F20" s="16">
        <f t="shared" ref="F20:F22" si="87">(C20*D20*E20/1000)</f>
        <v>2.7286700000000002</v>
      </c>
      <c r="G20" s="17"/>
      <c r="H20" s="18"/>
      <c r="I20" s="19">
        <f t="shared" ref="I20:I22" si="88">(C20*D20*H20/1000)</f>
        <v>0</v>
      </c>
      <c r="J20" s="16"/>
      <c r="K20" s="18"/>
      <c r="L20" s="19">
        <f t="shared" ref="L20:L22" si="89">(C20*D20*K20/1000)</f>
        <v>0</v>
      </c>
      <c r="M20" s="16"/>
      <c r="N20" s="18"/>
      <c r="O20" s="19">
        <f t="shared" ref="O20:O22" si="90">(C20*D20*N20/1000)</f>
        <v>0</v>
      </c>
      <c r="P20" s="16"/>
      <c r="Q20" s="18"/>
      <c r="R20" s="19">
        <f t="shared" ref="R20:R22" si="91">(C20*D20*Q20/1000)</f>
        <v>0</v>
      </c>
      <c r="S20" s="20">
        <f t="shared" ref="S20:S22" si="92">+H20+K20+Q20+N20</f>
        <v>0</v>
      </c>
      <c r="T20" s="19">
        <f t="shared" ref="T20:T22" si="93">+I20+L20+R20+O20</f>
        <v>0</v>
      </c>
      <c r="U20" s="21">
        <f t="shared" ref="U20:U22" si="94">E20-S20</f>
        <v>17</v>
      </c>
      <c r="V20" s="19">
        <f t="shared" ref="V20:V22" si="95">F20-T20</f>
        <v>2.7286700000000002</v>
      </c>
      <c r="X20" s="69"/>
    </row>
    <row r="21" spans="1:24" s="56" customFormat="1">
      <c r="A21" s="26" t="s">
        <v>13</v>
      </c>
      <c r="B21" s="26" t="s">
        <v>124</v>
      </c>
      <c r="C21" s="30"/>
      <c r="D21" s="27"/>
      <c r="E21" s="28"/>
      <c r="F21" s="16">
        <f t="shared" si="87"/>
        <v>0</v>
      </c>
      <c r="G21" s="17"/>
      <c r="H21" s="18"/>
      <c r="I21" s="19">
        <f t="shared" si="88"/>
        <v>0</v>
      </c>
      <c r="J21" s="16"/>
      <c r="K21" s="18"/>
      <c r="L21" s="19">
        <f t="shared" si="89"/>
        <v>0</v>
      </c>
      <c r="M21" s="16"/>
      <c r="N21" s="18"/>
      <c r="O21" s="19">
        <f t="shared" si="90"/>
        <v>0</v>
      </c>
      <c r="P21" s="16"/>
      <c r="Q21" s="18"/>
      <c r="R21" s="19">
        <f t="shared" si="91"/>
        <v>0</v>
      </c>
      <c r="S21" s="20">
        <f t="shared" si="92"/>
        <v>0</v>
      </c>
      <c r="T21" s="19">
        <f t="shared" si="93"/>
        <v>0</v>
      </c>
      <c r="U21" s="21">
        <f t="shared" si="94"/>
        <v>0</v>
      </c>
      <c r="V21" s="19">
        <f t="shared" si="95"/>
        <v>0</v>
      </c>
      <c r="X21" s="69"/>
    </row>
    <row r="22" spans="1:24" s="56" customFormat="1">
      <c r="A22" s="26" t="s">
        <v>13</v>
      </c>
      <c r="B22" s="26" t="s">
        <v>124</v>
      </c>
      <c r="C22" s="30"/>
      <c r="D22" s="27"/>
      <c r="E22" s="28"/>
      <c r="F22" s="16">
        <f t="shared" si="87"/>
        <v>0</v>
      </c>
      <c r="G22" s="17"/>
      <c r="H22" s="18"/>
      <c r="I22" s="19">
        <f t="shared" si="88"/>
        <v>0</v>
      </c>
      <c r="J22" s="16"/>
      <c r="K22" s="18"/>
      <c r="L22" s="19">
        <f t="shared" si="89"/>
        <v>0</v>
      </c>
      <c r="M22" s="16"/>
      <c r="N22" s="18"/>
      <c r="O22" s="19">
        <f t="shared" si="90"/>
        <v>0</v>
      </c>
      <c r="P22" s="16"/>
      <c r="Q22" s="18"/>
      <c r="R22" s="19">
        <f t="shared" si="91"/>
        <v>0</v>
      </c>
      <c r="S22" s="20">
        <f t="shared" si="92"/>
        <v>0</v>
      </c>
      <c r="T22" s="19">
        <f t="shared" si="93"/>
        <v>0</v>
      </c>
      <c r="U22" s="21">
        <f t="shared" si="94"/>
        <v>0</v>
      </c>
      <c r="V22" s="19">
        <f t="shared" si="95"/>
        <v>0</v>
      </c>
      <c r="X22" s="69"/>
    </row>
    <row r="23" spans="1:24" s="56" customFormat="1">
      <c r="A23" s="36"/>
      <c r="B23" s="36"/>
      <c r="C23" s="37"/>
      <c r="D23" s="38"/>
      <c r="E23" s="31">
        <f t="shared" ref="E23:F23" si="96">SUM(E20:E22)</f>
        <v>17</v>
      </c>
      <c r="F23" s="38">
        <f t="shared" si="96"/>
        <v>2.7286700000000002</v>
      </c>
      <c r="G23" s="62"/>
      <c r="H23" s="31">
        <f t="shared" ref="H23:I23" si="97">SUM(H20:H22)</f>
        <v>0</v>
      </c>
      <c r="I23" s="38">
        <f t="shared" si="97"/>
        <v>0</v>
      </c>
      <c r="J23" s="61"/>
      <c r="K23" s="31">
        <f t="shared" ref="K23:L23" si="98">SUM(K20:K22)</f>
        <v>0</v>
      </c>
      <c r="L23" s="38">
        <f t="shared" si="98"/>
        <v>0</v>
      </c>
      <c r="M23" s="61"/>
      <c r="N23" s="31">
        <f t="shared" ref="N23:O23" si="99">SUM(N20:N22)</f>
        <v>0</v>
      </c>
      <c r="O23" s="38">
        <f t="shared" si="99"/>
        <v>0</v>
      </c>
      <c r="P23" s="61"/>
      <c r="Q23" s="31">
        <f t="shared" ref="Q23:V23" si="100">SUM(Q20:Q22)</f>
        <v>0</v>
      </c>
      <c r="R23" s="38">
        <f t="shared" si="100"/>
        <v>0</v>
      </c>
      <c r="S23" s="31">
        <f t="shared" si="100"/>
        <v>0</v>
      </c>
      <c r="T23" s="38">
        <f t="shared" si="100"/>
        <v>0</v>
      </c>
      <c r="U23" s="31">
        <f t="shared" si="100"/>
        <v>17</v>
      </c>
      <c r="V23" s="38">
        <f t="shared" si="100"/>
        <v>2.7286700000000002</v>
      </c>
      <c r="X23" s="69"/>
    </row>
    <row r="24" spans="1:24" s="56" customFormat="1">
      <c r="A24" s="26" t="s">
        <v>13</v>
      </c>
      <c r="B24" s="26" t="s">
        <v>255</v>
      </c>
      <c r="C24" s="30">
        <v>25.2</v>
      </c>
      <c r="D24" s="27">
        <v>10.5</v>
      </c>
      <c r="E24" s="28">
        <v>16</v>
      </c>
      <c r="F24" s="16">
        <f t="shared" ref="F24:F26" si="101">(C24*D24*E24/1000)</f>
        <v>4.2335999999999991</v>
      </c>
      <c r="G24" s="17"/>
      <c r="H24" s="18"/>
      <c r="I24" s="19">
        <f t="shared" ref="I24:I26" si="102">(C24*D24*H24/1000)</f>
        <v>0</v>
      </c>
      <c r="J24" s="16"/>
      <c r="K24" s="18"/>
      <c r="L24" s="19">
        <f t="shared" ref="L24:L26" si="103">(C24*D24*K24/1000)</f>
        <v>0</v>
      </c>
      <c r="M24" s="16"/>
      <c r="N24" s="18"/>
      <c r="O24" s="19">
        <f t="shared" ref="O24:O26" si="104">(C24*D24*N24/1000)</f>
        <v>0</v>
      </c>
      <c r="P24" s="16"/>
      <c r="Q24" s="18"/>
      <c r="R24" s="19">
        <f t="shared" ref="R24:R26" si="105">(C24*D24*Q24/1000)</f>
        <v>0</v>
      </c>
      <c r="S24" s="20">
        <f t="shared" ref="S24:S26" si="106">+H24+K24+Q24+N24</f>
        <v>0</v>
      </c>
      <c r="T24" s="19">
        <f t="shared" ref="T24:T26" si="107">+I24+L24+R24+O24</f>
        <v>0</v>
      </c>
      <c r="U24" s="21">
        <f t="shared" ref="U24:U26" si="108">E24-S24</f>
        <v>16</v>
      </c>
      <c r="V24" s="19">
        <f t="shared" ref="V24:V26" si="109">F24-T24</f>
        <v>4.2335999999999991</v>
      </c>
      <c r="X24" s="69"/>
    </row>
    <row r="25" spans="1:24" s="56" customFormat="1">
      <c r="A25" s="26" t="s">
        <v>13</v>
      </c>
      <c r="B25" s="26" t="s">
        <v>255</v>
      </c>
      <c r="C25" s="30">
        <v>25.2</v>
      </c>
      <c r="D25" s="27">
        <v>12</v>
      </c>
      <c r="E25" s="28">
        <v>3</v>
      </c>
      <c r="F25" s="16">
        <f t="shared" si="101"/>
        <v>0.9071999999999999</v>
      </c>
      <c r="G25" s="17"/>
      <c r="H25" s="18"/>
      <c r="I25" s="19">
        <f t="shared" si="102"/>
        <v>0</v>
      </c>
      <c r="J25" s="16"/>
      <c r="K25" s="18"/>
      <c r="L25" s="19">
        <f t="shared" si="103"/>
        <v>0</v>
      </c>
      <c r="M25" s="16"/>
      <c r="N25" s="18"/>
      <c r="O25" s="19">
        <f t="shared" si="104"/>
        <v>0</v>
      </c>
      <c r="P25" s="16"/>
      <c r="Q25" s="18"/>
      <c r="R25" s="19">
        <f t="shared" si="105"/>
        <v>0</v>
      </c>
      <c r="S25" s="20">
        <f t="shared" si="106"/>
        <v>0</v>
      </c>
      <c r="T25" s="19">
        <f t="shared" si="107"/>
        <v>0</v>
      </c>
      <c r="U25" s="21">
        <f t="shared" si="108"/>
        <v>3</v>
      </c>
      <c r="V25" s="19">
        <f t="shared" si="109"/>
        <v>0.9071999999999999</v>
      </c>
      <c r="X25" s="69"/>
    </row>
    <row r="26" spans="1:24" s="56" customFormat="1">
      <c r="A26" s="26" t="s">
        <v>13</v>
      </c>
      <c r="B26" s="26" t="s">
        <v>255</v>
      </c>
      <c r="C26" s="30">
        <v>25.2</v>
      </c>
      <c r="D26" s="27">
        <v>12</v>
      </c>
      <c r="E26" s="28">
        <v>42</v>
      </c>
      <c r="F26" s="16">
        <f t="shared" si="101"/>
        <v>12.700799999999999</v>
      </c>
      <c r="G26" s="17"/>
      <c r="H26" s="18"/>
      <c r="I26" s="19">
        <f t="shared" si="102"/>
        <v>0</v>
      </c>
      <c r="J26" s="16"/>
      <c r="K26" s="18"/>
      <c r="L26" s="19">
        <f t="shared" si="103"/>
        <v>0</v>
      </c>
      <c r="M26" s="16"/>
      <c r="N26" s="18"/>
      <c r="O26" s="19">
        <f t="shared" si="104"/>
        <v>0</v>
      </c>
      <c r="P26" s="16"/>
      <c r="Q26" s="18"/>
      <c r="R26" s="19">
        <f t="shared" si="105"/>
        <v>0</v>
      </c>
      <c r="S26" s="20">
        <f t="shared" si="106"/>
        <v>0</v>
      </c>
      <c r="T26" s="19">
        <f t="shared" si="107"/>
        <v>0</v>
      </c>
      <c r="U26" s="21">
        <f t="shared" si="108"/>
        <v>42</v>
      </c>
      <c r="V26" s="19">
        <f t="shared" si="109"/>
        <v>12.700799999999999</v>
      </c>
      <c r="X26" s="69"/>
    </row>
    <row r="27" spans="1:24" s="56" customFormat="1">
      <c r="A27" s="36"/>
      <c r="B27" s="36"/>
      <c r="C27" s="37"/>
      <c r="D27" s="38"/>
      <c r="E27" s="31">
        <f t="shared" ref="E27:F27" si="110">SUM(E24:E26)</f>
        <v>61</v>
      </c>
      <c r="F27" s="38">
        <f t="shared" si="110"/>
        <v>17.8416</v>
      </c>
      <c r="G27" s="62"/>
      <c r="H27" s="31">
        <f t="shared" ref="H27" si="111">SUM(H24:H26)</f>
        <v>0</v>
      </c>
      <c r="I27" s="38">
        <f t="shared" ref="I27" si="112">SUM(I24:I26)</f>
        <v>0</v>
      </c>
      <c r="J27" s="61"/>
      <c r="K27" s="31">
        <f t="shared" ref="K27" si="113">SUM(K24:K26)</f>
        <v>0</v>
      </c>
      <c r="L27" s="38">
        <f t="shared" ref="L27" si="114">SUM(L24:L26)</f>
        <v>0</v>
      </c>
      <c r="M27" s="61"/>
      <c r="N27" s="31">
        <f t="shared" ref="N27" si="115">SUM(N24:N26)</f>
        <v>0</v>
      </c>
      <c r="O27" s="38">
        <f t="shared" ref="O27" si="116">SUM(O24:O26)</f>
        <v>0</v>
      </c>
      <c r="P27" s="61"/>
      <c r="Q27" s="31">
        <f t="shared" ref="Q27" si="117">SUM(Q24:Q26)</f>
        <v>0</v>
      </c>
      <c r="R27" s="38">
        <f t="shared" ref="R27" si="118">SUM(R24:R26)</f>
        <v>0</v>
      </c>
      <c r="S27" s="31">
        <f t="shared" ref="S27" si="119">SUM(S24:S26)</f>
        <v>0</v>
      </c>
      <c r="T27" s="38">
        <f t="shared" ref="T27" si="120">SUM(T24:T26)</f>
        <v>0</v>
      </c>
      <c r="U27" s="31">
        <f t="shared" ref="U27" si="121">SUM(U24:U26)</f>
        <v>61</v>
      </c>
      <c r="V27" s="38">
        <f t="shared" ref="V27" si="122">SUM(V24:V26)</f>
        <v>17.8416</v>
      </c>
      <c r="X27" s="69"/>
    </row>
    <row r="28" spans="1:24">
      <c r="A28" s="26" t="s">
        <v>13</v>
      </c>
      <c r="B28" s="26" t="s">
        <v>146</v>
      </c>
      <c r="C28" s="30">
        <v>38</v>
      </c>
      <c r="D28" s="27">
        <v>7.9</v>
      </c>
      <c r="E28" s="28">
        <v>1</v>
      </c>
      <c r="F28" s="16">
        <f t="shared" ref="F28:F29" si="123">(C28*D28*E28/1000)</f>
        <v>0.30019999999999997</v>
      </c>
      <c r="G28" s="17"/>
      <c r="H28" s="18"/>
      <c r="I28" s="19">
        <f t="shared" ref="I28:I29" si="124">(C28*D28*H28/1000)</f>
        <v>0</v>
      </c>
      <c r="J28" s="16"/>
      <c r="K28" s="18"/>
      <c r="L28" s="19">
        <f t="shared" ref="L28:L29" si="125">(C28*D28*K28/1000)</f>
        <v>0</v>
      </c>
      <c r="M28" s="16"/>
      <c r="N28" s="18"/>
      <c r="O28" s="19">
        <f t="shared" ref="O28:O29" si="126">(C28*D28*N28/1000)</f>
        <v>0</v>
      </c>
      <c r="P28" s="16"/>
      <c r="Q28" s="18"/>
      <c r="R28" s="19">
        <f t="shared" ref="R28:R29" si="127">(C28*D28*Q28/1000)</f>
        <v>0</v>
      </c>
      <c r="S28" s="20">
        <f t="shared" ref="S28:S29" si="128">+H28+K28+Q28+N28</f>
        <v>0</v>
      </c>
      <c r="T28" s="19">
        <f t="shared" ref="T28:T29" si="129">+I28+L28+R28+O28</f>
        <v>0</v>
      </c>
      <c r="U28" s="21">
        <f t="shared" ref="U28:U29" si="130">E28-S28</f>
        <v>1</v>
      </c>
      <c r="V28" s="19">
        <f t="shared" ref="V28:V29" si="131">F28-T28</f>
        <v>0.30019999999999997</v>
      </c>
    </row>
    <row r="29" spans="1:24">
      <c r="A29" s="26" t="s">
        <v>13</v>
      </c>
      <c r="B29" s="26" t="s">
        <v>146</v>
      </c>
      <c r="C29" s="30">
        <v>38</v>
      </c>
      <c r="D29" s="27">
        <v>7.9</v>
      </c>
      <c r="E29" s="28">
        <v>4</v>
      </c>
      <c r="F29" s="16">
        <f t="shared" si="123"/>
        <v>1.2007999999999999</v>
      </c>
      <c r="G29" s="17"/>
      <c r="H29" s="18"/>
      <c r="I29" s="19">
        <f t="shared" si="124"/>
        <v>0</v>
      </c>
      <c r="J29" s="16"/>
      <c r="K29" s="18"/>
      <c r="L29" s="19">
        <f t="shared" si="125"/>
        <v>0</v>
      </c>
      <c r="M29" s="16"/>
      <c r="N29" s="18"/>
      <c r="O29" s="19">
        <f t="shared" si="126"/>
        <v>0</v>
      </c>
      <c r="P29" s="16"/>
      <c r="Q29" s="18"/>
      <c r="R29" s="19">
        <f t="shared" si="127"/>
        <v>0</v>
      </c>
      <c r="S29" s="20">
        <f t="shared" si="128"/>
        <v>0</v>
      </c>
      <c r="T29" s="19">
        <f t="shared" si="129"/>
        <v>0</v>
      </c>
      <c r="U29" s="21">
        <f t="shared" si="130"/>
        <v>4</v>
      </c>
      <c r="V29" s="19">
        <f t="shared" si="131"/>
        <v>1.2007999999999999</v>
      </c>
    </row>
    <row r="30" spans="1:24">
      <c r="A30" s="36"/>
      <c r="B30" s="36"/>
      <c r="C30" s="37"/>
      <c r="D30" s="38"/>
      <c r="E30" s="31">
        <f t="shared" ref="E30:F30" si="132">SUM(E28:E29)</f>
        <v>5</v>
      </c>
      <c r="F30" s="38">
        <f t="shared" si="132"/>
        <v>1.5009999999999999</v>
      </c>
      <c r="G30" s="26"/>
      <c r="H30" s="31">
        <f t="shared" ref="H30:I30" si="133">SUM(H28:H29)</f>
        <v>0</v>
      </c>
      <c r="I30" s="38">
        <f t="shared" si="133"/>
        <v>0</v>
      </c>
      <c r="J30" s="26"/>
      <c r="K30" s="31">
        <f t="shared" ref="K30:L30" si="134">SUM(K28:K29)</f>
        <v>0</v>
      </c>
      <c r="L30" s="38">
        <f t="shared" si="134"/>
        <v>0</v>
      </c>
      <c r="M30" s="26"/>
      <c r="N30" s="31">
        <f t="shared" ref="N30:O30" si="135">SUM(N28:N29)</f>
        <v>0</v>
      </c>
      <c r="O30" s="38">
        <f t="shared" si="135"/>
        <v>0</v>
      </c>
      <c r="P30" s="26"/>
      <c r="Q30" s="31">
        <f t="shared" ref="Q30:V30" si="136">SUM(Q28:Q29)</f>
        <v>0</v>
      </c>
      <c r="R30" s="38">
        <f t="shared" si="136"/>
        <v>0</v>
      </c>
      <c r="S30" s="31">
        <f t="shared" si="136"/>
        <v>0</v>
      </c>
      <c r="T30" s="38">
        <f t="shared" si="136"/>
        <v>0</v>
      </c>
      <c r="U30" s="31">
        <f t="shared" si="136"/>
        <v>5</v>
      </c>
      <c r="V30" s="38">
        <f t="shared" si="136"/>
        <v>1.5009999999999999</v>
      </c>
    </row>
    <row r="31" spans="1:24">
      <c r="A31" s="26" t="s">
        <v>13</v>
      </c>
      <c r="B31" s="26" t="s">
        <v>161</v>
      </c>
      <c r="C31" s="30">
        <v>44.12</v>
      </c>
      <c r="D31" s="27">
        <v>7.1</v>
      </c>
      <c r="E31" s="28">
        <v>2</v>
      </c>
      <c r="F31" s="16">
        <f t="shared" ref="F31:F32" si="137">(C31*D31*E31/1000)</f>
        <v>0.62650399999999995</v>
      </c>
      <c r="G31" s="17"/>
      <c r="H31" s="18"/>
      <c r="I31" s="19">
        <f t="shared" ref="I31:I32" si="138">(C31*D31*H31/1000)</f>
        <v>0</v>
      </c>
      <c r="J31" s="16"/>
      <c r="K31" s="18"/>
      <c r="L31" s="19">
        <f t="shared" ref="L31:L32" si="139">(C31*D31*K31/1000)</f>
        <v>0</v>
      </c>
      <c r="M31" s="16"/>
      <c r="N31" s="18"/>
      <c r="O31" s="19">
        <f t="shared" ref="O31:O32" si="140">(C31*D31*N31/1000)</f>
        <v>0</v>
      </c>
      <c r="P31" s="16"/>
      <c r="Q31" s="18"/>
      <c r="R31" s="19">
        <f t="shared" ref="R31:R32" si="141">(C31*D31*Q31/1000)</f>
        <v>0</v>
      </c>
      <c r="S31" s="20">
        <f t="shared" ref="S31:S32" si="142">+H31+K31+Q31+N31</f>
        <v>0</v>
      </c>
      <c r="T31" s="19">
        <f t="shared" ref="T31:T32" si="143">+I31+L31+R31+O31</f>
        <v>0</v>
      </c>
      <c r="U31" s="21">
        <f t="shared" ref="U31:U32" si="144">E31-S31</f>
        <v>2</v>
      </c>
      <c r="V31" s="19">
        <f t="shared" ref="V31:V32" si="145">F31-T31</f>
        <v>0.62650399999999995</v>
      </c>
    </row>
    <row r="32" spans="1:24">
      <c r="A32" s="26" t="s">
        <v>13</v>
      </c>
      <c r="B32" s="26" t="s">
        <v>161</v>
      </c>
      <c r="C32" s="30"/>
      <c r="D32" s="27"/>
      <c r="E32" s="28"/>
      <c r="F32" s="16">
        <f t="shared" si="137"/>
        <v>0</v>
      </c>
      <c r="G32" s="17"/>
      <c r="H32" s="18"/>
      <c r="I32" s="19">
        <f t="shared" si="138"/>
        <v>0</v>
      </c>
      <c r="J32" s="16"/>
      <c r="K32" s="18"/>
      <c r="L32" s="19">
        <f t="shared" si="139"/>
        <v>0</v>
      </c>
      <c r="M32" s="16"/>
      <c r="N32" s="18"/>
      <c r="O32" s="19">
        <f t="shared" si="140"/>
        <v>0</v>
      </c>
      <c r="P32" s="16"/>
      <c r="Q32" s="18"/>
      <c r="R32" s="19">
        <f t="shared" si="141"/>
        <v>0</v>
      </c>
      <c r="S32" s="20">
        <f t="shared" si="142"/>
        <v>0</v>
      </c>
      <c r="T32" s="19">
        <f t="shared" si="143"/>
        <v>0</v>
      </c>
      <c r="U32" s="21">
        <f t="shared" si="144"/>
        <v>0</v>
      </c>
      <c r="V32" s="19">
        <f t="shared" si="145"/>
        <v>0</v>
      </c>
    </row>
    <row r="33" spans="1:22">
      <c r="A33" s="36"/>
      <c r="B33" s="36"/>
      <c r="C33" s="37"/>
      <c r="D33" s="38"/>
      <c r="E33" s="31">
        <f t="shared" ref="E33:F33" si="146">SUM(E31:E32)</f>
        <v>2</v>
      </c>
      <c r="F33" s="38">
        <f t="shared" si="146"/>
        <v>0.62650399999999995</v>
      </c>
      <c r="G33" s="26"/>
      <c r="H33" s="31">
        <f t="shared" ref="H33" si="147">SUM(H31:H32)</f>
        <v>0</v>
      </c>
      <c r="I33" s="38">
        <f t="shared" ref="I33" si="148">SUM(I31:I32)</f>
        <v>0</v>
      </c>
      <c r="J33" s="26"/>
      <c r="K33" s="31">
        <f t="shared" ref="K33" si="149">SUM(K31:K32)</f>
        <v>0</v>
      </c>
      <c r="L33" s="38">
        <f t="shared" ref="L33" si="150">SUM(L31:L32)</f>
        <v>0</v>
      </c>
      <c r="M33" s="26"/>
      <c r="N33" s="31">
        <f t="shared" ref="N33" si="151">SUM(N31:N32)</f>
        <v>0</v>
      </c>
      <c r="O33" s="38">
        <f t="shared" ref="O33" si="152">SUM(O31:O32)</f>
        <v>0</v>
      </c>
      <c r="P33" s="26"/>
      <c r="Q33" s="31">
        <f t="shared" ref="Q33" si="153">SUM(Q31:Q32)</f>
        <v>0</v>
      </c>
      <c r="R33" s="38">
        <f t="shared" ref="R33" si="154">SUM(R31:R32)</f>
        <v>0</v>
      </c>
      <c r="S33" s="31">
        <f t="shared" ref="S33" si="155">SUM(S31:S32)</f>
        <v>0</v>
      </c>
      <c r="T33" s="38">
        <f t="shared" ref="T33" si="156">SUM(T31:T32)</f>
        <v>0</v>
      </c>
      <c r="U33" s="31">
        <f t="shared" ref="U33" si="157">SUM(U31:U32)</f>
        <v>2</v>
      </c>
      <c r="V33" s="38">
        <f t="shared" ref="V33" si="158">SUM(V31:V32)</f>
        <v>0.62650399999999995</v>
      </c>
    </row>
    <row r="34" spans="1:22">
      <c r="A34" s="26" t="s">
        <v>13</v>
      </c>
      <c r="B34" s="26" t="s">
        <v>34</v>
      </c>
      <c r="C34" s="30">
        <v>5.77</v>
      </c>
      <c r="D34" s="27">
        <v>12</v>
      </c>
      <c r="E34" s="28">
        <v>2</v>
      </c>
      <c r="F34" s="16">
        <f>(C34*D34*E34/1000)</f>
        <v>0.13847999999999999</v>
      </c>
      <c r="G34" s="16" t="s">
        <v>295</v>
      </c>
      <c r="H34" s="18"/>
      <c r="I34" s="19">
        <f>(C34*D34*H34/1000)</f>
        <v>0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+H34+K34+Q34+N34</f>
        <v>0</v>
      </c>
      <c r="T34" s="19">
        <f>+I34+L34+R34+O34</f>
        <v>0</v>
      </c>
      <c r="U34" s="21">
        <f>E34-S34</f>
        <v>2</v>
      </c>
      <c r="V34" s="19">
        <f>F34-T34</f>
        <v>0.13847999999999999</v>
      </c>
    </row>
    <row r="35" spans="1:22">
      <c r="A35" s="26" t="s">
        <v>13</v>
      </c>
      <c r="B35" s="26" t="s">
        <v>34</v>
      </c>
      <c r="C35" s="30">
        <v>5.77</v>
      </c>
      <c r="D35" s="27">
        <v>7.4</v>
      </c>
      <c r="E35" s="28"/>
      <c r="F35" s="16">
        <f>(C35*D35*E35/1000)</f>
        <v>0</v>
      </c>
      <c r="G35" s="16" t="s">
        <v>420</v>
      </c>
      <c r="H35" s="18">
        <v>4</v>
      </c>
      <c r="I35" s="19">
        <f>(C35*D35*H35/1000)</f>
        <v>0.170792</v>
      </c>
      <c r="J35" s="16"/>
      <c r="K35" s="18"/>
      <c r="L35" s="19">
        <f>(C35*D35*K35/1000)</f>
        <v>0</v>
      </c>
      <c r="M35" s="16"/>
      <c r="N35" s="18"/>
      <c r="O35" s="19">
        <f>(C35*D35*N35/1000)</f>
        <v>0</v>
      </c>
      <c r="P35" s="16"/>
      <c r="Q35" s="18"/>
      <c r="R35" s="19">
        <f>(C35*D35*Q35/1000)</f>
        <v>0</v>
      </c>
      <c r="S35" s="20">
        <f>+H35+K35+Q35+N35</f>
        <v>4</v>
      </c>
      <c r="T35" s="19">
        <f>+I35+L35+R35+O35</f>
        <v>0.170792</v>
      </c>
      <c r="U35" s="21">
        <f>E35-S35</f>
        <v>-4</v>
      </c>
      <c r="V35" s="19">
        <f>F35-T35</f>
        <v>-0.170792</v>
      </c>
    </row>
    <row r="36" spans="1:22">
      <c r="A36" s="36"/>
      <c r="B36" s="36"/>
      <c r="C36" s="37"/>
      <c r="D36" s="38"/>
      <c r="E36" s="31">
        <f>SUM(E34:E35)</f>
        <v>2</v>
      </c>
      <c r="F36" s="38">
        <f>SUM(F34:F35)</f>
        <v>0.13847999999999999</v>
      </c>
      <c r="G36" s="16"/>
      <c r="H36" s="31">
        <f>SUM(H34:H35)</f>
        <v>4</v>
      </c>
      <c r="I36" s="38">
        <f>SUM(I34:I35)</f>
        <v>0.170792</v>
      </c>
      <c r="J36" s="26"/>
      <c r="K36" s="31">
        <f t="shared" ref="K36" si="159">SUM(K34:K35)</f>
        <v>0</v>
      </c>
      <c r="L36" s="38">
        <f t="shared" ref="L36" si="160">SUM(L34:L35)</f>
        <v>0</v>
      </c>
      <c r="M36" s="26"/>
      <c r="N36" s="31">
        <f t="shared" ref="N36" si="161">SUM(N34:N35)</f>
        <v>0</v>
      </c>
      <c r="O36" s="38">
        <f t="shared" ref="O36" si="162">SUM(O34:O35)</f>
        <v>0</v>
      </c>
      <c r="P36" s="26"/>
      <c r="Q36" s="31">
        <f t="shared" ref="Q36" si="163">SUM(Q34:Q35)</f>
        <v>0</v>
      </c>
      <c r="R36" s="38">
        <f t="shared" ref="R36" si="164">SUM(R34:R35)</f>
        <v>0</v>
      </c>
      <c r="S36" s="31">
        <f t="shared" ref="S36" si="165">SUM(S34:S35)</f>
        <v>4</v>
      </c>
      <c r="T36" s="38">
        <f t="shared" ref="T36" si="166">SUM(T34:T35)</f>
        <v>0.170792</v>
      </c>
      <c r="U36" s="31">
        <f t="shared" ref="U36" si="167">SUM(U34:U35)</f>
        <v>-2</v>
      </c>
      <c r="V36" s="38">
        <f t="shared" ref="V36" si="168">SUM(V34:V35)</f>
        <v>-3.2312000000000007E-2</v>
      </c>
    </row>
    <row r="37" spans="1:22">
      <c r="A37" s="26" t="s">
        <v>14</v>
      </c>
      <c r="B37" s="26" t="s">
        <v>45</v>
      </c>
      <c r="C37" s="30">
        <v>9.26</v>
      </c>
      <c r="D37" s="27">
        <v>12</v>
      </c>
      <c r="E37" s="28">
        <v>2</v>
      </c>
      <c r="F37" s="16">
        <f>(C37*D37*E37/1000)</f>
        <v>0.22224000000000002</v>
      </c>
      <c r="G37" s="17" t="s">
        <v>111</v>
      </c>
      <c r="H37" s="18"/>
      <c r="I37" s="19">
        <f>(C37*D37*H37/1000)</f>
        <v>0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>+H37+K37+Q37+N37</f>
        <v>0</v>
      </c>
      <c r="T37" s="19">
        <f>+I37+L37+R37+O37</f>
        <v>0</v>
      </c>
      <c r="U37" s="21">
        <f>E37-S37</f>
        <v>2</v>
      </c>
      <c r="V37" s="19">
        <f>F37-T37</f>
        <v>0.22224000000000002</v>
      </c>
    </row>
    <row r="38" spans="1:22">
      <c r="A38" s="26" t="s">
        <v>14</v>
      </c>
      <c r="B38" s="26" t="s">
        <v>45</v>
      </c>
      <c r="C38" s="30">
        <v>9.26</v>
      </c>
      <c r="D38" s="27">
        <v>10.5</v>
      </c>
      <c r="E38" s="28"/>
      <c r="F38" s="16">
        <f t="shared" ref="F38" si="169">(C38*D38*E38/1000)</f>
        <v>0</v>
      </c>
      <c r="G38" s="17" t="s">
        <v>422</v>
      </c>
      <c r="H38" s="18">
        <v>3</v>
      </c>
      <c r="I38" s="19">
        <f t="shared" ref="I38" si="170">(C38*D38*H38/1000)</f>
        <v>0.29169</v>
      </c>
      <c r="J38" s="16"/>
      <c r="K38" s="18"/>
      <c r="L38" s="19">
        <f t="shared" ref="L38" si="171">(C38*D38*K38/1000)</f>
        <v>0</v>
      </c>
      <c r="M38" s="16"/>
      <c r="N38" s="18"/>
      <c r="O38" s="19">
        <f t="shared" ref="O38" si="172">(C38*D38*N38/1000)</f>
        <v>0</v>
      </c>
      <c r="P38" s="16"/>
      <c r="Q38" s="18"/>
      <c r="R38" s="19">
        <f t="shared" ref="R38" si="173">(C38*D38*Q38/1000)</f>
        <v>0</v>
      </c>
      <c r="S38" s="20">
        <f t="shared" ref="S38" si="174">+H38+K38+Q38+N38</f>
        <v>3</v>
      </c>
      <c r="T38" s="19">
        <f t="shared" ref="T38" si="175">+I38+L38+R38+O38</f>
        <v>0.29169</v>
      </c>
      <c r="U38" s="21">
        <f t="shared" ref="U38" si="176">E38-S38</f>
        <v>-3</v>
      </c>
      <c r="V38" s="19">
        <f t="shared" ref="V38" si="177">F38-T38</f>
        <v>-0.29169</v>
      </c>
    </row>
    <row r="39" spans="1:22">
      <c r="A39" s="26" t="s">
        <v>14</v>
      </c>
      <c r="B39" s="26" t="s">
        <v>45</v>
      </c>
      <c r="C39" s="30">
        <v>9.26</v>
      </c>
      <c r="D39" s="27"/>
      <c r="E39" s="28"/>
      <c r="F39" s="16"/>
      <c r="G39" s="17"/>
      <c r="H39" s="18"/>
      <c r="I39" s="19">
        <f t="shared" ref="I39:I40" si="178">(C39*D39*H39/1000)</f>
        <v>0</v>
      </c>
      <c r="J39" s="16"/>
      <c r="K39" s="18"/>
      <c r="L39" s="19">
        <f t="shared" ref="L39:L40" si="179">(C39*D39*K39/1000)</f>
        <v>0</v>
      </c>
      <c r="M39" s="16"/>
      <c r="N39" s="18"/>
      <c r="O39" s="19">
        <f t="shared" ref="O39:O40" si="180">(C39*D39*N39/1000)</f>
        <v>0</v>
      </c>
      <c r="P39" s="16"/>
      <c r="Q39" s="18"/>
      <c r="R39" s="19">
        <f t="shared" ref="R39:R40" si="181">(C39*D39*Q39/1000)</f>
        <v>0</v>
      </c>
      <c r="S39" s="20">
        <f t="shared" ref="S39:S40" si="182">+H39+K39+Q39+N39</f>
        <v>0</v>
      </c>
      <c r="T39" s="19">
        <f t="shared" ref="T39:T40" si="183">+I39+L39+R39+O39</f>
        <v>0</v>
      </c>
      <c r="U39" s="21">
        <f t="shared" ref="U39:U40" si="184">E39-S39</f>
        <v>0</v>
      </c>
      <c r="V39" s="19">
        <f t="shared" ref="V39:V40" si="185">F39-T39</f>
        <v>0</v>
      </c>
    </row>
    <row r="40" spans="1:22">
      <c r="A40" s="26" t="s">
        <v>14</v>
      </c>
      <c r="B40" s="26" t="s">
        <v>45</v>
      </c>
      <c r="C40" s="30">
        <v>9.26</v>
      </c>
      <c r="D40" s="27"/>
      <c r="E40" s="28"/>
      <c r="F40" s="16"/>
      <c r="G40" s="17"/>
      <c r="H40" s="18"/>
      <c r="I40" s="19">
        <f t="shared" si="178"/>
        <v>0</v>
      </c>
      <c r="J40" s="16"/>
      <c r="K40" s="18"/>
      <c r="L40" s="19">
        <f t="shared" si="179"/>
        <v>0</v>
      </c>
      <c r="M40" s="16"/>
      <c r="N40" s="18"/>
      <c r="O40" s="19">
        <f t="shared" si="180"/>
        <v>0</v>
      </c>
      <c r="P40" s="16"/>
      <c r="Q40" s="18"/>
      <c r="R40" s="19">
        <f t="shared" si="181"/>
        <v>0</v>
      </c>
      <c r="S40" s="20">
        <f t="shared" si="182"/>
        <v>0</v>
      </c>
      <c r="T40" s="19">
        <f t="shared" si="183"/>
        <v>0</v>
      </c>
      <c r="U40" s="21">
        <f t="shared" si="184"/>
        <v>0</v>
      </c>
      <c r="V40" s="19">
        <f t="shared" si="185"/>
        <v>0</v>
      </c>
    </row>
    <row r="41" spans="1:22">
      <c r="A41" s="36"/>
      <c r="B41" s="36"/>
      <c r="C41" s="37"/>
      <c r="D41" s="38"/>
      <c r="E41" s="31">
        <f t="shared" ref="E41:F41" si="186">SUM(E37:E40)</f>
        <v>2</v>
      </c>
      <c r="F41" s="38">
        <f t="shared" si="186"/>
        <v>0.22224000000000002</v>
      </c>
      <c r="H41" s="31">
        <f t="shared" ref="H41" si="187">SUM(H37:H40)</f>
        <v>3</v>
      </c>
      <c r="I41" s="38">
        <f t="shared" ref="I41" si="188">SUM(I37:I40)</f>
        <v>0.29169</v>
      </c>
      <c r="J41" s="26"/>
      <c r="K41" s="31">
        <f t="shared" ref="K41" si="189">SUM(K37:K40)</f>
        <v>0</v>
      </c>
      <c r="L41" s="38">
        <f t="shared" ref="L41" si="190">SUM(L37:L40)</f>
        <v>0</v>
      </c>
      <c r="M41" s="26"/>
      <c r="N41" s="31">
        <f t="shared" ref="N41" si="191">SUM(N37:N40)</f>
        <v>0</v>
      </c>
      <c r="O41" s="38">
        <f t="shared" ref="O41" si="192">SUM(O37:O40)</f>
        <v>0</v>
      </c>
      <c r="P41" s="26"/>
      <c r="Q41" s="31">
        <f t="shared" ref="Q41" si="193">SUM(Q37:Q40)</f>
        <v>0</v>
      </c>
      <c r="R41" s="38">
        <f t="shared" ref="R41" si="194">SUM(R37:R40)</f>
        <v>0</v>
      </c>
      <c r="S41" s="31">
        <f t="shared" ref="S41" si="195">SUM(S37:S40)</f>
        <v>3</v>
      </c>
      <c r="T41" s="38">
        <f t="shared" ref="T41" si="196">SUM(T37:T40)</f>
        <v>0.29169</v>
      </c>
      <c r="U41" s="31">
        <f t="shared" ref="U41" si="197">SUM(U37:U40)</f>
        <v>-1</v>
      </c>
      <c r="V41" s="38">
        <f t="shared" ref="V41" si="198">SUM(V37:V40)</f>
        <v>-6.9449999999999984E-2</v>
      </c>
    </row>
    <row r="42" spans="1:22">
      <c r="A42" s="33"/>
      <c r="B42" s="33"/>
      <c r="C42" s="33"/>
      <c r="D42" s="34"/>
      <c r="E42" s="34">
        <f>SUM(E6:E41)/2</f>
        <v>147</v>
      </c>
      <c r="F42" s="35">
        <f>SUM(F6:F41)/2</f>
        <v>32.077197999999996</v>
      </c>
      <c r="G42" s="26"/>
      <c r="H42" s="34">
        <f>SUM(H6:H41)/2</f>
        <v>65</v>
      </c>
      <c r="I42" s="35">
        <f>SUM(I6:I41)/2</f>
        <v>9.4811859999999992</v>
      </c>
      <c r="J42" s="26"/>
      <c r="K42" s="34">
        <f>SUM(K6:K41)/2</f>
        <v>0</v>
      </c>
      <c r="L42" s="35">
        <f>SUM(L6:L41)/2</f>
        <v>0</v>
      </c>
      <c r="M42" s="26"/>
      <c r="N42" s="34">
        <f>SUM(N6:N41)/2</f>
        <v>0</v>
      </c>
      <c r="O42" s="35">
        <f>SUM(O6:O41)/2</f>
        <v>0</v>
      </c>
      <c r="P42" s="26"/>
      <c r="Q42" s="34">
        <f t="shared" ref="Q42:V42" si="199">SUM(Q6:Q41)/2</f>
        <v>0</v>
      </c>
      <c r="R42" s="35">
        <f t="shared" si="199"/>
        <v>0</v>
      </c>
      <c r="S42" s="34">
        <f t="shared" si="199"/>
        <v>65</v>
      </c>
      <c r="T42" s="35">
        <f t="shared" si="199"/>
        <v>9.4811859999999992</v>
      </c>
      <c r="U42" s="34">
        <f t="shared" si="199"/>
        <v>82</v>
      </c>
      <c r="V42" s="35">
        <f t="shared" si="199"/>
        <v>22.596011999999995</v>
      </c>
    </row>
    <row r="46" spans="1:22">
      <c r="R46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54"/>
  <dimension ref="A1:X13"/>
  <sheetViews>
    <sheetView zoomScale="75" zoomScaleNormal="75" workbookViewId="0">
      <pane ySplit="5" topLeftCell="A6" activePane="bottomLeft" state="frozen"/>
      <selection pane="bottomLeft" sqref="A1:D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LOI-564  28.07.23</v>
      </c>
      <c r="D1" s="1"/>
      <c r="E1" s="2"/>
      <c r="F1" s="2"/>
      <c r="G1" s="143" t="s">
        <v>309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LOI-564  28.07.23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307</v>
      </c>
      <c r="B2" s="8"/>
      <c r="C2" s="9"/>
      <c r="D2" s="9"/>
      <c r="E2" s="10"/>
      <c r="F2" s="146" t="s">
        <v>306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LOI-564  28.07.23</v>
      </c>
      <c r="V2" s="146"/>
    </row>
    <row r="3" spans="1:24">
      <c r="A3" s="12" t="s">
        <v>308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35</v>
      </c>
      <c r="C6" s="30">
        <v>6.86</v>
      </c>
      <c r="D6" s="27">
        <v>6.15</v>
      </c>
      <c r="E6" s="28">
        <v>25</v>
      </c>
      <c r="F6" s="16">
        <f t="shared" ref="F6:F7" si="0">(C6*D6*E6/1000)</f>
        <v>1.0547250000000001</v>
      </c>
      <c r="G6" s="16" t="s">
        <v>86</v>
      </c>
      <c r="H6" s="18">
        <v>25</v>
      </c>
      <c r="I6" s="19">
        <f t="shared" ref="I6:I7" si="1">(C6*D6*H6/1000)</f>
        <v>1.0547250000000001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25</v>
      </c>
      <c r="T6" s="19">
        <f t="shared" si="5"/>
        <v>1.0547250000000001</v>
      </c>
      <c r="U6" s="21">
        <f t="shared" ref="U6:V7" si="6">E6-S6</f>
        <v>0</v>
      </c>
      <c r="V6" s="19">
        <f t="shared" si="6"/>
        <v>0</v>
      </c>
      <c r="X6" s="29"/>
    </row>
    <row r="7" spans="1:24">
      <c r="A7" s="26" t="s">
        <v>14</v>
      </c>
      <c r="B7" s="26" t="s">
        <v>35</v>
      </c>
      <c r="C7" s="30">
        <v>6.86</v>
      </c>
      <c r="D7" s="27"/>
      <c r="E7" s="28"/>
      <c r="F7" s="16">
        <f t="shared" si="0"/>
        <v>0</v>
      </c>
      <c r="G7" s="16" t="s">
        <v>356</v>
      </c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0</v>
      </c>
      <c r="V7" s="19">
        <f t="shared" si="6"/>
        <v>0</v>
      </c>
      <c r="X7" s="29"/>
    </row>
    <row r="8" spans="1:24">
      <c r="A8" s="36"/>
      <c r="B8" s="36"/>
      <c r="C8" s="37"/>
      <c r="D8" s="38"/>
      <c r="E8" s="31">
        <f t="shared" ref="E8:F8" si="7">SUM(E6:E7)</f>
        <v>25</v>
      </c>
      <c r="F8" s="38">
        <f t="shared" si="7"/>
        <v>1.0547250000000001</v>
      </c>
      <c r="G8" s="17"/>
      <c r="H8" s="31">
        <f t="shared" ref="H8:I8" si="8">SUM(H6:H7)</f>
        <v>25</v>
      </c>
      <c r="I8" s="38">
        <f t="shared" si="8"/>
        <v>1.0547250000000001</v>
      </c>
      <c r="J8" s="16"/>
      <c r="K8" s="31">
        <f t="shared" ref="K8:L8" si="9">SUM(K6:K7)</f>
        <v>0</v>
      </c>
      <c r="L8" s="38">
        <f t="shared" si="9"/>
        <v>0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25</v>
      </c>
      <c r="T8" s="38">
        <f t="shared" si="11"/>
        <v>1.0547250000000001</v>
      </c>
      <c r="U8" s="31">
        <f t="shared" si="11"/>
        <v>0</v>
      </c>
      <c r="V8" s="38">
        <f t="shared" si="11"/>
        <v>0</v>
      </c>
      <c r="X8" s="29"/>
    </row>
    <row r="9" spans="1:24">
      <c r="A9" s="33"/>
      <c r="B9" s="33"/>
      <c r="C9" s="33"/>
      <c r="D9" s="34"/>
      <c r="E9" s="34">
        <f t="shared" ref="E9:F9" si="12">SUM(E8)</f>
        <v>25</v>
      </c>
      <c r="F9" s="35">
        <f t="shared" si="12"/>
        <v>1.0547250000000001</v>
      </c>
      <c r="G9" s="26"/>
      <c r="H9" s="34">
        <f t="shared" ref="H9" si="13">SUM(H8)</f>
        <v>25</v>
      </c>
      <c r="I9" s="35">
        <f t="shared" ref="I9" si="14">SUM(I8)</f>
        <v>1.0547250000000001</v>
      </c>
      <c r="J9" s="26"/>
      <c r="K9" s="34">
        <f t="shared" ref="K9" si="15">SUM(K8)</f>
        <v>0</v>
      </c>
      <c r="L9" s="35">
        <f t="shared" ref="L9" si="16">SUM(L8)</f>
        <v>0</v>
      </c>
      <c r="M9" s="26"/>
      <c r="N9" s="34">
        <f t="shared" ref="N9" si="17">SUM(N8)</f>
        <v>0</v>
      </c>
      <c r="O9" s="35">
        <f t="shared" ref="O9" si="18">SUM(O8)</f>
        <v>0</v>
      </c>
      <c r="P9" s="26"/>
      <c r="Q9" s="34">
        <f t="shared" ref="Q9" si="19">SUM(Q8)</f>
        <v>0</v>
      </c>
      <c r="R9" s="35">
        <f t="shared" ref="R9" si="20">SUM(R8)</f>
        <v>0</v>
      </c>
      <c r="S9" s="34">
        <f t="shared" ref="S9" si="21">SUM(S8)</f>
        <v>25</v>
      </c>
      <c r="T9" s="35">
        <f t="shared" ref="T9" si="22">SUM(T8)</f>
        <v>1.0547250000000001</v>
      </c>
      <c r="U9" s="34">
        <f t="shared" ref="U9" si="23">SUM(U8)</f>
        <v>0</v>
      </c>
      <c r="V9" s="35">
        <f t="shared" ref="V9" si="24">SUM(V8)</f>
        <v>0</v>
      </c>
    </row>
    <row r="13" spans="1:24">
      <c r="R1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55"/>
  <dimension ref="A1:X37"/>
  <sheetViews>
    <sheetView zoomScale="75" zoomScaleNormal="75" workbookViewId="0">
      <pane ySplit="5" topLeftCell="A6" activePane="bottomLeft" state="frozen"/>
      <selection pane="bottomLeft" activeCell="H32" sqref="H32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LOI-565  28.07.23</v>
      </c>
      <c r="D1" s="1"/>
      <c r="E1" s="2"/>
      <c r="F1" s="2"/>
      <c r="G1" s="143" t="s">
        <v>271</v>
      </c>
      <c r="H1" s="144"/>
      <c r="I1" s="145" t="s">
        <v>310</v>
      </c>
      <c r="J1" s="144"/>
      <c r="K1" s="3"/>
      <c r="L1" s="4"/>
      <c r="M1" s="4"/>
      <c r="N1" s="3"/>
      <c r="O1" s="4"/>
      <c r="P1" s="146" t="str">
        <f>+F2</f>
        <v>LOI-565  28.07.23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242</v>
      </c>
      <c r="B2" s="8"/>
      <c r="C2" s="9"/>
      <c r="D2" s="9"/>
      <c r="E2" s="10"/>
      <c r="F2" s="146" t="s">
        <v>311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LOI-565  28.07.23</v>
      </c>
      <c r="V2" s="146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32</v>
      </c>
      <c r="C6" s="30">
        <v>11.8</v>
      </c>
      <c r="D6" s="27">
        <v>11.2</v>
      </c>
      <c r="E6" s="28">
        <v>4</v>
      </c>
      <c r="F6" s="16">
        <f>(C6*D6*E6/1000)</f>
        <v>0.52864</v>
      </c>
      <c r="G6" s="17" t="s">
        <v>295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4</v>
      </c>
      <c r="V6" s="19">
        <f>F6-T6</f>
        <v>0.52864</v>
      </c>
      <c r="X6" s="29"/>
    </row>
    <row r="7" spans="1:24">
      <c r="A7" s="26" t="s">
        <v>13</v>
      </c>
      <c r="B7" s="26" t="s">
        <v>32</v>
      </c>
      <c r="C7" s="30">
        <v>11.8</v>
      </c>
      <c r="D7" s="27">
        <v>6</v>
      </c>
      <c r="E7" s="28"/>
      <c r="F7" s="16">
        <f t="shared" ref="F7:F10" si="0">(C7*D7*E7/1000)</f>
        <v>0</v>
      </c>
      <c r="G7" s="26" t="s">
        <v>401</v>
      </c>
      <c r="H7" s="18">
        <v>2</v>
      </c>
      <c r="I7" s="19">
        <f t="shared" ref="I7:I10" si="1">(C7*D7*H7/1000)</f>
        <v>0.14160000000000003</v>
      </c>
      <c r="J7" s="16"/>
      <c r="K7" s="18"/>
      <c r="L7" s="19">
        <f t="shared" ref="L7:L10" si="2">(C7*D7*K7/1000)</f>
        <v>0</v>
      </c>
      <c r="M7" s="16"/>
      <c r="N7" s="18"/>
      <c r="O7" s="19">
        <f t="shared" ref="O7:O10" si="3">(C7*D7*N7/1000)</f>
        <v>0</v>
      </c>
      <c r="P7" s="16"/>
      <c r="Q7" s="18"/>
      <c r="R7" s="19">
        <f t="shared" ref="R7:R10" si="4">(C7*D7*Q7/1000)</f>
        <v>0</v>
      </c>
      <c r="S7" s="20">
        <f t="shared" ref="S7:S10" si="5">+H7+K7+Q7+N7</f>
        <v>2</v>
      </c>
      <c r="T7" s="19">
        <f t="shared" ref="T7:T10" si="6">+I7+L7+R7+O7</f>
        <v>0.14160000000000003</v>
      </c>
      <c r="U7" s="21">
        <f t="shared" ref="U7:U10" si="7">E7-S7</f>
        <v>-2</v>
      </c>
      <c r="V7" s="19">
        <f t="shared" ref="V7:V10" si="8">F7-T7</f>
        <v>-0.14160000000000003</v>
      </c>
      <c r="X7" s="29"/>
    </row>
    <row r="8" spans="1:24">
      <c r="A8" s="26" t="s">
        <v>13</v>
      </c>
      <c r="B8" s="26" t="s">
        <v>32</v>
      </c>
      <c r="C8" s="30">
        <v>11.8</v>
      </c>
      <c r="D8" s="27">
        <v>7.3</v>
      </c>
      <c r="E8" s="28"/>
      <c r="F8" s="16">
        <f t="shared" si="0"/>
        <v>0</v>
      </c>
      <c r="G8" s="17"/>
      <c r="H8" s="18">
        <v>1</v>
      </c>
      <c r="I8" s="19">
        <f t="shared" si="1"/>
        <v>8.6139999999999994E-2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1</v>
      </c>
      <c r="T8" s="19">
        <f t="shared" si="6"/>
        <v>8.6139999999999994E-2</v>
      </c>
      <c r="U8" s="21">
        <f t="shared" si="7"/>
        <v>-1</v>
      </c>
      <c r="V8" s="19">
        <f t="shared" si="8"/>
        <v>-8.6139999999999994E-2</v>
      </c>
      <c r="X8" s="29"/>
    </row>
    <row r="9" spans="1:24">
      <c r="A9" s="26" t="s">
        <v>13</v>
      </c>
      <c r="B9" s="26" t="s">
        <v>32</v>
      </c>
      <c r="C9" s="30">
        <v>11.8</v>
      </c>
      <c r="D9" s="27">
        <v>11.1</v>
      </c>
      <c r="E9" s="28"/>
      <c r="F9" s="16">
        <f t="shared" ref="F9" si="9">(C9*D9*E9/1000)</f>
        <v>0</v>
      </c>
      <c r="G9" s="17"/>
      <c r="H9" s="18">
        <v>1</v>
      </c>
      <c r="I9" s="19">
        <f t="shared" ref="I9" si="10">(C9*D9*H9/1000)</f>
        <v>0.13097999999999999</v>
      </c>
      <c r="J9" s="16"/>
      <c r="K9" s="18"/>
      <c r="L9" s="19">
        <f t="shared" ref="L9" si="11">(C9*D9*K9/1000)</f>
        <v>0</v>
      </c>
      <c r="M9" s="16"/>
      <c r="N9" s="18"/>
      <c r="O9" s="19">
        <f t="shared" ref="O9" si="12">(C9*D9*N9/1000)</f>
        <v>0</v>
      </c>
      <c r="P9" s="16"/>
      <c r="Q9" s="18"/>
      <c r="R9" s="19">
        <f t="shared" ref="R9" si="13">(C9*D9*Q9/1000)</f>
        <v>0</v>
      </c>
      <c r="S9" s="20">
        <f t="shared" ref="S9" si="14">+H9+K9+Q9+N9</f>
        <v>1</v>
      </c>
      <c r="T9" s="19">
        <f t="shared" ref="T9" si="15">+I9+L9+R9+O9</f>
        <v>0.13097999999999999</v>
      </c>
      <c r="U9" s="21">
        <f t="shared" ref="U9" si="16">E9-S9</f>
        <v>-1</v>
      </c>
      <c r="V9" s="19">
        <f t="shared" ref="V9" si="17">F9-T9</f>
        <v>-0.13097999999999999</v>
      </c>
      <c r="X9" s="29"/>
    </row>
    <row r="10" spans="1:24">
      <c r="A10" s="26" t="s">
        <v>13</v>
      </c>
      <c r="B10" s="26" t="s">
        <v>32</v>
      </c>
      <c r="C10" s="30">
        <v>11.8</v>
      </c>
      <c r="D10" s="27">
        <v>9.6999999999999993</v>
      </c>
      <c r="E10" s="28"/>
      <c r="F10" s="16">
        <f t="shared" si="0"/>
        <v>0</v>
      </c>
      <c r="G10" s="17"/>
      <c r="H10" s="18">
        <v>2</v>
      </c>
      <c r="I10" s="19">
        <f t="shared" si="1"/>
        <v>0.22891999999999998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2</v>
      </c>
      <c r="T10" s="19">
        <f t="shared" si="6"/>
        <v>0.22891999999999998</v>
      </c>
      <c r="U10" s="21">
        <f t="shared" si="7"/>
        <v>-2</v>
      </c>
      <c r="V10" s="19">
        <f t="shared" si="8"/>
        <v>-0.22891999999999998</v>
      </c>
      <c r="X10" s="29"/>
    </row>
    <row r="11" spans="1:24">
      <c r="A11" s="36"/>
      <c r="B11" s="36"/>
      <c r="C11" s="37"/>
      <c r="D11" s="38"/>
      <c r="E11" s="31">
        <f t="shared" ref="E11:F11" si="18">SUM(E6:E10)</f>
        <v>4</v>
      </c>
      <c r="F11" s="38">
        <f t="shared" si="18"/>
        <v>0.52864</v>
      </c>
      <c r="G11" s="26"/>
      <c r="H11" s="31">
        <f t="shared" ref="H11" si="19">SUM(H6:H10)</f>
        <v>6</v>
      </c>
      <c r="I11" s="38">
        <f t="shared" ref="I11" si="20">SUM(I6:I10)</f>
        <v>0.58764000000000005</v>
      </c>
      <c r="J11" s="26"/>
      <c r="K11" s="31">
        <f t="shared" ref="K11" si="21">SUM(K6:K10)</f>
        <v>0</v>
      </c>
      <c r="L11" s="38">
        <f t="shared" ref="L11" si="22">SUM(L6:L10)</f>
        <v>0</v>
      </c>
      <c r="M11" s="26"/>
      <c r="N11" s="31">
        <f t="shared" ref="N11" si="23">SUM(N6:N10)</f>
        <v>0</v>
      </c>
      <c r="O11" s="38">
        <f t="shared" ref="O11" si="24">SUM(O6:O10)</f>
        <v>0</v>
      </c>
      <c r="P11" s="26"/>
      <c r="Q11" s="31">
        <f t="shared" ref="Q11" si="25">SUM(Q6:Q10)</f>
        <v>0</v>
      </c>
      <c r="R11" s="38">
        <f t="shared" ref="R11" si="26">SUM(R6:R10)</f>
        <v>0</v>
      </c>
      <c r="S11" s="31">
        <f t="shared" ref="S11" si="27">SUM(S6:S10)</f>
        <v>6</v>
      </c>
      <c r="T11" s="38">
        <f t="shared" ref="T11" si="28">SUM(T6:T10)</f>
        <v>0.58764000000000005</v>
      </c>
      <c r="U11" s="31">
        <f t="shared" ref="U11" si="29">SUM(U6:U10)</f>
        <v>-2</v>
      </c>
      <c r="V11" s="38">
        <f t="shared" ref="V11" si="30">SUM(V6:V10)</f>
        <v>-5.9000000000000025E-2</v>
      </c>
    </row>
    <row r="12" spans="1:24">
      <c r="A12" s="26" t="s">
        <v>13</v>
      </c>
      <c r="B12" s="26" t="s">
        <v>25</v>
      </c>
      <c r="C12" s="30">
        <v>13.4</v>
      </c>
      <c r="D12" s="27">
        <v>10</v>
      </c>
      <c r="E12" s="28">
        <v>1</v>
      </c>
      <c r="F12" s="16">
        <f>(C12*D12*E12/1000)</f>
        <v>0.13400000000000001</v>
      </c>
      <c r="G12" s="17" t="s">
        <v>295</v>
      </c>
      <c r="H12" s="18"/>
      <c r="I12" s="19">
        <f>(C12*D12*H12/1000)</f>
        <v>0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0</v>
      </c>
      <c r="T12" s="19">
        <f>+I12+L12+R12+O12</f>
        <v>0</v>
      </c>
      <c r="U12" s="21">
        <f>E12-S12</f>
        <v>1</v>
      </c>
      <c r="V12" s="19">
        <f>F12-T12</f>
        <v>0.13400000000000001</v>
      </c>
    </row>
    <row r="13" spans="1:24">
      <c r="A13" s="26" t="s">
        <v>13</v>
      </c>
      <c r="B13" s="26" t="s">
        <v>25</v>
      </c>
      <c r="C13" s="30">
        <v>13.4</v>
      </c>
      <c r="D13" s="27">
        <v>11</v>
      </c>
      <c r="E13" s="28"/>
      <c r="F13" s="16">
        <f>(C13*D13*E13/1000)</f>
        <v>0</v>
      </c>
      <c r="G13" s="26" t="s">
        <v>401</v>
      </c>
      <c r="H13" s="18">
        <v>1</v>
      </c>
      <c r="I13" s="19">
        <f>(C13*D13*H13/1000)</f>
        <v>0.1474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1</v>
      </c>
      <c r="T13" s="19">
        <f>+I13+L13+R13+O13</f>
        <v>0.1474</v>
      </c>
      <c r="U13" s="21">
        <f>E13-S13</f>
        <v>-1</v>
      </c>
      <c r="V13" s="19">
        <f>F13-T13</f>
        <v>-0.1474</v>
      </c>
    </row>
    <row r="14" spans="1:24">
      <c r="A14" s="36"/>
      <c r="B14" s="36"/>
      <c r="C14" s="37"/>
      <c r="D14" s="38"/>
      <c r="E14" s="31">
        <f t="shared" ref="E14:F14" si="31">SUM(E12:E13)</f>
        <v>1</v>
      </c>
      <c r="F14" s="38">
        <f t="shared" si="31"/>
        <v>0.13400000000000001</v>
      </c>
      <c r="G14" s="26"/>
      <c r="H14" s="31">
        <f t="shared" ref="H14" si="32">SUM(H12:H13)</f>
        <v>1</v>
      </c>
      <c r="I14" s="38">
        <f t="shared" ref="I14" si="33">SUM(I12:I13)</f>
        <v>0.1474</v>
      </c>
      <c r="J14" s="26"/>
      <c r="K14" s="31">
        <f t="shared" ref="K14" si="34">SUM(K12:K13)</f>
        <v>0</v>
      </c>
      <c r="L14" s="38">
        <f t="shared" ref="L14" si="35">SUM(L12:L13)</f>
        <v>0</v>
      </c>
      <c r="M14" s="26"/>
      <c r="N14" s="31">
        <f t="shared" ref="N14" si="36">SUM(N12:N13)</f>
        <v>0</v>
      </c>
      <c r="O14" s="38">
        <f t="shared" ref="O14" si="37">SUM(O12:O13)</f>
        <v>0</v>
      </c>
      <c r="P14" s="26"/>
      <c r="Q14" s="31">
        <f t="shared" ref="Q14" si="38">SUM(Q12:Q13)</f>
        <v>0</v>
      </c>
      <c r="R14" s="38">
        <f t="shared" ref="R14" si="39">SUM(R12:R13)</f>
        <v>0</v>
      </c>
      <c r="S14" s="31">
        <f t="shared" ref="S14" si="40">SUM(S12:S13)</f>
        <v>1</v>
      </c>
      <c r="T14" s="38">
        <f t="shared" ref="T14" si="41">SUM(T12:T13)</f>
        <v>0.1474</v>
      </c>
      <c r="U14" s="31">
        <f t="shared" ref="U14" si="42">SUM(U12:U13)</f>
        <v>0</v>
      </c>
      <c r="V14" s="38">
        <f t="shared" ref="V14" si="43">SUM(V12:V13)</f>
        <v>-1.3399999999999995E-2</v>
      </c>
    </row>
    <row r="15" spans="1:24">
      <c r="A15" s="26" t="s">
        <v>13</v>
      </c>
      <c r="B15" s="26" t="s">
        <v>33</v>
      </c>
      <c r="C15" s="30">
        <v>15</v>
      </c>
      <c r="D15" s="27">
        <v>10</v>
      </c>
      <c r="E15" s="28">
        <v>1</v>
      </c>
      <c r="F15" s="16">
        <f>(C15*D15*E15/1000)</f>
        <v>0.15</v>
      </c>
      <c r="G15" s="17" t="s">
        <v>295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1</v>
      </c>
      <c r="V15" s="19">
        <f>F15-T15</f>
        <v>0.15</v>
      </c>
    </row>
    <row r="16" spans="1:24">
      <c r="A16" s="26" t="s">
        <v>13</v>
      </c>
      <c r="B16" s="26" t="s">
        <v>33</v>
      </c>
      <c r="C16" s="30">
        <v>15</v>
      </c>
      <c r="D16" s="27">
        <v>11</v>
      </c>
      <c r="E16" s="28"/>
      <c r="F16" s="16">
        <f>(C16*D16*E16/1000)</f>
        <v>0</v>
      </c>
      <c r="G16" s="26" t="s">
        <v>401</v>
      </c>
      <c r="H16" s="18">
        <v>1</v>
      </c>
      <c r="I16" s="19">
        <f>(C16*D16*H16/1000)</f>
        <v>0.16500000000000001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1</v>
      </c>
      <c r="T16" s="19">
        <f>+I16+L16+R16+O16</f>
        <v>0.16500000000000001</v>
      </c>
      <c r="U16" s="21">
        <f>E16-S16</f>
        <v>-1</v>
      </c>
      <c r="V16" s="19">
        <f>F16-T16</f>
        <v>-0.16500000000000001</v>
      </c>
    </row>
    <row r="17" spans="1:22">
      <c r="A17" s="36"/>
      <c r="B17" s="36"/>
      <c r="C17" s="37"/>
      <c r="D17" s="38"/>
      <c r="E17" s="31">
        <f t="shared" ref="E17:F17" si="44">SUM(E15:E16)</f>
        <v>1</v>
      </c>
      <c r="F17" s="38">
        <f t="shared" si="44"/>
        <v>0.15</v>
      </c>
      <c r="G17" s="26"/>
      <c r="H17" s="31">
        <f>SUM(H15:H16)</f>
        <v>1</v>
      </c>
      <c r="I17" s="38">
        <f>SUM(I15:I16)</f>
        <v>0.16500000000000001</v>
      </c>
      <c r="J17" s="26"/>
      <c r="K17" s="31">
        <f t="shared" ref="K17" si="45">SUM(K15:K16)</f>
        <v>0</v>
      </c>
      <c r="L17" s="38">
        <f t="shared" ref="L17" si="46">SUM(L15:L16)</f>
        <v>0</v>
      </c>
      <c r="M17" s="26"/>
      <c r="N17" s="31">
        <f t="shared" ref="N17" si="47">SUM(N15:N16)</f>
        <v>0</v>
      </c>
      <c r="O17" s="38">
        <f t="shared" ref="O17" si="48">SUM(O15:O16)</f>
        <v>0</v>
      </c>
      <c r="P17" s="26"/>
      <c r="Q17" s="31">
        <f t="shared" ref="Q17" si="49">SUM(Q15:Q16)</f>
        <v>0</v>
      </c>
      <c r="R17" s="38">
        <f t="shared" ref="R17" si="50">SUM(R15:R16)</f>
        <v>0</v>
      </c>
      <c r="S17" s="31">
        <f t="shared" ref="S17" si="51">SUM(S15:S16)</f>
        <v>1</v>
      </c>
      <c r="T17" s="38">
        <f t="shared" ref="T17" si="52">SUM(T15:T16)</f>
        <v>0.16500000000000001</v>
      </c>
      <c r="U17" s="31">
        <f t="shared" ref="U17" si="53">SUM(U15:U16)</f>
        <v>0</v>
      </c>
      <c r="V17" s="38">
        <f t="shared" ref="V17" si="54">SUM(V15:V16)</f>
        <v>-1.5000000000000013E-2</v>
      </c>
    </row>
    <row r="18" spans="1:22">
      <c r="A18" s="26" t="s">
        <v>13</v>
      </c>
      <c r="B18" s="26" t="s">
        <v>47</v>
      </c>
      <c r="C18" s="30">
        <v>18.2</v>
      </c>
      <c r="D18" s="27">
        <v>7</v>
      </c>
      <c r="E18" s="28">
        <v>2</v>
      </c>
      <c r="F18" s="16">
        <f>(C18*D18*E18/1000)</f>
        <v>0.25479999999999997</v>
      </c>
      <c r="G18" s="17" t="s">
        <v>86</v>
      </c>
      <c r="H18" s="18">
        <v>2</v>
      </c>
      <c r="I18" s="19">
        <f>(C18*D18*H18/1000)</f>
        <v>0.25479999999999997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2</v>
      </c>
      <c r="T18" s="19">
        <f>+I18+L18+R18+O18</f>
        <v>0.25479999999999997</v>
      </c>
      <c r="U18" s="21">
        <f>E18-S18</f>
        <v>0</v>
      </c>
      <c r="V18" s="19">
        <f>F18-T18</f>
        <v>0</v>
      </c>
    </row>
    <row r="19" spans="1:22">
      <c r="A19" s="36"/>
      <c r="B19" s="36"/>
      <c r="C19" s="37"/>
      <c r="D19" s="38"/>
      <c r="E19" s="31">
        <f t="shared" ref="E19:F19" si="55">SUM(E18)</f>
        <v>2</v>
      </c>
      <c r="F19" s="38">
        <f t="shared" si="55"/>
        <v>0.25479999999999997</v>
      </c>
      <c r="G19" s="26" t="s">
        <v>397</v>
      </c>
      <c r="H19" s="31">
        <f t="shared" ref="H19" si="56">SUM(H18)</f>
        <v>2</v>
      </c>
      <c r="I19" s="38">
        <f t="shared" ref="I19" si="57">SUM(I18)</f>
        <v>0.25479999999999997</v>
      </c>
      <c r="J19" s="26"/>
      <c r="K19" s="31">
        <f t="shared" ref="K19" si="58">SUM(K18)</f>
        <v>0</v>
      </c>
      <c r="L19" s="38">
        <f t="shared" ref="L19" si="59">SUM(L18)</f>
        <v>0</v>
      </c>
      <c r="M19" s="26"/>
      <c r="N19" s="31">
        <f t="shared" ref="N19" si="60">SUM(N18)</f>
        <v>0</v>
      </c>
      <c r="O19" s="38">
        <f t="shared" ref="O19" si="61">SUM(O18)</f>
        <v>0</v>
      </c>
      <c r="P19" s="26"/>
      <c r="Q19" s="31">
        <f t="shared" ref="Q19" si="62">SUM(Q18)</f>
        <v>0</v>
      </c>
      <c r="R19" s="38">
        <f t="shared" ref="R19" si="63">SUM(R18)</f>
        <v>0</v>
      </c>
      <c r="S19" s="31">
        <f t="shared" ref="S19" si="64">SUM(S18)</f>
        <v>2</v>
      </c>
      <c r="T19" s="38">
        <f t="shared" ref="T19" si="65">SUM(T18)</f>
        <v>0.25479999999999997</v>
      </c>
      <c r="U19" s="31">
        <f t="shared" ref="U19" si="66">SUM(U18)</f>
        <v>0</v>
      </c>
      <c r="V19" s="38">
        <f t="shared" ref="V19" si="67">SUM(V18)</f>
        <v>0</v>
      </c>
    </row>
    <row r="20" spans="1:22">
      <c r="A20" s="26" t="s">
        <v>13</v>
      </c>
      <c r="B20" s="26" t="s">
        <v>50</v>
      </c>
      <c r="C20" s="30">
        <v>16.5</v>
      </c>
      <c r="D20" s="27">
        <v>10</v>
      </c>
      <c r="E20" s="28">
        <v>8</v>
      </c>
      <c r="F20" s="16">
        <f>(C20*D20*E20/1000)</f>
        <v>1.32</v>
      </c>
      <c r="G20" s="17" t="s">
        <v>86</v>
      </c>
      <c r="H20" s="18">
        <v>8</v>
      </c>
      <c r="I20" s="19">
        <f>(C20*D20*H20/1000)</f>
        <v>1.32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8</v>
      </c>
      <c r="T20" s="19">
        <f>+I20+L20+R20+O20</f>
        <v>1.32</v>
      </c>
      <c r="U20" s="21">
        <f>E20-S20</f>
        <v>0</v>
      </c>
      <c r="V20" s="19">
        <f>F20-T20</f>
        <v>0</v>
      </c>
    </row>
    <row r="21" spans="1:22">
      <c r="A21" s="36"/>
      <c r="B21" s="36"/>
      <c r="C21" s="37"/>
      <c r="D21" s="38"/>
      <c r="E21" s="31">
        <f t="shared" ref="E21:F21" si="68">SUM(E20)</f>
        <v>8</v>
      </c>
      <c r="F21" s="38">
        <f t="shared" si="68"/>
        <v>1.32</v>
      </c>
      <c r="G21" s="26" t="s">
        <v>397</v>
      </c>
      <c r="H21" s="31">
        <f t="shared" ref="H21" si="69">SUM(H20)</f>
        <v>8</v>
      </c>
      <c r="I21" s="38">
        <f t="shared" ref="I21" si="70">SUM(I20)</f>
        <v>1.32</v>
      </c>
      <c r="J21" s="26"/>
      <c r="K21" s="31">
        <f t="shared" ref="K21" si="71">SUM(K20)</f>
        <v>0</v>
      </c>
      <c r="L21" s="38">
        <f t="shared" ref="L21" si="72">SUM(L20)</f>
        <v>0</v>
      </c>
      <c r="M21" s="26"/>
      <c r="N21" s="31">
        <f t="shared" ref="N21" si="73">SUM(N20)</f>
        <v>0</v>
      </c>
      <c r="O21" s="38">
        <f t="shared" ref="O21" si="74">SUM(O20)</f>
        <v>0</v>
      </c>
      <c r="P21" s="26"/>
      <c r="Q21" s="31">
        <f t="shared" ref="Q21" si="75">SUM(Q20)</f>
        <v>0</v>
      </c>
      <c r="R21" s="38">
        <f t="shared" ref="R21" si="76">SUM(R20)</f>
        <v>0</v>
      </c>
      <c r="S21" s="31">
        <f t="shared" ref="S21" si="77">SUM(S20)</f>
        <v>8</v>
      </c>
      <c r="T21" s="38">
        <f t="shared" ref="T21" si="78">SUM(T20)</f>
        <v>1.32</v>
      </c>
      <c r="U21" s="31">
        <f t="shared" ref="U21" si="79">SUM(U20)</f>
        <v>0</v>
      </c>
      <c r="V21" s="38">
        <f t="shared" ref="V21" si="80">SUM(V20)</f>
        <v>0</v>
      </c>
    </row>
    <row r="22" spans="1:22">
      <c r="A22" s="26" t="s">
        <v>13</v>
      </c>
      <c r="B22" s="26" t="s">
        <v>53</v>
      </c>
      <c r="C22" s="30">
        <v>23.6</v>
      </c>
      <c r="D22" s="27">
        <v>10</v>
      </c>
      <c r="E22" s="28">
        <v>3</v>
      </c>
      <c r="F22" s="16">
        <f>(C22*D22*E22/1000)</f>
        <v>0.70799999999999996</v>
      </c>
      <c r="G22" s="17" t="s">
        <v>93</v>
      </c>
      <c r="H22" s="18">
        <v>3</v>
      </c>
      <c r="I22" s="19">
        <f>(C22*D22*H22/1000)</f>
        <v>0.70799999999999996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3</v>
      </c>
      <c r="T22" s="19">
        <f>+I22+L22+R22+O22</f>
        <v>0.70799999999999996</v>
      </c>
      <c r="U22" s="21">
        <f>E22-S22</f>
        <v>0</v>
      </c>
      <c r="V22" s="19">
        <f>F22-T22</f>
        <v>0</v>
      </c>
    </row>
    <row r="23" spans="1:22">
      <c r="A23" s="36"/>
      <c r="B23" s="36"/>
      <c r="C23" s="37"/>
      <c r="D23" s="38"/>
      <c r="E23" s="31">
        <f t="shared" ref="E23:F23" si="81">SUM(E22)</f>
        <v>3</v>
      </c>
      <c r="F23" s="38">
        <f t="shared" si="81"/>
        <v>0.70799999999999996</v>
      </c>
      <c r="G23" s="26" t="s">
        <v>397</v>
      </c>
      <c r="H23" s="31">
        <f t="shared" ref="H23" si="82">SUM(H22)</f>
        <v>3</v>
      </c>
      <c r="I23" s="38">
        <f t="shared" ref="I23" si="83">SUM(I22)</f>
        <v>0.70799999999999996</v>
      </c>
      <c r="J23" s="26"/>
      <c r="K23" s="31">
        <f t="shared" ref="K23" si="84">SUM(K22)</f>
        <v>0</v>
      </c>
      <c r="L23" s="38">
        <f t="shared" ref="L23" si="85">SUM(L22)</f>
        <v>0</v>
      </c>
      <c r="M23" s="26"/>
      <c r="N23" s="31">
        <f t="shared" ref="N23" si="86">SUM(N22)</f>
        <v>0</v>
      </c>
      <c r="O23" s="38">
        <f t="shared" ref="O23" si="87">SUM(O22)</f>
        <v>0</v>
      </c>
      <c r="P23" s="26"/>
      <c r="Q23" s="31">
        <f t="shared" ref="Q23" si="88">SUM(Q22)</f>
        <v>0</v>
      </c>
      <c r="R23" s="38">
        <f t="shared" ref="R23" si="89">SUM(R22)</f>
        <v>0</v>
      </c>
      <c r="S23" s="31">
        <f t="shared" ref="S23" si="90">SUM(S22)</f>
        <v>3</v>
      </c>
      <c r="T23" s="38">
        <f t="shared" ref="T23" si="91">SUM(T22)</f>
        <v>0.70799999999999996</v>
      </c>
      <c r="U23" s="31">
        <f t="shared" ref="U23" si="92">SUM(U22)</f>
        <v>0</v>
      </c>
      <c r="V23" s="38">
        <f t="shared" ref="V23" si="93">SUM(V22)</f>
        <v>0</v>
      </c>
    </row>
    <row r="24" spans="1:22">
      <c r="A24" s="26" t="s">
        <v>13</v>
      </c>
      <c r="B24" s="26" t="s">
        <v>126</v>
      </c>
      <c r="C24" s="30">
        <v>33.799999999999997</v>
      </c>
      <c r="D24" s="27">
        <v>12</v>
      </c>
      <c r="E24" s="28">
        <v>11</v>
      </c>
      <c r="F24" s="16">
        <f>(C24*D24*E24/1000)</f>
        <v>4.4615999999999998</v>
      </c>
      <c r="G24" s="17"/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11</v>
      </c>
      <c r="V24" s="19">
        <f>F24-T24</f>
        <v>4.4615999999999998</v>
      </c>
    </row>
    <row r="25" spans="1:22">
      <c r="A25" s="36"/>
      <c r="B25" s="36"/>
      <c r="C25" s="37"/>
      <c r="D25" s="38"/>
      <c r="E25" s="31">
        <f t="shared" ref="E25:F25" si="94">SUM(E24)</f>
        <v>11</v>
      </c>
      <c r="F25" s="38">
        <f t="shared" si="94"/>
        <v>4.4615999999999998</v>
      </c>
      <c r="G25" s="26"/>
      <c r="H25" s="31">
        <f t="shared" ref="H25" si="95">SUM(H24)</f>
        <v>0</v>
      </c>
      <c r="I25" s="38">
        <f t="shared" ref="I25" si="96">SUM(I24)</f>
        <v>0</v>
      </c>
      <c r="J25" s="26"/>
      <c r="K25" s="31">
        <f t="shared" ref="K25" si="97">SUM(K24)</f>
        <v>0</v>
      </c>
      <c r="L25" s="38">
        <f t="shared" ref="L25" si="98">SUM(L24)</f>
        <v>0</v>
      </c>
      <c r="M25" s="26"/>
      <c r="N25" s="31">
        <f t="shared" ref="N25" si="99">SUM(N24)</f>
        <v>0</v>
      </c>
      <c r="O25" s="38">
        <f t="shared" ref="O25" si="100">SUM(O24)</f>
        <v>0</v>
      </c>
      <c r="P25" s="26"/>
      <c r="Q25" s="31">
        <f t="shared" ref="Q25" si="101">SUM(Q24)</f>
        <v>0</v>
      </c>
      <c r="R25" s="38">
        <f t="shared" ref="R25" si="102">SUM(R24)</f>
        <v>0</v>
      </c>
      <c r="S25" s="31">
        <f t="shared" ref="S25" si="103">SUM(S24)</f>
        <v>0</v>
      </c>
      <c r="T25" s="38">
        <f t="shared" ref="T25" si="104">SUM(T24)</f>
        <v>0</v>
      </c>
      <c r="U25" s="31">
        <f t="shared" ref="U25" si="105">SUM(U24)</f>
        <v>11</v>
      </c>
      <c r="V25" s="38">
        <f t="shared" ref="V25" si="106">SUM(V24)</f>
        <v>4.4615999999999998</v>
      </c>
    </row>
    <row r="26" spans="1:22">
      <c r="A26" s="26" t="s">
        <v>13</v>
      </c>
      <c r="B26" s="26" t="s">
        <v>35</v>
      </c>
      <c r="C26" s="30">
        <v>6.85</v>
      </c>
      <c r="D26" s="27">
        <v>10</v>
      </c>
      <c r="E26" s="28">
        <v>1</v>
      </c>
      <c r="F26" s="16">
        <f>(C26*D26*E26/1000)</f>
        <v>6.8500000000000005E-2</v>
      </c>
      <c r="G26" s="17" t="s">
        <v>93</v>
      </c>
      <c r="H26" s="18"/>
      <c r="I26" s="19">
        <f>(C26*D26*H26/1000)</f>
        <v>0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+H26+K26+Q26+N26</f>
        <v>0</v>
      </c>
      <c r="T26" s="19">
        <f>+I26+L26+R26+O26</f>
        <v>0</v>
      </c>
      <c r="U26" s="21">
        <f>E26-S26</f>
        <v>1</v>
      </c>
      <c r="V26" s="19">
        <f>F26-T26</f>
        <v>6.8500000000000005E-2</v>
      </c>
    </row>
    <row r="27" spans="1:22">
      <c r="A27" s="26" t="s">
        <v>13</v>
      </c>
      <c r="B27" s="26" t="s">
        <v>35</v>
      </c>
      <c r="C27" s="30">
        <v>6.85</v>
      </c>
      <c r="D27" s="27">
        <v>12</v>
      </c>
      <c r="E27" s="28"/>
      <c r="F27" s="16">
        <f>(C27*D27*E27/1000)</f>
        <v>0</v>
      </c>
      <c r="G27" s="26" t="s">
        <v>397</v>
      </c>
      <c r="H27" s="18">
        <v>1</v>
      </c>
      <c r="I27" s="19">
        <f>(C27*D27*H27/1000)</f>
        <v>8.2199999999999995E-2</v>
      </c>
      <c r="J27" s="16"/>
      <c r="K27" s="18"/>
      <c r="L27" s="19">
        <f>(C27*D27*K27/1000)</f>
        <v>0</v>
      </c>
      <c r="M27" s="16"/>
      <c r="N27" s="18"/>
      <c r="O27" s="19">
        <f>(C27*D27*N27/1000)</f>
        <v>0</v>
      </c>
      <c r="P27" s="16"/>
      <c r="Q27" s="18"/>
      <c r="R27" s="19">
        <f>(C27*D27*Q27/1000)</f>
        <v>0</v>
      </c>
      <c r="S27" s="20">
        <f>+H27+K27+Q27+N27</f>
        <v>1</v>
      </c>
      <c r="T27" s="19">
        <f>+I27+L27+R27+O27</f>
        <v>8.2199999999999995E-2</v>
      </c>
      <c r="U27" s="21">
        <f>E27-S27</f>
        <v>-1</v>
      </c>
      <c r="V27" s="19">
        <f>F27-T27</f>
        <v>-8.2199999999999995E-2</v>
      </c>
    </row>
    <row r="28" spans="1:22">
      <c r="A28" s="36"/>
      <c r="B28" s="36"/>
      <c r="C28" s="37"/>
      <c r="D28" s="38"/>
      <c r="E28" s="31">
        <f t="shared" ref="E28:F28" si="107">SUM(E26:E27)</f>
        <v>1</v>
      </c>
      <c r="F28" s="38">
        <f t="shared" si="107"/>
        <v>6.8500000000000005E-2</v>
      </c>
      <c r="G28" s="26"/>
      <c r="H28" s="31">
        <f>SUM(H26:H27)</f>
        <v>1</v>
      </c>
      <c r="I28" s="38">
        <f>SUM(I26:I27)</f>
        <v>8.2199999999999995E-2</v>
      </c>
      <c r="J28" s="26"/>
      <c r="K28" s="31">
        <f t="shared" ref="K28" si="108">SUM(K26)</f>
        <v>0</v>
      </c>
      <c r="L28" s="38">
        <f t="shared" ref="L28" si="109">SUM(L26)</f>
        <v>0</v>
      </c>
      <c r="M28" s="26"/>
      <c r="N28" s="31">
        <f t="shared" ref="N28" si="110">SUM(N26)</f>
        <v>0</v>
      </c>
      <c r="O28" s="38">
        <f t="shared" ref="O28" si="111">SUM(O26)</f>
        <v>0</v>
      </c>
      <c r="P28" s="26"/>
      <c r="Q28" s="31">
        <f t="shared" ref="Q28" si="112">SUM(Q26)</f>
        <v>0</v>
      </c>
      <c r="R28" s="38">
        <f t="shared" ref="R28" si="113">SUM(R26)</f>
        <v>0</v>
      </c>
      <c r="S28" s="31">
        <f t="shared" ref="S28" si="114">SUM(S26)</f>
        <v>0</v>
      </c>
      <c r="T28" s="38">
        <f t="shared" ref="T28" si="115">SUM(T26)</f>
        <v>0</v>
      </c>
      <c r="U28" s="31">
        <f t="shared" ref="U28" si="116">SUM(U26)</f>
        <v>1</v>
      </c>
      <c r="V28" s="38">
        <f t="shared" ref="V28" si="117">SUM(V26)</f>
        <v>6.8500000000000005E-2</v>
      </c>
    </row>
    <row r="29" spans="1:22">
      <c r="A29" s="26" t="s">
        <v>14</v>
      </c>
      <c r="B29" s="26" t="s">
        <v>25</v>
      </c>
      <c r="C29" s="30">
        <v>13.4</v>
      </c>
      <c r="D29" s="27">
        <v>12</v>
      </c>
      <c r="E29" s="28">
        <v>2</v>
      </c>
      <c r="F29" s="16">
        <f>(C29*D29*E29/1000)</f>
        <v>0.3216</v>
      </c>
      <c r="G29" s="17" t="s">
        <v>295</v>
      </c>
      <c r="H29" s="18"/>
      <c r="I29" s="19">
        <f>(C29*D29*H29/1000)</f>
        <v>0</v>
      </c>
      <c r="J29" s="16"/>
      <c r="K29" s="18"/>
      <c r="L29" s="19">
        <f>(C29*D29*K29/1000)</f>
        <v>0</v>
      </c>
      <c r="M29" s="16"/>
      <c r="N29" s="18"/>
      <c r="O29" s="19">
        <f>(C29*D29*N29/1000)</f>
        <v>0</v>
      </c>
      <c r="P29" s="16"/>
      <c r="Q29" s="18"/>
      <c r="R29" s="19">
        <f>(C29*D29*Q29/1000)</f>
        <v>0</v>
      </c>
      <c r="S29" s="20">
        <f>+H29+K29+Q29+N29</f>
        <v>0</v>
      </c>
      <c r="T29" s="19">
        <f>+I29+L29+R29+O29</f>
        <v>0</v>
      </c>
      <c r="U29" s="21">
        <f>E29-S29</f>
        <v>2</v>
      </c>
      <c r="V29" s="19">
        <f>F29-T29</f>
        <v>0.3216</v>
      </c>
    </row>
    <row r="30" spans="1:22">
      <c r="A30" s="26" t="s">
        <v>14</v>
      </c>
      <c r="B30" s="26" t="s">
        <v>25</v>
      </c>
      <c r="C30" s="30">
        <v>13.4</v>
      </c>
      <c r="D30" s="27">
        <v>6</v>
      </c>
      <c r="E30" s="28"/>
      <c r="F30" s="16">
        <f t="shared" ref="F30:F31" si="118">(C30*D30*E30/1000)</f>
        <v>0</v>
      </c>
      <c r="G30" s="26" t="s">
        <v>401</v>
      </c>
      <c r="H30" s="18">
        <v>3</v>
      </c>
      <c r="I30" s="19">
        <f t="shared" ref="I30:I31" si="119">(C30*D30*H30/1000)</f>
        <v>0.24120000000000003</v>
      </c>
      <c r="J30" s="16"/>
      <c r="K30" s="18"/>
      <c r="L30" s="19">
        <f t="shared" ref="L30:L31" si="120">(C30*D30*K30/1000)</f>
        <v>0</v>
      </c>
      <c r="M30" s="16"/>
      <c r="N30" s="18"/>
      <c r="O30" s="19">
        <f t="shared" ref="O30:O31" si="121">(C30*D30*N30/1000)</f>
        <v>0</v>
      </c>
      <c r="P30" s="16"/>
      <c r="Q30" s="18"/>
      <c r="R30" s="19">
        <f t="shared" ref="R30:R31" si="122">(C30*D30*Q30/1000)</f>
        <v>0</v>
      </c>
      <c r="S30" s="20">
        <f t="shared" ref="S30:S31" si="123">+H30+K30+Q30+N30</f>
        <v>3</v>
      </c>
      <c r="T30" s="19">
        <f t="shared" ref="T30:T31" si="124">+I30+L30+R30+O30</f>
        <v>0.24120000000000003</v>
      </c>
      <c r="U30" s="21">
        <f t="shared" ref="U30:U31" si="125">E30-S30</f>
        <v>-3</v>
      </c>
      <c r="V30" s="19">
        <f t="shared" ref="V30:V31" si="126">F30-T30</f>
        <v>-0.24120000000000003</v>
      </c>
    </row>
    <row r="31" spans="1:22">
      <c r="A31" s="26" t="s">
        <v>14</v>
      </c>
      <c r="B31" s="26" t="s">
        <v>25</v>
      </c>
      <c r="C31" s="30">
        <v>13.4</v>
      </c>
      <c r="D31" s="27">
        <v>7.3</v>
      </c>
      <c r="E31" s="28"/>
      <c r="F31" s="16">
        <f t="shared" si="118"/>
        <v>0</v>
      </c>
      <c r="G31" s="17"/>
      <c r="H31" s="18">
        <v>1</v>
      </c>
      <c r="I31" s="19">
        <f t="shared" si="119"/>
        <v>9.781999999999999E-2</v>
      </c>
      <c r="J31" s="16"/>
      <c r="K31" s="18"/>
      <c r="L31" s="19">
        <f t="shared" si="120"/>
        <v>0</v>
      </c>
      <c r="M31" s="16"/>
      <c r="N31" s="18"/>
      <c r="O31" s="19">
        <f t="shared" si="121"/>
        <v>0</v>
      </c>
      <c r="P31" s="16"/>
      <c r="Q31" s="18"/>
      <c r="R31" s="19">
        <f t="shared" si="122"/>
        <v>0</v>
      </c>
      <c r="S31" s="20">
        <f t="shared" si="123"/>
        <v>1</v>
      </c>
      <c r="T31" s="19">
        <f t="shared" si="124"/>
        <v>9.781999999999999E-2</v>
      </c>
      <c r="U31" s="21">
        <f t="shared" si="125"/>
        <v>-1</v>
      </c>
      <c r="V31" s="19">
        <f t="shared" si="126"/>
        <v>-9.781999999999999E-2</v>
      </c>
    </row>
    <row r="32" spans="1:22">
      <c r="A32" s="36"/>
      <c r="B32" s="36"/>
      <c r="C32" s="37"/>
      <c r="D32" s="38"/>
      <c r="E32" s="31">
        <f t="shared" ref="E32:F32" si="127">SUM(E29:E31)</f>
        <v>2</v>
      </c>
      <c r="F32" s="38">
        <f t="shared" si="127"/>
        <v>0.3216</v>
      </c>
      <c r="G32" s="26"/>
      <c r="H32" s="31">
        <f t="shared" ref="H32" si="128">SUM(H29:H31)</f>
        <v>4</v>
      </c>
      <c r="I32" s="38">
        <f t="shared" ref="I32" si="129">SUM(I29:I31)</f>
        <v>0.33901999999999999</v>
      </c>
      <c r="J32" s="26"/>
      <c r="K32" s="31">
        <f t="shared" ref="K32" si="130">SUM(K29:K31)</f>
        <v>0</v>
      </c>
      <c r="L32" s="38">
        <f t="shared" ref="L32" si="131">SUM(L29:L31)</f>
        <v>0</v>
      </c>
      <c r="M32" s="26"/>
      <c r="N32" s="31">
        <f t="shared" ref="N32" si="132">SUM(N29:N31)</f>
        <v>0</v>
      </c>
      <c r="O32" s="38">
        <f t="shared" ref="O32" si="133">SUM(O29:O31)</f>
        <v>0</v>
      </c>
      <c r="P32" s="26"/>
      <c r="Q32" s="31">
        <f t="shared" ref="Q32" si="134">SUM(Q29:Q31)</f>
        <v>0</v>
      </c>
      <c r="R32" s="38">
        <f t="shared" ref="R32" si="135">SUM(R29:R31)</f>
        <v>0</v>
      </c>
      <c r="S32" s="31">
        <f t="shared" ref="S32" si="136">SUM(S29:S31)</f>
        <v>4</v>
      </c>
      <c r="T32" s="38">
        <f t="shared" ref="T32" si="137">SUM(T29:T31)</f>
        <v>0.33901999999999999</v>
      </c>
      <c r="U32" s="31">
        <f t="shared" ref="U32" si="138">SUM(U29:U31)</f>
        <v>-2</v>
      </c>
      <c r="V32" s="38">
        <f t="shared" ref="V32" si="139">SUM(V29:V31)</f>
        <v>-1.7420000000000019E-2</v>
      </c>
    </row>
    <row r="33" spans="1:24">
      <c r="A33" s="33"/>
      <c r="B33" s="33"/>
      <c r="C33" s="34"/>
      <c r="D33" s="34"/>
      <c r="E33" s="34">
        <f>SUM(E6:E32)/2</f>
        <v>33</v>
      </c>
      <c r="F33" s="35">
        <f>SUM(F6:F32)/2</f>
        <v>7.947140000000001</v>
      </c>
      <c r="G33" s="26"/>
      <c r="H33" s="34">
        <f>SUM(H6:H32)/2</f>
        <v>26</v>
      </c>
      <c r="I33" s="35">
        <f>SUM(I6:I32)/2</f>
        <v>3.6040600000000005</v>
      </c>
      <c r="J33" s="26"/>
      <c r="K33" s="34">
        <f>SUM(K6:K32)/2</f>
        <v>0</v>
      </c>
      <c r="L33" s="35">
        <f>SUM(L6:L32)/2</f>
        <v>0</v>
      </c>
      <c r="M33" s="26"/>
      <c r="N33" s="34">
        <f>SUM(N6:N32)/2</f>
        <v>0</v>
      </c>
      <c r="O33" s="35">
        <f>SUM(O6:O32)/2</f>
        <v>0</v>
      </c>
      <c r="P33" s="26"/>
      <c r="Q33" s="34">
        <f t="shared" ref="Q33:V33" si="140">SUM(Q6:Q32)/2</f>
        <v>0</v>
      </c>
      <c r="R33" s="35">
        <f t="shared" si="140"/>
        <v>0</v>
      </c>
      <c r="S33" s="34">
        <f t="shared" si="140"/>
        <v>25.5</v>
      </c>
      <c r="T33" s="35">
        <f t="shared" si="140"/>
        <v>3.5629600000000003</v>
      </c>
      <c r="U33" s="34">
        <f t="shared" si="140"/>
        <v>7.5</v>
      </c>
      <c r="V33" s="35">
        <f t="shared" si="140"/>
        <v>4.3841800000000006</v>
      </c>
    </row>
    <row r="36" spans="1:24" s="56" customFormat="1">
      <c r="A36" s="57" t="s">
        <v>13</v>
      </c>
      <c r="B36" s="57" t="s">
        <v>61</v>
      </c>
      <c r="C36" s="58">
        <v>12.2</v>
      </c>
      <c r="D36" s="59">
        <v>12</v>
      </c>
      <c r="E36" s="60">
        <v>10</v>
      </c>
      <c r="F36" s="61">
        <f>(C36*D36*E36/1000)</f>
        <v>1.4639999999999997</v>
      </c>
      <c r="G36" s="62"/>
      <c r="H36" s="63"/>
      <c r="I36" s="64">
        <f>(C36*D36*H36/1000)</f>
        <v>0</v>
      </c>
      <c r="J36" s="61"/>
      <c r="K36" s="63"/>
      <c r="L36" s="64">
        <f>(C36*D36*K36/1000)</f>
        <v>0</v>
      </c>
      <c r="M36" s="61"/>
      <c r="N36" s="63"/>
      <c r="O36" s="64">
        <f>(C36*D36*N36/1000)</f>
        <v>0</v>
      </c>
      <c r="P36" s="61"/>
      <c r="Q36" s="63"/>
      <c r="R36" s="64">
        <f>(C36*D36*Q36/1000)</f>
        <v>0</v>
      </c>
      <c r="S36" s="65">
        <f>+H36+K36+Q36+N36</f>
        <v>0</v>
      </c>
      <c r="T36" s="64">
        <f>+I36+L36+R36+O36</f>
        <v>0</v>
      </c>
      <c r="U36" s="42">
        <f>E36-S36</f>
        <v>10</v>
      </c>
      <c r="V36" s="64">
        <f>F36-T36</f>
        <v>1.4639999999999997</v>
      </c>
      <c r="X36" s="69"/>
    </row>
    <row r="37" spans="1:24" s="56" customFormat="1">
      <c r="A37" s="41"/>
      <c r="B37" s="41"/>
      <c r="C37" s="66"/>
      <c r="D37" s="67"/>
      <c r="E37" s="68">
        <f t="shared" ref="E37:F37" si="141">SUM(E36)</f>
        <v>10</v>
      </c>
      <c r="F37" s="67">
        <f t="shared" si="141"/>
        <v>1.4639999999999997</v>
      </c>
      <c r="G37" s="61"/>
      <c r="H37" s="68">
        <f t="shared" ref="H37" si="142">SUM(H36)</f>
        <v>0</v>
      </c>
      <c r="I37" s="67">
        <f t="shared" ref="I37" si="143">SUM(I36)</f>
        <v>0</v>
      </c>
      <c r="J37" s="61"/>
      <c r="K37" s="68">
        <f t="shared" ref="K37" si="144">SUM(K36)</f>
        <v>0</v>
      </c>
      <c r="L37" s="67">
        <f t="shared" ref="L37" si="145">SUM(L36)</f>
        <v>0</v>
      </c>
      <c r="M37" s="61"/>
      <c r="N37" s="68">
        <f t="shared" ref="N37" si="146">SUM(N36)</f>
        <v>0</v>
      </c>
      <c r="O37" s="67">
        <f t="shared" ref="O37" si="147">SUM(O36)</f>
        <v>0</v>
      </c>
      <c r="P37" s="61"/>
      <c r="Q37" s="68">
        <f t="shared" ref="Q37" si="148">SUM(Q36)</f>
        <v>0</v>
      </c>
      <c r="R37" s="67">
        <f t="shared" ref="R37" si="149">SUM(R36)</f>
        <v>0</v>
      </c>
      <c r="S37" s="68">
        <f t="shared" ref="S37" si="150">SUM(S36)</f>
        <v>0</v>
      </c>
      <c r="T37" s="67">
        <f t="shared" ref="T37" si="151">SUM(T36)</f>
        <v>0</v>
      </c>
      <c r="U37" s="68">
        <f t="shared" ref="U37" si="152">SUM(U36)</f>
        <v>10</v>
      </c>
      <c r="V37" s="67">
        <f t="shared" ref="V37" si="153">SUM(V36)</f>
        <v>1.4639999999999997</v>
      </c>
      <c r="X37" s="6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6"/>
  <dimension ref="A1:X24"/>
  <sheetViews>
    <sheetView zoomScale="75" zoomScaleNormal="75" workbookViewId="0">
      <pane ySplit="5" topLeftCell="A6" activePane="bottomLeft" state="frozen"/>
      <selection pane="bottomLeft" activeCell="E33" sqref="E3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LOI-566  03.07.23</v>
      </c>
      <c r="D1" s="1"/>
      <c r="E1" s="2"/>
      <c r="F1" s="2"/>
      <c r="G1" s="143" t="s">
        <v>230</v>
      </c>
      <c r="H1" s="144"/>
      <c r="I1" s="145" t="s">
        <v>310</v>
      </c>
      <c r="J1" s="144"/>
      <c r="K1" s="3"/>
      <c r="L1" s="4"/>
      <c r="M1" s="4"/>
      <c r="N1" s="3"/>
      <c r="O1" s="4"/>
      <c r="P1" s="146" t="str">
        <f>+F2</f>
        <v>LOI-566  03.07.23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232</v>
      </c>
      <c r="B2" s="8"/>
      <c r="C2" s="9"/>
      <c r="D2" s="9"/>
      <c r="E2" s="10"/>
      <c r="F2" s="146" t="s">
        <v>312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LOI-566  03.07.23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57" t="s">
        <v>124</v>
      </c>
      <c r="C6" s="58">
        <v>23</v>
      </c>
      <c r="D6" s="59">
        <v>11.1</v>
      </c>
      <c r="E6" s="60">
        <v>6</v>
      </c>
      <c r="F6" s="61">
        <f>(C6*D6*E6/1000)</f>
        <v>1.5318000000000001</v>
      </c>
      <c r="G6" s="61"/>
      <c r="H6" s="63"/>
      <c r="I6" s="64">
        <f>(C6*D6*H6/1000)</f>
        <v>0</v>
      </c>
      <c r="J6" s="61"/>
      <c r="K6" s="63"/>
      <c r="L6" s="64">
        <f>(C6*D6*K6/1000)</f>
        <v>0</v>
      </c>
      <c r="M6" s="61"/>
      <c r="N6" s="63"/>
      <c r="O6" s="64">
        <f>(C6*D6*N6/1000)</f>
        <v>0</v>
      </c>
      <c r="P6" s="61"/>
      <c r="Q6" s="63"/>
      <c r="R6" s="64">
        <f>(C6*D6*Q6/1000)</f>
        <v>0</v>
      </c>
      <c r="S6" s="65">
        <f>+H6+K6+Q6+N6</f>
        <v>0</v>
      </c>
      <c r="T6" s="64">
        <f>+I6+L6+R6+O6</f>
        <v>0</v>
      </c>
      <c r="U6" s="42">
        <f>E6-S6</f>
        <v>6</v>
      </c>
      <c r="V6" s="64">
        <f>F6-T6</f>
        <v>1.5318000000000001</v>
      </c>
      <c r="X6" s="29"/>
    </row>
    <row r="7" spans="1:24">
      <c r="A7" s="26" t="s">
        <v>13</v>
      </c>
      <c r="B7" s="57" t="s">
        <v>124</v>
      </c>
      <c r="C7" s="58"/>
      <c r="D7" s="59"/>
      <c r="E7" s="60"/>
      <c r="F7" s="61">
        <f>(C7*D7*E7/1000)</f>
        <v>0</v>
      </c>
      <c r="G7" s="61"/>
      <c r="H7" s="63"/>
      <c r="I7" s="64">
        <f>(C7*D7*H7/1000)</f>
        <v>0</v>
      </c>
      <c r="J7" s="61"/>
      <c r="K7" s="63"/>
      <c r="L7" s="64">
        <f>(C7*D7*K7/1000)</f>
        <v>0</v>
      </c>
      <c r="M7" s="61"/>
      <c r="N7" s="63"/>
      <c r="O7" s="64">
        <f>(C7*D7*N7/1000)</f>
        <v>0</v>
      </c>
      <c r="P7" s="61"/>
      <c r="Q7" s="63"/>
      <c r="R7" s="64">
        <f>(C7*D7*Q7/1000)</f>
        <v>0</v>
      </c>
      <c r="S7" s="65">
        <f>+H7+K7+Q7+N7</f>
        <v>0</v>
      </c>
      <c r="T7" s="64">
        <f>+I7+L7+R7+O7</f>
        <v>0</v>
      </c>
      <c r="U7" s="42">
        <f>E7-S7</f>
        <v>0</v>
      </c>
      <c r="V7" s="64">
        <f>F7-T7</f>
        <v>0</v>
      </c>
      <c r="X7" s="29"/>
    </row>
    <row r="8" spans="1:24">
      <c r="A8" s="36"/>
      <c r="B8" s="41"/>
      <c r="C8" s="66"/>
      <c r="D8" s="67"/>
      <c r="E8" s="68">
        <f t="shared" ref="E8:F8" si="0">SUM(E6:E7)</f>
        <v>6</v>
      </c>
      <c r="F8" s="67">
        <f t="shared" si="0"/>
        <v>1.5318000000000001</v>
      </c>
      <c r="G8" s="61"/>
      <c r="H8" s="68">
        <f t="shared" ref="H8:I8" si="1">SUM(H6:H7)</f>
        <v>0</v>
      </c>
      <c r="I8" s="67">
        <f t="shared" si="1"/>
        <v>0</v>
      </c>
      <c r="J8" s="61"/>
      <c r="K8" s="68">
        <f t="shared" ref="K8:L8" si="2">SUM(K6:K7)</f>
        <v>0</v>
      </c>
      <c r="L8" s="67">
        <f t="shared" si="2"/>
        <v>0</v>
      </c>
      <c r="M8" s="61"/>
      <c r="N8" s="68">
        <f t="shared" ref="N8:O8" si="3">SUM(N6:N7)</f>
        <v>0</v>
      </c>
      <c r="O8" s="67">
        <f t="shared" si="3"/>
        <v>0</v>
      </c>
      <c r="P8" s="61"/>
      <c r="Q8" s="68">
        <f t="shared" ref="Q8:V8" si="4">SUM(Q6:Q7)</f>
        <v>0</v>
      </c>
      <c r="R8" s="67">
        <f t="shared" si="4"/>
        <v>0</v>
      </c>
      <c r="S8" s="68">
        <f t="shared" si="4"/>
        <v>0</v>
      </c>
      <c r="T8" s="67">
        <f t="shared" si="4"/>
        <v>0</v>
      </c>
      <c r="U8" s="68">
        <f t="shared" si="4"/>
        <v>6</v>
      </c>
      <c r="V8" s="67">
        <f t="shared" si="4"/>
        <v>1.5318000000000001</v>
      </c>
      <c r="X8" s="29"/>
    </row>
    <row r="9" spans="1:24">
      <c r="A9" s="33"/>
      <c r="B9" s="33"/>
      <c r="C9" s="34"/>
      <c r="D9" s="34"/>
      <c r="E9" s="34">
        <f t="shared" ref="E9:F9" si="5">SUM(E8)</f>
        <v>6</v>
      </c>
      <c r="F9" s="35">
        <f t="shared" si="5"/>
        <v>1.5318000000000001</v>
      </c>
      <c r="G9" s="26"/>
      <c r="H9" s="34">
        <f t="shared" ref="H9" si="6">SUM(H8)</f>
        <v>0</v>
      </c>
      <c r="I9" s="35">
        <f t="shared" ref="I9" si="7">SUM(I8)</f>
        <v>0</v>
      </c>
      <c r="J9" s="26"/>
      <c r="K9" s="34">
        <f t="shared" ref="K9" si="8">SUM(K8)</f>
        <v>0</v>
      </c>
      <c r="L9" s="35">
        <f t="shared" ref="L9" si="9">SUM(L8)</f>
        <v>0</v>
      </c>
      <c r="M9" s="26"/>
      <c r="N9" s="34">
        <f t="shared" ref="N9" si="10">SUM(N8)</f>
        <v>0</v>
      </c>
      <c r="O9" s="35">
        <f t="shared" ref="O9" si="11">SUM(O8)</f>
        <v>0</v>
      </c>
      <c r="P9" s="26"/>
      <c r="Q9" s="34">
        <f t="shared" ref="Q9" si="12">SUM(Q8)</f>
        <v>0</v>
      </c>
      <c r="R9" s="35">
        <f t="shared" ref="R9" si="13">SUM(R8)</f>
        <v>0</v>
      </c>
      <c r="S9" s="34">
        <f t="shared" ref="S9" si="14">SUM(S8)</f>
        <v>0</v>
      </c>
      <c r="T9" s="35">
        <f t="shared" ref="T9" si="15">SUM(T8)</f>
        <v>0</v>
      </c>
      <c r="U9" s="34">
        <f t="shared" ref="U9" si="16">SUM(U8)</f>
        <v>6</v>
      </c>
      <c r="V9" s="35">
        <f t="shared" ref="V9" si="17">SUM(V8)</f>
        <v>1.5318000000000001</v>
      </c>
    </row>
    <row r="10" spans="1:24">
      <c r="A10" s="26" t="s">
        <v>13</v>
      </c>
      <c r="B10" s="26" t="s">
        <v>124</v>
      </c>
      <c r="C10" s="30">
        <v>23</v>
      </c>
      <c r="D10" s="27">
        <v>11.8</v>
      </c>
      <c r="E10" s="28">
        <v>1</v>
      </c>
      <c r="F10" s="16">
        <f t="shared" ref="F10" si="18">(C10*D10*E10/1000)</f>
        <v>0.27140000000000003</v>
      </c>
      <c r="G10" s="17" t="s">
        <v>93</v>
      </c>
      <c r="H10" s="18">
        <v>1</v>
      </c>
      <c r="I10" s="19">
        <f t="shared" ref="I10" si="19">(C10*D10*H10/1000)</f>
        <v>0.27140000000000003</v>
      </c>
      <c r="J10" s="16"/>
      <c r="K10" s="18"/>
      <c r="L10" s="19">
        <f t="shared" ref="L10" si="20">(C10*D10*K10/1000)</f>
        <v>0</v>
      </c>
      <c r="M10" s="16"/>
      <c r="N10" s="18"/>
      <c r="O10" s="19">
        <f t="shared" ref="O10" si="21">(C10*D10*N10/1000)</f>
        <v>0</v>
      </c>
      <c r="P10" s="16"/>
      <c r="Q10" s="18"/>
      <c r="R10" s="19">
        <f t="shared" ref="R10" si="22">(C10*D10*Q10/1000)</f>
        <v>0</v>
      </c>
      <c r="S10" s="20">
        <f t="shared" ref="S10:T10" si="23">+H10+K10+Q10+N10</f>
        <v>1</v>
      </c>
      <c r="T10" s="19">
        <f t="shared" si="23"/>
        <v>0.27140000000000003</v>
      </c>
      <c r="U10" s="21">
        <f t="shared" ref="U10:V10" si="24">E10-S10</f>
        <v>0</v>
      </c>
      <c r="V10" s="19">
        <f t="shared" si="24"/>
        <v>0</v>
      </c>
      <c r="X10" s="29"/>
    </row>
    <row r="11" spans="1:24">
      <c r="A11" s="26"/>
      <c r="B11" s="26"/>
      <c r="C11" s="30"/>
      <c r="D11" s="27"/>
      <c r="E11" s="31">
        <f>SUM(E10:E10)</f>
        <v>1</v>
      </c>
      <c r="F11" s="38">
        <f>SUM(F10:F10)</f>
        <v>0.27140000000000003</v>
      </c>
      <c r="G11" s="17" t="s">
        <v>342</v>
      </c>
      <c r="H11" s="31">
        <f>SUM(H10:H10)</f>
        <v>1</v>
      </c>
      <c r="I11" s="38">
        <f>SUM(I10:I10)</f>
        <v>0.27140000000000003</v>
      </c>
      <c r="J11" s="16"/>
      <c r="K11" s="31">
        <f>SUM(K10:K10)</f>
        <v>0</v>
      </c>
      <c r="L11" s="38">
        <f>SUM(L10:L10)</f>
        <v>0</v>
      </c>
      <c r="M11" s="16"/>
      <c r="N11" s="31">
        <f>SUM(N10:N10)</f>
        <v>0</v>
      </c>
      <c r="O11" s="38">
        <f>SUM(O10:O10)</f>
        <v>0</v>
      </c>
      <c r="P11" s="16"/>
      <c r="Q11" s="31">
        <f t="shared" ref="Q11:V11" si="25">SUM(Q10:Q10)</f>
        <v>0</v>
      </c>
      <c r="R11" s="38">
        <f t="shared" si="25"/>
        <v>0</v>
      </c>
      <c r="S11" s="31">
        <f t="shared" si="25"/>
        <v>1</v>
      </c>
      <c r="T11" s="38">
        <f t="shared" si="25"/>
        <v>0.27140000000000003</v>
      </c>
      <c r="U11" s="31">
        <f t="shared" si="25"/>
        <v>0</v>
      </c>
      <c r="V11" s="38">
        <f t="shared" si="25"/>
        <v>0</v>
      </c>
    </row>
    <row r="24" spans="18:18">
      <c r="R24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7"/>
  <dimension ref="A1:X41"/>
  <sheetViews>
    <sheetView zoomScale="75" zoomScaleNormal="75" workbookViewId="0">
      <pane ySplit="5" topLeftCell="A6" activePane="bottomLeft" state="frozen"/>
      <selection activeCell="A4" sqref="A4"/>
      <selection pane="bottomLeft" activeCell="H13" sqref="H1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LOI-567  28.07.23</v>
      </c>
      <c r="D1" s="1"/>
      <c r="E1" s="2"/>
      <c r="F1" s="2"/>
      <c r="G1" s="143" t="s">
        <v>153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LOI-567  28.07.23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263</v>
      </c>
      <c r="B2" s="8"/>
      <c r="C2" s="9"/>
      <c r="D2" s="9"/>
      <c r="E2" s="10"/>
      <c r="F2" s="146" t="s">
        <v>313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LOI-567  28.07.23</v>
      </c>
      <c r="V2" s="146"/>
    </row>
    <row r="3" spans="1:24">
      <c r="A3" s="12" t="s">
        <v>264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 s="107" customFormat="1">
      <c r="A6" s="97" t="s">
        <v>13</v>
      </c>
      <c r="B6" s="97" t="s">
        <v>26</v>
      </c>
      <c r="C6" s="98">
        <v>8.3000000000000007</v>
      </c>
      <c r="D6" s="99">
        <v>12</v>
      </c>
      <c r="E6" s="100">
        <v>3</v>
      </c>
      <c r="F6" s="101">
        <f t="shared" ref="F6:F11" si="0">(C6*D6*E6/1000)</f>
        <v>0.29880000000000001</v>
      </c>
      <c r="G6" s="16" t="s">
        <v>111</v>
      </c>
      <c r="H6" s="103">
        <v>3</v>
      </c>
      <c r="I6" s="104">
        <f t="shared" ref="I6:I11" si="1">(C6*D6*H6/1000)</f>
        <v>0.29880000000000001</v>
      </c>
      <c r="J6" s="101"/>
      <c r="K6" s="103"/>
      <c r="L6" s="104">
        <f t="shared" ref="L6:L11" si="2">(C6*D6*K6/1000)</f>
        <v>0</v>
      </c>
      <c r="M6" s="101"/>
      <c r="N6" s="103"/>
      <c r="O6" s="104">
        <f t="shared" ref="O6:O11" si="3">(C6*D6*N6/1000)</f>
        <v>0</v>
      </c>
      <c r="P6" s="101"/>
      <c r="Q6" s="103"/>
      <c r="R6" s="104">
        <f t="shared" ref="R6:R11" si="4">(C6*D6*Q6/1000)</f>
        <v>0</v>
      </c>
      <c r="S6" s="105">
        <f t="shared" ref="S6:S11" si="5">+H6+K6+Q6+N6</f>
        <v>3</v>
      </c>
      <c r="T6" s="104">
        <f t="shared" ref="T6:T11" si="6">+I6+L6+R6+O6</f>
        <v>0.29880000000000001</v>
      </c>
      <c r="U6" s="106">
        <f t="shared" ref="U6:U11" si="7">E6-S6</f>
        <v>0</v>
      </c>
      <c r="V6" s="104">
        <f t="shared" ref="V6:V11" si="8">F6-T6</f>
        <v>0</v>
      </c>
      <c r="X6" s="108"/>
    </row>
    <row r="7" spans="1:24" s="107" customFormat="1">
      <c r="A7" s="97" t="s">
        <v>13</v>
      </c>
      <c r="B7" s="97" t="s">
        <v>26</v>
      </c>
      <c r="C7" s="98">
        <v>8.3000000000000007</v>
      </c>
      <c r="D7" s="99"/>
      <c r="E7" s="100"/>
      <c r="F7" s="101">
        <f t="shared" si="0"/>
        <v>0</v>
      </c>
      <c r="G7" s="16" t="s">
        <v>424</v>
      </c>
      <c r="H7" s="103"/>
      <c r="I7" s="104">
        <f t="shared" si="1"/>
        <v>0</v>
      </c>
      <c r="J7" s="101"/>
      <c r="K7" s="103"/>
      <c r="L7" s="104">
        <f t="shared" si="2"/>
        <v>0</v>
      </c>
      <c r="M7" s="101"/>
      <c r="N7" s="103"/>
      <c r="O7" s="104">
        <f t="shared" si="3"/>
        <v>0</v>
      </c>
      <c r="P7" s="101"/>
      <c r="Q7" s="103"/>
      <c r="R7" s="104">
        <f t="shared" si="4"/>
        <v>0</v>
      </c>
      <c r="S7" s="105">
        <f t="shared" si="5"/>
        <v>0</v>
      </c>
      <c r="T7" s="104">
        <f t="shared" si="6"/>
        <v>0</v>
      </c>
      <c r="U7" s="106">
        <f t="shared" si="7"/>
        <v>0</v>
      </c>
      <c r="V7" s="104">
        <f t="shared" si="8"/>
        <v>0</v>
      </c>
      <c r="X7" s="108"/>
    </row>
    <row r="8" spans="1:24" s="107" customFormat="1">
      <c r="A8" s="97" t="s">
        <v>13</v>
      </c>
      <c r="B8" s="97" t="s">
        <v>26</v>
      </c>
      <c r="C8" s="98">
        <v>8.3000000000000007</v>
      </c>
      <c r="D8" s="99"/>
      <c r="E8" s="100"/>
      <c r="F8" s="101">
        <f t="shared" si="0"/>
        <v>0</v>
      </c>
      <c r="G8" s="102"/>
      <c r="H8" s="103"/>
      <c r="I8" s="104">
        <f t="shared" si="1"/>
        <v>0</v>
      </c>
      <c r="J8" s="101"/>
      <c r="K8" s="103"/>
      <c r="L8" s="104">
        <f t="shared" si="2"/>
        <v>0</v>
      </c>
      <c r="M8" s="101"/>
      <c r="N8" s="103"/>
      <c r="O8" s="104">
        <f t="shared" si="3"/>
        <v>0</v>
      </c>
      <c r="P8" s="101"/>
      <c r="Q8" s="103"/>
      <c r="R8" s="104">
        <f t="shared" si="4"/>
        <v>0</v>
      </c>
      <c r="S8" s="105">
        <f t="shared" si="5"/>
        <v>0</v>
      </c>
      <c r="T8" s="104">
        <f t="shared" si="6"/>
        <v>0</v>
      </c>
      <c r="U8" s="106">
        <f t="shared" si="7"/>
        <v>0</v>
      </c>
      <c r="V8" s="104">
        <f t="shared" si="8"/>
        <v>0</v>
      </c>
      <c r="X8" s="108"/>
    </row>
    <row r="9" spans="1:24" s="107" customFormat="1">
      <c r="A9" s="97" t="s">
        <v>13</v>
      </c>
      <c r="B9" s="97" t="s">
        <v>26</v>
      </c>
      <c r="C9" s="98">
        <v>8.3000000000000007</v>
      </c>
      <c r="D9" s="99"/>
      <c r="E9" s="100"/>
      <c r="F9" s="101">
        <f t="shared" si="0"/>
        <v>0</v>
      </c>
      <c r="G9" s="102"/>
      <c r="H9" s="103"/>
      <c r="I9" s="104">
        <f t="shared" si="1"/>
        <v>0</v>
      </c>
      <c r="J9" s="101"/>
      <c r="K9" s="103"/>
      <c r="L9" s="104">
        <f t="shared" si="2"/>
        <v>0</v>
      </c>
      <c r="M9" s="101"/>
      <c r="N9" s="103"/>
      <c r="O9" s="104">
        <f t="shared" si="3"/>
        <v>0</v>
      </c>
      <c r="P9" s="101"/>
      <c r="Q9" s="103"/>
      <c r="R9" s="104">
        <f t="shared" si="4"/>
        <v>0</v>
      </c>
      <c r="S9" s="105">
        <f t="shared" si="5"/>
        <v>0</v>
      </c>
      <c r="T9" s="104">
        <f t="shared" si="6"/>
        <v>0</v>
      </c>
      <c r="U9" s="106">
        <f t="shared" si="7"/>
        <v>0</v>
      </c>
      <c r="V9" s="104">
        <f t="shared" si="8"/>
        <v>0</v>
      </c>
      <c r="X9" s="108"/>
    </row>
    <row r="10" spans="1:24" s="107" customFormat="1">
      <c r="A10" s="97" t="s">
        <v>13</v>
      </c>
      <c r="B10" s="97" t="s">
        <v>26</v>
      </c>
      <c r="C10" s="98">
        <v>8.3000000000000007</v>
      </c>
      <c r="D10" s="99"/>
      <c r="E10" s="100"/>
      <c r="F10" s="101">
        <f t="shared" si="0"/>
        <v>0</v>
      </c>
      <c r="G10" s="102"/>
      <c r="H10" s="103"/>
      <c r="I10" s="104">
        <f t="shared" si="1"/>
        <v>0</v>
      </c>
      <c r="J10" s="101"/>
      <c r="K10" s="103"/>
      <c r="L10" s="104">
        <f t="shared" si="2"/>
        <v>0</v>
      </c>
      <c r="M10" s="101"/>
      <c r="N10" s="103"/>
      <c r="O10" s="104">
        <f t="shared" si="3"/>
        <v>0</v>
      </c>
      <c r="P10" s="101"/>
      <c r="Q10" s="103"/>
      <c r="R10" s="104">
        <f t="shared" si="4"/>
        <v>0</v>
      </c>
      <c r="S10" s="105">
        <f t="shared" si="5"/>
        <v>0</v>
      </c>
      <c r="T10" s="104">
        <f t="shared" si="6"/>
        <v>0</v>
      </c>
      <c r="U10" s="106">
        <f t="shared" si="7"/>
        <v>0</v>
      </c>
      <c r="V10" s="104">
        <f t="shared" si="8"/>
        <v>0</v>
      </c>
      <c r="X10" s="108"/>
    </row>
    <row r="11" spans="1:24" s="107" customFormat="1">
      <c r="A11" s="97" t="s">
        <v>13</v>
      </c>
      <c r="B11" s="97" t="s">
        <v>26</v>
      </c>
      <c r="C11" s="98">
        <v>8.3000000000000007</v>
      </c>
      <c r="D11" s="99"/>
      <c r="E11" s="100"/>
      <c r="F11" s="101">
        <f t="shared" si="0"/>
        <v>0</v>
      </c>
      <c r="G11" s="102"/>
      <c r="H11" s="103"/>
      <c r="I11" s="104">
        <f t="shared" si="1"/>
        <v>0</v>
      </c>
      <c r="J11" s="101"/>
      <c r="K11" s="103"/>
      <c r="L11" s="104">
        <f t="shared" si="2"/>
        <v>0</v>
      </c>
      <c r="M11" s="101"/>
      <c r="N11" s="103"/>
      <c r="O11" s="104">
        <f t="shared" si="3"/>
        <v>0</v>
      </c>
      <c r="P11" s="101"/>
      <c r="Q11" s="103"/>
      <c r="R11" s="104">
        <f t="shared" si="4"/>
        <v>0</v>
      </c>
      <c r="S11" s="105">
        <f t="shared" si="5"/>
        <v>0</v>
      </c>
      <c r="T11" s="104">
        <f t="shared" si="6"/>
        <v>0</v>
      </c>
      <c r="U11" s="106">
        <f t="shared" si="7"/>
        <v>0</v>
      </c>
      <c r="V11" s="104">
        <f t="shared" si="8"/>
        <v>0</v>
      </c>
      <c r="X11" s="108"/>
    </row>
    <row r="12" spans="1:24" s="107" customFormat="1">
      <c r="A12" s="36"/>
      <c r="B12" s="36"/>
      <c r="C12" s="37"/>
      <c r="D12" s="38"/>
      <c r="E12" s="31">
        <f>SUM(E6:E11)</f>
        <v>3</v>
      </c>
      <c r="F12" s="38">
        <f>SUM(F6:F11)</f>
        <v>0.29880000000000001</v>
      </c>
      <c r="G12" s="102"/>
      <c r="H12" s="31">
        <f t="shared" ref="H12:I12" si="9">SUM(H6:H11)</f>
        <v>3</v>
      </c>
      <c r="I12" s="38">
        <f t="shared" si="9"/>
        <v>0.29880000000000001</v>
      </c>
      <c r="J12" s="101"/>
      <c r="K12" s="31">
        <f t="shared" ref="K12:L12" si="10">SUM(K6:K11)</f>
        <v>0</v>
      </c>
      <c r="L12" s="38">
        <f t="shared" si="10"/>
        <v>0</v>
      </c>
      <c r="M12" s="101"/>
      <c r="N12" s="31">
        <f t="shared" ref="N12:O12" si="11">SUM(N6:N11)</f>
        <v>0</v>
      </c>
      <c r="O12" s="38">
        <f t="shared" si="11"/>
        <v>0</v>
      </c>
      <c r="P12" s="101"/>
      <c r="Q12" s="31">
        <f t="shared" ref="Q12:V12" si="12">SUM(Q6:Q11)</f>
        <v>0</v>
      </c>
      <c r="R12" s="38">
        <f t="shared" si="12"/>
        <v>0</v>
      </c>
      <c r="S12" s="31">
        <f t="shared" si="12"/>
        <v>3</v>
      </c>
      <c r="T12" s="38">
        <f t="shared" si="12"/>
        <v>0.29880000000000001</v>
      </c>
      <c r="U12" s="31">
        <f t="shared" si="12"/>
        <v>0</v>
      </c>
      <c r="V12" s="38">
        <f t="shared" si="12"/>
        <v>0</v>
      </c>
      <c r="X12" s="108"/>
    </row>
    <row r="13" spans="1:24" s="107" customFormat="1">
      <c r="A13" s="97" t="s">
        <v>13</v>
      </c>
      <c r="B13" s="97" t="s">
        <v>58</v>
      </c>
      <c r="C13" s="98">
        <v>7.34</v>
      </c>
      <c r="D13" s="99">
        <v>12</v>
      </c>
      <c r="E13" s="100">
        <v>3</v>
      </c>
      <c r="F13" s="101">
        <f t="shared" ref="F13:F17" si="13">(C13*D13*E13/1000)</f>
        <v>0.26424000000000003</v>
      </c>
      <c r="G13" s="16" t="s">
        <v>293</v>
      </c>
      <c r="H13" s="103">
        <v>3</v>
      </c>
      <c r="I13" s="104">
        <f t="shared" ref="I13:I17" si="14">(C13*D13*H13/1000)</f>
        <v>0.26424000000000003</v>
      </c>
      <c r="J13" s="101"/>
      <c r="K13" s="103"/>
      <c r="L13" s="104">
        <f t="shared" ref="L13:L17" si="15">(C13*D13*K13/1000)</f>
        <v>0</v>
      </c>
      <c r="M13" s="101"/>
      <c r="N13" s="103"/>
      <c r="O13" s="104">
        <f t="shared" ref="O13:O17" si="16">(C13*D13*N13/1000)</f>
        <v>0</v>
      </c>
      <c r="P13" s="101"/>
      <c r="Q13" s="103"/>
      <c r="R13" s="104">
        <f t="shared" ref="R13:R17" si="17">(C13*D13*Q13/1000)</f>
        <v>0</v>
      </c>
      <c r="S13" s="105">
        <f t="shared" ref="S13:T17" si="18">+H13+K13+Q13+N13</f>
        <v>3</v>
      </c>
      <c r="T13" s="104">
        <f t="shared" si="18"/>
        <v>0.26424000000000003</v>
      </c>
      <c r="U13" s="106">
        <f t="shared" ref="U13:V17" si="19">E13-S13</f>
        <v>0</v>
      </c>
      <c r="V13" s="104">
        <f t="shared" si="19"/>
        <v>0</v>
      </c>
      <c r="X13" s="108"/>
    </row>
    <row r="14" spans="1:24" s="107" customFormat="1">
      <c r="A14" s="97" t="s">
        <v>13</v>
      </c>
      <c r="B14" s="97" t="s">
        <v>58</v>
      </c>
      <c r="C14" s="98">
        <v>7.34</v>
      </c>
      <c r="D14" s="99"/>
      <c r="E14" s="100"/>
      <c r="F14" s="101">
        <f t="shared" si="13"/>
        <v>0</v>
      </c>
      <c r="G14" s="16" t="s">
        <v>425</v>
      </c>
      <c r="H14" s="103"/>
      <c r="I14" s="104">
        <f t="shared" si="14"/>
        <v>0</v>
      </c>
      <c r="J14" s="101"/>
      <c r="K14" s="103"/>
      <c r="L14" s="104">
        <f t="shared" si="15"/>
        <v>0</v>
      </c>
      <c r="M14" s="101"/>
      <c r="N14" s="103"/>
      <c r="O14" s="104">
        <f t="shared" si="16"/>
        <v>0</v>
      </c>
      <c r="P14" s="101"/>
      <c r="Q14" s="103"/>
      <c r="R14" s="104">
        <f t="shared" si="17"/>
        <v>0</v>
      </c>
      <c r="S14" s="105">
        <f t="shared" si="18"/>
        <v>0</v>
      </c>
      <c r="T14" s="104">
        <f t="shared" si="18"/>
        <v>0</v>
      </c>
      <c r="U14" s="106">
        <f t="shared" si="19"/>
        <v>0</v>
      </c>
      <c r="V14" s="104">
        <f t="shared" si="19"/>
        <v>0</v>
      </c>
      <c r="X14" s="108"/>
    </row>
    <row r="15" spans="1:24" s="107" customFormat="1">
      <c r="A15" s="97" t="s">
        <v>13</v>
      </c>
      <c r="B15" s="97" t="s">
        <v>58</v>
      </c>
      <c r="C15" s="98">
        <v>7.34</v>
      </c>
      <c r="D15" s="99"/>
      <c r="E15" s="100"/>
      <c r="F15" s="101">
        <f t="shared" si="13"/>
        <v>0</v>
      </c>
      <c r="G15" s="102"/>
      <c r="H15" s="103"/>
      <c r="I15" s="104">
        <f t="shared" si="14"/>
        <v>0</v>
      </c>
      <c r="J15" s="101"/>
      <c r="K15" s="103"/>
      <c r="L15" s="104">
        <f t="shared" si="15"/>
        <v>0</v>
      </c>
      <c r="M15" s="101"/>
      <c r="N15" s="103"/>
      <c r="O15" s="104">
        <f t="shared" si="16"/>
        <v>0</v>
      </c>
      <c r="P15" s="101"/>
      <c r="Q15" s="103"/>
      <c r="R15" s="104">
        <f t="shared" si="17"/>
        <v>0</v>
      </c>
      <c r="S15" s="105">
        <f t="shared" si="18"/>
        <v>0</v>
      </c>
      <c r="T15" s="104">
        <f t="shared" si="18"/>
        <v>0</v>
      </c>
      <c r="U15" s="106">
        <f t="shared" si="19"/>
        <v>0</v>
      </c>
      <c r="V15" s="104">
        <f t="shared" si="19"/>
        <v>0</v>
      </c>
      <c r="X15" s="108"/>
    </row>
    <row r="16" spans="1:24" s="107" customFormat="1">
      <c r="A16" s="97" t="s">
        <v>13</v>
      </c>
      <c r="B16" s="97" t="s">
        <v>58</v>
      </c>
      <c r="C16" s="98">
        <v>7.34</v>
      </c>
      <c r="D16" s="99"/>
      <c r="E16" s="100"/>
      <c r="F16" s="101">
        <f t="shared" si="13"/>
        <v>0</v>
      </c>
      <c r="G16" s="102"/>
      <c r="H16" s="103"/>
      <c r="I16" s="104">
        <f t="shared" si="14"/>
        <v>0</v>
      </c>
      <c r="J16" s="101"/>
      <c r="K16" s="103"/>
      <c r="L16" s="104">
        <f t="shared" si="15"/>
        <v>0</v>
      </c>
      <c r="M16" s="101"/>
      <c r="N16" s="103"/>
      <c r="O16" s="104">
        <f t="shared" si="16"/>
        <v>0</v>
      </c>
      <c r="P16" s="101"/>
      <c r="Q16" s="103"/>
      <c r="R16" s="104">
        <f t="shared" si="17"/>
        <v>0</v>
      </c>
      <c r="S16" s="105">
        <f t="shared" si="18"/>
        <v>0</v>
      </c>
      <c r="T16" s="104">
        <f t="shared" si="18"/>
        <v>0</v>
      </c>
      <c r="U16" s="106">
        <f t="shared" si="19"/>
        <v>0</v>
      </c>
      <c r="V16" s="104">
        <f t="shared" si="19"/>
        <v>0</v>
      </c>
      <c r="X16" s="108"/>
    </row>
    <row r="17" spans="1:24" s="107" customFormat="1">
      <c r="A17" s="97" t="s">
        <v>13</v>
      </c>
      <c r="B17" s="97" t="s">
        <v>58</v>
      </c>
      <c r="C17" s="98">
        <v>7.34</v>
      </c>
      <c r="D17" s="99"/>
      <c r="E17" s="100"/>
      <c r="F17" s="101">
        <f t="shared" si="13"/>
        <v>0</v>
      </c>
      <c r="G17" s="102"/>
      <c r="H17" s="103"/>
      <c r="I17" s="104">
        <f t="shared" si="14"/>
        <v>0</v>
      </c>
      <c r="J17" s="101"/>
      <c r="K17" s="103"/>
      <c r="L17" s="104">
        <f t="shared" si="15"/>
        <v>0</v>
      </c>
      <c r="M17" s="101"/>
      <c r="N17" s="103"/>
      <c r="O17" s="104">
        <f t="shared" si="16"/>
        <v>0</v>
      </c>
      <c r="P17" s="101"/>
      <c r="Q17" s="103"/>
      <c r="R17" s="104">
        <f t="shared" si="17"/>
        <v>0</v>
      </c>
      <c r="S17" s="105">
        <f t="shared" si="18"/>
        <v>0</v>
      </c>
      <c r="T17" s="104">
        <f t="shared" si="18"/>
        <v>0</v>
      </c>
      <c r="U17" s="106">
        <f t="shared" si="19"/>
        <v>0</v>
      </c>
      <c r="V17" s="104">
        <f t="shared" si="19"/>
        <v>0</v>
      </c>
      <c r="X17" s="108"/>
    </row>
    <row r="18" spans="1:24" s="107" customFormat="1">
      <c r="A18" s="36"/>
      <c r="B18" s="36"/>
      <c r="C18" s="37"/>
      <c r="D18" s="38"/>
      <c r="E18" s="31">
        <f t="shared" ref="E18:F18" si="20">SUM(E13:E17)</f>
        <v>3</v>
      </c>
      <c r="F18" s="38">
        <f t="shared" si="20"/>
        <v>0.26424000000000003</v>
      </c>
      <c r="G18" s="102"/>
      <c r="H18" s="31">
        <f t="shared" ref="H18:I18" si="21">SUM(H13:H17)</f>
        <v>3</v>
      </c>
      <c r="I18" s="38">
        <f t="shared" si="21"/>
        <v>0.26424000000000003</v>
      </c>
      <c r="J18" s="101"/>
      <c r="K18" s="31">
        <f t="shared" ref="K18:L18" si="22">SUM(K13:K17)</f>
        <v>0</v>
      </c>
      <c r="L18" s="38">
        <f t="shared" si="22"/>
        <v>0</v>
      </c>
      <c r="M18" s="101"/>
      <c r="N18" s="31">
        <f t="shared" ref="N18:O18" si="23">SUM(N13:N17)</f>
        <v>0</v>
      </c>
      <c r="O18" s="38">
        <f t="shared" si="23"/>
        <v>0</v>
      </c>
      <c r="P18" s="101"/>
      <c r="Q18" s="31">
        <f t="shared" ref="Q18:V18" si="24">SUM(Q13:Q17)</f>
        <v>0</v>
      </c>
      <c r="R18" s="38">
        <f t="shared" si="24"/>
        <v>0</v>
      </c>
      <c r="S18" s="31">
        <f t="shared" si="24"/>
        <v>3</v>
      </c>
      <c r="T18" s="38">
        <f t="shared" si="24"/>
        <v>0.26424000000000003</v>
      </c>
      <c r="U18" s="31">
        <f t="shared" si="24"/>
        <v>0</v>
      </c>
      <c r="V18" s="38">
        <f t="shared" si="24"/>
        <v>0</v>
      </c>
      <c r="X18" s="108"/>
    </row>
    <row r="19" spans="1:24">
      <c r="A19" s="33"/>
      <c r="B19" s="33"/>
      <c r="C19" s="34"/>
      <c r="D19" s="34"/>
      <c r="E19" s="34">
        <f t="shared" ref="E19:F19" si="25">SUM(E18,E12)</f>
        <v>6</v>
      </c>
      <c r="F19" s="35">
        <f t="shared" si="25"/>
        <v>0.56303999999999998</v>
      </c>
      <c r="G19" s="26"/>
      <c r="H19" s="34">
        <f t="shared" ref="H19" si="26">SUM(H18,H12)</f>
        <v>6</v>
      </c>
      <c r="I19" s="35">
        <f t="shared" ref="I19" si="27">SUM(I18,I12)</f>
        <v>0.56303999999999998</v>
      </c>
      <c r="J19" s="26"/>
      <c r="K19" s="34">
        <f t="shared" ref="K19" si="28">SUM(K18,K12)</f>
        <v>0</v>
      </c>
      <c r="L19" s="35">
        <f t="shared" ref="L19" si="29">SUM(L18,L12)</f>
        <v>0</v>
      </c>
      <c r="M19" s="26"/>
      <c r="N19" s="34">
        <f t="shared" ref="N19" si="30">SUM(N18,N12)</f>
        <v>0</v>
      </c>
      <c r="O19" s="35">
        <f t="shared" ref="O19" si="31">SUM(O18,O12)</f>
        <v>0</v>
      </c>
      <c r="P19" s="26"/>
      <c r="Q19" s="34">
        <f t="shared" ref="Q19" si="32">SUM(Q18,Q12)</f>
        <v>0</v>
      </c>
      <c r="R19" s="35">
        <f t="shared" ref="R19" si="33">SUM(R18,R12)</f>
        <v>0</v>
      </c>
      <c r="S19" s="34">
        <f t="shared" ref="S19" si="34">SUM(S18,S12)</f>
        <v>6</v>
      </c>
      <c r="T19" s="35">
        <f t="shared" ref="T19" si="35">SUM(T18,T12)</f>
        <v>0.56303999999999998</v>
      </c>
      <c r="U19" s="34">
        <f t="shared" ref="U19" si="36">SUM(U18,U12)</f>
        <v>0</v>
      </c>
      <c r="V19" s="35">
        <f t="shared" ref="V19" si="37">SUM(V18,V12)</f>
        <v>0</v>
      </c>
    </row>
    <row r="25" spans="1:24" s="56" customFormat="1">
      <c r="A25" s="57" t="s">
        <v>13</v>
      </c>
      <c r="B25" s="57" t="s">
        <v>26</v>
      </c>
      <c r="C25" s="58">
        <v>8.3000000000000007</v>
      </c>
      <c r="D25" s="59">
        <v>12</v>
      </c>
      <c r="E25" s="60">
        <v>3</v>
      </c>
      <c r="F25" s="61">
        <f t="shared" ref="F25:F30" si="38">(C25*D25*E25/1000)</f>
        <v>0.29880000000000001</v>
      </c>
      <c r="G25" s="62"/>
      <c r="H25" s="63"/>
      <c r="I25" s="64">
        <f t="shared" ref="I25:I30" si="39">(C25*D25*H25/1000)</f>
        <v>0</v>
      </c>
      <c r="J25" s="61"/>
      <c r="K25" s="63"/>
      <c r="L25" s="64">
        <f t="shared" ref="L25:L30" si="40">(C25*D25*K25/1000)</f>
        <v>0</v>
      </c>
      <c r="M25" s="61"/>
      <c r="N25" s="63"/>
      <c r="O25" s="64">
        <f t="shared" ref="O25:O30" si="41">(C25*D25*N25/1000)</f>
        <v>0</v>
      </c>
      <c r="P25" s="61"/>
      <c r="Q25" s="63"/>
      <c r="R25" s="64">
        <f t="shared" ref="R25:R30" si="42">(C25*D25*Q25/1000)</f>
        <v>0</v>
      </c>
      <c r="S25" s="65">
        <f t="shared" ref="S25:T30" si="43">+H25+K25+Q25+N25</f>
        <v>0</v>
      </c>
      <c r="T25" s="64">
        <f t="shared" si="43"/>
        <v>0</v>
      </c>
      <c r="U25" s="42">
        <f t="shared" ref="U25:V30" si="44">E25-S25</f>
        <v>3</v>
      </c>
      <c r="V25" s="64">
        <f t="shared" si="44"/>
        <v>0.29880000000000001</v>
      </c>
      <c r="X25" s="69"/>
    </row>
    <row r="26" spans="1:24" s="56" customFormat="1">
      <c r="A26" s="57" t="s">
        <v>13</v>
      </c>
      <c r="B26" s="57" t="s">
        <v>26</v>
      </c>
      <c r="C26" s="58">
        <v>8.3000000000000007</v>
      </c>
      <c r="D26" s="59"/>
      <c r="E26" s="60"/>
      <c r="F26" s="61">
        <f t="shared" si="38"/>
        <v>0</v>
      </c>
      <c r="G26" s="62"/>
      <c r="H26" s="63"/>
      <c r="I26" s="64">
        <f t="shared" si="39"/>
        <v>0</v>
      </c>
      <c r="J26" s="61"/>
      <c r="K26" s="63"/>
      <c r="L26" s="64">
        <f t="shared" si="40"/>
        <v>0</v>
      </c>
      <c r="M26" s="61"/>
      <c r="N26" s="63"/>
      <c r="O26" s="64">
        <f t="shared" si="41"/>
        <v>0</v>
      </c>
      <c r="P26" s="61"/>
      <c r="Q26" s="63"/>
      <c r="R26" s="64">
        <f t="shared" si="42"/>
        <v>0</v>
      </c>
      <c r="S26" s="65">
        <f t="shared" si="43"/>
        <v>0</v>
      </c>
      <c r="T26" s="64">
        <f t="shared" si="43"/>
        <v>0</v>
      </c>
      <c r="U26" s="42">
        <f t="shared" si="44"/>
        <v>0</v>
      </c>
      <c r="V26" s="64">
        <f t="shared" si="44"/>
        <v>0</v>
      </c>
      <c r="X26" s="69"/>
    </row>
    <row r="27" spans="1:24" s="56" customFormat="1">
      <c r="A27" s="57" t="s">
        <v>13</v>
      </c>
      <c r="B27" s="57" t="s">
        <v>26</v>
      </c>
      <c r="C27" s="58">
        <v>8.3000000000000007</v>
      </c>
      <c r="D27" s="59"/>
      <c r="E27" s="60"/>
      <c r="F27" s="61">
        <f t="shared" si="38"/>
        <v>0</v>
      </c>
      <c r="G27" s="62"/>
      <c r="H27" s="63"/>
      <c r="I27" s="64">
        <f t="shared" si="39"/>
        <v>0</v>
      </c>
      <c r="J27" s="61"/>
      <c r="K27" s="63"/>
      <c r="L27" s="64">
        <f t="shared" si="40"/>
        <v>0</v>
      </c>
      <c r="M27" s="61"/>
      <c r="N27" s="63"/>
      <c r="O27" s="64">
        <f t="shared" si="41"/>
        <v>0</v>
      </c>
      <c r="P27" s="61"/>
      <c r="Q27" s="63"/>
      <c r="R27" s="64">
        <f t="shared" si="42"/>
        <v>0</v>
      </c>
      <c r="S27" s="65">
        <f t="shared" si="43"/>
        <v>0</v>
      </c>
      <c r="T27" s="64">
        <f t="shared" si="43"/>
        <v>0</v>
      </c>
      <c r="U27" s="42">
        <f t="shared" si="44"/>
        <v>0</v>
      </c>
      <c r="V27" s="64">
        <f t="shared" si="44"/>
        <v>0</v>
      </c>
      <c r="X27" s="69"/>
    </row>
    <row r="28" spans="1:24" s="56" customFormat="1">
      <c r="A28" s="57" t="s">
        <v>13</v>
      </c>
      <c r="B28" s="57" t="s">
        <v>26</v>
      </c>
      <c r="C28" s="58">
        <v>8.3000000000000007</v>
      </c>
      <c r="D28" s="59"/>
      <c r="E28" s="60"/>
      <c r="F28" s="61">
        <f t="shared" si="38"/>
        <v>0</v>
      </c>
      <c r="G28" s="62"/>
      <c r="H28" s="63"/>
      <c r="I28" s="64">
        <f t="shared" si="39"/>
        <v>0</v>
      </c>
      <c r="J28" s="61"/>
      <c r="K28" s="63"/>
      <c r="L28" s="64">
        <f t="shared" si="40"/>
        <v>0</v>
      </c>
      <c r="M28" s="61"/>
      <c r="N28" s="63"/>
      <c r="O28" s="64">
        <f t="shared" si="41"/>
        <v>0</v>
      </c>
      <c r="P28" s="61"/>
      <c r="Q28" s="63"/>
      <c r="R28" s="64">
        <f t="shared" si="42"/>
        <v>0</v>
      </c>
      <c r="S28" s="65">
        <f t="shared" si="43"/>
        <v>0</v>
      </c>
      <c r="T28" s="64">
        <f t="shared" si="43"/>
        <v>0</v>
      </c>
      <c r="U28" s="42">
        <f t="shared" si="44"/>
        <v>0</v>
      </c>
      <c r="V28" s="64">
        <f t="shared" si="44"/>
        <v>0</v>
      </c>
      <c r="X28" s="69"/>
    </row>
    <row r="29" spans="1:24" s="56" customFormat="1">
      <c r="A29" s="57" t="s">
        <v>13</v>
      </c>
      <c r="B29" s="57" t="s">
        <v>26</v>
      </c>
      <c r="C29" s="58">
        <v>8.3000000000000007</v>
      </c>
      <c r="D29" s="59"/>
      <c r="E29" s="60"/>
      <c r="F29" s="61">
        <f t="shared" si="38"/>
        <v>0</v>
      </c>
      <c r="G29" s="62"/>
      <c r="H29" s="63"/>
      <c r="I29" s="64">
        <f t="shared" si="39"/>
        <v>0</v>
      </c>
      <c r="J29" s="61"/>
      <c r="K29" s="63"/>
      <c r="L29" s="64">
        <f t="shared" si="40"/>
        <v>0</v>
      </c>
      <c r="M29" s="61"/>
      <c r="N29" s="63"/>
      <c r="O29" s="64">
        <f t="shared" si="41"/>
        <v>0</v>
      </c>
      <c r="P29" s="61"/>
      <c r="Q29" s="63"/>
      <c r="R29" s="64">
        <f t="shared" si="42"/>
        <v>0</v>
      </c>
      <c r="S29" s="65">
        <f t="shared" si="43"/>
        <v>0</v>
      </c>
      <c r="T29" s="64">
        <f t="shared" si="43"/>
        <v>0</v>
      </c>
      <c r="U29" s="42">
        <f t="shared" si="44"/>
        <v>0</v>
      </c>
      <c r="V29" s="64">
        <f t="shared" si="44"/>
        <v>0</v>
      </c>
      <c r="X29" s="69"/>
    </row>
    <row r="30" spans="1:24" s="56" customFormat="1">
      <c r="A30" s="57" t="s">
        <v>13</v>
      </c>
      <c r="B30" s="57" t="s">
        <v>26</v>
      </c>
      <c r="C30" s="58">
        <v>8.3000000000000007</v>
      </c>
      <c r="D30" s="59"/>
      <c r="E30" s="60"/>
      <c r="F30" s="61">
        <f t="shared" si="38"/>
        <v>0</v>
      </c>
      <c r="G30" s="62"/>
      <c r="H30" s="63"/>
      <c r="I30" s="64">
        <f t="shared" si="39"/>
        <v>0</v>
      </c>
      <c r="J30" s="61"/>
      <c r="K30" s="63"/>
      <c r="L30" s="64">
        <f t="shared" si="40"/>
        <v>0</v>
      </c>
      <c r="M30" s="61"/>
      <c r="N30" s="63"/>
      <c r="O30" s="64">
        <f t="shared" si="41"/>
        <v>0</v>
      </c>
      <c r="P30" s="61"/>
      <c r="Q30" s="63"/>
      <c r="R30" s="64">
        <f t="shared" si="42"/>
        <v>0</v>
      </c>
      <c r="S30" s="65">
        <f t="shared" si="43"/>
        <v>0</v>
      </c>
      <c r="T30" s="64">
        <f t="shared" si="43"/>
        <v>0</v>
      </c>
      <c r="U30" s="42">
        <f t="shared" si="44"/>
        <v>0</v>
      </c>
      <c r="V30" s="64">
        <f t="shared" si="44"/>
        <v>0</v>
      </c>
      <c r="X30" s="69"/>
    </row>
    <row r="31" spans="1:24" s="56" customFormat="1">
      <c r="A31" s="41"/>
      <c r="B31" s="41"/>
      <c r="C31" s="66"/>
      <c r="D31" s="67"/>
      <c r="E31" s="68">
        <f>SUM(E25:E30)</f>
        <v>3</v>
      </c>
      <c r="F31" s="67">
        <f>SUM(F25:F30)</f>
        <v>0.29880000000000001</v>
      </c>
      <c r="G31" s="62"/>
      <c r="H31" s="68">
        <f t="shared" ref="H31:I31" si="45">SUM(H25:H30)</f>
        <v>0</v>
      </c>
      <c r="I31" s="67">
        <f t="shared" si="45"/>
        <v>0</v>
      </c>
      <c r="J31" s="61"/>
      <c r="K31" s="68">
        <f t="shared" ref="K31:L31" si="46">SUM(K25:K30)</f>
        <v>0</v>
      </c>
      <c r="L31" s="67">
        <f t="shared" si="46"/>
        <v>0</v>
      </c>
      <c r="M31" s="61"/>
      <c r="N31" s="68">
        <f t="shared" ref="N31:O31" si="47">SUM(N25:N30)</f>
        <v>0</v>
      </c>
      <c r="O31" s="67">
        <f t="shared" si="47"/>
        <v>0</v>
      </c>
      <c r="P31" s="61"/>
      <c r="Q31" s="68">
        <f t="shared" ref="Q31:V31" si="48">SUM(Q25:Q30)</f>
        <v>0</v>
      </c>
      <c r="R31" s="67">
        <f t="shared" si="48"/>
        <v>0</v>
      </c>
      <c r="S31" s="68">
        <f t="shared" si="48"/>
        <v>0</v>
      </c>
      <c r="T31" s="67">
        <f t="shared" si="48"/>
        <v>0</v>
      </c>
      <c r="U31" s="68">
        <f t="shared" si="48"/>
        <v>3</v>
      </c>
      <c r="V31" s="67">
        <f t="shared" si="48"/>
        <v>0.29880000000000001</v>
      </c>
      <c r="X31" s="69"/>
    </row>
    <row r="41" spans="18:18">
      <c r="R4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8"/>
  <dimension ref="A1:X24"/>
  <sheetViews>
    <sheetView zoomScale="75" zoomScaleNormal="75" workbookViewId="0">
      <pane ySplit="5" topLeftCell="A6" activePane="bottomLeft" state="frozen"/>
      <selection activeCell="A4" sqref="A4"/>
      <selection pane="bottomLeft" activeCell="A6" sqref="A6:XFD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LOI-568  28.07.23</v>
      </c>
      <c r="D1" s="1"/>
      <c r="E1" s="2"/>
      <c r="F1" s="2"/>
      <c r="G1" s="143" t="s">
        <v>221</v>
      </c>
      <c r="H1" s="144"/>
      <c r="I1" s="145" t="s">
        <v>260</v>
      </c>
      <c r="J1" s="144"/>
      <c r="K1" s="3"/>
      <c r="L1" s="4"/>
      <c r="M1" s="4"/>
      <c r="N1" s="3"/>
      <c r="O1" s="4"/>
      <c r="P1" s="146" t="str">
        <f>+F2</f>
        <v>LOI-568  28.07.23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218</v>
      </c>
      <c r="B2" s="8"/>
      <c r="C2" s="9"/>
      <c r="D2" s="9"/>
      <c r="E2" s="10"/>
      <c r="F2" s="146" t="s">
        <v>314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LOI-568  28.07.23</v>
      </c>
      <c r="V2" s="146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 s="56" customFormat="1">
      <c r="A6" s="57" t="s">
        <v>13</v>
      </c>
      <c r="B6" s="57" t="s">
        <v>315</v>
      </c>
      <c r="C6" s="58">
        <v>4.6500000000000004</v>
      </c>
      <c r="D6" s="59">
        <v>9.5</v>
      </c>
      <c r="E6" s="60">
        <v>44</v>
      </c>
      <c r="F6" s="61">
        <f t="shared" ref="F6:F7" si="0">(C6*D6*E6/1000)</f>
        <v>1.9437000000000002</v>
      </c>
      <c r="G6" s="62"/>
      <c r="H6" s="63"/>
      <c r="I6" s="64">
        <f t="shared" ref="I6:I7" si="1">(C6*D6*H6/1000)</f>
        <v>0</v>
      </c>
      <c r="J6" s="61"/>
      <c r="K6" s="63"/>
      <c r="L6" s="64">
        <f t="shared" ref="L6:L7" si="2">(C6*D6*K6/1000)</f>
        <v>0</v>
      </c>
      <c r="M6" s="61"/>
      <c r="N6" s="63"/>
      <c r="O6" s="64">
        <f t="shared" ref="O6:O7" si="3">(C6*D6*N6/1000)</f>
        <v>0</v>
      </c>
      <c r="P6" s="61"/>
      <c r="Q6" s="63"/>
      <c r="R6" s="64">
        <f t="shared" ref="R6:R7" si="4">(C6*D6*Q6/1000)</f>
        <v>0</v>
      </c>
      <c r="S6" s="65">
        <f t="shared" ref="S6:S7" si="5">+H6+K6+Q6+N6</f>
        <v>0</v>
      </c>
      <c r="T6" s="64">
        <f t="shared" ref="T6:T7" si="6">+I6+L6+R6+O6</f>
        <v>0</v>
      </c>
      <c r="U6" s="42">
        <f t="shared" ref="U6:U7" si="7">E6-S6</f>
        <v>44</v>
      </c>
      <c r="V6" s="64">
        <f t="shared" ref="V6:V7" si="8">F6-T6</f>
        <v>1.9437000000000002</v>
      </c>
      <c r="X6" s="69"/>
    </row>
    <row r="7" spans="1:24" s="56" customFormat="1">
      <c r="A7" s="57" t="s">
        <v>13</v>
      </c>
      <c r="B7" s="57" t="s">
        <v>315</v>
      </c>
      <c r="C7" s="58">
        <v>4.6500000000000004</v>
      </c>
      <c r="D7" s="59">
        <v>11</v>
      </c>
      <c r="E7" s="60">
        <v>10</v>
      </c>
      <c r="F7" s="61">
        <f t="shared" si="0"/>
        <v>0.51150000000000007</v>
      </c>
      <c r="G7" s="62"/>
      <c r="H7" s="63"/>
      <c r="I7" s="64">
        <f t="shared" si="1"/>
        <v>0</v>
      </c>
      <c r="J7" s="61"/>
      <c r="K7" s="63"/>
      <c r="L7" s="64">
        <f t="shared" si="2"/>
        <v>0</v>
      </c>
      <c r="M7" s="61"/>
      <c r="N7" s="63"/>
      <c r="O7" s="64">
        <f t="shared" si="3"/>
        <v>0</v>
      </c>
      <c r="P7" s="61"/>
      <c r="Q7" s="63"/>
      <c r="R7" s="64">
        <f t="shared" si="4"/>
        <v>0</v>
      </c>
      <c r="S7" s="65">
        <f t="shared" si="5"/>
        <v>0</v>
      </c>
      <c r="T7" s="64">
        <f t="shared" si="6"/>
        <v>0</v>
      </c>
      <c r="U7" s="42">
        <f t="shared" si="7"/>
        <v>10</v>
      </c>
      <c r="V7" s="64">
        <f t="shared" si="8"/>
        <v>0.51150000000000007</v>
      </c>
      <c r="X7" s="69"/>
    </row>
    <row r="8" spans="1:24" s="56" customFormat="1">
      <c r="A8" s="57"/>
      <c r="B8" s="57"/>
      <c r="C8" s="60"/>
      <c r="D8" s="59"/>
      <c r="E8" s="68">
        <f>SUM(E6:E7)</f>
        <v>54</v>
      </c>
      <c r="F8" s="67">
        <f>SUM(F6:F7)</f>
        <v>2.4552000000000005</v>
      </c>
      <c r="G8" s="62"/>
      <c r="H8" s="68">
        <f>SUM(H6:H7)</f>
        <v>0</v>
      </c>
      <c r="I8" s="67">
        <f>SUM(I6:I7)</f>
        <v>0</v>
      </c>
      <c r="J8" s="61"/>
      <c r="K8" s="68">
        <f>SUM(K6:K7)</f>
        <v>0</v>
      </c>
      <c r="L8" s="67">
        <f>SUM(L6:L7)</f>
        <v>0</v>
      </c>
      <c r="M8" s="61"/>
      <c r="N8" s="68">
        <f>SUM(N6:N7)</f>
        <v>0</v>
      </c>
      <c r="O8" s="67">
        <f>SUM(O6:O7)</f>
        <v>0</v>
      </c>
      <c r="P8" s="61"/>
      <c r="Q8" s="68">
        <f t="shared" ref="Q8:V8" si="9">SUM(Q6:Q7)</f>
        <v>0</v>
      </c>
      <c r="R8" s="67">
        <f t="shared" si="9"/>
        <v>0</v>
      </c>
      <c r="S8" s="68">
        <f t="shared" si="9"/>
        <v>0</v>
      </c>
      <c r="T8" s="67">
        <f t="shared" si="9"/>
        <v>0</v>
      </c>
      <c r="U8" s="68">
        <f t="shared" si="9"/>
        <v>54</v>
      </c>
      <c r="V8" s="67">
        <f t="shared" si="9"/>
        <v>2.4552000000000005</v>
      </c>
      <c r="X8" s="69"/>
    </row>
    <row r="9" spans="1:24" s="56" customFormat="1">
      <c r="A9" s="79"/>
      <c r="B9" s="79"/>
      <c r="C9" s="80"/>
      <c r="D9" s="80"/>
      <c r="E9" s="80">
        <f>SUM(E6:E8)/2</f>
        <v>54</v>
      </c>
      <c r="F9" s="81">
        <f>SUM(F6:F8)/2</f>
        <v>2.4552000000000005</v>
      </c>
      <c r="G9" s="62"/>
      <c r="H9" s="80">
        <f>SUM(H6:H8)/2</f>
        <v>0</v>
      </c>
      <c r="I9" s="81">
        <f>SUM(I6:I8)/2</f>
        <v>0</v>
      </c>
      <c r="J9" s="61"/>
      <c r="K9" s="80">
        <f>SUM(K6:K8)/2</f>
        <v>0</v>
      </c>
      <c r="L9" s="81">
        <f>SUM(L6:L8)/2</f>
        <v>0</v>
      </c>
      <c r="M9" s="61"/>
      <c r="N9" s="80">
        <f>SUM(N6:N8)/2</f>
        <v>0</v>
      </c>
      <c r="O9" s="81">
        <f>SUM(O6:O8)/2</f>
        <v>0</v>
      </c>
      <c r="P9" s="61"/>
      <c r="Q9" s="80">
        <f t="shared" ref="Q9:V9" si="10">SUM(Q6:Q8)/2</f>
        <v>0</v>
      </c>
      <c r="R9" s="81">
        <f t="shared" si="10"/>
        <v>0</v>
      </c>
      <c r="S9" s="80">
        <f t="shared" si="10"/>
        <v>0</v>
      </c>
      <c r="T9" s="81">
        <f t="shared" si="10"/>
        <v>0</v>
      </c>
      <c r="U9" s="80">
        <f t="shared" si="10"/>
        <v>54</v>
      </c>
      <c r="V9" s="81">
        <f t="shared" si="10"/>
        <v>2.4552000000000005</v>
      </c>
      <c r="X9" s="69"/>
    </row>
    <row r="24" spans="18:18">
      <c r="R24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59"/>
  <dimension ref="A1:X13"/>
  <sheetViews>
    <sheetView zoomScale="75" zoomScaleNormal="75" workbookViewId="0">
      <pane ySplit="5" topLeftCell="A6" activePane="bottomLeft" state="frozen"/>
      <selection pane="bottomLeft" sqref="A1:D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LOI-612  01.08.23</v>
      </c>
      <c r="D1" s="1"/>
      <c r="E1" s="2"/>
      <c r="F1" s="2"/>
      <c r="G1" s="143" t="s">
        <v>329</v>
      </c>
      <c r="H1" s="144"/>
      <c r="I1" s="145" t="s">
        <v>330</v>
      </c>
      <c r="J1" s="144"/>
      <c r="K1" s="3"/>
      <c r="L1" s="4"/>
      <c r="M1" s="4"/>
      <c r="N1" s="3"/>
      <c r="O1" s="4"/>
      <c r="P1" s="146" t="str">
        <f>+F2</f>
        <v>LOI-612  01.08.23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307</v>
      </c>
      <c r="B2" s="8"/>
      <c r="C2" s="9"/>
      <c r="D2" s="9"/>
      <c r="E2" s="10"/>
      <c r="F2" s="146" t="s">
        <v>331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LOI-612  01.08.23</v>
      </c>
      <c r="V2" s="146"/>
    </row>
    <row r="3" spans="1:24">
      <c r="A3" s="12" t="s">
        <v>308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31</v>
      </c>
      <c r="C6" s="30">
        <v>10.199999999999999</v>
      </c>
      <c r="D6" s="27">
        <v>12</v>
      </c>
      <c r="E6" s="28">
        <v>1</v>
      </c>
      <c r="F6" s="16">
        <f t="shared" ref="F6:F7" si="0">(C6*D6*E6/1000)</f>
        <v>0.12239999999999999</v>
      </c>
      <c r="G6" s="17"/>
      <c r="H6" s="18"/>
      <c r="I6" s="19">
        <f t="shared" ref="I6:I7" si="1">(C6*D6*H6/1000)</f>
        <v>0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0</v>
      </c>
      <c r="T6" s="19">
        <f t="shared" si="5"/>
        <v>0</v>
      </c>
      <c r="U6" s="21">
        <f t="shared" ref="U6:V7" si="6">E6-S6</f>
        <v>1</v>
      </c>
      <c r="V6" s="19">
        <f t="shared" si="6"/>
        <v>0.12239999999999999</v>
      </c>
      <c r="X6" s="29"/>
    </row>
    <row r="7" spans="1:24">
      <c r="A7" s="26" t="s">
        <v>14</v>
      </c>
      <c r="B7" s="26" t="s">
        <v>31</v>
      </c>
      <c r="C7" s="30">
        <v>10.199999999999999</v>
      </c>
      <c r="D7" s="27"/>
      <c r="E7" s="28"/>
      <c r="F7" s="16">
        <f t="shared" si="0"/>
        <v>0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0</v>
      </c>
      <c r="V7" s="19">
        <f t="shared" si="6"/>
        <v>0</v>
      </c>
      <c r="X7" s="29"/>
    </row>
    <row r="8" spans="1:24">
      <c r="A8" s="36"/>
      <c r="B8" s="36"/>
      <c r="C8" s="37"/>
      <c r="D8" s="38"/>
      <c r="E8" s="31">
        <f t="shared" ref="E8:F8" si="7">SUM(E6:E7)</f>
        <v>1</v>
      </c>
      <c r="F8" s="38">
        <f t="shared" si="7"/>
        <v>0.12239999999999999</v>
      </c>
      <c r="G8" s="17"/>
      <c r="H8" s="31">
        <f t="shared" ref="H8:I8" si="8">SUM(H6:H7)</f>
        <v>0</v>
      </c>
      <c r="I8" s="38">
        <f t="shared" si="8"/>
        <v>0</v>
      </c>
      <c r="J8" s="16"/>
      <c r="K8" s="31">
        <f t="shared" ref="K8:L8" si="9">SUM(K6:K7)</f>
        <v>0</v>
      </c>
      <c r="L8" s="38">
        <f t="shared" si="9"/>
        <v>0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0</v>
      </c>
      <c r="T8" s="38">
        <f t="shared" si="11"/>
        <v>0</v>
      </c>
      <c r="U8" s="31">
        <f t="shared" si="11"/>
        <v>1</v>
      </c>
      <c r="V8" s="38">
        <f t="shared" si="11"/>
        <v>0.12239999999999999</v>
      </c>
      <c r="X8" s="29"/>
    </row>
    <row r="9" spans="1:24">
      <c r="A9" s="33"/>
      <c r="B9" s="33"/>
      <c r="C9" s="33"/>
      <c r="D9" s="34"/>
      <c r="E9" s="34">
        <f t="shared" ref="E9:F9" si="12">SUM(E8)</f>
        <v>1</v>
      </c>
      <c r="F9" s="35">
        <f t="shared" si="12"/>
        <v>0.12239999999999999</v>
      </c>
      <c r="G9" s="26"/>
      <c r="H9" s="34">
        <f t="shared" ref="H9:I9" si="13">SUM(H8)</f>
        <v>0</v>
      </c>
      <c r="I9" s="35">
        <f t="shared" si="13"/>
        <v>0</v>
      </c>
      <c r="J9" s="26"/>
      <c r="K9" s="34">
        <f t="shared" ref="K9:L9" si="14">SUM(K8)</f>
        <v>0</v>
      </c>
      <c r="L9" s="35">
        <f t="shared" si="14"/>
        <v>0</v>
      </c>
      <c r="M9" s="26"/>
      <c r="N9" s="34">
        <f t="shared" ref="N9:O9" si="15">SUM(N8)</f>
        <v>0</v>
      </c>
      <c r="O9" s="35">
        <f t="shared" si="15"/>
        <v>0</v>
      </c>
      <c r="P9" s="26"/>
      <c r="Q9" s="34">
        <f t="shared" ref="Q9:V9" si="16">SUM(Q8)</f>
        <v>0</v>
      </c>
      <c r="R9" s="35">
        <f t="shared" si="16"/>
        <v>0</v>
      </c>
      <c r="S9" s="34">
        <f t="shared" si="16"/>
        <v>0</v>
      </c>
      <c r="T9" s="35">
        <f t="shared" si="16"/>
        <v>0</v>
      </c>
      <c r="U9" s="34">
        <f t="shared" si="16"/>
        <v>1</v>
      </c>
      <c r="V9" s="35">
        <f t="shared" si="16"/>
        <v>0.12239999999999999</v>
      </c>
    </row>
    <row r="13" spans="1:24">
      <c r="R13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60"/>
  <dimension ref="A1:X150"/>
  <sheetViews>
    <sheetView zoomScale="75" zoomScaleNormal="75" workbookViewId="0">
      <pane ySplit="5" topLeftCell="A6" activePane="bottomLeft" state="frozen"/>
      <selection activeCell="A4" sqref="A4"/>
      <selection pane="bottomLeft" activeCell="G6" sqref="G6:G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1" t="str">
        <f>+F2</f>
        <v>LOI-613  01.08.23</v>
      </c>
      <c r="D1" s="1"/>
      <c r="E1" s="2"/>
      <c r="F1" s="2"/>
      <c r="G1" s="143" t="s">
        <v>221</v>
      </c>
      <c r="H1" s="144"/>
      <c r="I1" s="145" t="s">
        <v>330</v>
      </c>
      <c r="J1" s="144"/>
      <c r="K1" s="3"/>
      <c r="L1" s="4"/>
      <c r="M1" s="4"/>
      <c r="N1" s="3"/>
      <c r="O1" s="4"/>
      <c r="P1" s="146" t="str">
        <f>+F2</f>
        <v>LOI-613  01.08.23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218</v>
      </c>
      <c r="B2" s="8"/>
      <c r="C2" s="9"/>
      <c r="D2" s="9"/>
      <c r="E2" s="10"/>
      <c r="F2" s="146" t="s">
        <v>332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LOI-613  01.08.23</v>
      </c>
      <c r="V2" s="146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8.6999999999999993</v>
      </c>
      <c r="E6" s="78">
        <v>76</v>
      </c>
      <c r="F6" s="16">
        <f t="shared" ref="F6:F10" si="0">(C6*D6*E6/1000)</f>
        <v>6.1227119999999999</v>
      </c>
      <c r="G6" s="17" t="s">
        <v>86</v>
      </c>
      <c r="H6" s="18">
        <v>75</v>
      </c>
      <c r="I6" s="19">
        <f>(C6*D6*H6/1000)</f>
        <v>6.0421499999999995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 t="shared" ref="S6:S10" si="1">+H6+K6+Q6+N6</f>
        <v>75</v>
      </c>
      <c r="T6" s="19">
        <f t="shared" ref="T6:T10" si="2">+I6+L6+R6+O6</f>
        <v>6.0421499999999995</v>
      </c>
      <c r="U6" s="21">
        <f t="shared" ref="U6:V10" si="3">E6-S6</f>
        <v>1</v>
      </c>
      <c r="V6" s="19">
        <f t="shared" si="3"/>
        <v>8.0562000000000467E-2</v>
      </c>
      <c r="X6" s="29"/>
    </row>
    <row r="7" spans="1:24">
      <c r="A7" s="26" t="s">
        <v>13</v>
      </c>
      <c r="B7" s="26" t="s">
        <v>45</v>
      </c>
      <c r="C7" s="30">
        <v>9.26</v>
      </c>
      <c r="D7" s="27">
        <v>9.6999999999999993</v>
      </c>
      <c r="E7" s="78">
        <v>54</v>
      </c>
      <c r="F7" s="16">
        <f t="shared" si="0"/>
        <v>4.8503879999999988</v>
      </c>
      <c r="G7" s="17" t="s">
        <v>480</v>
      </c>
      <c r="H7" s="18">
        <v>48</v>
      </c>
      <c r="I7" s="19">
        <f>(C7*D7*H7/1000)</f>
        <v>4.3114559999999988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 t="shared" si="1"/>
        <v>48</v>
      </c>
      <c r="T7" s="19">
        <f t="shared" si="2"/>
        <v>4.3114559999999988</v>
      </c>
      <c r="U7" s="21">
        <f t="shared" si="3"/>
        <v>6</v>
      </c>
      <c r="V7" s="19">
        <f t="shared" si="3"/>
        <v>0.53893199999999997</v>
      </c>
      <c r="X7" s="29"/>
    </row>
    <row r="8" spans="1:24">
      <c r="A8" s="26" t="s">
        <v>13</v>
      </c>
      <c r="B8" s="26" t="s">
        <v>45</v>
      </c>
      <c r="C8" s="30">
        <v>9.26</v>
      </c>
      <c r="D8" s="27">
        <v>9.8000000000000007</v>
      </c>
      <c r="E8" s="78">
        <v>38</v>
      </c>
      <c r="F8" s="16">
        <f t="shared" si="0"/>
        <v>3.4484240000000002</v>
      </c>
      <c r="G8" s="17"/>
      <c r="H8" s="18">
        <f>6+39</f>
        <v>45</v>
      </c>
      <c r="I8" s="19">
        <f>(C8*D8*H8/1000)</f>
        <v>4.0836600000000001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 t="shared" si="1"/>
        <v>45</v>
      </c>
      <c r="T8" s="19">
        <f t="shared" si="2"/>
        <v>4.0836600000000001</v>
      </c>
      <c r="U8" s="21">
        <f t="shared" si="3"/>
        <v>-7</v>
      </c>
      <c r="V8" s="19">
        <f t="shared" si="3"/>
        <v>-0.63523599999999991</v>
      </c>
      <c r="X8" s="29"/>
    </row>
    <row r="9" spans="1:24">
      <c r="A9" s="26" t="s">
        <v>13</v>
      </c>
      <c r="B9" s="26" t="s">
        <v>45</v>
      </c>
      <c r="C9" s="30">
        <v>9.26</v>
      </c>
      <c r="D9" s="27">
        <v>11.4</v>
      </c>
      <c r="E9" s="78">
        <v>54</v>
      </c>
      <c r="F9" s="16">
        <f t="shared" si="0"/>
        <v>5.700456</v>
      </c>
      <c r="G9" s="17"/>
      <c r="H9" s="18">
        <v>54</v>
      </c>
      <c r="I9" s="19">
        <f>(C9*D9*H9/1000)</f>
        <v>5.700456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 t="shared" si="1"/>
        <v>54</v>
      </c>
      <c r="T9" s="19">
        <f t="shared" si="2"/>
        <v>5.700456</v>
      </c>
      <c r="U9" s="21">
        <f t="shared" si="3"/>
        <v>0</v>
      </c>
      <c r="V9" s="19">
        <f t="shared" si="3"/>
        <v>0</v>
      </c>
      <c r="X9" s="29"/>
    </row>
    <row r="10" spans="1:24">
      <c r="A10" s="26" t="s">
        <v>13</v>
      </c>
      <c r="B10" s="26" t="s">
        <v>45</v>
      </c>
      <c r="C10" s="30">
        <v>9.26</v>
      </c>
      <c r="D10" s="27">
        <v>11.8</v>
      </c>
      <c r="E10" s="78">
        <v>4</v>
      </c>
      <c r="F10" s="16">
        <f t="shared" si="0"/>
        <v>0.43707200000000002</v>
      </c>
      <c r="G10" s="17"/>
      <c r="H10" s="18">
        <v>4</v>
      </c>
      <c r="I10" s="19">
        <f>(C10*D10*H10/1000)</f>
        <v>0.43707200000000002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si="1"/>
        <v>4</v>
      </c>
      <c r="T10" s="19">
        <f t="shared" si="2"/>
        <v>0.43707200000000002</v>
      </c>
      <c r="U10" s="21">
        <f t="shared" si="3"/>
        <v>0</v>
      </c>
      <c r="V10" s="19">
        <f t="shared" si="3"/>
        <v>0</v>
      </c>
      <c r="X10" s="29"/>
    </row>
    <row r="11" spans="1:24">
      <c r="A11" s="36"/>
      <c r="B11" s="36"/>
      <c r="C11" s="37"/>
      <c r="D11" s="38"/>
      <c r="E11" s="31">
        <f>SUM(E6:E10)</f>
        <v>226</v>
      </c>
      <c r="F11" s="38">
        <f>SUM(F6:F10)</f>
        <v>20.559051999999998</v>
      </c>
      <c r="G11" s="17"/>
      <c r="H11" s="31">
        <f>SUM(H6:H10)</f>
        <v>226</v>
      </c>
      <c r="I11" s="38">
        <f>SUM(I6:I10)</f>
        <v>20.574794000000001</v>
      </c>
      <c r="J11" s="16"/>
      <c r="K11" s="31">
        <f>SUM(K6:K10)</f>
        <v>0</v>
      </c>
      <c r="L11" s="38">
        <f>SUM(L6:L10)</f>
        <v>0</v>
      </c>
      <c r="M11" s="16"/>
      <c r="N11" s="31">
        <f>SUM(N6:N10)</f>
        <v>0</v>
      </c>
      <c r="O11" s="38">
        <f>SUM(O6:O10)</f>
        <v>0</v>
      </c>
      <c r="P11" s="16"/>
      <c r="Q11" s="31">
        <f t="shared" ref="Q11:V11" si="4">SUM(Q6:Q10)</f>
        <v>0</v>
      </c>
      <c r="R11" s="38">
        <f t="shared" si="4"/>
        <v>0</v>
      </c>
      <c r="S11" s="31">
        <f t="shared" si="4"/>
        <v>226</v>
      </c>
      <c r="T11" s="38">
        <f t="shared" si="4"/>
        <v>20.574794000000001</v>
      </c>
      <c r="U11" s="31">
        <f t="shared" si="4"/>
        <v>0</v>
      </c>
      <c r="V11" s="38">
        <f t="shared" si="4"/>
        <v>-1.5741999999999479E-2</v>
      </c>
      <c r="X11" s="29"/>
    </row>
    <row r="12" spans="1:24">
      <c r="A12" s="26" t="s">
        <v>13</v>
      </c>
      <c r="B12" s="26" t="s">
        <v>31</v>
      </c>
      <c r="C12" s="30">
        <v>10.199999999999999</v>
      </c>
      <c r="D12" s="27">
        <v>6.1</v>
      </c>
      <c r="E12" s="78">
        <v>108</v>
      </c>
      <c r="F12" s="16">
        <f t="shared" ref="F12:F26" si="5">(C12*D12*E12/1000)</f>
        <v>6.7197599999999991</v>
      </c>
      <c r="G12" s="17" t="s">
        <v>455</v>
      </c>
      <c r="H12" s="18">
        <v>17</v>
      </c>
      <c r="I12" s="19">
        <f t="shared" ref="I12:I26" si="6">(C12*D12*H12/1000)</f>
        <v>1.0577399999999997</v>
      </c>
      <c r="J12" s="16" t="s">
        <v>293</v>
      </c>
      <c r="K12" s="18">
        <f>78+18</f>
        <v>96</v>
      </c>
      <c r="L12" s="19">
        <f t="shared" ref="L12:L26" si="7">(C12*D12*K12/1000)</f>
        <v>5.9731199999999989</v>
      </c>
      <c r="M12" s="16" t="s">
        <v>111</v>
      </c>
      <c r="N12" s="18"/>
      <c r="O12" s="19">
        <f t="shared" ref="O12:O26" si="8">(C12*D12*N12/1000)</f>
        <v>0</v>
      </c>
      <c r="P12" s="16" t="s">
        <v>93</v>
      </c>
      <c r="Q12" s="18"/>
      <c r="R12" s="19">
        <f t="shared" ref="R12:R26" si="9">(C12*D12*Q12/1000)</f>
        <v>0</v>
      </c>
      <c r="S12" s="20">
        <f t="shared" ref="S12:S26" si="10">+H12+K12+Q12+N12</f>
        <v>113</v>
      </c>
      <c r="T12" s="19">
        <f t="shared" ref="T12:T26" si="11">+I12+L12+R12+O12</f>
        <v>7.0308599999999988</v>
      </c>
      <c r="U12" s="21">
        <f t="shared" ref="U12:U26" si="12">E12-S12</f>
        <v>-5</v>
      </c>
      <c r="V12" s="19">
        <f t="shared" ref="V12:V26" si="13">F12-T12</f>
        <v>-0.31109999999999971</v>
      </c>
    </row>
    <row r="13" spans="1:24">
      <c r="A13" s="26" t="s">
        <v>13</v>
      </c>
      <c r="B13" s="26" t="s">
        <v>31</v>
      </c>
      <c r="C13" s="30">
        <v>10.199999999999999</v>
      </c>
      <c r="D13" s="27">
        <v>6.25</v>
      </c>
      <c r="E13" s="78">
        <v>54</v>
      </c>
      <c r="F13" s="16">
        <f t="shared" si="5"/>
        <v>3.4424999999999994</v>
      </c>
      <c r="G13" s="17" t="s">
        <v>454</v>
      </c>
      <c r="H13" s="18"/>
      <c r="I13" s="19">
        <f t="shared" si="6"/>
        <v>0</v>
      </c>
      <c r="J13" s="16" t="s">
        <v>454</v>
      </c>
      <c r="K13" s="18">
        <f>14+19+1</f>
        <v>34</v>
      </c>
      <c r="L13" s="19">
        <f t="shared" si="7"/>
        <v>2.1674999999999995</v>
      </c>
      <c r="M13" s="16" t="s">
        <v>458</v>
      </c>
      <c r="N13" s="18">
        <v>20</v>
      </c>
      <c r="O13" s="19">
        <f t="shared" si="8"/>
        <v>1.2749999999999997</v>
      </c>
      <c r="P13" s="16" t="s">
        <v>469</v>
      </c>
      <c r="Q13" s="18"/>
      <c r="R13" s="19">
        <f t="shared" si="9"/>
        <v>0</v>
      </c>
      <c r="S13" s="20">
        <f t="shared" si="10"/>
        <v>54</v>
      </c>
      <c r="T13" s="19">
        <f t="shared" si="11"/>
        <v>3.442499999999999</v>
      </c>
      <c r="U13" s="21">
        <f t="shared" si="12"/>
        <v>0</v>
      </c>
      <c r="V13" s="19">
        <f t="shared" si="13"/>
        <v>0</v>
      </c>
    </row>
    <row r="14" spans="1:24">
      <c r="A14" s="26" t="s">
        <v>13</v>
      </c>
      <c r="B14" s="26" t="s">
        <v>31</v>
      </c>
      <c r="C14" s="30">
        <v>10.199999999999999</v>
      </c>
      <c r="D14" s="27">
        <v>7.5</v>
      </c>
      <c r="E14" s="78">
        <v>20</v>
      </c>
      <c r="F14" s="16">
        <f t="shared" si="5"/>
        <v>1.53</v>
      </c>
      <c r="G14" s="17"/>
      <c r="H14" s="18"/>
      <c r="I14" s="19">
        <f t="shared" si="6"/>
        <v>0</v>
      </c>
      <c r="J14" s="16" t="s">
        <v>64</v>
      </c>
      <c r="K14" s="18">
        <f>9+7+4</f>
        <v>20</v>
      </c>
      <c r="L14" s="19">
        <f t="shared" si="7"/>
        <v>1.53</v>
      </c>
      <c r="M14" s="16" t="s">
        <v>88</v>
      </c>
      <c r="N14" s="18"/>
      <c r="O14" s="19">
        <f t="shared" si="8"/>
        <v>0</v>
      </c>
      <c r="P14" s="16"/>
      <c r="Q14" s="18"/>
      <c r="R14" s="19">
        <f t="shared" si="9"/>
        <v>0</v>
      </c>
      <c r="S14" s="20">
        <f t="shared" si="10"/>
        <v>20</v>
      </c>
      <c r="T14" s="19">
        <f t="shared" si="11"/>
        <v>1.53</v>
      </c>
      <c r="U14" s="21">
        <f t="shared" si="12"/>
        <v>0</v>
      </c>
      <c r="V14" s="19">
        <f t="shared" si="13"/>
        <v>0</v>
      </c>
    </row>
    <row r="15" spans="1:24">
      <c r="A15" s="26" t="s">
        <v>13</v>
      </c>
      <c r="B15" s="26" t="s">
        <v>31</v>
      </c>
      <c r="C15" s="30">
        <v>10.199999999999999</v>
      </c>
      <c r="D15" s="27">
        <v>7.7</v>
      </c>
      <c r="E15" s="78">
        <v>54</v>
      </c>
      <c r="F15" s="16">
        <f t="shared" si="5"/>
        <v>4.2411599999999998</v>
      </c>
      <c r="G15" s="17"/>
      <c r="H15" s="18">
        <v>16</v>
      </c>
      <c r="I15" s="19">
        <f t="shared" si="6"/>
        <v>1.25664</v>
      </c>
      <c r="J15" s="16" t="s">
        <v>457</v>
      </c>
      <c r="K15" s="18">
        <f>21+1+6</f>
        <v>28</v>
      </c>
      <c r="L15" s="19">
        <f t="shared" si="7"/>
        <v>2.1991199999999997</v>
      </c>
      <c r="M15" s="16" t="s">
        <v>459</v>
      </c>
      <c r="N15" s="18">
        <f>5+5</f>
        <v>10</v>
      </c>
      <c r="O15" s="19">
        <f t="shared" si="8"/>
        <v>0.78539999999999988</v>
      </c>
      <c r="P15" s="16"/>
      <c r="Q15" s="18"/>
      <c r="R15" s="19">
        <f t="shared" si="9"/>
        <v>0</v>
      </c>
      <c r="S15" s="20">
        <f t="shared" si="10"/>
        <v>54</v>
      </c>
      <c r="T15" s="19">
        <f t="shared" si="11"/>
        <v>4.2411599999999998</v>
      </c>
      <c r="U15" s="21">
        <f t="shared" si="12"/>
        <v>0</v>
      </c>
      <c r="V15" s="19">
        <f t="shared" si="13"/>
        <v>0</v>
      </c>
    </row>
    <row r="16" spans="1:24">
      <c r="A16" s="26" t="s">
        <v>13</v>
      </c>
      <c r="B16" s="26" t="s">
        <v>31</v>
      </c>
      <c r="C16" s="30">
        <v>10.199999999999999</v>
      </c>
      <c r="D16" s="27">
        <v>8</v>
      </c>
      <c r="E16" s="78">
        <v>304</v>
      </c>
      <c r="F16" s="16">
        <f t="shared" si="5"/>
        <v>24.806399999999996</v>
      </c>
      <c r="G16" s="17"/>
      <c r="H16" s="18">
        <v>30</v>
      </c>
      <c r="I16" s="19">
        <f t="shared" si="6"/>
        <v>2.448</v>
      </c>
      <c r="J16" s="16" t="s">
        <v>93</v>
      </c>
      <c r="K16" s="18">
        <f>79+6+34+23</f>
        <v>142</v>
      </c>
      <c r="L16" s="19">
        <f t="shared" si="7"/>
        <v>11.587199999999999</v>
      </c>
      <c r="M16" s="16"/>
      <c r="N16" s="18">
        <f>92+43</f>
        <v>135</v>
      </c>
      <c r="O16" s="19">
        <f t="shared" si="8"/>
        <v>11.016</v>
      </c>
      <c r="P16" s="16"/>
      <c r="Q16" s="18"/>
      <c r="R16" s="19">
        <f t="shared" si="9"/>
        <v>0</v>
      </c>
      <c r="S16" s="20">
        <f t="shared" si="10"/>
        <v>307</v>
      </c>
      <c r="T16" s="19">
        <f t="shared" si="11"/>
        <v>25.051200000000001</v>
      </c>
      <c r="U16" s="21">
        <f t="shared" si="12"/>
        <v>-3</v>
      </c>
      <c r="V16" s="19">
        <f t="shared" si="13"/>
        <v>-0.24480000000000501</v>
      </c>
    </row>
    <row r="17" spans="1:22">
      <c r="A17" s="26" t="s">
        <v>13</v>
      </c>
      <c r="B17" s="26" t="s">
        <v>31</v>
      </c>
      <c r="C17" s="30">
        <v>10.199999999999999</v>
      </c>
      <c r="D17" s="27">
        <v>8.35</v>
      </c>
      <c r="E17" s="78">
        <v>210</v>
      </c>
      <c r="F17" s="16">
        <f t="shared" si="5"/>
        <v>17.885699999999996</v>
      </c>
      <c r="G17" s="17"/>
      <c r="H17" s="18">
        <v>18</v>
      </c>
      <c r="I17" s="19">
        <f t="shared" si="6"/>
        <v>1.5330599999999996</v>
      </c>
      <c r="J17" s="16" t="s">
        <v>458</v>
      </c>
      <c r="K17" s="18">
        <f>68+22+45</f>
        <v>135</v>
      </c>
      <c r="L17" s="19">
        <f t="shared" si="7"/>
        <v>11.497949999999999</v>
      </c>
      <c r="M17" s="16"/>
      <c r="N17" s="18">
        <f>30+15</f>
        <v>45</v>
      </c>
      <c r="O17" s="19">
        <f t="shared" si="8"/>
        <v>3.8326499999999997</v>
      </c>
      <c r="P17" s="16"/>
      <c r="Q17" s="18"/>
      <c r="R17" s="19">
        <f t="shared" si="9"/>
        <v>0</v>
      </c>
      <c r="S17" s="20">
        <f t="shared" si="10"/>
        <v>198</v>
      </c>
      <c r="T17" s="19">
        <f t="shared" si="11"/>
        <v>16.863659999999999</v>
      </c>
      <c r="U17" s="21">
        <f t="shared" si="12"/>
        <v>12</v>
      </c>
      <c r="V17" s="19">
        <f t="shared" si="13"/>
        <v>1.022039999999997</v>
      </c>
    </row>
    <row r="18" spans="1:22">
      <c r="A18" s="26" t="s">
        <v>13</v>
      </c>
      <c r="B18" s="26" t="s">
        <v>31</v>
      </c>
      <c r="C18" s="30">
        <v>10.199999999999999</v>
      </c>
      <c r="D18" s="27">
        <v>9.1999999999999993</v>
      </c>
      <c r="E18" s="78">
        <v>76</v>
      </c>
      <c r="F18" s="16">
        <f t="shared" si="5"/>
        <v>7.1318399999999995</v>
      </c>
      <c r="G18" s="17"/>
      <c r="H18" s="18"/>
      <c r="I18" s="19">
        <f t="shared" si="6"/>
        <v>0</v>
      </c>
      <c r="J18" s="16"/>
      <c r="K18" s="18">
        <f>2+47+15</f>
        <v>64</v>
      </c>
      <c r="L18" s="19">
        <f t="shared" si="7"/>
        <v>6.0057599999999995</v>
      </c>
      <c r="M18" s="16"/>
      <c r="N18" s="18">
        <v>6</v>
      </c>
      <c r="O18" s="19">
        <f t="shared" si="8"/>
        <v>0.56303999999999998</v>
      </c>
      <c r="P18" s="16"/>
      <c r="Q18" s="18"/>
      <c r="R18" s="19">
        <f t="shared" si="9"/>
        <v>0</v>
      </c>
      <c r="S18" s="20">
        <f t="shared" si="10"/>
        <v>70</v>
      </c>
      <c r="T18" s="19">
        <f t="shared" si="11"/>
        <v>6.5687999999999995</v>
      </c>
      <c r="U18" s="21">
        <f t="shared" si="12"/>
        <v>6</v>
      </c>
      <c r="V18" s="19">
        <f t="shared" si="13"/>
        <v>0.56303999999999998</v>
      </c>
    </row>
    <row r="19" spans="1:22">
      <c r="A19" s="26" t="s">
        <v>13</v>
      </c>
      <c r="B19" s="26" t="s">
        <v>31</v>
      </c>
      <c r="C19" s="30">
        <v>10.199999999999999</v>
      </c>
      <c r="D19" s="27">
        <v>11.6</v>
      </c>
      <c r="E19" s="78">
        <v>76</v>
      </c>
      <c r="F19" s="16">
        <f t="shared" si="5"/>
        <v>8.9923199999999994</v>
      </c>
      <c r="G19" s="17"/>
      <c r="H19" s="18"/>
      <c r="I19" s="19">
        <f t="shared" si="6"/>
        <v>0</v>
      </c>
      <c r="J19" s="16"/>
      <c r="K19" s="18">
        <f>12+24+16</f>
        <v>52</v>
      </c>
      <c r="L19" s="19">
        <f t="shared" si="7"/>
        <v>6.152639999999999</v>
      </c>
      <c r="M19" s="16"/>
      <c r="N19" s="18">
        <f>25+1</f>
        <v>26</v>
      </c>
      <c r="O19" s="19">
        <f t="shared" si="8"/>
        <v>3.0763199999999995</v>
      </c>
      <c r="P19" s="16"/>
      <c r="Q19" s="18">
        <v>1</v>
      </c>
      <c r="R19" s="19">
        <f t="shared" si="9"/>
        <v>0.11831999999999999</v>
      </c>
      <c r="S19" s="20">
        <f t="shared" si="10"/>
        <v>79</v>
      </c>
      <c r="T19" s="19">
        <f t="shared" si="11"/>
        <v>9.3472799999999978</v>
      </c>
      <c r="U19" s="21">
        <f t="shared" si="12"/>
        <v>-3</v>
      </c>
      <c r="V19" s="19">
        <f t="shared" si="13"/>
        <v>-0.35495999999999839</v>
      </c>
    </row>
    <row r="20" spans="1:22">
      <c r="A20" s="26" t="s">
        <v>13</v>
      </c>
      <c r="B20" s="26" t="s">
        <v>31</v>
      </c>
      <c r="C20" s="30">
        <v>10.199999999999999</v>
      </c>
      <c r="D20" s="27">
        <v>11.75</v>
      </c>
      <c r="E20" s="78">
        <v>20</v>
      </c>
      <c r="F20" s="16">
        <f t="shared" si="5"/>
        <v>2.3969999999999998</v>
      </c>
      <c r="G20" s="17"/>
      <c r="H20" s="18"/>
      <c r="I20" s="19">
        <f t="shared" si="6"/>
        <v>0</v>
      </c>
      <c r="J20" s="16"/>
      <c r="K20" s="18">
        <v>19</v>
      </c>
      <c r="L20" s="19">
        <f t="shared" si="7"/>
        <v>2.2771500000000002</v>
      </c>
      <c r="M20" s="16"/>
      <c r="N20" s="18"/>
      <c r="O20" s="19">
        <f t="shared" si="8"/>
        <v>0</v>
      </c>
      <c r="P20" s="16"/>
      <c r="Q20" s="18"/>
      <c r="R20" s="19">
        <f t="shared" si="9"/>
        <v>0</v>
      </c>
      <c r="S20" s="20">
        <f t="shared" si="10"/>
        <v>19</v>
      </c>
      <c r="T20" s="19">
        <f t="shared" si="11"/>
        <v>2.2771500000000002</v>
      </c>
      <c r="U20" s="21">
        <f t="shared" si="12"/>
        <v>1</v>
      </c>
      <c r="V20" s="19">
        <f t="shared" si="13"/>
        <v>0.11984999999999957</v>
      </c>
    </row>
    <row r="21" spans="1:22">
      <c r="A21" s="26" t="s">
        <v>13</v>
      </c>
      <c r="B21" s="26" t="s">
        <v>31</v>
      </c>
      <c r="C21" s="30">
        <v>10.199999999999999</v>
      </c>
      <c r="D21" s="27">
        <v>11.9</v>
      </c>
      <c r="E21" s="78">
        <v>13</v>
      </c>
      <c r="F21" s="16">
        <f t="shared" ref="F21:F25" si="14">(C21*D21*E21/1000)</f>
        <v>1.5779400000000001</v>
      </c>
      <c r="G21" s="17"/>
      <c r="H21" s="18"/>
      <c r="I21" s="19">
        <f t="shared" ref="I21:I25" si="15">(C21*D21*H21/1000)</f>
        <v>0</v>
      </c>
      <c r="J21" s="16"/>
      <c r="K21" s="18">
        <v>5</v>
      </c>
      <c r="L21" s="19">
        <f t="shared" ref="L21:L25" si="16">(C21*D21*K21/1000)</f>
        <v>0.6069</v>
      </c>
      <c r="M21" s="16"/>
      <c r="N21" s="18">
        <v>8</v>
      </c>
      <c r="O21" s="19">
        <f t="shared" ref="O21:O25" si="17">(C21*D21*N21/1000)</f>
        <v>0.97104000000000001</v>
      </c>
      <c r="P21" s="16"/>
      <c r="Q21" s="18"/>
      <c r="R21" s="19">
        <f t="shared" ref="R21:R25" si="18">(C21*D21*Q21/1000)</f>
        <v>0</v>
      </c>
      <c r="S21" s="20">
        <f t="shared" ref="S21:S25" si="19">+H21+K21+Q21+N21</f>
        <v>13</v>
      </c>
      <c r="T21" s="19">
        <f t="shared" ref="T21:T25" si="20">+I21+L21+R21+O21</f>
        <v>1.5779399999999999</v>
      </c>
      <c r="U21" s="21">
        <f t="shared" ref="U21:U25" si="21">E21-S21</f>
        <v>0</v>
      </c>
      <c r="V21" s="19">
        <f t="shared" ref="V21:V25" si="22">F21-T21</f>
        <v>0</v>
      </c>
    </row>
    <row r="22" spans="1:22">
      <c r="A22" s="26" t="s">
        <v>13</v>
      </c>
      <c r="B22" s="26" t="s">
        <v>31</v>
      </c>
      <c r="C22" s="30">
        <v>10.199999999999999</v>
      </c>
      <c r="D22" s="27">
        <v>11.2</v>
      </c>
      <c r="E22" s="78"/>
      <c r="F22" s="16">
        <f t="shared" si="14"/>
        <v>0</v>
      </c>
      <c r="G22" s="17"/>
      <c r="H22" s="18"/>
      <c r="I22" s="19">
        <f t="shared" si="15"/>
        <v>0</v>
      </c>
      <c r="J22" s="16"/>
      <c r="K22" s="18"/>
      <c r="L22" s="19">
        <f t="shared" si="16"/>
        <v>0</v>
      </c>
      <c r="M22" s="16"/>
      <c r="N22" s="18"/>
      <c r="O22" s="19">
        <f t="shared" si="17"/>
        <v>0</v>
      </c>
      <c r="P22" s="16"/>
      <c r="Q22" s="18">
        <v>5</v>
      </c>
      <c r="R22" s="19">
        <f t="shared" si="18"/>
        <v>0.57119999999999993</v>
      </c>
      <c r="S22" s="20">
        <f t="shared" si="19"/>
        <v>5</v>
      </c>
      <c r="T22" s="19">
        <f t="shared" si="20"/>
        <v>0.57119999999999993</v>
      </c>
      <c r="U22" s="21">
        <f t="shared" si="21"/>
        <v>-5</v>
      </c>
      <c r="V22" s="19">
        <f t="shared" si="22"/>
        <v>-0.57119999999999993</v>
      </c>
    </row>
    <row r="23" spans="1:22">
      <c r="A23" s="26" t="s">
        <v>13</v>
      </c>
      <c r="B23" s="26" t="s">
        <v>31</v>
      </c>
      <c r="C23" s="30">
        <v>10.199999999999999</v>
      </c>
      <c r="D23" s="27">
        <v>10.5</v>
      </c>
      <c r="E23" s="78"/>
      <c r="F23" s="16">
        <f t="shared" si="14"/>
        <v>0</v>
      </c>
      <c r="G23" s="17"/>
      <c r="H23" s="18"/>
      <c r="I23" s="19">
        <f t="shared" si="15"/>
        <v>0</v>
      </c>
      <c r="J23" s="16"/>
      <c r="K23" s="18"/>
      <c r="L23" s="19">
        <f t="shared" si="16"/>
        <v>0</v>
      </c>
      <c r="M23" s="16"/>
      <c r="N23" s="18"/>
      <c r="O23" s="19">
        <f t="shared" si="17"/>
        <v>0</v>
      </c>
      <c r="P23" s="16"/>
      <c r="Q23" s="18">
        <v>1</v>
      </c>
      <c r="R23" s="19">
        <f t="shared" si="18"/>
        <v>0.1071</v>
      </c>
      <c r="S23" s="20">
        <f t="shared" si="19"/>
        <v>1</v>
      </c>
      <c r="T23" s="19">
        <f t="shared" si="20"/>
        <v>0.1071</v>
      </c>
      <c r="U23" s="21">
        <f t="shared" si="21"/>
        <v>-1</v>
      </c>
      <c r="V23" s="19">
        <f t="shared" si="22"/>
        <v>-0.1071</v>
      </c>
    </row>
    <row r="24" spans="1:22">
      <c r="A24" s="26" t="s">
        <v>13</v>
      </c>
      <c r="B24" s="26" t="s">
        <v>31</v>
      </c>
      <c r="C24" s="30">
        <v>10.199999999999999</v>
      </c>
      <c r="D24" s="27">
        <v>11</v>
      </c>
      <c r="E24" s="78"/>
      <c r="F24" s="16">
        <f t="shared" si="14"/>
        <v>0</v>
      </c>
      <c r="G24" s="17"/>
      <c r="H24" s="18"/>
      <c r="I24" s="19">
        <f t="shared" si="15"/>
        <v>0</v>
      </c>
      <c r="J24" s="16"/>
      <c r="K24" s="18"/>
      <c r="L24" s="19">
        <f t="shared" si="16"/>
        <v>0</v>
      </c>
      <c r="M24" s="16"/>
      <c r="N24" s="18"/>
      <c r="O24" s="19">
        <f t="shared" si="17"/>
        <v>0</v>
      </c>
      <c r="P24" s="16"/>
      <c r="Q24" s="18">
        <v>3</v>
      </c>
      <c r="R24" s="19">
        <f t="shared" si="18"/>
        <v>0.33659999999999995</v>
      </c>
      <c r="S24" s="20">
        <f t="shared" si="19"/>
        <v>3</v>
      </c>
      <c r="T24" s="19">
        <f t="shared" si="20"/>
        <v>0.33659999999999995</v>
      </c>
      <c r="U24" s="21">
        <f t="shared" si="21"/>
        <v>-3</v>
      </c>
      <c r="V24" s="19">
        <f t="shared" si="22"/>
        <v>-0.33659999999999995</v>
      </c>
    </row>
    <row r="25" spans="1:22">
      <c r="A25" s="26" t="s">
        <v>13</v>
      </c>
      <c r="B25" s="26" t="s">
        <v>31</v>
      </c>
      <c r="C25" s="30">
        <v>10.199999999999999</v>
      </c>
      <c r="D25" s="27"/>
      <c r="E25" s="78"/>
      <c r="F25" s="16">
        <f t="shared" si="14"/>
        <v>0</v>
      </c>
      <c r="G25" s="17"/>
      <c r="H25" s="18"/>
      <c r="I25" s="19">
        <f t="shared" si="15"/>
        <v>0</v>
      </c>
      <c r="J25" s="16"/>
      <c r="K25" s="18"/>
      <c r="L25" s="19">
        <f t="shared" si="16"/>
        <v>0</v>
      </c>
      <c r="M25" s="16"/>
      <c r="N25" s="18"/>
      <c r="O25" s="19">
        <f t="shared" si="17"/>
        <v>0</v>
      </c>
      <c r="P25" s="16"/>
      <c r="Q25" s="18"/>
      <c r="R25" s="19">
        <f t="shared" si="18"/>
        <v>0</v>
      </c>
      <c r="S25" s="20">
        <f t="shared" si="19"/>
        <v>0</v>
      </c>
      <c r="T25" s="19">
        <f t="shared" si="20"/>
        <v>0</v>
      </c>
      <c r="U25" s="21">
        <f t="shared" si="21"/>
        <v>0</v>
      </c>
      <c r="V25" s="19">
        <f t="shared" si="22"/>
        <v>0</v>
      </c>
    </row>
    <row r="26" spans="1:22">
      <c r="A26" s="26" t="s">
        <v>13</v>
      </c>
      <c r="B26" s="26" t="s">
        <v>31</v>
      </c>
      <c r="C26" s="30">
        <v>10.199999999999999</v>
      </c>
      <c r="D26" s="27"/>
      <c r="E26" s="78"/>
      <c r="F26" s="16">
        <f t="shared" si="5"/>
        <v>0</v>
      </c>
      <c r="G26" s="17"/>
      <c r="H26" s="18"/>
      <c r="I26" s="19">
        <f t="shared" si="6"/>
        <v>0</v>
      </c>
      <c r="J26" s="16"/>
      <c r="K26" s="18"/>
      <c r="L26" s="19">
        <f t="shared" si="7"/>
        <v>0</v>
      </c>
      <c r="M26" s="16"/>
      <c r="N26" s="18"/>
      <c r="O26" s="19">
        <f t="shared" si="8"/>
        <v>0</v>
      </c>
      <c r="P26" s="16"/>
      <c r="Q26" s="18"/>
      <c r="R26" s="19">
        <f t="shared" si="9"/>
        <v>0</v>
      </c>
      <c r="S26" s="20">
        <f t="shared" si="10"/>
        <v>0</v>
      </c>
      <c r="T26" s="19">
        <f t="shared" si="11"/>
        <v>0</v>
      </c>
      <c r="U26" s="21">
        <f t="shared" si="12"/>
        <v>0</v>
      </c>
      <c r="V26" s="19">
        <f t="shared" si="13"/>
        <v>0</v>
      </c>
    </row>
    <row r="27" spans="1:22">
      <c r="A27" s="36"/>
      <c r="B27" s="36"/>
      <c r="C27" s="37"/>
      <c r="D27" s="38"/>
      <c r="E27" s="31">
        <f t="shared" ref="E27:F27" si="23">SUM(E12:E26)</f>
        <v>935</v>
      </c>
      <c r="F27" s="38">
        <f t="shared" si="23"/>
        <v>78.724619999999987</v>
      </c>
      <c r="G27" s="26"/>
      <c r="H27" s="31">
        <f t="shared" ref="H27" si="24">SUM(H12:H26)</f>
        <v>81</v>
      </c>
      <c r="I27" s="38">
        <f t="shared" ref="I27" si="25">SUM(I12:I26)</f>
        <v>6.2954400000000001</v>
      </c>
      <c r="J27" s="26"/>
      <c r="K27" s="31">
        <f t="shared" ref="K27" si="26">SUM(K12:K26)</f>
        <v>595</v>
      </c>
      <c r="L27" s="38">
        <f t="shared" ref="L27" si="27">SUM(L12:L26)</f>
        <v>49.997339999999994</v>
      </c>
      <c r="M27" s="26"/>
      <c r="N27" s="31">
        <f t="shared" ref="N27" si="28">SUM(N12:N26)</f>
        <v>250</v>
      </c>
      <c r="O27" s="38">
        <f t="shared" ref="O27" si="29">SUM(O12:O26)</f>
        <v>21.519449999999999</v>
      </c>
      <c r="P27" s="26"/>
      <c r="Q27" s="31">
        <f t="shared" ref="Q27" si="30">SUM(Q12:Q26)</f>
        <v>10</v>
      </c>
      <c r="R27" s="38">
        <f t="shared" ref="R27" si="31">SUM(R12:R26)</f>
        <v>1.1332199999999999</v>
      </c>
      <c r="S27" s="31">
        <f t="shared" ref="S27" si="32">SUM(S12:S26)</f>
        <v>936</v>
      </c>
      <c r="T27" s="38">
        <f t="shared" ref="T27" si="33">SUM(T12:T26)</f>
        <v>78.945450000000008</v>
      </c>
      <c r="U27" s="31">
        <f t="shared" ref="U27" si="34">SUM(U12:U26)</f>
        <v>-1</v>
      </c>
      <c r="V27" s="38">
        <f t="shared" ref="V27" si="35">SUM(V12:V26)</f>
        <v>-0.22083000000000649</v>
      </c>
    </row>
    <row r="28" spans="1:22">
      <c r="A28" s="26" t="s">
        <v>13</v>
      </c>
      <c r="B28" s="26" t="s">
        <v>32</v>
      </c>
      <c r="C28" s="30">
        <v>11.8</v>
      </c>
      <c r="D28" s="27">
        <v>7.1</v>
      </c>
      <c r="E28" s="78">
        <v>44</v>
      </c>
      <c r="F28" s="16">
        <f t="shared" ref="F28:F42" si="36">(C28*D28*E28/1000)</f>
        <v>3.6863200000000003</v>
      </c>
      <c r="G28" s="16" t="s">
        <v>89</v>
      </c>
      <c r="H28" s="18">
        <v>31</v>
      </c>
      <c r="I28" s="19">
        <f t="shared" ref="I28:I42" si="37">(C28*D28*H28/1000)</f>
        <v>2.5971799999999998</v>
      </c>
      <c r="J28" s="17" t="s">
        <v>93</v>
      </c>
      <c r="K28" s="18"/>
      <c r="L28" s="19">
        <f t="shared" ref="L28:L42" si="38">(C28*D28*K28/1000)</f>
        <v>0</v>
      </c>
      <c r="M28" s="16" t="s">
        <v>89</v>
      </c>
      <c r="N28" s="18">
        <v>13</v>
      </c>
      <c r="O28" s="19">
        <f t="shared" ref="O28:O42" si="39">(C28*D28*N28/1000)</f>
        <v>1.08914</v>
      </c>
      <c r="P28" s="17" t="s">
        <v>86</v>
      </c>
      <c r="Q28" s="18"/>
      <c r="R28" s="19">
        <f t="shared" ref="R28:R42" si="40">(C28*D28*Q28/1000)</f>
        <v>0</v>
      </c>
      <c r="S28" s="20">
        <f t="shared" ref="S28:S42" si="41">+H28+K28+Q28+N28</f>
        <v>44</v>
      </c>
      <c r="T28" s="19">
        <f t="shared" ref="T28:T42" si="42">+I28+L28+R28+O28</f>
        <v>3.6863199999999998</v>
      </c>
      <c r="U28" s="21">
        <f t="shared" ref="U28:V42" si="43">E28-S28</f>
        <v>0</v>
      </c>
      <c r="V28" s="19">
        <f t="shared" si="43"/>
        <v>0</v>
      </c>
    </row>
    <row r="29" spans="1:22">
      <c r="A29" s="26" t="s">
        <v>13</v>
      </c>
      <c r="B29" s="26" t="s">
        <v>32</v>
      </c>
      <c r="C29" s="30">
        <v>11.8</v>
      </c>
      <c r="D29" s="27">
        <v>7.4</v>
      </c>
      <c r="E29" s="78">
        <v>88</v>
      </c>
      <c r="F29" s="16">
        <f t="shared" si="36"/>
        <v>7.6841600000000003</v>
      </c>
      <c r="G29" s="16" t="s">
        <v>451</v>
      </c>
      <c r="H29" s="18">
        <v>45</v>
      </c>
      <c r="I29" s="19">
        <f t="shared" si="37"/>
        <v>3.9294000000000007</v>
      </c>
      <c r="J29" s="17" t="s">
        <v>469</v>
      </c>
      <c r="K29" s="18"/>
      <c r="L29" s="19">
        <f t="shared" si="38"/>
        <v>0</v>
      </c>
      <c r="M29" s="16" t="s">
        <v>457</v>
      </c>
      <c r="N29" s="18">
        <v>5</v>
      </c>
      <c r="O29" s="19">
        <f t="shared" si="39"/>
        <v>0.43660000000000004</v>
      </c>
      <c r="P29" s="17" t="s">
        <v>458</v>
      </c>
      <c r="Q29" s="18">
        <v>35</v>
      </c>
      <c r="R29" s="19">
        <f t="shared" si="40"/>
        <v>3.0562000000000005</v>
      </c>
      <c r="S29" s="20">
        <f t="shared" si="41"/>
        <v>85</v>
      </c>
      <c r="T29" s="19">
        <f t="shared" si="42"/>
        <v>7.4222000000000019</v>
      </c>
      <c r="U29" s="21">
        <f t="shared" si="43"/>
        <v>3</v>
      </c>
      <c r="V29" s="19">
        <f t="shared" si="43"/>
        <v>0.26195999999999842</v>
      </c>
    </row>
    <row r="30" spans="1:22">
      <c r="A30" s="26" t="s">
        <v>13</v>
      </c>
      <c r="B30" s="26" t="s">
        <v>32</v>
      </c>
      <c r="C30" s="30">
        <v>11.8</v>
      </c>
      <c r="D30" s="27">
        <v>7.7</v>
      </c>
      <c r="E30" s="78">
        <v>44</v>
      </c>
      <c r="F30" s="16">
        <f t="shared" si="36"/>
        <v>3.9978400000000005</v>
      </c>
      <c r="G30" s="17" t="s">
        <v>325</v>
      </c>
      <c r="H30" s="18">
        <v>10</v>
      </c>
      <c r="I30" s="19">
        <f t="shared" si="37"/>
        <v>0.90860000000000019</v>
      </c>
      <c r="J30" s="16"/>
      <c r="K30" s="18"/>
      <c r="L30" s="19">
        <f t="shared" si="38"/>
        <v>0</v>
      </c>
      <c r="M30" s="16"/>
      <c r="N30" s="18"/>
      <c r="O30" s="19">
        <f t="shared" si="39"/>
        <v>0</v>
      </c>
      <c r="P30" s="16"/>
      <c r="Q30" s="18">
        <f>8+16</f>
        <v>24</v>
      </c>
      <c r="R30" s="19">
        <f t="shared" si="40"/>
        <v>2.1806400000000004</v>
      </c>
      <c r="S30" s="20">
        <f t="shared" si="41"/>
        <v>34</v>
      </c>
      <c r="T30" s="19">
        <f t="shared" si="42"/>
        <v>3.0892400000000007</v>
      </c>
      <c r="U30" s="21">
        <f t="shared" si="43"/>
        <v>10</v>
      </c>
      <c r="V30" s="19">
        <f t="shared" si="43"/>
        <v>0.90859999999999985</v>
      </c>
    </row>
    <row r="31" spans="1:22">
      <c r="A31" s="26" t="s">
        <v>13</v>
      </c>
      <c r="B31" s="26" t="s">
        <v>32</v>
      </c>
      <c r="C31" s="30">
        <v>11.8</v>
      </c>
      <c r="D31" s="27">
        <v>8.3000000000000007</v>
      </c>
      <c r="E31" s="78">
        <v>88</v>
      </c>
      <c r="F31" s="16">
        <f t="shared" si="36"/>
        <v>8.6187200000000015</v>
      </c>
      <c r="G31" s="17" t="s">
        <v>454</v>
      </c>
      <c r="H31" s="18">
        <v>46</v>
      </c>
      <c r="I31" s="19">
        <f t="shared" si="37"/>
        <v>4.5052400000000006</v>
      </c>
      <c r="J31" s="16"/>
      <c r="K31" s="18">
        <v>1</v>
      </c>
      <c r="L31" s="19">
        <f t="shared" si="38"/>
        <v>9.7940000000000013E-2</v>
      </c>
      <c r="M31" s="16"/>
      <c r="N31" s="18">
        <v>40</v>
      </c>
      <c r="O31" s="19">
        <f t="shared" si="39"/>
        <v>3.9176000000000002</v>
      </c>
      <c r="P31" s="16" t="s">
        <v>88</v>
      </c>
      <c r="Q31" s="18">
        <v>2</v>
      </c>
      <c r="R31" s="19">
        <f t="shared" si="40"/>
        <v>0.19588000000000003</v>
      </c>
      <c r="S31" s="20">
        <f t="shared" si="41"/>
        <v>89</v>
      </c>
      <c r="T31" s="19">
        <f t="shared" si="42"/>
        <v>8.716660000000001</v>
      </c>
      <c r="U31" s="21">
        <f t="shared" si="43"/>
        <v>-1</v>
      </c>
      <c r="V31" s="19">
        <f t="shared" si="43"/>
        <v>-9.7939999999999472E-2</v>
      </c>
    </row>
    <row r="32" spans="1:22">
      <c r="A32" s="26" t="s">
        <v>13</v>
      </c>
      <c r="B32" s="26" t="s">
        <v>32</v>
      </c>
      <c r="C32" s="30">
        <v>11.8</v>
      </c>
      <c r="D32" s="27">
        <v>9.1999999999999993</v>
      </c>
      <c r="E32" s="78">
        <v>78</v>
      </c>
      <c r="F32" s="16">
        <f t="shared" si="36"/>
        <v>8.4676799999999997</v>
      </c>
      <c r="G32" s="17"/>
      <c r="H32" s="18">
        <v>47</v>
      </c>
      <c r="I32" s="19">
        <f t="shared" si="37"/>
        <v>5.1023199999999997</v>
      </c>
      <c r="J32" s="16"/>
      <c r="K32" s="18"/>
      <c r="L32" s="19">
        <f t="shared" si="38"/>
        <v>0</v>
      </c>
      <c r="M32" s="16"/>
      <c r="N32" s="18">
        <v>2</v>
      </c>
      <c r="O32" s="19">
        <f t="shared" si="39"/>
        <v>0.21712000000000001</v>
      </c>
      <c r="P32" s="16" t="s">
        <v>459</v>
      </c>
      <c r="Q32" s="18"/>
      <c r="R32" s="19">
        <f t="shared" si="40"/>
        <v>0</v>
      </c>
      <c r="S32" s="20">
        <f t="shared" si="41"/>
        <v>49</v>
      </c>
      <c r="T32" s="19">
        <f t="shared" si="42"/>
        <v>5.3194400000000002</v>
      </c>
      <c r="U32" s="21">
        <f t="shared" si="43"/>
        <v>29</v>
      </c>
      <c r="V32" s="19">
        <f t="shared" si="43"/>
        <v>3.1482399999999995</v>
      </c>
    </row>
    <row r="33" spans="1:22">
      <c r="A33" s="26" t="s">
        <v>13</v>
      </c>
      <c r="B33" s="26" t="s">
        <v>32</v>
      </c>
      <c r="C33" s="30">
        <v>11.8</v>
      </c>
      <c r="D33" s="27">
        <v>10.4</v>
      </c>
      <c r="E33" s="78">
        <v>2</v>
      </c>
      <c r="F33" s="16">
        <f t="shared" si="36"/>
        <v>0.24544000000000002</v>
      </c>
      <c r="G33" s="17"/>
      <c r="H33" s="18"/>
      <c r="I33" s="19">
        <f t="shared" si="37"/>
        <v>0</v>
      </c>
      <c r="J33" s="16"/>
      <c r="K33" s="18"/>
      <c r="L33" s="19">
        <f t="shared" si="38"/>
        <v>0</v>
      </c>
      <c r="M33" s="16"/>
      <c r="N33" s="18">
        <v>2</v>
      </c>
      <c r="O33" s="19">
        <f t="shared" si="39"/>
        <v>0.24544000000000002</v>
      </c>
      <c r="P33" s="16"/>
      <c r="Q33" s="18">
        <f>3+2</f>
        <v>5</v>
      </c>
      <c r="R33" s="19">
        <f t="shared" si="40"/>
        <v>0.61360000000000003</v>
      </c>
      <c r="S33" s="20">
        <f t="shared" si="41"/>
        <v>7</v>
      </c>
      <c r="T33" s="19">
        <f t="shared" si="42"/>
        <v>0.85904000000000003</v>
      </c>
      <c r="U33" s="21">
        <f t="shared" si="43"/>
        <v>-5</v>
      </c>
      <c r="V33" s="19">
        <f t="shared" si="43"/>
        <v>-0.61360000000000003</v>
      </c>
    </row>
    <row r="34" spans="1:22">
      <c r="A34" s="26" t="s">
        <v>13</v>
      </c>
      <c r="B34" s="26" t="s">
        <v>32</v>
      </c>
      <c r="C34" s="30">
        <v>11.8</v>
      </c>
      <c r="D34" s="27">
        <v>11</v>
      </c>
      <c r="E34" s="78">
        <v>18</v>
      </c>
      <c r="F34" s="16">
        <f t="shared" si="36"/>
        <v>2.3364000000000003</v>
      </c>
      <c r="G34" s="17"/>
      <c r="H34" s="18">
        <v>18</v>
      </c>
      <c r="I34" s="19">
        <f t="shared" si="37"/>
        <v>2.3364000000000003</v>
      </c>
      <c r="J34" s="16"/>
      <c r="K34" s="18"/>
      <c r="L34" s="19">
        <f t="shared" si="38"/>
        <v>0</v>
      </c>
      <c r="M34" s="16"/>
      <c r="N34" s="18"/>
      <c r="O34" s="19">
        <f t="shared" si="39"/>
        <v>0</v>
      </c>
      <c r="P34" s="16"/>
      <c r="Q34" s="18">
        <v>18</v>
      </c>
      <c r="R34" s="19">
        <f t="shared" si="40"/>
        <v>2.3364000000000003</v>
      </c>
      <c r="S34" s="20">
        <f t="shared" si="41"/>
        <v>36</v>
      </c>
      <c r="T34" s="19">
        <f t="shared" si="42"/>
        <v>4.6728000000000005</v>
      </c>
      <c r="U34" s="21">
        <f t="shared" si="43"/>
        <v>-18</v>
      </c>
      <c r="V34" s="19">
        <f t="shared" si="43"/>
        <v>-2.3364000000000003</v>
      </c>
    </row>
    <row r="35" spans="1:22">
      <c r="A35" s="26" t="s">
        <v>13</v>
      </c>
      <c r="B35" s="26" t="s">
        <v>32</v>
      </c>
      <c r="C35" s="30">
        <v>11.8</v>
      </c>
      <c r="D35" s="27">
        <v>11.8</v>
      </c>
      <c r="E35" s="78">
        <v>128</v>
      </c>
      <c r="F35" s="16">
        <f t="shared" ref="F35:F41" si="44">(C35*D35*E35/1000)</f>
        <v>17.82272</v>
      </c>
      <c r="G35" s="17"/>
      <c r="H35" s="18">
        <f>42+20</f>
        <v>62</v>
      </c>
      <c r="I35" s="19">
        <f t="shared" ref="I35:I41" si="45">(C35*D35*H35/1000)</f>
        <v>8.6328800000000019</v>
      </c>
      <c r="J35" s="16"/>
      <c r="K35" s="18"/>
      <c r="L35" s="19">
        <f t="shared" ref="L35:L41" si="46">(C35*D35*K35/1000)</f>
        <v>0</v>
      </c>
      <c r="M35" s="16"/>
      <c r="N35" s="18">
        <v>38</v>
      </c>
      <c r="O35" s="19">
        <f t="shared" ref="O35:O41" si="47">(C35*D35*N35/1000)</f>
        <v>5.2911200000000012</v>
      </c>
      <c r="P35" s="16"/>
      <c r="Q35" s="18">
        <f>17+12</f>
        <v>29</v>
      </c>
      <c r="R35" s="19">
        <f t="shared" ref="R35:R41" si="48">(C35*D35*Q35/1000)</f>
        <v>4.03796</v>
      </c>
      <c r="S35" s="20">
        <f t="shared" ref="S35:S41" si="49">+H35+K35+Q35+N35</f>
        <v>129</v>
      </c>
      <c r="T35" s="19">
        <f t="shared" ref="T35:T41" si="50">+I35+L35+R35+O35</f>
        <v>17.961960000000005</v>
      </c>
      <c r="U35" s="21">
        <f t="shared" ref="U35:U41" si="51">E35-S35</f>
        <v>-1</v>
      </c>
      <c r="V35" s="19">
        <f t="shared" ref="V35:V41" si="52">F35-T35</f>
        <v>-0.13924000000000447</v>
      </c>
    </row>
    <row r="36" spans="1:22">
      <c r="A36" s="26" t="s">
        <v>13</v>
      </c>
      <c r="B36" s="26" t="s">
        <v>32</v>
      </c>
      <c r="C36" s="30">
        <v>11.8</v>
      </c>
      <c r="D36" s="27">
        <v>11.6</v>
      </c>
      <c r="E36" s="78"/>
      <c r="F36" s="16">
        <f t="shared" si="44"/>
        <v>0</v>
      </c>
      <c r="G36" s="17"/>
      <c r="H36" s="18"/>
      <c r="I36" s="19">
        <f t="shared" si="45"/>
        <v>0</v>
      </c>
      <c r="J36" s="16"/>
      <c r="K36" s="18">
        <v>2</v>
      </c>
      <c r="L36" s="19">
        <f t="shared" si="46"/>
        <v>0.27376</v>
      </c>
      <c r="M36" s="16"/>
      <c r="N36" s="18"/>
      <c r="O36" s="19">
        <f t="shared" si="47"/>
        <v>0</v>
      </c>
      <c r="P36" s="16"/>
      <c r="Q36" s="18">
        <v>2</v>
      </c>
      <c r="R36" s="19">
        <f t="shared" si="48"/>
        <v>0.27376</v>
      </c>
      <c r="S36" s="20">
        <f t="shared" si="49"/>
        <v>4</v>
      </c>
      <c r="T36" s="19">
        <f t="shared" si="50"/>
        <v>0.54752000000000001</v>
      </c>
      <c r="U36" s="21">
        <f t="shared" si="51"/>
        <v>-4</v>
      </c>
      <c r="V36" s="19">
        <f t="shared" si="52"/>
        <v>-0.54752000000000001</v>
      </c>
    </row>
    <row r="37" spans="1:22">
      <c r="A37" s="26" t="s">
        <v>13</v>
      </c>
      <c r="B37" s="26" t="s">
        <v>32</v>
      </c>
      <c r="C37" s="30">
        <v>11.8</v>
      </c>
      <c r="D37" s="27">
        <v>6.25</v>
      </c>
      <c r="E37" s="78"/>
      <c r="F37" s="16">
        <f t="shared" ref="F37:F39" si="53">(C37*D37*E37/1000)</f>
        <v>0</v>
      </c>
      <c r="G37" s="17"/>
      <c r="H37" s="18"/>
      <c r="I37" s="19">
        <f t="shared" ref="I37:I39" si="54">(C37*D37*H37/1000)</f>
        <v>0</v>
      </c>
      <c r="J37" s="16"/>
      <c r="K37" s="18">
        <v>1</v>
      </c>
      <c r="L37" s="19">
        <f t="shared" ref="L37:L39" si="55">(C37*D37*K37/1000)</f>
        <v>7.3749999999999996E-2</v>
      </c>
      <c r="M37" s="16"/>
      <c r="N37" s="18"/>
      <c r="O37" s="19">
        <f t="shared" ref="O37:O39" si="56">(C37*D37*N37/1000)</f>
        <v>0</v>
      </c>
      <c r="P37" s="16"/>
      <c r="Q37" s="18"/>
      <c r="R37" s="19">
        <f t="shared" ref="R37:R39" si="57">(C37*D37*Q37/1000)</f>
        <v>0</v>
      </c>
      <c r="S37" s="20">
        <f t="shared" ref="S37:S39" si="58">+H37+K37+Q37+N37</f>
        <v>1</v>
      </c>
      <c r="T37" s="19">
        <f t="shared" ref="T37:T39" si="59">+I37+L37+R37+O37</f>
        <v>7.3749999999999996E-2</v>
      </c>
      <c r="U37" s="21">
        <f t="shared" ref="U37:U39" si="60">E37-S37</f>
        <v>-1</v>
      </c>
      <c r="V37" s="19">
        <f t="shared" ref="V37:V39" si="61">F37-T37</f>
        <v>-7.3749999999999996E-2</v>
      </c>
    </row>
    <row r="38" spans="1:22">
      <c r="A38" s="26" t="s">
        <v>13</v>
      </c>
      <c r="B38" s="26" t="s">
        <v>32</v>
      </c>
      <c r="C38" s="30">
        <v>11.8</v>
      </c>
      <c r="D38" s="27">
        <v>6.1</v>
      </c>
      <c r="E38" s="78"/>
      <c r="F38" s="16">
        <f t="shared" si="53"/>
        <v>0</v>
      </c>
      <c r="G38" s="17"/>
      <c r="H38" s="18"/>
      <c r="I38" s="19">
        <f t="shared" si="54"/>
        <v>0</v>
      </c>
      <c r="J38" s="16"/>
      <c r="K38" s="18">
        <v>3</v>
      </c>
      <c r="L38" s="19">
        <f t="shared" si="55"/>
        <v>0.21593999999999999</v>
      </c>
      <c r="M38" s="16"/>
      <c r="N38" s="18"/>
      <c r="O38" s="19">
        <f t="shared" si="56"/>
        <v>0</v>
      </c>
      <c r="P38" s="16"/>
      <c r="Q38" s="18"/>
      <c r="R38" s="19">
        <f t="shared" si="57"/>
        <v>0</v>
      </c>
      <c r="S38" s="20">
        <f t="shared" si="58"/>
        <v>3</v>
      </c>
      <c r="T38" s="19">
        <f t="shared" si="59"/>
        <v>0.21593999999999999</v>
      </c>
      <c r="U38" s="21">
        <f t="shared" si="60"/>
        <v>-3</v>
      </c>
      <c r="V38" s="19">
        <f t="shared" si="61"/>
        <v>-0.21593999999999999</v>
      </c>
    </row>
    <row r="39" spans="1:22">
      <c r="A39" s="26" t="s">
        <v>13</v>
      </c>
      <c r="B39" s="26" t="s">
        <v>32</v>
      </c>
      <c r="C39" s="30">
        <v>11.8</v>
      </c>
      <c r="D39" s="27">
        <v>6.5</v>
      </c>
      <c r="E39" s="78"/>
      <c r="F39" s="16">
        <f t="shared" si="53"/>
        <v>0</v>
      </c>
      <c r="G39" s="17"/>
      <c r="H39" s="18"/>
      <c r="I39" s="19">
        <f t="shared" si="54"/>
        <v>0</v>
      </c>
      <c r="J39" s="16"/>
      <c r="K39" s="18">
        <v>3</v>
      </c>
      <c r="L39" s="19">
        <f t="shared" si="55"/>
        <v>0.23010000000000003</v>
      </c>
      <c r="M39" s="16"/>
      <c r="N39" s="18"/>
      <c r="O39" s="19">
        <f t="shared" si="56"/>
        <v>0</v>
      </c>
      <c r="P39" s="16"/>
      <c r="Q39" s="18"/>
      <c r="R39" s="19">
        <f t="shared" si="57"/>
        <v>0</v>
      </c>
      <c r="S39" s="20">
        <f t="shared" si="58"/>
        <v>3</v>
      </c>
      <c r="T39" s="19">
        <f t="shared" si="59"/>
        <v>0.23010000000000003</v>
      </c>
      <c r="U39" s="21">
        <f t="shared" si="60"/>
        <v>-3</v>
      </c>
      <c r="V39" s="19">
        <f t="shared" si="61"/>
        <v>-0.23010000000000003</v>
      </c>
    </row>
    <row r="40" spans="1:22">
      <c r="A40" s="26" t="s">
        <v>13</v>
      </c>
      <c r="B40" s="26" t="s">
        <v>32</v>
      </c>
      <c r="C40" s="30">
        <v>11.8</v>
      </c>
      <c r="D40" s="27">
        <v>10.5</v>
      </c>
      <c r="E40" s="78"/>
      <c r="F40" s="16">
        <f t="shared" si="44"/>
        <v>0</v>
      </c>
      <c r="G40" s="17"/>
      <c r="H40" s="18"/>
      <c r="I40" s="19">
        <f t="shared" si="45"/>
        <v>0</v>
      </c>
      <c r="J40" s="16"/>
      <c r="K40" s="18">
        <v>1</v>
      </c>
      <c r="L40" s="19">
        <f t="shared" si="46"/>
        <v>0.12390000000000001</v>
      </c>
      <c r="M40" s="16"/>
      <c r="N40" s="18"/>
      <c r="O40" s="19">
        <f t="shared" si="47"/>
        <v>0</v>
      </c>
      <c r="P40" s="16"/>
      <c r="Q40" s="18"/>
      <c r="R40" s="19">
        <f t="shared" si="48"/>
        <v>0</v>
      </c>
      <c r="S40" s="20">
        <f t="shared" si="49"/>
        <v>1</v>
      </c>
      <c r="T40" s="19">
        <f t="shared" si="50"/>
        <v>0.12390000000000001</v>
      </c>
      <c r="U40" s="21">
        <f t="shared" si="51"/>
        <v>-1</v>
      </c>
      <c r="V40" s="19">
        <f t="shared" si="52"/>
        <v>-0.12390000000000001</v>
      </c>
    </row>
    <row r="41" spans="1:22">
      <c r="A41" s="26" t="s">
        <v>13</v>
      </c>
      <c r="B41" s="26" t="s">
        <v>32</v>
      </c>
      <c r="C41" s="30">
        <v>11.8</v>
      </c>
      <c r="D41" s="27">
        <v>12</v>
      </c>
      <c r="E41" s="78"/>
      <c r="F41" s="16">
        <f t="shared" si="44"/>
        <v>0</v>
      </c>
      <c r="G41" s="17"/>
      <c r="H41" s="18"/>
      <c r="I41" s="19">
        <f t="shared" si="45"/>
        <v>0</v>
      </c>
      <c r="J41" s="16"/>
      <c r="K41" s="18">
        <v>1</v>
      </c>
      <c r="L41" s="19">
        <f t="shared" si="46"/>
        <v>0.14160000000000003</v>
      </c>
      <c r="M41" s="16"/>
      <c r="N41" s="18"/>
      <c r="O41" s="19">
        <f t="shared" si="47"/>
        <v>0</v>
      </c>
      <c r="P41" s="16"/>
      <c r="Q41" s="18"/>
      <c r="R41" s="19">
        <f t="shared" si="48"/>
        <v>0</v>
      </c>
      <c r="S41" s="20">
        <f t="shared" si="49"/>
        <v>1</v>
      </c>
      <c r="T41" s="19">
        <f t="shared" si="50"/>
        <v>0.14160000000000003</v>
      </c>
      <c r="U41" s="21">
        <f t="shared" si="51"/>
        <v>-1</v>
      </c>
      <c r="V41" s="19">
        <f t="shared" si="52"/>
        <v>-0.14160000000000003</v>
      </c>
    </row>
    <row r="42" spans="1:22">
      <c r="A42" s="26" t="s">
        <v>13</v>
      </c>
      <c r="B42" s="26" t="s">
        <v>32</v>
      </c>
      <c r="C42" s="30">
        <v>11.8</v>
      </c>
      <c r="D42" s="27"/>
      <c r="E42" s="78"/>
      <c r="F42" s="16">
        <f t="shared" si="36"/>
        <v>0</v>
      </c>
      <c r="G42" s="17"/>
      <c r="H42" s="18"/>
      <c r="I42" s="19">
        <f t="shared" si="37"/>
        <v>0</v>
      </c>
      <c r="J42" s="16"/>
      <c r="K42" s="18"/>
      <c r="L42" s="19">
        <f t="shared" si="38"/>
        <v>0</v>
      </c>
      <c r="M42" s="16"/>
      <c r="N42" s="18"/>
      <c r="O42" s="19">
        <f t="shared" si="39"/>
        <v>0</v>
      </c>
      <c r="P42" s="16"/>
      <c r="Q42" s="18"/>
      <c r="R42" s="19">
        <f t="shared" si="40"/>
        <v>0</v>
      </c>
      <c r="S42" s="20">
        <f t="shared" si="41"/>
        <v>0</v>
      </c>
      <c r="T42" s="19">
        <f t="shared" si="42"/>
        <v>0</v>
      </c>
      <c r="U42" s="21">
        <f t="shared" si="43"/>
        <v>0</v>
      </c>
      <c r="V42" s="19">
        <f t="shared" si="43"/>
        <v>0</v>
      </c>
    </row>
    <row r="43" spans="1:22">
      <c r="A43" s="36"/>
      <c r="B43" s="36"/>
      <c r="C43" s="37"/>
      <c r="D43" s="38"/>
      <c r="E43" s="31">
        <f>SUM(E28:E42)</f>
        <v>490</v>
      </c>
      <c r="F43" s="38">
        <f>SUM(F28:F42)</f>
        <v>52.859279999999998</v>
      </c>
      <c r="G43" s="26"/>
      <c r="H43" s="31">
        <f>SUM(H28:H42)</f>
        <v>259</v>
      </c>
      <c r="I43" s="38">
        <f>SUM(I28:I42)</f>
        <v>28.012020000000007</v>
      </c>
      <c r="J43" s="26"/>
      <c r="K43" s="31">
        <f>SUM(K28:K42)</f>
        <v>12</v>
      </c>
      <c r="L43" s="38">
        <f>SUM(L28:L42)</f>
        <v>1.15699</v>
      </c>
      <c r="M43" s="26"/>
      <c r="N43" s="31">
        <f>SUM(N28:N42)</f>
        <v>100</v>
      </c>
      <c r="O43" s="38">
        <f>SUM(O28:O42)</f>
        <v>11.197020000000002</v>
      </c>
      <c r="P43" s="26"/>
      <c r="Q43" s="31">
        <f t="shared" ref="Q43:V43" si="62">SUM(Q28:Q42)</f>
        <v>115</v>
      </c>
      <c r="R43" s="38">
        <f t="shared" si="62"/>
        <v>12.69444</v>
      </c>
      <c r="S43" s="31">
        <f t="shared" si="62"/>
        <v>486</v>
      </c>
      <c r="T43" s="38">
        <f t="shared" si="62"/>
        <v>53.060470000000002</v>
      </c>
      <c r="U43" s="31">
        <f t="shared" si="62"/>
        <v>4</v>
      </c>
      <c r="V43" s="38">
        <f t="shared" si="62"/>
        <v>-0.20119000000000645</v>
      </c>
    </row>
    <row r="44" spans="1:22">
      <c r="A44" s="26" t="s">
        <v>13</v>
      </c>
      <c r="B44" s="26" t="s">
        <v>25</v>
      </c>
      <c r="C44" s="30">
        <v>13.4</v>
      </c>
      <c r="D44" s="27">
        <v>10.85</v>
      </c>
      <c r="E44" s="78">
        <v>152</v>
      </c>
      <c r="F44" s="16">
        <f t="shared" ref="F44" si="63">(C44*D44*E44/1000)</f>
        <v>22.09928</v>
      </c>
      <c r="G44" s="16" t="s">
        <v>64</v>
      </c>
      <c r="H44" s="18">
        <v>125</v>
      </c>
      <c r="I44" s="19">
        <f>(C44*D44*H44/1000)</f>
        <v>18.173749999999998</v>
      </c>
      <c r="J44" s="17" t="s">
        <v>86</v>
      </c>
      <c r="K44" s="18">
        <v>22</v>
      </c>
      <c r="L44" s="19">
        <f>(C44*D44*K44/1000)</f>
        <v>3.1985799999999998</v>
      </c>
      <c r="M44" s="17" t="s">
        <v>93</v>
      </c>
      <c r="N44" s="18">
        <v>5</v>
      </c>
      <c r="O44" s="19">
        <f>(C44*D44*N44/1000)</f>
        <v>0.72694999999999999</v>
      </c>
      <c r="P44" s="16"/>
      <c r="Q44" s="18"/>
      <c r="R44" s="19">
        <f>(C44*D44*Q44/1000)</f>
        <v>0</v>
      </c>
      <c r="S44" s="20">
        <f t="shared" ref="S44" si="64">+H44+K44+Q44+N44</f>
        <v>152</v>
      </c>
      <c r="T44" s="19">
        <f t="shared" ref="T44" si="65">+I44+L44+R44+O44</f>
        <v>22.099279999999997</v>
      </c>
      <c r="U44" s="21">
        <f>E44-S44</f>
        <v>0</v>
      </c>
      <c r="V44" s="19">
        <f>F44-T44</f>
        <v>0</v>
      </c>
    </row>
    <row r="45" spans="1:22">
      <c r="A45" s="36"/>
      <c r="B45" s="36"/>
      <c r="C45" s="37"/>
      <c r="D45" s="38"/>
      <c r="E45" s="31">
        <f>SUM(E44:E44)</f>
        <v>152</v>
      </c>
      <c r="F45" s="38">
        <f>SUM(F44:F44)</f>
        <v>22.09928</v>
      </c>
      <c r="G45" s="16" t="s">
        <v>457</v>
      </c>
      <c r="H45" s="31">
        <f>SUM(H44:H44)</f>
        <v>125</v>
      </c>
      <c r="I45" s="38">
        <f>SUM(I44:I44)</f>
        <v>18.173749999999998</v>
      </c>
      <c r="J45" s="17" t="s">
        <v>458</v>
      </c>
      <c r="K45" s="31">
        <f>SUM(K44:K44)</f>
        <v>22</v>
      </c>
      <c r="L45" s="38">
        <f>SUM(L44:L44)</f>
        <v>3.1985799999999998</v>
      </c>
      <c r="M45" s="17" t="s">
        <v>469</v>
      </c>
      <c r="N45" s="31">
        <f>SUM(N44:N44)</f>
        <v>5</v>
      </c>
      <c r="O45" s="38">
        <f>SUM(O44:O44)</f>
        <v>0.72694999999999999</v>
      </c>
      <c r="P45" s="26"/>
      <c r="Q45" s="31">
        <f t="shared" ref="Q45:V45" si="66">SUM(Q44:Q44)</f>
        <v>0</v>
      </c>
      <c r="R45" s="38">
        <f t="shared" si="66"/>
        <v>0</v>
      </c>
      <c r="S45" s="31">
        <f t="shared" si="66"/>
        <v>152</v>
      </c>
      <c r="T45" s="38">
        <f t="shared" si="66"/>
        <v>22.099279999999997</v>
      </c>
      <c r="U45" s="31">
        <f t="shared" si="66"/>
        <v>0</v>
      </c>
      <c r="V45" s="38">
        <f t="shared" si="66"/>
        <v>0</v>
      </c>
    </row>
    <row r="46" spans="1:22">
      <c r="A46" s="26" t="s">
        <v>13</v>
      </c>
      <c r="B46" s="26" t="s">
        <v>56</v>
      </c>
      <c r="C46" s="30">
        <v>17.82</v>
      </c>
      <c r="D46" s="27">
        <v>6.3</v>
      </c>
      <c r="E46" s="78">
        <v>38</v>
      </c>
      <c r="F46" s="16">
        <f t="shared" ref="F46:F55" si="67">(C46*D46*E46/1000)</f>
        <v>4.266108</v>
      </c>
      <c r="G46" s="17" t="s">
        <v>86</v>
      </c>
      <c r="H46" s="18">
        <v>27</v>
      </c>
      <c r="I46" s="19">
        <f>(C46*D46*H46/1000)</f>
        <v>3.0311820000000003</v>
      </c>
      <c r="J46" s="16" t="s">
        <v>114</v>
      </c>
      <c r="K46" s="18"/>
      <c r="L46" s="19">
        <f>(C46*D46*K46/1000)</f>
        <v>0</v>
      </c>
      <c r="M46" s="17" t="s">
        <v>93</v>
      </c>
      <c r="N46" s="18"/>
      <c r="O46" s="19">
        <f>(C46*D46*N46/1000)</f>
        <v>0</v>
      </c>
      <c r="P46" s="16"/>
      <c r="Q46" s="18"/>
      <c r="R46" s="19">
        <f>(C46*D46*Q46/1000)</f>
        <v>0</v>
      </c>
      <c r="S46" s="20">
        <f t="shared" ref="S46:S55" si="68">+H46+K46+Q46+N46</f>
        <v>27</v>
      </c>
      <c r="T46" s="19">
        <f t="shared" ref="T46:T55" si="69">+I46+L46+R46+O46</f>
        <v>3.0311820000000003</v>
      </c>
      <c r="U46" s="21">
        <f t="shared" ref="U46:V55" si="70">E46-S46</f>
        <v>11</v>
      </c>
      <c r="V46" s="19">
        <f t="shared" si="70"/>
        <v>1.2349259999999997</v>
      </c>
    </row>
    <row r="47" spans="1:22">
      <c r="A47" s="26" t="s">
        <v>13</v>
      </c>
      <c r="B47" s="26" t="s">
        <v>56</v>
      </c>
      <c r="C47" s="30">
        <v>17.82</v>
      </c>
      <c r="D47" s="27">
        <v>8.9</v>
      </c>
      <c r="E47" s="78">
        <v>76</v>
      </c>
      <c r="F47" s="16">
        <f t="shared" si="67"/>
        <v>12.053447999999999</v>
      </c>
      <c r="G47" s="17" t="s">
        <v>458</v>
      </c>
      <c r="H47" s="18">
        <v>45</v>
      </c>
      <c r="I47" s="19">
        <f>(C47*D47*H47/1000)</f>
        <v>7.1369100000000012</v>
      </c>
      <c r="J47" s="16" t="s">
        <v>465</v>
      </c>
      <c r="K47" s="18">
        <v>22</v>
      </c>
      <c r="L47" s="19">
        <f>(C47*D47*K47/1000)</f>
        <v>3.4891560000000004</v>
      </c>
      <c r="M47" s="17" t="s">
        <v>469</v>
      </c>
      <c r="N47" s="18"/>
      <c r="O47" s="19">
        <f>(C47*D47*N47/1000)</f>
        <v>0</v>
      </c>
      <c r="P47" s="16"/>
      <c r="Q47" s="18"/>
      <c r="R47" s="19">
        <f>(C47*D47*Q47/1000)</f>
        <v>0</v>
      </c>
      <c r="S47" s="20">
        <f t="shared" si="68"/>
        <v>67</v>
      </c>
      <c r="T47" s="19">
        <f t="shared" si="69"/>
        <v>10.626066000000002</v>
      </c>
      <c r="U47" s="21">
        <f t="shared" si="70"/>
        <v>9</v>
      </c>
      <c r="V47" s="19">
        <f t="shared" si="70"/>
        <v>1.4273819999999979</v>
      </c>
    </row>
    <row r="48" spans="1:22">
      <c r="A48" s="26" t="s">
        <v>13</v>
      </c>
      <c r="B48" s="26" t="s">
        <v>56</v>
      </c>
      <c r="C48" s="30">
        <v>17.82</v>
      </c>
      <c r="D48" s="27">
        <v>10.3</v>
      </c>
      <c r="E48" s="78">
        <v>9</v>
      </c>
      <c r="F48" s="16">
        <f t="shared" ref="F48:F54" si="71">(C48*D48*E48/1000)</f>
        <v>1.6519140000000001</v>
      </c>
      <c r="G48" s="17"/>
      <c r="H48" s="18">
        <v>9</v>
      </c>
      <c r="I48" s="19">
        <f t="shared" ref="I48:I54" si="72">(C48*D48*H48/1000)</f>
        <v>1.6519140000000001</v>
      </c>
      <c r="J48" s="16"/>
      <c r="K48" s="18"/>
      <c r="L48" s="19">
        <f t="shared" ref="L48:L54" si="73">(C48*D48*K48/1000)</f>
        <v>0</v>
      </c>
      <c r="M48" s="16"/>
      <c r="N48" s="18"/>
      <c r="O48" s="19">
        <f t="shared" ref="O48:O54" si="74">(C48*D48*N48/1000)</f>
        <v>0</v>
      </c>
      <c r="P48" s="16"/>
      <c r="Q48" s="18"/>
      <c r="R48" s="19">
        <f t="shared" ref="R48:R54" si="75">(C48*D48*Q48/1000)</f>
        <v>0</v>
      </c>
      <c r="S48" s="20">
        <f t="shared" ref="S48:S54" si="76">+H48+K48+Q48+N48</f>
        <v>9</v>
      </c>
      <c r="T48" s="19">
        <f t="shared" ref="T48:T54" si="77">+I48+L48+R48+O48</f>
        <v>1.6519140000000001</v>
      </c>
      <c r="U48" s="21">
        <f t="shared" ref="U48:U54" si="78">E48-S48</f>
        <v>0</v>
      </c>
      <c r="V48" s="19">
        <f t="shared" ref="V48:V54" si="79">F48-T48</f>
        <v>0</v>
      </c>
    </row>
    <row r="49" spans="1:22">
      <c r="A49" s="26" t="s">
        <v>13</v>
      </c>
      <c r="B49" s="26" t="s">
        <v>56</v>
      </c>
      <c r="C49" s="30">
        <v>17.82</v>
      </c>
      <c r="D49" s="27">
        <v>9</v>
      </c>
      <c r="E49" s="78"/>
      <c r="F49" s="16">
        <f t="shared" si="71"/>
        <v>0</v>
      </c>
      <c r="G49" s="17"/>
      <c r="H49" s="18"/>
      <c r="I49" s="19">
        <f t="shared" si="72"/>
        <v>0</v>
      </c>
      <c r="J49" s="16"/>
      <c r="K49" s="18">
        <v>1</v>
      </c>
      <c r="L49" s="19">
        <f t="shared" si="73"/>
        <v>0.16037999999999999</v>
      </c>
      <c r="M49" s="16"/>
      <c r="N49" s="18"/>
      <c r="O49" s="19">
        <f t="shared" si="74"/>
        <v>0</v>
      </c>
      <c r="P49" s="16"/>
      <c r="Q49" s="18"/>
      <c r="R49" s="19">
        <f t="shared" si="75"/>
        <v>0</v>
      </c>
      <c r="S49" s="20">
        <f t="shared" si="76"/>
        <v>1</v>
      </c>
      <c r="T49" s="19">
        <f t="shared" si="77"/>
        <v>0.16037999999999999</v>
      </c>
      <c r="U49" s="21">
        <f t="shared" si="78"/>
        <v>-1</v>
      </c>
      <c r="V49" s="19">
        <f t="shared" si="79"/>
        <v>-0.16037999999999999</v>
      </c>
    </row>
    <row r="50" spans="1:22">
      <c r="A50" s="26" t="s">
        <v>13</v>
      </c>
      <c r="B50" s="26" t="s">
        <v>56</v>
      </c>
      <c r="C50" s="30">
        <v>17.82</v>
      </c>
      <c r="D50" s="27">
        <v>7.25</v>
      </c>
      <c r="E50" s="78"/>
      <c r="F50" s="16">
        <f t="shared" si="71"/>
        <v>0</v>
      </c>
      <c r="G50" s="17"/>
      <c r="H50" s="18"/>
      <c r="I50" s="19">
        <f t="shared" si="72"/>
        <v>0</v>
      </c>
      <c r="J50" s="16"/>
      <c r="K50" s="18">
        <v>4</v>
      </c>
      <c r="L50" s="19">
        <f t="shared" si="73"/>
        <v>0.51678000000000002</v>
      </c>
      <c r="M50" s="16"/>
      <c r="N50" s="18"/>
      <c r="O50" s="19">
        <f t="shared" si="74"/>
        <v>0</v>
      </c>
      <c r="P50" s="16"/>
      <c r="Q50" s="18"/>
      <c r="R50" s="19">
        <f t="shared" si="75"/>
        <v>0</v>
      </c>
      <c r="S50" s="20">
        <f t="shared" si="76"/>
        <v>4</v>
      </c>
      <c r="T50" s="19">
        <f t="shared" si="77"/>
        <v>0.51678000000000002</v>
      </c>
      <c r="U50" s="21">
        <f t="shared" si="78"/>
        <v>-4</v>
      </c>
      <c r="V50" s="19">
        <f t="shared" si="79"/>
        <v>-0.51678000000000002</v>
      </c>
    </row>
    <row r="51" spans="1:22">
      <c r="A51" s="26" t="s">
        <v>13</v>
      </c>
      <c r="B51" s="26" t="s">
        <v>56</v>
      </c>
      <c r="C51" s="30">
        <v>17.82</v>
      </c>
      <c r="D51" s="27">
        <v>8.1</v>
      </c>
      <c r="E51" s="78"/>
      <c r="F51" s="16">
        <f t="shared" si="71"/>
        <v>0</v>
      </c>
      <c r="G51" s="17"/>
      <c r="H51" s="18"/>
      <c r="I51" s="19">
        <f t="shared" si="72"/>
        <v>0</v>
      </c>
      <c r="J51" s="16"/>
      <c r="K51" s="18">
        <v>9</v>
      </c>
      <c r="L51" s="19">
        <f t="shared" si="73"/>
        <v>1.299078</v>
      </c>
      <c r="M51" s="16"/>
      <c r="N51" s="18"/>
      <c r="O51" s="19">
        <f t="shared" si="74"/>
        <v>0</v>
      </c>
      <c r="P51" s="16"/>
      <c r="Q51" s="18"/>
      <c r="R51" s="19">
        <f t="shared" si="75"/>
        <v>0</v>
      </c>
      <c r="S51" s="20">
        <f t="shared" si="76"/>
        <v>9</v>
      </c>
      <c r="T51" s="19">
        <f t="shared" si="77"/>
        <v>1.299078</v>
      </c>
      <c r="U51" s="21">
        <f t="shared" si="78"/>
        <v>-9</v>
      </c>
      <c r="V51" s="19">
        <f t="shared" si="79"/>
        <v>-1.299078</v>
      </c>
    </row>
    <row r="52" spans="1:22">
      <c r="A52" s="26" t="s">
        <v>13</v>
      </c>
      <c r="B52" s="26" t="s">
        <v>56</v>
      </c>
      <c r="C52" s="30">
        <v>17.82</v>
      </c>
      <c r="D52" s="27">
        <v>10</v>
      </c>
      <c r="E52" s="78"/>
      <c r="F52" s="16">
        <f t="shared" si="71"/>
        <v>0</v>
      </c>
      <c r="G52" s="17"/>
      <c r="H52" s="18"/>
      <c r="I52" s="19">
        <f t="shared" si="72"/>
        <v>0</v>
      </c>
      <c r="J52" s="16"/>
      <c r="K52" s="18">
        <v>2</v>
      </c>
      <c r="L52" s="19">
        <f t="shared" si="73"/>
        <v>0.35639999999999999</v>
      </c>
      <c r="M52" s="16"/>
      <c r="N52" s="18"/>
      <c r="O52" s="19">
        <f t="shared" si="74"/>
        <v>0</v>
      </c>
      <c r="P52" s="16"/>
      <c r="Q52" s="18"/>
      <c r="R52" s="19">
        <f t="shared" si="75"/>
        <v>0</v>
      </c>
      <c r="S52" s="20">
        <f t="shared" si="76"/>
        <v>2</v>
      </c>
      <c r="T52" s="19">
        <f t="shared" si="77"/>
        <v>0.35639999999999999</v>
      </c>
      <c r="U52" s="21">
        <f t="shared" si="78"/>
        <v>-2</v>
      </c>
      <c r="V52" s="19">
        <f t="shared" si="79"/>
        <v>-0.35639999999999999</v>
      </c>
    </row>
    <row r="53" spans="1:22">
      <c r="A53" s="26" t="s">
        <v>13</v>
      </c>
      <c r="B53" s="26" t="s">
        <v>56</v>
      </c>
      <c r="C53" s="30">
        <v>17.82</v>
      </c>
      <c r="D53" s="27">
        <v>8.4499999999999993</v>
      </c>
      <c r="E53" s="78"/>
      <c r="F53" s="16">
        <f t="shared" si="71"/>
        <v>0</v>
      </c>
      <c r="G53" s="17"/>
      <c r="H53" s="18"/>
      <c r="I53" s="19">
        <f t="shared" si="72"/>
        <v>0</v>
      </c>
      <c r="J53" s="16"/>
      <c r="K53" s="18"/>
      <c r="L53" s="19">
        <f t="shared" si="73"/>
        <v>0</v>
      </c>
      <c r="M53" s="16"/>
      <c r="N53" s="18">
        <v>1</v>
      </c>
      <c r="O53" s="19">
        <f t="shared" si="74"/>
        <v>0.15057899999999999</v>
      </c>
      <c r="P53" s="16"/>
      <c r="Q53" s="18"/>
      <c r="R53" s="19">
        <f t="shared" si="75"/>
        <v>0</v>
      </c>
      <c r="S53" s="20">
        <f t="shared" si="76"/>
        <v>1</v>
      </c>
      <c r="T53" s="19">
        <f t="shared" si="77"/>
        <v>0.15057899999999999</v>
      </c>
      <c r="U53" s="21">
        <f t="shared" si="78"/>
        <v>-1</v>
      </c>
      <c r="V53" s="19">
        <f t="shared" si="79"/>
        <v>-0.15057899999999999</v>
      </c>
    </row>
    <row r="54" spans="1:22">
      <c r="A54" s="26" t="s">
        <v>13</v>
      </c>
      <c r="B54" s="26" t="s">
        <v>56</v>
      </c>
      <c r="C54" s="30">
        <v>17.82</v>
      </c>
      <c r="D54" s="27">
        <v>8.5</v>
      </c>
      <c r="E54" s="78"/>
      <c r="F54" s="16">
        <f t="shared" si="71"/>
        <v>0</v>
      </c>
      <c r="G54" s="17"/>
      <c r="H54" s="18"/>
      <c r="I54" s="19">
        <f t="shared" si="72"/>
        <v>0</v>
      </c>
      <c r="J54" s="16"/>
      <c r="K54" s="18"/>
      <c r="L54" s="19">
        <f t="shared" si="73"/>
        <v>0</v>
      </c>
      <c r="M54" s="16"/>
      <c r="N54" s="18">
        <v>1</v>
      </c>
      <c r="O54" s="19">
        <f t="shared" si="74"/>
        <v>0.15146999999999999</v>
      </c>
      <c r="P54" s="16"/>
      <c r="Q54" s="18"/>
      <c r="R54" s="19">
        <f t="shared" si="75"/>
        <v>0</v>
      </c>
      <c r="S54" s="20">
        <f t="shared" si="76"/>
        <v>1</v>
      </c>
      <c r="T54" s="19">
        <f t="shared" si="77"/>
        <v>0.15146999999999999</v>
      </c>
      <c r="U54" s="21">
        <f t="shared" si="78"/>
        <v>-1</v>
      </c>
      <c r="V54" s="19">
        <f t="shared" si="79"/>
        <v>-0.15146999999999999</v>
      </c>
    </row>
    <row r="55" spans="1:22">
      <c r="A55" s="26" t="s">
        <v>13</v>
      </c>
      <c r="B55" s="26" t="s">
        <v>56</v>
      </c>
      <c r="C55" s="30">
        <v>17.82</v>
      </c>
      <c r="D55" s="27">
        <v>8.6</v>
      </c>
      <c r="E55" s="78"/>
      <c r="F55" s="16">
        <f t="shared" si="67"/>
        <v>0</v>
      </c>
      <c r="G55" s="17"/>
      <c r="H55" s="18"/>
      <c r="I55" s="19">
        <f>(C55*D55*H55/1000)</f>
        <v>0</v>
      </c>
      <c r="J55" s="16"/>
      <c r="K55" s="18"/>
      <c r="L55" s="19">
        <f>(C55*D55*K55/1000)</f>
        <v>0</v>
      </c>
      <c r="M55" s="16"/>
      <c r="N55" s="18">
        <v>1</v>
      </c>
      <c r="O55" s="19">
        <f>(C55*D55*N55/1000)</f>
        <v>0.153252</v>
      </c>
      <c r="P55" s="16"/>
      <c r="Q55" s="18"/>
      <c r="R55" s="19">
        <f>(C55*D55*Q55/1000)</f>
        <v>0</v>
      </c>
      <c r="S55" s="20">
        <f t="shared" si="68"/>
        <v>1</v>
      </c>
      <c r="T55" s="19">
        <f t="shared" si="69"/>
        <v>0.153252</v>
      </c>
      <c r="U55" s="21">
        <f t="shared" si="70"/>
        <v>-1</v>
      </c>
      <c r="V55" s="19">
        <f t="shared" si="70"/>
        <v>-0.153252</v>
      </c>
    </row>
    <row r="56" spans="1:22">
      <c r="A56" s="36"/>
      <c r="B56" s="36"/>
      <c r="C56" s="37"/>
      <c r="D56" s="38"/>
      <c r="E56" s="31">
        <f t="shared" ref="E56:F56" si="80">SUM(E46:E55)</f>
        <v>123</v>
      </c>
      <c r="F56" s="38">
        <f t="shared" si="80"/>
        <v>17.97147</v>
      </c>
      <c r="G56" s="26"/>
      <c r="H56" s="31">
        <f t="shared" ref="H56" si="81">SUM(H46:H55)</f>
        <v>81</v>
      </c>
      <c r="I56" s="38">
        <f t="shared" ref="I56" si="82">SUM(I46:I55)</f>
        <v>11.820006000000001</v>
      </c>
      <c r="J56" s="26"/>
      <c r="K56" s="31">
        <f t="shared" ref="K56" si="83">SUM(K46:K55)</f>
        <v>38</v>
      </c>
      <c r="L56" s="38">
        <f t="shared" ref="L56" si="84">SUM(L46:L55)</f>
        <v>5.8217939999999997</v>
      </c>
      <c r="M56" s="26"/>
      <c r="N56" s="31">
        <f t="shared" ref="N56" si="85">SUM(N46:N55)</f>
        <v>3</v>
      </c>
      <c r="O56" s="38">
        <f t="shared" ref="O56" si="86">SUM(O46:O55)</f>
        <v>0.45530100000000001</v>
      </c>
      <c r="P56" s="26"/>
      <c r="Q56" s="31">
        <f t="shared" ref="Q56" si="87">SUM(Q46:Q55)</f>
        <v>0</v>
      </c>
      <c r="R56" s="38">
        <f t="shared" ref="R56" si="88">SUM(R46:R55)</f>
        <v>0</v>
      </c>
      <c r="S56" s="31">
        <f t="shared" ref="S56" si="89">SUM(S46:S55)</f>
        <v>122</v>
      </c>
      <c r="T56" s="38">
        <f t="shared" ref="T56" si="90">SUM(T46:T55)</f>
        <v>18.097101000000002</v>
      </c>
      <c r="U56" s="31">
        <f t="shared" ref="U56" si="91">SUM(U46:U55)</f>
        <v>1</v>
      </c>
      <c r="V56" s="38">
        <f t="shared" ref="V56" si="92">SUM(V46:V55)</f>
        <v>-0.12563100000000224</v>
      </c>
    </row>
    <row r="57" spans="1:22">
      <c r="A57" s="26" t="s">
        <v>13</v>
      </c>
      <c r="B57" s="26" t="s">
        <v>255</v>
      </c>
      <c r="C57" s="30">
        <v>25.2</v>
      </c>
      <c r="D57" s="27">
        <v>6.1</v>
      </c>
      <c r="E57" s="78">
        <v>152</v>
      </c>
      <c r="F57" s="16">
        <f t="shared" ref="F57:F64" si="93">(C57*D57*E57/1000)</f>
        <v>23.36544</v>
      </c>
      <c r="G57" s="16" t="s">
        <v>89</v>
      </c>
      <c r="H57" s="18"/>
      <c r="I57" s="19">
        <f>(C57*D57*H57/1000)</f>
        <v>0</v>
      </c>
      <c r="J57" s="16" t="s">
        <v>111</v>
      </c>
      <c r="K57" s="18">
        <v>42</v>
      </c>
      <c r="L57" s="19">
        <f>(C57*D57*K57/1000)</f>
        <v>6.4562400000000002</v>
      </c>
      <c r="M57" s="16" t="s">
        <v>88</v>
      </c>
      <c r="N57" s="18">
        <f>51+25</f>
        <v>76</v>
      </c>
      <c r="O57" s="19">
        <f>(C57*D57*N57/1000)</f>
        <v>11.68272</v>
      </c>
      <c r="P57" s="16" t="s">
        <v>114</v>
      </c>
      <c r="Q57" s="18">
        <v>24</v>
      </c>
      <c r="R57" s="19">
        <f>(C57*D57*Q57/1000)</f>
        <v>3.6892799999999997</v>
      </c>
      <c r="S57" s="20">
        <f t="shared" ref="S57:S64" si="94">+H57+K57+Q57+N57</f>
        <v>142</v>
      </c>
      <c r="T57" s="19">
        <f t="shared" ref="T57:T64" si="95">+I57+L57+R57+O57</f>
        <v>21.828240000000001</v>
      </c>
      <c r="U57" s="21">
        <f>E57-S57</f>
        <v>10</v>
      </c>
      <c r="V57" s="19">
        <f>F57-T57</f>
        <v>1.5371999999999986</v>
      </c>
    </row>
    <row r="58" spans="1:22">
      <c r="A58" s="26" t="s">
        <v>13</v>
      </c>
      <c r="B58" s="26" t="s">
        <v>255</v>
      </c>
      <c r="C58" s="30">
        <v>25.2</v>
      </c>
      <c r="D58" s="27">
        <v>12</v>
      </c>
      <c r="E58" s="78">
        <v>44</v>
      </c>
      <c r="F58" s="16">
        <f t="shared" ref="F58:F63" si="96">(C58*D58*E58/1000)</f>
        <v>13.305599999999998</v>
      </c>
      <c r="G58" s="16" t="s">
        <v>457</v>
      </c>
      <c r="H58" s="18">
        <v>14</v>
      </c>
      <c r="I58" s="19">
        <f t="shared" ref="I58:I63" si="97">(C58*D58*H58/1000)</f>
        <v>4.2335999999999991</v>
      </c>
      <c r="J58" s="16" t="s">
        <v>458</v>
      </c>
      <c r="K58" s="18"/>
      <c r="L58" s="19">
        <f t="shared" ref="L58:L63" si="98">(C58*D58*K58/1000)</f>
        <v>0</v>
      </c>
      <c r="M58" s="16" t="s">
        <v>459</v>
      </c>
      <c r="N58" s="18">
        <v>20</v>
      </c>
      <c r="O58" s="19">
        <f t="shared" ref="O58:O63" si="99">(C58*D58*N58/1000)</f>
        <v>6.048</v>
      </c>
      <c r="P58" s="16" t="s">
        <v>465</v>
      </c>
      <c r="Q58" s="18">
        <v>3</v>
      </c>
      <c r="R58" s="19">
        <f t="shared" ref="R58:R63" si="100">(C58*D58*Q58/1000)</f>
        <v>0.9071999999999999</v>
      </c>
      <c r="S58" s="20">
        <f t="shared" ref="S58:S63" si="101">+H58+K58+Q58+N58</f>
        <v>37</v>
      </c>
      <c r="T58" s="19">
        <f t="shared" ref="T58:T63" si="102">+I58+L58+R58+O58</f>
        <v>11.188799999999999</v>
      </c>
      <c r="U58" s="21">
        <f t="shared" ref="U58:U63" si="103">E58-S58</f>
        <v>7</v>
      </c>
      <c r="V58" s="19">
        <f t="shared" ref="V58:V63" si="104">F58-T58</f>
        <v>2.1167999999999996</v>
      </c>
    </row>
    <row r="59" spans="1:22">
      <c r="A59" s="26" t="s">
        <v>13</v>
      </c>
      <c r="B59" s="26" t="s">
        <v>255</v>
      </c>
      <c r="C59" s="30">
        <v>25.2</v>
      </c>
      <c r="D59" s="27">
        <v>11.6</v>
      </c>
      <c r="E59" s="78"/>
      <c r="F59" s="16">
        <f t="shared" si="96"/>
        <v>0</v>
      </c>
      <c r="G59" s="16"/>
      <c r="H59" s="18">
        <v>1</v>
      </c>
      <c r="I59" s="19">
        <f t="shared" si="97"/>
        <v>0.29231999999999997</v>
      </c>
      <c r="J59" s="16"/>
      <c r="K59" s="18">
        <v>7</v>
      </c>
      <c r="L59" s="19">
        <f t="shared" si="98"/>
        <v>2.0462400000000001</v>
      </c>
      <c r="M59" s="16"/>
      <c r="N59" s="18"/>
      <c r="O59" s="19">
        <f t="shared" si="99"/>
        <v>0</v>
      </c>
      <c r="P59" s="16"/>
      <c r="Q59" s="18"/>
      <c r="R59" s="19">
        <f t="shared" si="100"/>
        <v>0</v>
      </c>
      <c r="S59" s="20">
        <f t="shared" si="101"/>
        <v>8</v>
      </c>
      <c r="T59" s="19">
        <f t="shared" si="102"/>
        <v>2.3385600000000002</v>
      </c>
      <c r="U59" s="21">
        <f t="shared" si="103"/>
        <v>-8</v>
      </c>
      <c r="V59" s="19">
        <f t="shared" si="104"/>
        <v>-2.3385600000000002</v>
      </c>
    </row>
    <row r="60" spans="1:22">
      <c r="A60" s="26" t="s">
        <v>13</v>
      </c>
      <c r="B60" s="26" t="s">
        <v>255</v>
      </c>
      <c r="C60" s="30">
        <v>25.2</v>
      </c>
      <c r="D60" s="27">
        <v>7.5</v>
      </c>
      <c r="E60" s="78"/>
      <c r="F60" s="16">
        <f t="shared" si="96"/>
        <v>0</v>
      </c>
      <c r="G60" s="16"/>
      <c r="H60" s="18"/>
      <c r="I60" s="19">
        <f t="shared" si="97"/>
        <v>0</v>
      </c>
      <c r="J60" s="16"/>
      <c r="K60" s="18">
        <v>4</v>
      </c>
      <c r="L60" s="19">
        <f t="shared" si="98"/>
        <v>0.75600000000000001</v>
      </c>
      <c r="M60" s="16"/>
      <c r="N60" s="18"/>
      <c r="O60" s="19">
        <f t="shared" si="99"/>
        <v>0</v>
      </c>
      <c r="P60" s="16"/>
      <c r="Q60" s="18"/>
      <c r="R60" s="19">
        <f t="shared" si="100"/>
        <v>0</v>
      </c>
      <c r="S60" s="20">
        <f t="shared" si="101"/>
        <v>4</v>
      </c>
      <c r="T60" s="19">
        <f t="shared" si="102"/>
        <v>0.75600000000000001</v>
      </c>
      <c r="U60" s="21">
        <f t="shared" si="103"/>
        <v>-4</v>
      </c>
      <c r="V60" s="19">
        <f t="shared" si="104"/>
        <v>-0.75600000000000001</v>
      </c>
    </row>
    <row r="61" spans="1:22">
      <c r="A61" s="26" t="s">
        <v>13</v>
      </c>
      <c r="B61" s="26" t="s">
        <v>255</v>
      </c>
      <c r="C61" s="30">
        <v>25.2</v>
      </c>
      <c r="D61" s="27">
        <v>6.3</v>
      </c>
      <c r="E61" s="78"/>
      <c r="F61" s="16">
        <f t="shared" si="96"/>
        <v>0</v>
      </c>
      <c r="G61" s="16"/>
      <c r="H61" s="18"/>
      <c r="I61" s="19">
        <f t="shared" si="97"/>
        <v>0</v>
      </c>
      <c r="J61" s="16"/>
      <c r="K61" s="18">
        <v>5</v>
      </c>
      <c r="L61" s="19">
        <f t="shared" si="98"/>
        <v>0.79379999999999995</v>
      </c>
      <c r="M61" s="16"/>
      <c r="N61" s="18"/>
      <c r="O61" s="19">
        <f t="shared" si="99"/>
        <v>0</v>
      </c>
      <c r="P61" s="16"/>
      <c r="Q61" s="18"/>
      <c r="R61" s="19">
        <f t="shared" si="100"/>
        <v>0</v>
      </c>
      <c r="S61" s="20">
        <f t="shared" si="101"/>
        <v>5</v>
      </c>
      <c r="T61" s="19">
        <f t="shared" si="102"/>
        <v>0.79379999999999995</v>
      </c>
      <c r="U61" s="21">
        <f t="shared" si="103"/>
        <v>-5</v>
      </c>
      <c r="V61" s="19">
        <f t="shared" si="104"/>
        <v>-0.79379999999999995</v>
      </c>
    </row>
    <row r="62" spans="1:22">
      <c r="A62" s="26" t="s">
        <v>13</v>
      </c>
      <c r="B62" s="26" t="s">
        <v>255</v>
      </c>
      <c r="C62" s="30">
        <v>25.2</v>
      </c>
      <c r="D62" s="27"/>
      <c r="E62" s="78"/>
      <c r="F62" s="16">
        <f t="shared" si="96"/>
        <v>0</v>
      </c>
      <c r="G62" s="16"/>
      <c r="H62" s="18"/>
      <c r="I62" s="19">
        <f t="shared" si="97"/>
        <v>0</v>
      </c>
      <c r="J62" s="16"/>
      <c r="K62" s="18"/>
      <c r="L62" s="19">
        <f t="shared" si="98"/>
        <v>0</v>
      </c>
      <c r="M62" s="16"/>
      <c r="N62" s="18"/>
      <c r="O62" s="19">
        <f t="shared" si="99"/>
        <v>0</v>
      </c>
      <c r="P62" s="16"/>
      <c r="Q62" s="18"/>
      <c r="R62" s="19">
        <f t="shared" si="100"/>
        <v>0</v>
      </c>
      <c r="S62" s="20">
        <f t="shared" si="101"/>
        <v>0</v>
      </c>
      <c r="T62" s="19">
        <f t="shared" si="102"/>
        <v>0</v>
      </c>
      <c r="U62" s="21">
        <f t="shared" si="103"/>
        <v>0</v>
      </c>
      <c r="V62" s="19">
        <f t="shared" si="104"/>
        <v>0</v>
      </c>
    </row>
    <row r="63" spans="1:22">
      <c r="A63" s="26" t="s">
        <v>13</v>
      </c>
      <c r="B63" s="26" t="s">
        <v>255</v>
      </c>
      <c r="C63" s="30">
        <v>25.2</v>
      </c>
      <c r="D63" s="27"/>
      <c r="E63" s="78"/>
      <c r="F63" s="16">
        <f t="shared" si="96"/>
        <v>0</v>
      </c>
      <c r="G63" s="16"/>
      <c r="H63" s="18"/>
      <c r="I63" s="19">
        <f t="shared" si="97"/>
        <v>0</v>
      </c>
      <c r="J63" s="16"/>
      <c r="K63" s="18"/>
      <c r="L63" s="19">
        <f t="shared" si="98"/>
        <v>0</v>
      </c>
      <c r="M63" s="16"/>
      <c r="N63" s="18"/>
      <c r="O63" s="19">
        <f t="shared" si="99"/>
        <v>0</v>
      </c>
      <c r="P63" s="16"/>
      <c r="Q63" s="18"/>
      <c r="R63" s="19">
        <f t="shared" si="100"/>
        <v>0</v>
      </c>
      <c r="S63" s="20">
        <f t="shared" si="101"/>
        <v>0</v>
      </c>
      <c r="T63" s="19">
        <f t="shared" si="102"/>
        <v>0</v>
      </c>
      <c r="U63" s="21">
        <f t="shared" si="103"/>
        <v>0</v>
      </c>
      <c r="V63" s="19">
        <f t="shared" si="104"/>
        <v>0</v>
      </c>
    </row>
    <row r="64" spans="1:22">
      <c r="A64" s="26" t="s">
        <v>13</v>
      </c>
      <c r="B64" s="26" t="s">
        <v>255</v>
      </c>
      <c r="C64" s="30">
        <v>25.2</v>
      </c>
      <c r="D64" s="27"/>
      <c r="E64" s="78"/>
      <c r="F64" s="16">
        <f t="shared" si="93"/>
        <v>0</v>
      </c>
      <c r="G64" s="16"/>
      <c r="H64" s="18"/>
      <c r="I64" s="19">
        <f>(C64*D64*H64/1000)</f>
        <v>0</v>
      </c>
      <c r="J64" s="16"/>
      <c r="K64" s="18"/>
      <c r="L64" s="19">
        <f>(C64*D64*K64/1000)</f>
        <v>0</v>
      </c>
      <c r="M64" s="16"/>
      <c r="N64" s="18"/>
      <c r="O64" s="19">
        <f>(C64*D64*N64/1000)</f>
        <v>0</v>
      </c>
      <c r="P64" s="16"/>
      <c r="Q64" s="18"/>
      <c r="R64" s="19">
        <f>(C64*D64*Q64/1000)</f>
        <v>0</v>
      </c>
      <c r="S64" s="20">
        <f t="shared" si="94"/>
        <v>0</v>
      </c>
      <c r="T64" s="19">
        <f t="shared" si="95"/>
        <v>0</v>
      </c>
      <c r="U64" s="21">
        <f>E64-S64</f>
        <v>0</v>
      </c>
      <c r="V64" s="19">
        <f>F64-T64</f>
        <v>0</v>
      </c>
    </row>
    <row r="65" spans="1:22">
      <c r="A65" s="36"/>
      <c r="B65" s="36"/>
      <c r="C65" s="37"/>
      <c r="D65" s="38"/>
      <c r="E65" s="31">
        <f>SUM(E57:E64)</f>
        <v>196</v>
      </c>
      <c r="F65" s="38">
        <f>SUM(F57:F64)</f>
        <v>36.671039999999998</v>
      </c>
      <c r="G65" s="26"/>
      <c r="H65" s="31">
        <f>SUM(H57:H64)</f>
        <v>15</v>
      </c>
      <c r="I65" s="38">
        <f>SUM(I57:I64)</f>
        <v>4.5259199999999993</v>
      </c>
      <c r="J65" s="26"/>
      <c r="K65" s="31">
        <f>SUM(K57:K64)</f>
        <v>58</v>
      </c>
      <c r="L65" s="38">
        <f>SUM(L57:L64)</f>
        <v>10.05228</v>
      </c>
      <c r="M65" s="26"/>
      <c r="N65" s="31">
        <f>SUM(N57:N64)</f>
        <v>96</v>
      </c>
      <c r="O65" s="38">
        <f>SUM(O57:O64)</f>
        <v>17.730719999999998</v>
      </c>
      <c r="P65" s="26"/>
      <c r="Q65" s="31">
        <f t="shared" ref="Q65:V65" si="105">SUM(Q57:Q64)</f>
        <v>27</v>
      </c>
      <c r="R65" s="38">
        <f t="shared" si="105"/>
        <v>4.5964799999999997</v>
      </c>
      <c r="S65" s="31">
        <f t="shared" si="105"/>
        <v>196</v>
      </c>
      <c r="T65" s="38">
        <f t="shared" si="105"/>
        <v>36.9054</v>
      </c>
      <c r="U65" s="31">
        <f t="shared" si="105"/>
        <v>0</v>
      </c>
      <c r="V65" s="38">
        <f t="shared" si="105"/>
        <v>-0.23436000000000201</v>
      </c>
    </row>
    <row r="66" spans="1:22">
      <c r="A66" s="26" t="s">
        <v>13</v>
      </c>
      <c r="B66" s="26" t="s">
        <v>75</v>
      </c>
      <c r="C66" s="30">
        <v>31.6</v>
      </c>
      <c r="D66" s="27">
        <v>7</v>
      </c>
      <c r="E66" s="78">
        <v>43</v>
      </c>
      <c r="F66" s="16">
        <f t="shared" ref="F66:F68" si="106">(C66*D66*E66/1000)</f>
        <v>9.5115999999999996</v>
      </c>
      <c r="G66" s="16" t="s">
        <v>89</v>
      </c>
      <c r="H66" s="18">
        <v>30</v>
      </c>
      <c r="I66" s="19">
        <f>(C66*D66*H66/1000)</f>
        <v>6.636000000000001</v>
      </c>
      <c r="J66" s="16" t="s">
        <v>114</v>
      </c>
      <c r="K66" s="18">
        <v>7</v>
      </c>
      <c r="L66" s="19">
        <f>(C66*D66*K66/1000)</f>
        <v>1.5484</v>
      </c>
      <c r="M66" s="17" t="s">
        <v>93</v>
      </c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 t="shared" ref="S66:S68" si="107">+H66+K66+Q66+N66</f>
        <v>37</v>
      </c>
      <c r="T66" s="19">
        <f t="shared" ref="T66:T68" si="108">+I66+L66+R66+O66</f>
        <v>8.1844000000000001</v>
      </c>
      <c r="U66" s="21">
        <f t="shared" ref="U66:V68" si="109">E66-S66</f>
        <v>6</v>
      </c>
      <c r="V66" s="19">
        <f t="shared" si="109"/>
        <v>1.3271999999999995</v>
      </c>
    </row>
    <row r="67" spans="1:22">
      <c r="A67" s="26" t="s">
        <v>13</v>
      </c>
      <c r="B67" s="26" t="s">
        <v>75</v>
      </c>
      <c r="C67" s="30">
        <v>31.6</v>
      </c>
      <c r="D67" s="27">
        <v>8.4</v>
      </c>
      <c r="E67" s="78">
        <v>38</v>
      </c>
      <c r="F67" s="16">
        <f t="shared" ref="F67" si="110">(C67*D67*E67/1000)</f>
        <v>10.08672</v>
      </c>
      <c r="G67" s="16" t="s">
        <v>456</v>
      </c>
      <c r="H67" s="18">
        <v>38</v>
      </c>
      <c r="I67" s="19">
        <f>(C67*D67*H67/1000)</f>
        <v>10.08672</v>
      </c>
      <c r="J67" s="16" t="s">
        <v>465</v>
      </c>
      <c r="K67" s="18"/>
      <c r="L67" s="19">
        <f>(C67*D67*K67/1000)</f>
        <v>0</v>
      </c>
      <c r="M67" s="17" t="s">
        <v>469</v>
      </c>
      <c r="N67" s="18"/>
      <c r="O67" s="19">
        <f>(C67*D67*N67/1000)</f>
        <v>0</v>
      </c>
      <c r="P67" s="16"/>
      <c r="Q67" s="18"/>
      <c r="R67" s="19">
        <f>(C67*D67*Q67/1000)</f>
        <v>0</v>
      </c>
      <c r="S67" s="20">
        <f t="shared" ref="S67" si="111">+H67+K67+Q67+N67</f>
        <v>38</v>
      </c>
      <c r="T67" s="19">
        <f t="shared" ref="T67" si="112">+I67+L67+R67+O67</f>
        <v>10.08672</v>
      </c>
      <c r="U67" s="21">
        <f t="shared" si="109"/>
        <v>0</v>
      </c>
      <c r="V67" s="19">
        <f t="shared" si="109"/>
        <v>0</v>
      </c>
    </row>
    <row r="68" spans="1:22">
      <c r="A68" s="26" t="s">
        <v>13</v>
      </c>
      <c r="B68" s="26" t="s">
        <v>75</v>
      </c>
      <c r="C68" s="30">
        <v>31.6</v>
      </c>
      <c r="D68" s="27">
        <v>12</v>
      </c>
      <c r="E68" s="78"/>
      <c r="F68" s="16">
        <f t="shared" si="106"/>
        <v>0</v>
      </c>
      <c r="G68" s="16"/>
      <c r="H68" s="18"/>
      <c r="I68" s="19">
        <f>(C68*D68*H68/1000)</f>
        <v>0</v>
      </c>
      <c r="J68" s="16"/>
      <c r="K68" s="18"/>
      <c r="L68" s="19">
        <f>(C68*D68*K68/1000)</f>
        <v>0</v>
      </c>
      <c r="M68" s="17"/>
      <c r="N68" s="18">
        <v>4</v>
      </c>
      <c r="O68" s="19">
        <f>(C68*D68*N68/1000)</f>
        <v>1.5168000000000001</v>
      </c>
      <c r="P68" s="16"/>
      <c r="Q68" s="18"/>
      <c r="R68" s="19">
        <f>(C68*D68*Q68/1000)</f>
        <v>0</v>
      </c>
      <c r="S68" s="20">
        <f t="shared" si="107"/>
        <v>4</v>
      </c>
      <c r="T68" s="19">
        <f t="shared" si="108"/>
        <v>1.5168000000000001</v>
      </c>
      <c r="U68" s="21">
        <f t="shared" si="109"/>
        <v>-4</v>
      </c>
      <c r="V68" s="19">
        <f t="shared" si="109"/>
        <v>-1.5168000000000001</v>
      </c>
    </row>
    <row r="69" spans="1:22">
      <c r="A69" s="36"/>
      <c r="B69" s="36"/>
      <c r="C69" s="37"/>
      <c r="D69" s="38"/>
      <c r="E69" s="31">
        <f>SUM(E66:E68)</f>
        <v>81</v>
      </c>
      <c r="F69" s="38">
        <f>SUM(F66:F68)</f>
        <v>19.598320000000001</v>
      </c>
      <c r="G69" s="26"/>
      <c r="H69" s="31">
        <f>SUM(H66:H68)</f>
        <v>68</v>
      </c>
      <c r="I69" s="38">
        <f>SUM(I66:I68)</f>
        <v>16.722720000000002</v>
      </c>
      <c r="J69" s="26"/>
      <c r="K69" s="31">
        <f>SUM(K66:K68)</f>
        <v>7</v>
      </c>
      <c r="L69" s="38">
        <f>SUM(L66:L68)</f>
        <v>1.5484</v>
      </c>
      <c r="M69" s="26"/>
      <c r="N69" s="31">
        <f>SUM(N66:N68)</f>
        <v>4</v>
      </c>
      <c r="O69" s="38">
        <f>SUM(O66:O68)</f>
        <v>1.5168000000000001</v>
      </c>
      <c r="P69" s="26"/>
      <c r="Q69" s="31">
        <f t="shared" ref="Q69:V69" si="113">SUM(Q66:Q68)</f>
        <v>0</v>
      </c>
      <c r="R69" s="38">
        <f t="shared" si="113"/>
        <v>0</v>
      </c>
      <c r="S69" s="31">
        <f t="shared" si="113"/>
        <v>79</v>
      </c>
      <c r="T69" s="38">
        <f t="shared" si="113"/>
        <v>19.78792</v>
      </c>
      <c r="U69" s="31">
        <f t="shared" si="113"/>
        <v>2</v>
      </c>
      <c r="V69" s="38">
        <f t="shared" si="113"/>
        <v>-0.18960000000000066</v>
      </c>
    </row>
    <row r="70" spans="1:22">
      <c r="A70" s="26" t="s">
        <v>13</v>
      </c>
      <c r="B70" s="26" t="s">
        <v>146</v>
      </c>
      <c r="C70" s="30">
        <v>38</v>
      </c>
      <c r="D70" s="27">
        <v>10.15</v>
      </c>
      <c r="E70" s="78">
        <v>157</v>
      </c>
      <c r="F70" s="16">
        <f>(C70*D70*E70/1000)</f>
        <v>60.554900000000004</v>
      </c>
      <c r="G70" s="17" t="s">
        <v>93</v>
      </c>
      <c r="H70" s="18">
        <v>84</v>
      </c>
      <c r="I70" s="19">
        <f>(C70*D70*H70/1000)</f>
        <v>32.398800000000001</v>
      </c>
      <c r="J70" s="16" t="s">
        <v>89</v>
      </c>
      <c r="K70" s="18">
        <f>10+31</f>
        <v>41</v>
      </c>
      <c r="L70" s="19">
        <f>(C70*D70*K70/1000)</f>
        <v>15.813699999999999</v>
      </c>
      <c r="M70" s="16" t="s">
        <v>111</v>
      </c>
      <c r="N70" s="18"/>
      <c r="O70" s="19">
        <f>(C70*D70*N70/1000)</f>
        <v>0</v>
      </c>
      <c r="P70" s="16" t="s">
        <v>114</v>
      </c>
      <c r="Q70" s="18">
        <v>2</v>
      </c>
      <c r="R70" s="19">
        <f>(C70*D70*Q70/1000)</f>
        <v>0.77139999999999997</v>
      </c>
      <c r="S70" s="20">
        <f t="shared" ref="S70:T74" si="114">+H70+K70+Q70+N70</f>
        <v>127</v>
      </c>
      <c r="T70" s="19">
        <f t="shared" si="114"/>
        <v>48.983899999999998</v>
      </c>
      <c r="U70" s="21">
        <f t="shared" ref="U70:V74" si="115">E70-S70</f>
        <v>30</v>
      </c>
      <c r="V70" s="19">
        <f t="shared" si="115"/>
        <v>11.571000000000005</v>
      </c>
    </row>
    <row r="71" spans="1:22">
      <c r="A71" s="26" t="s">
        <v>13</v>
      </c>
      <c r="B71" s="26" t="s">
        <v>146</v>
      </c>
      <c r="C71" s="30">
        <v>38</v>
      </c>
      <c r="D71" s="27">
        <v>5.0519999999999996</v>
      </c>
      <c r="E71" s="78"/>
      <c r="F71" s="16">
        <f>(C71*D71*E71/1000)</f>
        <v>0</v>
      </c>
      <c r="G71" s="26" t="s">
        <v>453</v>
      </c>
      <c r="H71" s="18"/>
      <c r="I71" s="19">
        <f>(C71*D71*H71/1000)</f>
        <v>0</v>
      </c>
      <c r="J71" s="16" t="s">
        <v>457</v>
      </c>
      <c r="K71" s="18"/>
      <c r="L71" s="19">
        <f>(C71*D71*K71/1000)</f>
        <v>0</v>
      </c>
      <c r="M71" s="16" t="s">
        <v>458</v>
      </c>
      <c r="N71" s="18">
        <v>16</v>
      </c>
      <c r="O71" s="19">
        <f>(C71*D71*N71/1000)</f>
        <v>3.0716160000000001</v>
      </c>
      <c r="P71" s="16" t="s">
        <v>465</v>
      </c>
      <c r="Q71" s="18"/>
      <c r="R71" s="19">
        <f>(C71*D71*Q71/1000)</f>
        <v>0</v>
      </c>
      <c r="S71" s="20">
        <f t="shared" si="114"/>
        <v>16</v>
      </c>
      <c r="T71" s="19">
        <f t="shared" si="114"/>
        <v>3.0716160000000001</v>
      </c>
      <c r="U71" s="21">
        <f t="shared" si="115"/>
        <v>-16</v>
      </c>
      <c r="V71" s="19">
        <f t="shared" si="115"/>
        <v>-3.0716160000000001</v>
      </c>
    </row>
    <row r="72" spans="1:22">
      <c r="A72" s="26" t="s">
        <v>13</v>
      </c>
      <c r="B72" s="26" t="s">
        <v>146</v>
      </c>
      <c r="C72" s="30">
        <v>38</v>
      </c>
      <c r="D72" s="27">
        <v>10</v>
      </c>
      <c r="E72" s="78"/>
      <c r="F72" s="16">
        <f t="shared" ref="F72:F73" si="116">(C72*D72*E72/1000)</f>
        <v>0</v>
      </c>
      <c r="G72" s="26"/>
      <c r="H72" s="18"/>
      <c r="I72" s="19">
        <f t="shared" ref="I72:I73" si="117">(C72*D72*H72/1000)</f>
        <v>0</v>
      </c>
      <c r="J72" s="16"/>
      <c r="K72" s="18"/>
      <c r="L72" s="19">
        <f t="shared" ref="L72:L73" si="118">(C72*D72*K72/1000)</f>
        <v>0</v>
      </c>
      <c r="M72" s="16"/>
      <c r="N72" s="18">
        <v>5</v>
      </c>
      <c r="O72" s="19">
        <f t="shared" ref="O72:O73" si="119">(C72*D72*N72/1000)</f>
        <v>1.9</v>
      </c>
      <c r="P72" s="16"/>
      <c r="Q72" s="18"/>
      <c r="R72" s="19">
        <f t="shared" ref="R72:R73" si="120">(C72*D72*Q72/1000)</f>
        <v>0</v>
      </c>
      <c r="S72" s="20">
        <f t="shared" ref="S72:S73" si="121">+H72+K72+Q72+N72</f>
        <v>5</v>
      </c>
      <c r="T72" s="19">
        <f t="shared" ref="T72:T73" si="122">+I72+L72+R72+O72</f>
        <v>1.9</v>
      </c>
      <c r="U72" s="21">
        <f t="shared" ref="U72:U73" si="123">E72-S72</f>
        <v>-5</v>
      </c>
      <c r="V72" s="19">
        <f t="shared" ref="V72:V73" si="124">F72-T72</f>
        <v>-1.9</v>
      </c>
    </row>
    <row r="73" spans="1:22">
      <c r="A73" s="26" t="s">
        <v>13</v>
      </c>
      <c r="B73" s="26" t="s">
        <v>146</v>
      </c>
      <c r="C73" s="30">
        <v>38</v>
      </c>
      <c r="D73" s="27">
        <v>10.5</v>
      </c>
      <c r="E73" s="78"/>
      <c r="F73" s="16">
        <f t="shared" si="116"/>
        <v>0</v>
      </c>
      <c r="G73" s="26"/>
      <c r="H73" s="18"/>
      <c r="I73" s="19">
        <f t="shared" si="117"/>
        <v>0</v>
      </c>
      <c r="J73" s="16"/>
      <c r="K73" s="18"/>
      <c r="L73" s="19">
        <f t="shared" si="118"/>
        <v>0</v>
      </c>
      <c r="M73" s="16"/>
      <c r="N73" s="18"/>
      <c r="O73" s="19">
        <f t="shared" si="119"/>
        <v>0</v>
      </c>
      <c r="P73" s="16"/>
      <c r="Q73" s="18">
        <v>1</v>
      </c>
      <c r="R73" s="19">
        <f t="shared" si="120"/>
        <v>0.39900000000000002</v>
      </c>
      <c r="S73" s="20">
        <f t="shared" si="121"/>
        <v>1</v>
      </c>
      <c r="T73" s="19">
        <f t="shared" si="122"/>
        <v>0.39900000000000002</v>
      </c>
      <c r="U73" s="21">
        <f t="shared" si="123"/>
        <v>-1</v>
      </c>
      <c r="V73" s="19">
        <f t="shared" si="124"/>
        <v>-0.39900000000000002</v>
      </c>
    </row>
    <row r="74" spans="1:22">
      <c r="A74" s="26" t="s">
        <v>13</v>
      </c>
      <c r="B74" s="26" t="s">
        <v>146</v>
      </c>
      <c r="C74" s="30">
        <v>38</v>
      </c>
      <c r="D74" s="27">
        <v>5.2</v>
      </c>
      <c r="E74" s="78"/>
      <c r="F74" s="16">
        <f>(C74*D74*E74/1000)</f>
        <v>0</v>
      </c>
      <c r="G74" s="26"/>
      <c r="H74" s="18"/>
      <c r="I74" s="19">
        <f>(C74*D74*H74/1000)</f>
        <v>0</v>
      </c>
      <c r="J74" s="16"/>
      <c r="K74" s="18"/>
      <c r="L74" s="19">
        <f>(C74*D74*K74/1000)</f>
        <v>0</v>
      </c>
      <c r="M74" s="16"/>
      <c r="N74" s="18"/>
      <c r="O74" s="19">
        <f>(C74*D74*N74/1000)</f>
        <v>0</v>
      </c>
      <c r="P74" s="16"/>
      <c r="Q74" s="18">
        <v>32</v>
      </c>
      <c r="R74" s="19">
        <f>(C74*D74*Q74/1000)</f>
        <v>6.3231999999999999</v>
      </c>
      <c r="S74" s="20">
        <f t="shared" si="114"/>
        <v>32</v>
      </c>
      <c r="T74" s="19">
        <f t="shared" si="114"/>
        <v>6.3231999999999999</v>
      </c>
      <c r="U74" s="21">
        <f t="shared" si="115"/>
        <v>-32</v>
      </c>
      <c r="V74" s="19">
        <f t="shared" si="115"/>
        <v>-6.3231999999999999</v>
      </c>
    </row>
    <row r="75" spans="1:22">
      <c r="A75" s="36"/>
      <c r="B75" s="36"/>
      <c r="C75" s="37"/>
      <c r="D75" s="38"/>
      <c r="E75" s="31">
        <f t="shared" ref="E75:F75" si="125">SUM(E70:E74)</f>
        <v>157</v>
      </c>
      <c r="F75" s="38">
        <f t="shared" si="125"/>
        <v>60.554900000000004</v>
      </c>
      <c r="G75" s="26"/>
      <c r="H75" s="31">
        <f t="shared" ref="H75" si="126">SUM(H70:H74)</f>
        <v>84</v>
      </c>
      <c r="I75" s="38">
        <f t="shared" ref="I75" si="127">SUM(I70:I74)</f>
        <v>32.398800000000001</v>
      </c>
      <c r="J75" s="16"/>
      <c r="K75" s="31">
        <f t="shared" ref="K75" si="128">SUM(K70:K74)</f>
        <v>41</v>
      </c>
      <c r="L75" s="38">
        <f t="shared" ref="L75" si="129">SUM(L70:L74)</f>
        <v>15.813699999999999</v>
      </c>
      <c r="M75" s="16"/>
      <c r="N75" s="31">
        <f t="shared" ref="N75" si="130">SUM(N70:N74)</f>
        <v>21</v>
      </c>
      <c r="O75" s="38">
        <f t="shared" ref="O75" si="131">SUM(O70:O74)</f>
        <v>4.971616</v>
      </c>
      <c r="P75" s="26"/>
      <c r="Q75" s="31">
        <f t="shared" ref="Q75" si="132">SUM(Q70:Q74)</f>
        <v>35</v>
      </c>
      <c r="R75" s="38">
        <f t="shared" ref="R75" si="133">SUM(R70:R74)</f>
        <v>7.4935999999999998</v>
      </c>
      <c r="S75" s="31">
        <f t="shared" ref="S75" si="134">SUM(S70:S74)</f>
        <v>181</v>
      </c>
      <c r="T75" s="38">
        <f t="shared" ref="T75" si="135">SUM(T70:T74)</f>
        <v>60.677715999999997</v>
      </c>
      <c r="U75" s="31">
        <f t="shared" ref="U75" si="136">SUM(U70:U74)</f>
        <v>-24</v>
      </c>
      <c r="V75" s="38">
        <f t="shared" ref="V75" si="137">SUM(V70:V74)</f>
        <v>-0.12281599999999582</v>
      </c>
    </row>
    <row r="76" spans="1:22">
      <c r="A76" s="26" t="s">
        <v>13</v>
      </c>
      <c r="B76" s="26" t="s">
        <v>34</v>
      </c>
      <c r="C76" s="30">
        <v>5.77</v>
      </c>
      <c r="D76" s="27">
        <v>10</v>
      </c>
      <c r="E76" s="78">
        <v>76</v>
      </c>
      <c r="F76" s="16">
        <f t="shared" ref="F76:F82" si="138">(C76*D76*E76/1000)</f>
        <v>4.3852000000000002</v>
      </c>
      <c r="G76" s="16" t="s">
        <v>89</v>
      </c>
      <c r="H76" s="18">
        <v>15</v>
      </c>
      <c r="I76" s="19">
        <f>(C76*D76*H76/1000)</f>
        <v>0.86549999999999994</v>
      </c>
      <c r="J76" s="17" t="s">
        <v>86</v>
      </c>
      <c r="K76" s="18">
        <v>43</v>
      </c>
      <c r="L76" s="19">
        <f>(C76*D76*K76/1000)</f>
        <v>2.4811000000000001</v>
      </c>
      <c r="M76" s="17" t="s">
        <v>93</v>
      </c>
      <c r="N76" s="18"/>
      <c r="O76" s="19">
        <f>(C76*D76*N76/1000)</f>
        <v>0</v>
      </c>
      <c r="P76" s="16"/>
      <c r="Q76" s="18"/>
      <c r="R76" s="19">
        <f>(C76*D76*Q76/1000)</f>
        <v>0</v>
      </c>
      <c r="S76" s="20">
        <f t="shared" ref="S76:S82" si="139">+H76+K76+Q76+N76</f>
        <v>58</v>
      </c>
      <c r="T76" s="19">
        <f t="shared" ref="T76:T82" si="140">+I76+L76+R76+O76</f>
        <v>3.3466</v>
      </c>
      <c r="U76" s="21">
        <f>E76-S76</f>
        <v>18</v>
      </c>
      <c r="V76" s="19">
        <f>F76-T76</f>
        <v>1.0386000000000002</v>
      </c>
    </row>
    <row r="77" spans="1:22">
      <c r="A77" s="26" t="s">
        <v>13</v>
      </c>
      <c r="B77" s="26" t="s">
        <v>34</v>
      </c>
      <c r="C77" s="30">
        <v>5.77</v>
      </c>
      <c r="D77" s="27">
        <v>12</v>
      </c>
      <c r="E77" s="78">
        <v>233</v>
      </c>
      <c r="F77" s="16">
        <f t="shared" ref="F77:F81" si="141">(C77*D77*E77/1000)</f>
        <v>16.132919999999999</v>
      </c>
      <c r="G77" s="16" t="s">
        <v>457</v>
      </c>
      <c r="H77" s="18">
        <f t="shared" ref="H77" si="142">52+65</f>
        <v>117</v>
      </c>
      <c r="I77" s="19">
        <f t="shared" ref="I77:I81" si="143">(C77*D77*H77/1000)</f>
        <v>8.1010799999999996</v>
      </c>
      <c r="J77" s="17" t="s">
        <v>458</v>
      </c>
      <c r="K77" s="18">
        <v>102</v>
      </c>
      <c r="L77" s="19">
        <f t="shared" ref="L77:L81" si="144">(C77*D77*K77/1000)</f>
        <v>7.0624799999999999</v>
      </c>
      <c r="M77" s="17" t="s">
        <v>469</v>
      </c>
      <c r="N77" s="18"/>
      <c r="O77" s="19">
        <f t="shared" ref="O77:O81" si="145">(C77*D77*N77/1000)</f>
        <v>0</v>
      </c>
      <c r="P77" s="16"/>
      <c r="Q77" s="18"/>
      <c r="R77" s="19">
        <f t="shared" ref="R77:R81" si="146">(C77*D77*Q77/1000)</f>
        <v>0</v>
      </c>
      <c r="S77" s="20">
        <f t="shared" ref="S77:S81" si="147">+H77+K77+Q77+N77</f>
        <v>219</v>
      </c>
      <c r="T77" s="19">
        <f t="shared" ref="T77:T81" si="148">+I77+L77+R77+O77</f>
        <v>15.16356</v>
      </c>
      <c r="U77" s="21">
        <f t="shared" ref="U77:U81" si="149">E77-S77</f>
        <v>14</v>
      </c>
      <c r="V77" s="19">
        <f t="shared" ref="V77:V81" si="150">F77-T77</f>
        <v>0.96935999999999822</v>
      </c>
    </row>
    <row r="78" spans="1:22">
      <c r="A78" s="26" t="s">
        <v>13</v>
      </c>
      <c r="B78" s="26" t="s">
        <v>34</v>
      </c>
      <c r="C78" s="30">
        <v>5.77</v>
      </c>
      <c r="D78" s="27">
        <v>11</v>
      </c>
      <c r="E78" s="78"/>
      <c r="F78" s="16">
        <f t="shared" si="141"/>
        <v>0</v>
      </c>
      <c r="G78" s="16"/>
      <c r="H78" s="18"/>
      <c r="I78" s="19">
        <f t="shared" si="143"/>
        <v>0</v>
      </c>
      <c r="J78" s="17"/>
      <c r="K78" s="18"/>
      <c r="L78" s="19">
        <f t="shared" si="144"/>
        <v>0</v>
      </c>
      <c r="M78" s="17"/>
      <c r="N78" s="18">
        <v>18</v>
      </c>
      <c r="O78" s="19">
        <f t="shared" si="145"/>
        <v>1.14246</v>
      </c>
      <c r="P78" s="16"/>
      <c r="Q78" s="18"/>
      <c r="R78" s="19">
        <f t="shared" si="146"/>
        <v>0</v>
      </c>
      <c r="S78" s="20">
        <f t="shared" si="147"/>
        <v>18</v>
      </c>
      <c r="T78" s="19">
        <f t="shared" si="148"/>
        <v>1.14246</v>
      </c>
      <c r="U78" s="21">
        <f t="shared" si="149"/>
        <v>-18</v>
      </c>
      <c r="V78" s="19">
        <f t="shared" si="150"/>
        <v>-1.14246</v>
      </c>
    </row>
    <row r="79" spans="1:22">
      <c r="A79" s="26" t="s">
        <v>13</v>
      </c>
      <c r="B79" s="26" t="s">
        <v>34</v>
      </c>
      <c r="C79" s="30">
        <v>5.77</v>
      </c>
      <c r="D79" s="27">
        <v>11.5</v>
      </c>
      <c r="E79" s="78"/>
      <c r="F79" s="16">
        <f t="shared" ref="F79:F80" si="151">(C79*D79*E79/1000)</f>
        <v>0</v>
      </c>
      <c r="G79" s="16"/>
      <c r="H79" s="18"/>
      <c r="I79" s="19">
        <f t="shared" ref="I79:I80" si="152">(C79*D79*H79/1000)</f>
        <v>0</v>
      </c>
      <c r="J79" s="17"/>
      <c r="K79" s="18"/>
      <c r="L79" s="19">
        <f t="shared" ref="L79:L80" si="153">(C79*D79*K79/1000)</f>
        <v>0</v>
      </c>
      <c r="M79" s="17"/>
      <c r="N79" s="18">
        <v>12</v>
      </c>
      <c r="O79" s="19">
        <f t="shared" ref="O79:O80" si="154">(C79*D79*N79/1000)</f>
        <v>0.79625999999999986</v>
      </c>
      <c r="P79" s="16"/>
      <c r="Q79" s="18"/>
      <c r="R79" s="19">
        <f t="shared" ref="R79:R80" si="155">(C79*D79*Q79/1000)</f>
        <v>0</v>
      </c>
      <c r="S79" s="20">
        <f t="shared" ref="S79:S80" si="156">+H79+K79+Q79+N79</f>
        <v>12</v>
      </c>
      <c r="T79" s="19">
        <f t="shared" ref="T79:T80" si="157">+I79+L79+R79+O79</f>
        <v>0.79625999999999986</v>
      </c>
      <c r="U79" s="21">
        <f t="shared" ref="U79:U80" si="158">E79-S79</f>
        <v>-12</v>
      </c>
      <c r="V79" s="19">
        <f t="shared" ref="V79:V80" si="159">F79-T79</f>
        <v>-0.79625999999999986</v>
      </c>
    </row>
    <row r="80" spans="1:22">
      <c r="A80" s="26" t="s">
        <v>13</v>
      </c>
      <c r="B80" s="26" t="s">
        <v>34</v>
      </c>
      <c r="C80" s="30">
        <v>5.77</v>
      </c>
      <c r="D80" s="27">
        <v>11.2</v>
      </c>
      <c r="E80" s="78"/>
      <c r="F80" s="16">
        <f t="shared" si="151"/>
        <v>0</v>
      </c>
      <c r="G80" s="16"/>
      <c r="H80" s="18"/>
      <c r="I80" s="19">
        <f t="shared" si="152"/>
        <v>0</v>
      </c>
      <c r="J80" s="17"/>
      <c r="K80" s="18"/>
      <c r="L80" s="19">
        <f t="shared" si="153"/>
        <v>0</v>
      </c>
      <c r="M80" s="17"/>
      <c r="N80" s="18">
        <v>1</v>
      </c>
      <c r="O80" s="19">
        <f t="shared" si="154"/>
        <v>6.4624000000000001E-2</v>
      </c>
      <c r="P80" s="16"/>
      <c r="Q80" s="18"/>
      <c r="R80" s="19">
        <f t="shared" si="155"/>
        <v>0</v>
      </c>
      <c r="S80" s="20">
        <f t="shared" si="156"/>
        <v>1</v>
      </c>
      <c r="T80" s="19">
        <f t="shared" si="157"/>
        <v>6.4624000000000001E-2</v>
      </c>
      <c r="U80" s="21">
        <f t="shared" si="158"/>
        <v>-1</v>
      </c>
      <c r="V80" s="19">
        <f t="shared" si="159"/>
        <v>-6.4624000000000001E-2</v>
      </c>
    </row>
    <row r="81" spans="1:22">
      <c r="A81" s="26" t="s">
        <v>13</v>
      </c>
      <c r="B81" s="26" t="s">
        <v>34</v>
      </c>
      <c r="C81" s="30">
        <v>5.77</v>
      </c>
      <c r="D81" s="27">
        <v>12.2</v>
      </c>
      <c r="E81" s="78"/>
      <c r="F81" s="16">
        <f t="shared" si="141"/>
        <v>0</v>
      </c>
      <c r="G81" s="16"/>
      <c r="H81" s="18"/>
      <c r="I81" s="19">
        <f t="shared" si="143"/>
        <v>0</v>
      </c>
      <c r="J81" s="17"/>
      <c r="K81" s="18"/>
      <c r="L81" s="19">
        <f t="shared" si="144"/>
        <v>0</v>
      </c>
      <c r="M81" s="17"/>
      <c r="N81" s="18">
        <v>1</v>
      </c>
      <c r="O81" s="19">
        <f t="shared" si="145"/>
        <v>7.0393999999999984E-2</v>
      </c>
      <c r="P81" s="16"/>
      <c r="Q81" s="18"/>
      <c r="R81" s="19">
        <f t="shared" si="146"/>
        <v>0</v>
      </c>
      <c r="S81" s="20">
        <f t="shared" si="147"/>
        <v>1</v>
      </c>
      <c r="T81" s="19">
        <f t="shared" si="148"/>
        <v>7.0393999999999984E-2</v>
      </c>
      <c r="U81" s="21">
        <f t="shared" si="149"/>
        <v>-1</v>
      </c>
      <c r="V81" s="19">
        <f t="shared" si="150"/>
        <v>-7.0393999999999984E-2</v>
      </c>
    </row>
    <row r="82" spans="1:22">
      <c r="A82" s="26" t="s">
        <v>13</v>
      </c>
      <c r="B82" s="26" t="s">
        <v>34</v>
      </c>
      <c r="C82" s="30">
        <v>5.77</v>
      </c>
      <c r="D82" s="27">
        <v>9.8000000000000007</v>
      </c>
      <c r="E82" s="78"/>
      <c r="F82" s="16">
        <f t="shared" si="138"/>
        <v>0</v>
      </c>
      <c r="G82" s="16"/>
      <c r="H82" s="18"/>
      <c r="I82" s="19">
        <f>(C82*D82*H82/1000)</f>
        <v>0</v>
      </c>
      <c r="J82" s="17"/>
      <c r="K82" s="18"/>
      <c r="L82" s="19">
        <f>(C82*D82*K82/1000)</f>
        <v>0</v>
      </c>
      <c r="M82" s="17"/>
      <c r="N82" s="18">
        <v>1</v>
      </c>
      <c r="O82" s="19">
        <f>(C82*D82*N82/1000)</f>
        <v>5.6545999999999999E-2</v>
      </c>
      <c r="P82" s="16"/>
      <c r="Q82" s="18"/>
      <c r="R82" s="19">
        <f>(C82*D82*Q82/1000)</f>
        <v>0</v>
      </c>
      <c r="S82" s="20">
        <f t="shared" si="139"/>
        <v>1</v>
      </c>
      <c r="T82" s="19">
        <f t="shared" si="140"/>
        <v>5.6545999999999999E-2</v>
      </c>
      <c r="U82" s="21">
        <f>E82-S82</f>
        <v>-1</v>
      </c>
      <c r="V82" s="19">
        <f>F82-T82</f>
        <v>-5.6545999999999999E-2</v>
      </c>
    </row>
    <row r="83" spans="1:22">
      <c r="A83" s="36"/>
      <c r="B83" s="36"/>
      <c r="C83" s="37"/>
      <c r="D83" s="38"/>
      <c r="E83" s="31">
        <f>SUM(E76:E82)</f>
        <v>309</v>
      </c>
      <c r="F83" s="38">
        <f>SUM(F76:F82)</f>
        <v>20.51812</v>
      </c>
      <c r="G83" s="26"/>
      <c r="H83" s="31">
        <f>SUM(H76:H82)</f>
        <v>132</v>
      </c>
      <c r="I83" s="38">
        <f>SUM(I76:I82)</f>
        <v>8.9665800000000004</v>
      </c>
      <c r="J83" s="26"/>
      <c r="K83" s="31">
        <f>SUM(K76:K82)</f>
        <v>145</v>
      </c>
      <c r="L83" s="38">
        <f>SUM(L76:L82)</f>
        <v>9.5435800000000004</v>
      </c>
      <c r="M83" s="26"/>
      <c r="N83" s="31">
        <f>SUM(N76:N82)</f>
        <v>33</v>
      </c>
      <c r="O83" s="38">
        <f>SUM(O76:O82)</f>
        <v>2.1302839999999996</v>
      </c>
      <c r="P83" s="26"/>
      <c r="Q83" s="31">
        <f t="shared" ref="Q83:V83" si="160">SUM(Q76:Q82)</f>
        <v>0</v>
      </c>
      <c r="R83" s="38">
        <f t="shared" si="160"/>
        <v>0</v>
      </c>
      <c r="S83" s="31">
        <f t="shared" si="160"/>
        <v>310</v>
      </c>
      <c r="T83" s="38">
        <f t="shared" si="160"/>
        <v>20.640443999999999</v>
      </c>
      <c r="U83" s="31">
        <f t="shared" si="160"/>
        <v>-1</v>
      </c>
      <c r="V83" s="38">
        <f t="shared" si="160"/>
        <v>-0.12232400000000146</v>
      </c>
    </row>
    <row r="84" spans="1:22">
      <c r="A84" s="26" t="s">
        <v>13</v>
      </c>
      <c r="B84" s="26" t="s">
        <v>35</v>
      </c>
      <c r="C84" s="30">
        <v>6.85</v>
      </c>
      <c r="D84" s="27">
        <v>11</v>
      </c>
      <c r="E84" s="78">
        <v>172</v>
      </c>
      <c r="F84" s="16">
        <f t="shared" ref="F84:F86" si="161">(C84*D84*E84/1000)</f>
        <v>12.960199999999999</v>
      </c>
      <c r="G84" s="16" t="s">
        <v>89</v>
      </c>
      <c r="H84" s="18">
        <v>172</v>
      </c>
      <c r="I84" s="19">
        <f>(C84*D84*H84/1000)</f>
        <v>12.960199999999999</v>
      </c>
      <c r="J84" s="17" t="s">
        <v>86</v>
      </c>
      <c r="K84" s="18"/>
      <c r="L84" s="19">
        <f>(C84*D84*K84/1000)</f>
        <v>0</v>
      </c>
      <c r="M84" s="16"/>
      <c r="N84" s="18"/>
      <c r="O84" s="19">
        <f>(C84*D84*N84/1000)</f>
        <v>0</v>
      </c>
      <c r="P84" s="16"/>
      <c r="Q84" s="18"/>
      <c r="R84" s="19">
        <f>(C84*D84*Q84/1000)</f>
        <v>0</v>
      </c>
      <c r="S84" s="20">
        <f t="shared" ref="S84:S86" si="162">+H84+K84+Q84+N84</f>
        <v>172</v>
      </c>
      <c r="T84" s="19">
        <f t="shared" ref="T84:T86" si="163">+I84+L84+R84+O84</f>
        <v>12.960199999999999</v>
      </c>
      <c r="U84" s="21">
        <f t="shared" ref="U84:V86" si="164">E84-S84</f>
        <v>0</v>
      </c>
      <c r="V84" s="19">
        <f t="shared" si="164"/>
        <v>0</v>
      </c>
    </row>
    <row r="85" spans="1:22">
      <c r="A85" s="26" t="s">
        <v>13</v>
      </c>
      <c r="B85" s="26" t="s">
        <v>35</v>
      </c>
      <c r="C85" s="30">
        <v>6.85</v>
      </c>
      <c r="D85" s="27">
        <v>11.8</v>
      </c>
      <c r="E85" s="78">
        <v>4</v>
      </c>
      <c r="F85" s="16">
        <f t="shared" si="161"/>
        <v>0.32332</v>
      </c>
      <c r="G85" s="16" t="s">
        <v>457</v>
      </c>
      <c r="H85" s="18"/>
      <c r="I85" s="19">
        <f>(C85*D85*H85/1000)</f>
        <v>0</v>
      </c>
      <c r="J85" s="17" t="s">
        <v>458</v>
      </c>
      <c r="K85" s="18">
        <v>4</v>
      </c>
      <c r="L85" s="19">
        <f>(C85*D85*K85/1000)</f>
        <v>0.32332</v>
      </c>
      <c r="M85" s="16"/>
      <c r="N85" s="18"/>
      <c r="O85" s="19">
        <f>(C85*D85*N85/1000)</f>
        <v>0</v>
      </c>
      <c r="P85" s="16"/>
      <c r="Q85" s="18"/>
      <c r="R85" s="19">
        <f>(C85*D85*Q85/1000)</f>
        <v>0</v>
      </c>
      <c r="S85" s="20">
        <f t="shared" si="162"/>
        <v>4</v>
      </c>
      <c r="T85" s="19">
        <f t="shared" si="163"/>
        <v>0.32332</v>
      </c>
      <c r="U85" s="21">
        <f t="shared" si="164"/>
        <v>0</v>
      </c>
      <c r="V85" s="19">
        <f t="shared" si="164"/>
        <v>0</v>
      </c>
    </row>
    <row r="86" spans="1:22">
      <c r="A86" s="26" t="s">
        <v>13</v>
      </c>
      <c r="B86" s="26" t="s">
        <v>35</v>
      </c>
      <c r="C86" s="30">
        <v>6.85</v>
      </c>
      <c r="D86" s="27">
        <v>12</v>
      </c>
      <c r="E86" s="78">
        <v>81</v>
      </c>
      <c r="F86" s="16">
        <f t="shared" si="161"/>
        <v>6.658199999999999</v>
      </c>
      <c r="G86" s="17"/>
      <c r="H86" s="18">
        <v>74</v>
      </c>
      <c r="I86" s="19">
        <f>(C86*D86*H86/1000)</f>
        <v>6.0827999999999989</v>
      </c>
      <c r="J86" s="16"/>
      <c r="K86" s="18">
        <v>7</v>
      </c>
      <c r="L86" s="19">
        <f>(C86*D86*K86/1000)</f>
        <v>0.57539999999999991</v>
      </c>
      <c r="M86" s="16"/>
      <c r="N86" s="18"/>
      <c r="O86" s="19">
        <f>(C86*D86*N86/1000)</f>
        <v>0</v>
      </c>
      <c r="P86" s="16"/>
      <c r="Q86" s="18"/>
      <c r="R86" s="19">
        <f>(C86*D86*Q86/1000)</f>
        <v>0</v>
      </c>
      <c r="S86" s="20">
        <f t="shared" si="162"/>
        <v>81</v>
      </c>
      <c r="T86" s="19">
        <f t="shared" si="163"/>
        <v>6.658199999999999</v>
      </c>
      <c r="U86" s="21">
        <f t="shared" si="164"/>
        <v>0</v>
      </c>
      <c r="V86" s="19">
        <f t="shared" si="164"/>
        <v>0</v>
      </c>
    </row>
    <row r="87" spans="1:22">
      <c r="A87" s="36"/>
      <c r="B87" s="36"/>
      <c r="C87" s="37"/>
      <c r="D87" s="38"/>
      <c r="E87" s="31">
        <f t="shared" ref="E87:F87" si="165">SUM(E84:E86)</f>
        <v>257</v>
      </c>
      <c r="F87" s="38">
        <f t="shared" si="165"/>
        <v>19.941719999999997</v>
      </c>
      <c r="G87" s="26"/>
      <c r="H87" s="31">
        <f t="shared" ref="H87" si="166">SUM(H84:H86)</f>
        <v>246</v>
      </c>
      <c r="I87" s="38">
        <f t="shared" ref="I87" si="167">SUM(I84:I86)</f>
        <v>19.042999999999999</v>
      </c>
      <c r="J87" s="26"/>
      <c r="K87" s="31">
        <f t="shared" ref="K87" si="168">SUM(K84:K86)</f>
        <v>11</v>
      </c>
      <c r="L87" s="38">
        <f t="shared" ref="L87" si="169">SUM(L84:L86)</f>
        <v>0.89871999999999996</v>
      </c>
      <c r="M87" s="26"/>
      <c r="N87" s="31">
        <f t="shared" ref="N87" si="170">SUM(N84:N86)</f>
        <v>0</v>
      </c>
      <c r="O87" s="38">
        <f t="shared" ref="O87" si="171">SUM(O84:O86)</f>
        <v>0</v>
      </c>
      <c r="P87" s="26"/>
      <c r="Q87" s="31">
        <f t="shared" ref="Q87" si="172">SUM(Q84:Q86)</f>
        <v>0</v>
      </c>
      <c r="R87" s="38">
        <f t="shared" ref="R87" si="173">SUM(R84:R86)</f>
        <v>0</v>
      </c>
      <c r="S87" s="31">
        <f t="shared" ref="S87" si="174">SUM(S84:S86)</f>
        <v>257</v>
      </c>
      <c r="T87" s="38">
        <f t="shared" ref="T87" si="175">SUM(T84:T86)</f>
        <v>19.941719999999997</v>
      </c>
      <c r="U87" s="31">
        <f t="shared" ref="U87" si="176">SUM(U84:U86)</f>
        <v>0</v>
      </c>
      <c r="V87" s="38">
        <f t="shared" ref="V87" si="177">SUM(V84:V86)</f>
        <v>0</v>
      </c>
    </row>
    <row r="88" spans="1:22">
      <c r="A88" s="26" t="s">
        <v>13</v>
      </c>
      <c r="B88" s="26" t="s">
        <v>26</v>
      </c>
      <c r="C88" s="30">
        <v>8.32</v>
      </c>
      <c r="D88" s="27">
        <v>8.6999999999999993</v>
      </c>
      <c r="E88" s="78">
        <v>74</v>
      </c>
      <c r="F88" s="16">
        <f t="shared" ref="F88:F94" si="178">(C88*D88*E88/1000)</f>
        <v>5.3564160000000003</v>
      </c>
      <c r="G88" s="16" t="s">
        <v>293</v>
      </c>
      <c r="H88" s="18"/>
      <c r="I88" s="19">
        <f>(C88*D88*H88/1000)</f>
        <v>0</v>
      </c>
      <c r="J88" s="16" t="s">
        <v>93</v>
      </c>
      <c r="K88" s="18">
        <v>69</v>
      </c>
      <c r="L88" s="19">
        <f>(C88*D88*K88/1000)</f>
        <v>4.9944959999999998</v>
      </c>
      <c r="M88" s="16" t="s">
        <v>89</v>
      </c>
      <c r="N88" s="18"/>
      <c r="O88" s="19">
        <f>(C88*D88*N88/1000)</f>
        <v>0</v>
      </c>
      <c r="P88" s="16"/>
      <c r="Q88" s="18"/>
      <c r="R88" s="19">
        <f>(C88*D88*Q88/1000)</f>
        <v>0</v>
      </c>
      <c r="S88" s="20">
        <f t="shared" ref="S88:S94" si="179">+H88+K88+Q88+N88</f>
        <v>69</v>
      </c>
      <c r="T88" s="19">
        <f t="shared" ref="T88:T94" si="180">+I88+L88+R88+O88</f>
        <v>4.9944959999999998</v>
      </c>
      <c r="U88" s="21">
        <f t="shared" ref="U88:V94" si="181">E88-S88</f>
        <v>5</v>
      </c>
      <c r="V88" s="19">
        <f t="shared" si="181"/>
        <v>0.36192000000000046</v>
      </c>
    </row>
    <row r="89" spans="1:22">
      <c r="A89" s="26" t="s">
        <v>13</v>
      </c>
      <c r="B89" s="26" t="s">
        <v>26</v>
      </c>
      <c r="C89" s="30">
        <v>8.32</v>
      </c>
      <c r="D89" s="27">
        <v>9</v>
      </c>
      <c r="E89" s="78">
        <v>160</v>
      </c>
      <c r="F89" s="16">
        <f t="shared" si="178"/>
        <v>11.980799999999999</v>
      </c>
      <c r="G89" s="16" t="s">
        <v>454</v>
      </c>
      <c r="H89" s="18"/>
      <c r="I89" s="19">
        <f>(C89*D89*H89/1000)</f>
        <v>0</v>
      </c>
      <c r="J89" s="16" t="s">
        <v>456</v>
      </c>
      <c r="K89" s="18">
        <f>66+67</f>
        <v>133</v>
      </c>
      <c r="L89" s="19">
        <f>(C89*D89*K89/1000)</f>
        <v>9.9590399999999999</v>
      </c>
      <c r="M89" s="16" t="s">
        <v>457</v>
      </c>
      <c r="N89" s="18">
        <v>27</v>
      </c>
      <c r="O89" s="19">
        <f>(C89*D89*N89/1000)</f>
        <v>2.0217599999999996</v>
      </c>
      <c r="P89" s="16"/>
      <c r="Q89" s="18"/>
      <c r="R89" s="19">
        <f>(C89*D89*Q89/1000)</f>
        <v>0</v>
      </c>
      <c r="S89" s="20">
        <f t="shared" si="179"/>
        <v>160</v>
      </c>
      <c r="T89" s="19">
        <f t="shared" si="180"/>
        <v>11.980799999999999</v>
      </c>
      <c r="U89" s="21">
        <f t="shared" si="181"/>
        <v>0</v>
      </c>
      <c r="V89" s="19">
        <f t="shared" si="181"/>
        <v>0</v>
      </c>
    </row>
    <row r="90" spans="1:22">
      <c r="A90" s="26" t="s">
        <v>13</v>
      </c>
      <c r="B90" s="26" t="s">
        <v>26</v>
      </c>
      <c r="C90" s="30">
        <v>8.32</v>
      </c>
      <c r="D90" s="27">
        <v>9.6</v>
      </c>
      <c r="E90" s="78">
        <v>78</v>
      </c>
      <c r="F90" s="16">
        <f t="shared" si="178"/>
        <v>6.230016</v>
      </c>
      <c r="G90" s="17"/>
      <c r="H90" s="18">
        <v>30</v>
      </c>
      <c r="I90" s="19">
        <f>(C90*D90*H90/1000)</f>
        <v>2.3961600000000001</v>
      </c>
      <c r="J90" s="16"/>
      <c r="K90" s="18">
        <v>48</v>
      </c>
      <c r="L90" s="19">
        <f>(C90*D90*K90/1000)</f>
        <v>3.8338559999999999</v>
      </c>
      <c r="M90" s="16"/>
      <c r="N90" s="18"/>
      <c r="O90" s="19">
        <f>(C90*D90*N90/1000)</f>
        <v>0</v>
      </c>
      <c r="P90" s="16"/>
      <c r="Q90" s="18"/>
      <c r="R90" s="19">
        <f>(C90*D90*Q90/1000)</f>
        <v>0</v>
      </c>
      <c r="S90" s="20">
        <f t="shared" si="179"/>
        <v>78</v>
      </c>
      <c r="T90" s="19">
        <f t="shared" si="180"/>
        <v>6.230016</v>
      </c>
      <c r="U90" s="21">
        <f t="shared" si="181"/>
        <v>0</v>
      </c>
      <c r="V90" s="19">
        <f t="shared" si="181"/>
        <v>0</v>
      </c>
    </row>
    <row r="91" spans="1:22">
      <c r="A91" s="26" t="s">
        <v>13</v>
      </c>
      <c r="B91" s="26" t="s">
        <v>26</v>
      </c>
      <c r="C91" s="30">
        <v>8.32</v>
      </c>
      <c r="D91" s="27">
        <v>10</v>
      </c>
      <c r="E91" s="78">
        <v>12</v>
      </c>
      <c r="F91" s="16">
        <f t="shared" si="178"/>
        <v>0.99840000000000007</v>
      </c>
      <c r="G91" s="17"/>
      <c r="H91" s="18">
        <v>10</v>
      </c>
      <c r="I91" s="19">
        <f>(C91*D91*H91/1000)</f>
        <v>0.83199999999999996</v>
      </c>
      <c r="J91" s="16"/>
      <c r="K91" s="18">
        <v>2</v>
      </c>
      <c r="L91" s="19">
        <f>(C91*D91*K91/1000)</f>
        <v>0.16639999999999999</v>
      </c>
      <c r="M91" s="16"/>
      <c r="N91" s="18"/>
      <c r="O91" s="19">
        <f>(C91*D91*N91/1000)</f>
        <v>0</v>
      </c>
      <c r="P91" s="16"/>
      <c r="Q91" s="18"/>
      <c r="R91" s="19">
        <f>(C91*D91*Q91/1000)</f>
        <v>0</v>
      </c>
      <c r="S91" s="20">
        <f t="shared" si="179"/>
        <v>12</v>
      </c>
      <c r="T91" s="19">
        <f t="shared" si="180"/>
        <v>0.99839999999999995</v>
      </c>
      <c r="U91" s="21">
        <f t="shared" si="181"/>
        <v>0</v>
      </c>
      <c r="V91" s="19">
        <f t="shared" si="181"/>
        <v>0</v>
      </c>
    </row>
    <row r="92" spans="1:22">
      <c r="A92" s="26" t="s">
        <v>13</v>
      </c>
      <c r="B92" s="26" t="s">
        <v>26</v>
      </c>
      <c r="C92" s="30">
        <v>8.32</v>
      </c>
      <c r="D92" s="27">
        <v>10.5</v>
      </c>
      <c r="E92" s="78">
        <v>220</v>
      </c>
      <c r="F92" s="16">
        <f t="shared" ref="F92:F93" si="182">(C92*D92*E92/1000)</f>
        <v>19.219200000000001</v>
      </c>
      <c r="G92" s="17"/>
      <c r="H92" s="18">
        <v>36</v>
      </c>
      <c r="I92" s="19">
        <f t="shared" ref="I92:I93" si="183">(C92*D92*H92/1000)</f>
        <v>3.1449600000000002</v>
      </c>
      <c r="J92" s="16"/>
      <c r="K92" s="18">
        <v>153</v>
      </c>
      <c r="L92" s="19">
        <f t="shared" ref="L92:L93" si="184">(C92*D92*K92/1000)</f>
        <v>13.36608</v>
      </c>
      <c r="M92" s="16"/>
      <c r="N92" s="18">
        <v>30</v>
      </c>
      <c r="O92" s="19">
        <f t="shared" ref="O92:O93" si="185">(C92*D92*N92/1000)</f>
        <v>2.6208</v>
      </c>
      <c r="P92" s="16"/>
      <c r="Q92" s="18"/>
      <c r="R92" s="19">
        <f t="shared" ref="R92:R93" si="186">(C92*D92*Q92/1000)</f>
        <v>0</v>
      </c>
      <c r="S92" s="20">
        <f t="shared" ref="S92:S93" si="187">+H92+K92+Q92+N92</f>
        <v>219</v>
      </c>
      <c r="T92" s="19">
        <f t="shared" ref="T92:T93" si="188">+I92+L92+R92+O92</f>
        <v>19.13184</v>
      </c>
      <c r="U92" s="21">
        <f t="shared" ref="U92:U93" si="189">E92-S92</f>
        <v>1</v>
      </c>
      <c r="V92" s="19">
        <f t="shared" ref="V92:V93" si="190">F92-T92</f>
        <v>8.7360000000000326E-2</v>
      </c>
    </row>
    <row r="93" spans="1:22">
      <c r="A93" s="26" t="s">
        <v>13</v>
      </c>
      <c r="B93" s="26" t="s">
        <v>26</v>
      </c>
      <c r="C93" s="30">
        <v>8.32</v>
      </c>
      <c r="D93" s="27">
        <v>11.5</v>
      </c>
      <c r="E93" s="78"/>
      <c r="F93" s="16">
        <f t="shared" si="182"/>
        <v>0</v>
      </c>
      <c r="G93" s="17"/>
      <c r="H93" s="18"/>
      <c r="I93" s="19">
        <f t="shared" si="183"/>
        <v>0</v>
      </c>
      <c r="J93" s="16"/>
      <c r="K93" s="18"/>
      <c r="L93" s="19">
        <f t="shared" si="184"/>
        <v>0</v>
      </c>
      <c r="M93" s="16"/>
      <c r="N93" s="18">
        <v>5</v>
      </c>
      <c r="O93" s="19">
        <f t="shared" si="185"/>
        <v>0.47840000000000005</v>
      </c>
      <c r="P93" s="16"/>
      <c r="Q93" s="18"/>
      <c r="R93" s="19">
        <f t="shared" si="186"/>
        <v>0</v>
      </c>
      <c r="S93" s="20">
        <f t="shared" si="187"/>
        <v>5</v>
      </c>
      <c r="T93" s="19">
        <f t="shared" si="188"/>
        <v>0.47840000000000005</v>
      </c>
      <c r="U93" s="21">
        <f t="shared" si="189"/>
        <v>-5</v>
      </c>
      <c r="V93" s="19">
        <f t="shared" si="190"/>
        <v>-0.47840000000000005</v>
      </c>
    </row>
    <row r="94" spans="1:22">
      <c r="A94" s="26" t="s">
        <v>13</v>
      </c>
      <c r="B94" s="26" t="s">
        <v>26</v>
      </c>
      <c r="C94" s="30">
        <v>8.32</v>
      </c>
      <c r="D94" s="27">
        <v>7.8</v>
      </c>
      <c r="E94" s="78"/>
      <c r="F94" s="16">
        <f t="shared" si="178"/>
        <v>0</v>
      </c>
      <c r="G94" s="17"/>
      <c r="H94" s="18"/>
      <c r="I94" s="19">
        <f>(C94*D94*H94/1000)</f>
        <v>0</v>
      </c>
      <c r="J94" s="16"/>
      <c r="K94" s="18"/>
      <c r="L94" s="19">
        <f>(C94*D94*K94/1000)</f>
        <v>0</v>
      </c>
      <c r="M94" s="16"/>
      <c r="N94" s="18">
        <v>1</v>
      </c>
      <c r="O94" s="19">
        <f>(C94*D94*N94/1000)</f>
        <v>6.4895999999999995E-2</v>
      </c>
      <c r="P94" s="16"/>
      <c r="Q94" s="18"/>
      <c r="R94" s="19">
        <f>(C94*D94*Q94/1000)</f>
        <v>0</v>
      </c>
      <c r="S94" s="20">
        <f t="shared" si="179"/>
        <v>1</v>
      </c>
      <c r="T94" s="19">
        <f t="shared" si="180"/>
        <v>6.4895999999999995E-2</v>
      </c>
      <c r="U94" s="21">
        <f t="shared" si="181"/>
        <v>-1</v>
      </c>
      <c r="V94" s="19">
        <f t="shared" si="181"/>
        <v>-6.4895999999999995E-2</v>
      </c>
    </row>
    <row r="95" spans="1:22">
      <c r="A95" s="36"/>
      <c r="B95" s="36"/>
      <c r="C95" s="37"/>
      <c r="D95" s="38"/>
      <c r="E95" s="31">
        <f>SUM(E88:E94)</f>
        <v>544</v>
      </c>
      <c r="F95" s="38">
        <f>SUM(F88:F94)</f>
        <v>43.784831999999994</v>
      </c>
      <c r="G95" s="26"/>
      <c r="H95" s="31">
        <f>SUM(H88:H94)</f>
        <v>76</v>
      </c>
      <c r="I95" s="38">
        <f>SUM(I88:I94)</f>
        <v>6.3731200000000001</v>
      </c>
      <c r="J95" s="26"/>
      <c r="K95" s="31">
        <f>SUM(K88:K94)</f>
        <v>405</v>
      </c>
      <c r="L95" s="38">
        <f>SUM(L88:L94)</f>
        <v>32.319872000000004</v>
      </c>
      <c r="M95" s="26"/>
      <c r="N95" s="31">
        <f>SUM(N88:N94)</f>
        <v>63</v>
      </c>
      <c r="O95" s="38">
        <f>SUM(O88:O94)</f>
        <v>5.1858559999999994</v>
      </c>
      <c r="P95" s="26"/>
      <c r="Q95" s="31">
        <f t="shared" ref="Q95:V95" si="191">SUM(Q88:Q94)</f>
        <v>0</v>
      </c>
      <c r="R95" s="38">
        <f t="shared" si="191"/>
        <v>0</v>
      </c>
      <c r="S95" s="31">
        <f t="shared" si="191"/>
        <v>544</v>
      </c>
      <c r="T95" s="38">
        <f t="shared" si="191"/>
        <v>43.878847999999998</v>
      </c>
      <c r="U95" s="31">
        <f t="shared" si="191"/>
        <v>0</v>
      </c>
      <c r="V95" s="38">
        <f t="shared" si="191"/>
        <v>-9.4015999999999253E-2</v>
      </c>
    </row>
    <row r="96" spans="1:22">
      <c r="A96" s="26" t="s">
        <v>14</v>
      </c>
      <c r="B96" s="26" t="s">
        <v>45</v>
      </c>
      <c r="C96" s="30">
        <v>9.26</v>
      </c>
      <c r="D96" s="27">
        <v>9.1999999999999993</v>
      </c>
      <c r="E96" s="78">
        <v>76</v>
      </c>
      <c r="F96" s="16">
        <f t="shared" ref="F96:F98" si="192">(C96*D96*E96/1000)</f>
        <v>6.4745919999999995</v>
      </c>
      <c r="G96" s="17" t="s">
        <v>89</v>
      </c>
      <c r="H96" s="18">
        <v>72</v>
      </c>
      <c r="I96" s="19">
        <f>(C96*D96*H96/1000)</f>
        <v>6.1338239999999997</v>
      </c>
      <c r="J96" s="16"/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 t="shared" ref="S96:S98" si="193">+H96+K96+Q96+N96</f>
        <v>72</v>
      </c>
      <c r="T96" s="19">
        <f t="shared" ref="T96:T98" si="194">+I96+L96+R96+O96</f>
        <v>6.1338239999999997</v>
      </c>
      <c r="U96" s="21">
        <f t="shared" ref="U96:V98" si="195">E96-S96</f>
        <v>4</v>
      </c>
      <c r="V96" s="19">
        <f t="shared" si="195"/>
        <v>0.34076799999999974</v>
      </c>
    </row>
    <row r="97" spans="1:22">
      <c r="A97" s="26" t="s">
        <v>14</v>
      </c>
      <c r="B97" s="26" t="s">
        <v>45</v>
      </c>
      <c r="C97" s="30">
        <v>9.26</v>
      </c>
      <c r="D97" s="27">
        <v>10.9</v>
      </c>
      <c r="E97" s="78">
        <v>76</v>
      </c>
      <c r="F97" s="16">
        <f t="shared" ref="F97" si="196">(C97*D97*E97/1000)</f>
        <v>7.6709839999999998</v>
      </c>
      <c r="G97" s="17" t="s">
        <v>470</v>
      </c>
      <c r="H97" s="18">
        <v>76</v>
      </c>
      <c r="I97" s="19">
        <f>(C97*D97*H97/1000)</f>
        <v>7.6709839999999998</v>
      </c>
      <c r="J97" s="16"/>
      <c r="K97" s="18"/>
      <c r="L97" s="19">
        <f>(C97*D97*K97/1000)</f>
        <v>0</v>
      </c>
      <c r="M97" s="16"/>
      <c r="N97" s="18"/>
      <c r="O97" s="19">
        <f>(C97*D97*N97/1000)</f>
        <v>0</v>
      </c>
      <c r="P97" s="16"/>
      <c r="Q97" s="18"/>
      <c r="R97" s="19">
        <f>(C97*D97*Q97/1000)</f>
        <v>0</v>
      </c>
      <c r="S97" s="20">
        <f t="shared" ref="S97" si="197">+H97+K97+Q97+N97</f>
        <v>76</v>
      </c>
      <c r="T97" s="19">
        <f t="shared" ref="T97" si="198">+I97+L97+R97+O97</f>
        <v>7.6709839999999998</v>
      </c>
      <c r="U97" s="21">
        <f t="shared" si="195"/>
        <v>0</v>
      </c>
      <c r="V97" s="19">
        <f t="shared" si="195"/>
        <v>0</v>
      </c>
    </row>
    <row r="98" spans="1:22">
      <c r="A98" s="26" t="s">
        <v>14</v>
      </c>
      <c r="B98" s="26" t="s">
        <v>45</v>
      </c>
      <c r="C98" s="30">
        <v>9.26</v>
      </c>
      <c r="D98" s="27">
        <v>9.6999999999999993</v>
      </c>
      <c r="E98" s="78"/>
      <c r="F98" s="16">
        <f t="shared" si="192"/>
        <v>0</v>
      </c>
      <c r="G98" s="17"/>
      <c r="H98" s="18">
        <v>4</v>
      </c>
      <c r="I98" s="19">
        <f>(C98*D98*H98/1000)</f>
        <v>0.35928799999999994</v>
      </c>
      <c r="J98" s="16"/>
      <c r="K98" s="18"/>
      <c r="L98" s="19">
        <f>(C98*D98*K98/1000)</f>
        <v>0</v>
      </c>
      <c r="M98" s="16"/>
      <c r="N98" s="18"/>
      <c r="O98" s="19">
        <f>(C98*D98*N98/1000)</f>
        <v>0</v>
      </c>
      <c r="P98" s="16"/>
      <c r="Q98" s="18"/>
      <c r="R98" s="19">
        <f>(C98*D98*Q98/1000)</f>
        <v>0</v>
      </c>
      <c r="S98" s="20">
        <f t="shared" si="193"/>
        <v>4</v>
      </c>
      <c r="T98" s="19">
        <f t="shared" si="194"/>
        <v>0.35928799999999994</v>
      </c>
      <c r="U98" s="21">
        <f t="shared" si="195"/>
        <v>-4</v>
      </c>
      <c r="V98" s="19">
        <f t="shared" si="195"/>
        <v>-0.35928799999999994</v>
      </c>
    </row>
    <row r="99" spans="1:22">
      <c r="A99" s="36"/>
      <c r="B99" s="36"/>
      <c r="C99" s="37"/>
      <c r="D99" s="38"/>
      <c r="E99" s="31">
        <f>SUM(E96:E98)</f>
        <v>152</v>
      </c>
      <c r="F99" s="38">
        <f>SUM(F96:F98)</f>
        <v>14.145575999999998</v>
      </c>
      <c r="G99" s="26"/>
      <c r="H99" s="31">
        <f>SUM(H96:H98)</f>
        <v>152</v>
      </c>
      <c r="I99" s="38">
        <f>SUM(I96:I98)</f>
        <v>14.164095999999999</v>
      </c>
      <c r="J99" s="26"/>
      <c r="K99" s="31">
        <f>SUM(K96:K98)</f>
        <v>0</v>
      </c>
      <c r="L99" s="38">
        <f>SUM(L96:L98)</f>
        <v>0</v>
      </c>
      <c r="M99" s="26"/>
      <c r="N99" s="31">
        <f>SUM(N96:N98)</f>
        <v>0</v>
      </c>
      <c r="O99" s="38">
        <f>SUM(O96:O98)</f>
        <v>0</v>
      </c>
      <c r="P99" s="26"/>
      <c r="Q99" s="31">
        <f t="shared" ref="Q99:V99" si="199">SUM(Q96:Q98)</f>
        <v>0</v>
      </c>
      <c r="R99" s="38">
        <f t="shared" si="199"/>
        <v>0</v>
      </c>
      <c r="S99" s="31">
        <f t="shared" si="199"/>
        <v>152</v>
      </c>
      <c r="T99" s="38">
        <f t="shared" si="199"/>
        <v>14.164095999999999</v>
      </c>
      <c r="U99" s="31">
        <f t="shared" si="199"/>
        <v>0</v>
      </c>
      <c r="V99" s="38">
        <f t="shared" si="199"/>
        <v>-1.8520000000000203E-2</v>
      </c>
    </row>
    <row r="100" spans="1:22">
      <c r="A100" s="26" t="s">
        <v>14</v>
      </c>
      <c r="B100" s="26" t="s">
        <v>31</v>
      </c>
      <c r="C100" s="30">
        <v>10.199999999999999</v>
      </c>
      <c r="D100" s="27">
        <v>7.4</v>
      </c>
      <c r="E100" s="78">
        <v>108</v>
      </c>
      <c r="F100" s="16">
        <f t="shared" ref="F100:F105" si="200">(C100*D100*E100/1000)</f>
        <v>8.15184</v>
      </c>
      <c r="G100" s="17" t="s">
        <v>455</v>
      </c>
      <c r="H100" s="18">
        <v>32</v>
      </c>
      <c r="I100" s="19">
        <f t="shared" ref="I100:I105" si="201">(C100*D100*H100/1000)</f>
        <v>2.4153600000000002</v>
      </c>
      <c r="J100" s="16" t="s">
        <v>93</v>
      </c>
      <c r="K100" s="18">
        <v>75</v>
      </c>
      <c r="L100" s="19">
        <f t="shared" ref="L100:L105" si="202">(C100*D100*K100/1000)</f>
        <v>5.6609999999999996</v>
      </c>
      <c r="M100" s="16"/>
      <c r="N100" s="18"/>
      <c r="O100" s="19">
        <f t="shared" ref="O100:O105" si="203">(C100*D100*N100/1000)</f>
        <v>0</v>
      </c>
      <c r="P100" s="16"/>
      <c r="Q100" s="18"/>
      <c r="R100" s="19">
        <f t="shared" ref="R100:R105" si="204">(C100*D100*Q100/1000)</f>
        <v>0</v>
      </c>
      <c r="S100" s="20">
        <f t="shared" ref="S100:S105" si="205">+H100+K100+Q100+N100</f>
        <v>107</v>
      </c>
      <c r="T100" s="19">
        <f t="shared" ref="T100:T105" si="206">+I100+L100+R100+O100</f>
        <v>8.0763599999999993</v>
      </c>
      <c r="U100" s="21">
        <f t="shared" ref="U100:V105" si="207">E100-S100</f>
        <v>1</v>
      </c>
      <c r="V100" s="19">
        <f t="shared" si="207"/>
        <v>7.5480000000000658E-2</v>
      </c>
    </row>
    <row r="101" spans="1:22">
      <c r="A101" s="26" t="s">
        <v>14</v>
      </c>
      <c r="B101" s="26" t="s">
        <v>31</v>
      </c>
      <c r="C101" s="30">
        <v>10.199999999999999</v>
      </c>
      <c r="D101" s="27">
        <v>7.6</v>
      </c>
      <c r="E101" s="78">
        <v>88</v>
      </c>
      <c r="F101" s="16">
        <f t="shared" si="200"/>
        <v>6.8217599999999994</v>
      </c>
      <c r="G101" s="17" t="s">
        <v>454</v>
      </c>
      <c r="H101" s="18">
        <v>60</v>
      </c>
      <c r="I101" s="19">
        <f t="shared" si="201"/>
        <v>4.6512000000000002</v>
      </c>
      <c r="J101" s="16" t="s">
        <v>458</v>
      </c>
      <c r="K101" s="18">
        <v>33</v>
      </c>
      <c r="L101" s="19">
        <f t="shared" si="202"/>
        <v>2.55816</v>
      </c>
      <c r="M101" s="16"/>
      <c r="N101" s="18"/>
      <c r="O101" s="19">
        <f t="shared" si="203"/>
        <v>0</v>
      </c>
      <c r="P101" s="16"/>
      <c r="Q101" s="18"/>
      <c r="R101" s="19">
        <f t="shared" si="204"/>
        <v>0</v>
      </c>
      <c r="S101" s="20">
        <f t="shared" si="205"/>
        <v>93</v>
      </c>
      <c r="T101" s="19">
        <f t="shared" si="206"/>
        <v>7.2093600000000002</v>
      </c>
      <c r="U101" s="21">
        <f t="shared" si="207"/>
        <v>-5</v>
      </c>
      <c r="V101" s="19">
        <f t="shared" si="207"/>
        <v>-0.38760000000000083</v>
      </c>
    </row>
    <row r="102" spans="1:22">
      <c r="A102" s="26" t="s">
        <v>14</v>
      </c>
      <c r="B102" s="26" t="s">
        <v>31</v>
      </c>
      <c r="C102" s="30">
        <v>10.199999999999999</v>
      </c>
      <c r="D102" s="27">
        <v>8.1999999999999993</v>
      </c>
      <c r="E102" s="78">
        <v>108</v>
      </c>
      <c r="F102" s="16">
        <f t="shared" si="200"/>
        <v>9.0331199999999985</v>
      </c>
      <c r="G102" s="17"/>
      <c r="H102" s="18">
        <v>65</v>
      </c>
      <c r="I102" s="19">
        <f t="shared" si="201"/>
        <v>5.4365999999999994</v>
      </c>
      <c r="J102" s="16"/>
      <c r="K102" s="18">
        <v>42</v>
      </c>
      <c r="L102" s="19">
        <f t="shared" si="202"/>
        <v>3.5128799999999991</v>
      </c>
      <c r="M102" s="16"/>
      <c r="N102" s="18"/>
      <c r="O102" s="19">
        <f t="shared" si="203"/>
        <v>0</v>
      </c>
      <c r="P102" s="16"/>
      <c r="Q102" s="18"/>
      <c r="R102" s="19">
        <f t="shared" si="204"/>
        <v>0</v>
      </c>
      <c r="S102" s="20">
        <f t="shared" si="205"/>
        <v>107</v>
      </c>
      <c r="T102" s="19">
        <f t="shared" si="206"/>
        <v>8.9494799999999977</v>
      </c>
      <c r="U102" s="21">
        <f t="shared" si="207"/>
        <v>1</v>
      </c>
      <c r="V102" s="19">
        <f t="shared" si="207"/>
        <v>8.3640000000000825E-2</v>
      </c>
    </row>
    <row r="103" spans="1:22">
      <c r="A103" s="26" t="s">
        <v>14</v>
      </c>
      <c r="B103" s="26" t="s">
        <v>31</v>
      </c>
      <c r="C103" s="30">
        <v>10.199999999999999</v>
      </c>
      <c r="D103" s="27">
        <v>10.4</v>
      </c>
      <c r="E103" s="78">
        <v>54</v>
      </c>
      <c r="F103" s="16">
        <f t="shared" si="200"/>
        <v>5.7283200000000001</v>
      </c>
      <c r="G103" s="17"/>
      <c r="H103" s="18">
        <v>33</v>
      </c>
      <c r="I103" s="19">
        <f t="shared" si="201"/>
        <v>3.5006399999999998</v>
      </c>
      <c r="J103" s="16"/>
      <c r="K103" s="18">
        <v>20</v>
      </c>
      <c r="L103" s="19">
        <f t="shared" si="202"/>
        <v>2.1215999999999999</v>
      </c>
      <c r="M103" s="16"/>
      <c r="N103" s="18"/>
      <c r="O103" s="19">
        <f t="shared" si="203"/>
        <v>0</v>
      </c>
      <c r="P103" s="16"/>
      <c r="Q103" s="18"/>
      <c r="R103" s="19">
        <f t="shared" si="204"/>
        <v>0</v>
      </c>
      <c r="S103" s="20">
        <f t="shared" si="205"/>
        <v>53</v>
      </c>
      <c r="T103" s="19">
        <f t="shared" si="206"/>
        <v>5.6222399999999997</v>
      </c>
      <c r="U103" s="21">
        <f t="shared" si="207"/>
        <v>1</v>
      </c>
      <c r="V103" s="19">
        <f t="shared" si="207"/>
        <v>0.1060800000000004</v>
      </c>
    </row>
    <row r="104" spans="1:22">
      <c r="A104" s="26" t="s">
        <v>14</v>
      </c>
      <c r="B104" s="26" t="s">
        <v>31</v>
      </c>
      <c r="C104" s="30">
        <v>10.199999999999999</v>
      </c>
      <c r="D104" s="27">
        <v>11.5</v>
      </c>
      <c r="E104" s="78">
        <v>44</v>
      </c>
      <c r="F104" s="16">
        <f t="shared" si="200"/>
        <v>5.1612</v>
      </c>
      <c r="G104" s="17"/>
      <c r="H104" s="18">
        <v>15</v>
      </c>
      <c r="I104" s="19">
        <f t="shared" si="201"/>
        <v>1.7595000000000001</v>
      </c>
      <c r="J104" s="16"/>
      <c r="K104" s="18">
        <v>29</v>
      </c>
      <c r="L104" s="19">
        <f t="shared" si="202"/>
        <v>3.4016999999999999</v>
      </c>
      <c r="M104" s="16"/>
      <c r="N104" s="18"/>
      <c r="O104" s="19">
        <f t="shared" si="203"/>
        <v>0</v>
      </c>
      <c r="P104" s="16"/>
      <c r="Q104" s="18"/>
      <c r="R104" s="19">
        <f t="shared" si="204"/>
        <v>0</v>
      </c>
      <c r="S104" s="20">
        <f t="shared" si="205"/>
        <v>44</v>
      </c>
      <c r="T104" s="19">
        <f t="shared" si="206"/>
        <v>5.1612</v>
      </c>
      <c r="U104" s="21">
        <f t="shared" si="207"/>
        <v>0</v>
      </c>
      <c r="V104" s="19">
        <f t="shared" si="207"/>
        <v>0</v>
      </c>
    </row>
    <row r="105" spans="1:22">
      <c r="A105" s="26" t="s">
        <v>14</v>
      </c>
      <c r="B105" s="26" t="s">
        <v>31</v>
      </c>
      <c r="C105" s="30">
        <v>10.199999999999999</v>
      </c>
      <c r="D105" s="27">
        <v>11.9</v>
      </c>
      <c r="E105" s="78">
        <v>113</v>
      </c>
      <c r="F105" s="16">
        <f t="shared" si="200"/>
        <v>13.715939999999998</v>
      </c>
      <c r="G105" s="17"/>
      <c r="H105" s="18">
        <v>70</v>
      </c>
      <c r="I105" s="19">
        <f t="shared" si="201"/>
        <v>8.4966000000000008</v>
      </c>
      <c r="J105" s="16"/>
      <c r="K105" s="18">
        <f>11+32</f>
        <v>43</v>
      </c>
      <c r="L105" s="19">
        <f t="shared" si="202"/>
        <v>5.2193399999999999</v>
      </c>
      <c r="M105" s="16"/>
      <c r="N105" s="18"/>
      <c r="O105" s="19">
        <f t="shared" si="203"/>
        <v>0</v>
      </c>
      <c r="P105" s="16"/>
      <c r="Q105" s="18"/>
      <c r="R105" s="19">
        <f t="shared" si="204"/>
        <v>0</v>
      </c>
      <c r="S105" s="20">
        <f t="shared" si="205"/>
        <v>113</v>
      </c>
      <c r="T105" s="19">
        <f t="shared" si="206"/>
        <v>13.71594</v>
      </c>
      <c r="U105" s="21">
        <f t="shared" si="207"/>
        <v>0</v>
      </c>
      <c r="V105" s="19">
        <f t="shared" si="207"/>
        <v>0</v>
      </c>
    </row>
    <row r="106" spans="1:22">
      <c r="A106" s="36"/>
      <c r="B106" s="36"/>
      <c r="C106" s="37"/>
      <c r="D106" s="38"/>
      <c r="E106" s="31">
        <f t="shared" ref="E106:F106" si="208">SUM(E100:E105)</f>
        <v>515</v>
      </c>
      <c r="F106" s="38">
        <f t="shared" si="208"/>
        <v>48.612179999999995</v>
      </c>
      <c r="G106" s="26"/>
      <c r="H106" s="31">
        <f t="shared" ref="H106" si="209">SUM(H100:H105)</f>
        <v>275</v>
      </c>
      <c r="I106" s="38">
        <f t="shared" ref="I106" si="210">SUM(I100:I105)</f>
        <v>26.259900000000002</v>
      </c>
      <c r="J106" s="26"/>
      <c r="K106" s="31">
        <f t="shared" ref="K106" si="211">SUM(K100:K105)</f>
        <v>242</v>
      </c>
      <c r="L106" s="38">
        <f t="shared" ref="L106" si="212">SUM(L100:L105)</f>
        <v>22.474679999999996</v>
      </c>
      <c r="M106" s="26"/>
      <c r="N106" s="31">
        <f t="shared" ref="N106" si="213">SUM(N100:N105)</f>
        <v>0</v>
      </c>
      <c r="O106" s="38">
        <f t="shared" ref="O106" si="214">SUM(O100:O105)</f>
        <v>0</v>
      </c>
      <c r="P106" s="26"/>
      <c r="Q106" s="31">
        <f t="shared" ref="Q106" si="215">SUM(Q100:Q105)</f>
        <v>0</v>
      </c>
      <c r="R106" s="38">
        <f t="shared" ref="R106" si="216">SUM(R100:R105)</f>
        <v>0</v>
      </c>
      <c r="S106" s="31">
        <f t="shared" ref="S106" si="217">SUM(S100:S105)</f>
        <v>517</v>
      </c>
      <c r="T106" s="38">
        <f t="shared" ref="T106" si="218">SUM(T100:T105)</f>
        <v>48.734579999999994</v>
      </c>
      <c r="U106" s="31">
        <f t="shared" ref="U106" si="219">SUM(U100:U105)</f>
        <v>-2</v>
      </c>
      <c r="V106" s="38">
        <f t="shared" ref="V106" si="220">SUM(V100:V105)</f>
        <v>-0.12239999999999895</v>
      </c>
    </row>
    <row r="107" spans="1:22">
      <c r="A107" s="26" t="s">
        <v>14</v>
      </c>
      <c r="B107" s="26" t="s">
        <v>34</v>
      </c>
      <c r="C107" s="30">
        <v>5.77</v>
      </c>
      <c r="D107" s="27">
        <v>11.5</v>
      </c>
      <c r="E107" s="78">
        <v>82</v>
      </c>
      <c r="F107" s="16">
        <f t="shared" ref="F107:F108" si="221">(C107*D107*E107/1000)</f>
        <v>5.4411099999999983</v>
      </c>
      <c r="G107" s="17" t="s">
        <v>86</v>
      </c>
      <c r="H107" s="18">
        <v>82</v>
      </c>
      <c r="I107" s="19">
        <f>(C107*D107*H107/1000)</f>
        <v>5.4411099999999983</v>
      </c>
      <c r="J107" s="16"/>
      <c r="K107" s="18"/>
      <c r="L107" s="19">
        <f>(C107*D107*K107/1000)</f>
        <v>0</v>
      </c>
      <c r="M107" s="16"/>
      <c r="N107" s="18"/>
      <c r="O107" s="19">
        <f>(C107*D107*N107/1000)</f>
        <v>0</v>
      </c>
      <c r="P107" s="16"/>
      <c r="Q107" s="18"/>
      <c r="R107" s="19">
        <f>(C107*D107*Q107/1000)</f>
        <v>0</v>
      </c>
      <c r="S107" s="20">
        <f t="shared" ref="S107:S108" si="222">+H107+K107+Q107+N107</f>
        <v>82</v>
      </c>
      <c r="T107" s="19">
        <f t="shared" ref="T107:T108" si="223">+I107+L107+R107+O107</f>
        <v>5.4411099999999983</v>
      </c>
      <c r="U107" s="21">
        <f>E107-S107</f>
        <v>0</v>
      </c>
      <c r="V107" s="19">
        <f>F107-T107</f>
        <v>0</v>
      </c>
    </row>
    <row r="108" spans="1:22">
      <c r="A108" s="26" t="s">
        <v>14</v>
      </c>
      <c r="B108" s="26" t="s">
        <v>34</v>
      </c>
      <c r="C108" s="30">
        <v>5.77</v>
      </c>
      <c r="D108" s="27">
        <v>11.7</v>
      </c>
      <c r="E108" s="78">
        <v>63</v>
      </c>
      <c r="F108" s="16">
        <f t="shared" si="221"/>
        <v>4.2530669999999988</v>
      </c>
      <c r="G108" s="17" t="s">
        <v>458</v>
      </c>
      <c r="H108" s="18">
        <v>63</v>
      </c>
      <c r="I108" s="19">
        <f>(C108*D108*H108/1000)</f>
        <v>4.2530669999999988</v>
      </c>
      <c r="J108" s="16"/>
      <c r="K108" s="18"/>
      <c r="L108" s="19">
        <f>(C108*D108*K108/1000)</f>
        <v>0</v>
      </c>
      <c r="M108" s="16"/>
      <c r="N108" s="18"/>
      <c r="O108" s="19">
        <f>(C108*D108*N108/1000)</f>
        <v>0</v>
      </c>
      <c r="P108" s="16"/>
      <c r="Q108" s="18"/>
      <c r="R108" s="19">
        <f>(C108*D108*Q108/1000)</f>
        <v>0</v>
      </c>
      <c r="S108" s="20">
        <f t="shared" si="222"/>
        <v>63</v>
      </c>
      <c r="T108" s="19">
        <f t="shared" si="223"/>
        <v>4.2530669999999988</v>
      </c>
      <c r="U108" s="21">
        <f>E108-S108</f>
        <v>0</v>
      </c>
      <c r="V108" s="19">
        <f>F108-T108</f>
        <v>0</v>
      </c>
    </row>
    <row r="109" spans="1:22">
      <c r="A109" s="36"/>
      <c r="B109" s="36"/>
      <c r="C109" s="37"/>
      <c r="D109" s="38"/>
      <c r="E109" s="31">
        <f>SUM(E107:E108)</f>
        <v>145</v>
      </c>
      <c r="F109" s="38">
        <f>SUM(F107:F108)</f>
        <v>9.6941769999999963</v>
      </c>
      <c r="G109" s="26"/>
      <c r="H109" s="31">
        <f>SUM(H107:H108)</f>
        <v>145</v>
      </c>
      <c r="I109" s="38">
        <f>SUM(I107:I108)</f>
        <v>9.6941769999999963</v>
      </c>
      <c r="J109" s="26"/>
      <c r="K109" s="31">
        <f>SUM(K107:K108)</f>
        <v>0</v>
      </c>
      <c r="L109" s="38">
        <f>SUM(L107:L108)</f>
        <v>0</v>
      </c>
      <c r="M109" s="26"/>
      <c r="N109" s="31">
        <f>SUM(N107:N108)</f>
        <v>0</v>
      </c>
      <c r="O109" s="38">
        <f>SUM(O107:O108)</f>
        <v>0</v>
      </c>
      <c r="P109" s="26"/>
      <c r="Q109" s="31">
        <f t="shared" ref="Q109:V109" si="224">SUM(Q107:Q108)</f>
        <v>0</v>
      </c>
      <c r="R109" s="38">
        <f t="shared" si="224"/>
        <v>0</v>
      </c>
      <c r="S109" s="31">
        <f t="shared" si="224"/>
        <v>145</v>
      </c>
      <c r="T109" s="38">
        <f t="shared" si="224"/>
        <v>9.6941769999999963</v>
      </c>
      <c r="U109" s="31">
        <f t="shared" si="224"/>
        <v>0</v>
      </c>
      <c r="V109" s="38">
        <f t="shared" si="224"/>
        <v>0</v>
      </c>
    </row>
    <row r="110" spans="1:22">
      <c r="A110" s="26" t="s">
        <v>14</v>
      </c>
      <c r="B110" s="26" t="s">
        <v>36</v>
      </c>
      <c r="C110" s="30">
        <v>6.97</v>
      </c>
      <c r="D110" s="27">
        <v>10.4</v>
      </c>
      <c r="E110" s="78">
        <f>76-40</f>
        <v>36</v>
      </c>
      <c r="F110" s="16">
        <f t="shared" ref="F110:F111" si="225">(C110*D110*E110/1000)</f>
        <v>2.6095680000000003</v>
      </c>
      <c r="G110" s="16" t="s">
        <v>114</v>
      </c>
      <c r="H110" s="18">
        <v>22</v>
      </c>
      <c r="I110" s="19">
        <f>(C110*D110*H110/1000)</f>
        <v>1.5947359999999999</v>
      </c>
      <c r="J110" s="17" t="s">
        <v>93</v>
      </c>
      <c r="K110" s="18">
        <v>15</v>
      </c>
      <c r="L110" s="19">
        <f>(C110*D110*K110/1000)</f>
        <v>1.0873199999999998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 t="shared" ref="S110:S111" si="226">+H110+K110+Q110+N110</f>
        <v>37</v>
      </c>
      <c r="T110" s="19">
        <f t="shared" ref="T110:T111" si="227">+I110+L110+R110+O110</f>
        <v>2.6820559999999998</v>
      </c>
      <c r="U110" s="21">
        <f>E110-S110</f>
        <v>-1</v>
      </c>
      <c r="V110" s="19">
        <f>F110-T110</f>
        <v>-7.2487999999999442E-2</v>
      </c>
    </row>
    <row r="111" spans="1:22">
      <c r="A111" s="26" t="s">
        <v>14</v>
      </c>
      <c r="B111" s="26" t="s">
        <v>36</v>
      </c>
      <c r="C111" s="30">
        <v>6.97</v>
      </c>
      <c r="D111" s="27">
        <v>10.705</v>
      </c>
      <c r="E111" s="78">
        <f>79-49</f>
        <v>30</v>
      </c>
      <c r="F111" s="16">
        <f t="shared" si="225"/>
        <v>2.2384154999999999</v>
      </c>
      <c r="G111" s="16" t="s">
        <v>465</v>
      </c>
      <c r="H111" s="18">
        <v>15</v>
      </c>
      <c r="I111" s="19">
        <f>(C111*D111*H111/1000)</f>
        <v>1.1192077499999999</v>
      </c>
      <c r="J111" s="17" t="s">
        <v>469</v>
      </c>
      <c r="K111" s="18">
        <v>15</v>
      </c>
      <c r="L111" s="19">
        <f>(C111*D111*K111/1000)</f>
        <v>1.1192077499999999</v>
      </c>
      <c r="M111" s="16"/>
      <c r="N111" s="18"/>
      <c r="O111" s="19">
        <f>(C111*D111*N111/1000)</f>
        <v>0</v>
      </c>
      <c r="P111" s="16"/>
      <c r="Q111" s="18"/>
      <c r="R111" s="19">
        <f>(C111*D111*Q111/1000)</f>
        <v>0</v>
      </c>
      <c r="S111" s="20">
        <f t="shared" si="226"/>
        <v>30</v>
      </c>
      <c r="T111" s="19">
        <f t="shared" si="227"/>
        <v>2.2384154999999999</v>
      </c>
      <c r="U111" s="21">
        <f>E111-S111</f>
        <v>0</v>
      </c>
      <c r="V111" s="19">
        <f>F111-T111</f>
        <v>0</v>
      </c>
    </row>
    <row r="112" spans="1:22">
      <c r="A112" s="36"/>
      <c r="B112" s="96" t="s">
        <v>414</v>
      </c>
      <c r="C112" s="37"/>
      <c r="D112" s="38"/>
      <c r="E112" s="31">
        <f>SUM(E110:E111)</f>
        <v>66</v>
      </c>
      <c r="F112" s="38">
        <f>SUM(F110:F111)</f>
        <v>4.8479834999999998</v>
      </c>
      <c r="G112" s="26"/>
      <c r="H112" s="31">
        <f>SUM(H110:H111)</f>
        <v>37</v>
      </c>
      <c r="I112" s="38">
        <f>SUM(I110:I111)</f>
        <v>2.7139437499999999</v>
      </c>
      <c r="J112" s="26"/>
      <c r="K112" s="31">
        <f>SUM(K110:K111)</f>
        <v>30</v>
      </c>
      <c r="L112" s="38">
        <f>SUM(L110:L111)</f>
        <v>2.2065277499999998</v>
      </c>
      <c r="M112" s="26"/>
      <c r="N112" s="31">
        <f>SUM(N110:N111)</f>
        <v>0</v>
      </c>
      <c r="O112" s="38">
        <f>SUM(O110:O111)</f>
        <v>0</v>
      </c>
      <c r="P112" s="26"/>
      <c r="Q112" s="31">
        <f t="shared" ref="Q112:V112" si="228">SUM(Q110:Q111)</f>
        <v>0</v>
      </c>
      <c r="R112" s="38">
        <f t="shared" si="228"/>
        <v>0</v>
      </c>
      <c r="S112" s="31">
        <f t="shared" si="228"/>
        <v>67</v>
      </c>
      <c r="T112" s="38">
        <f t="shared" si="228"/>
        <v>4.9204714999999997</v>
      </c>
      <c r="U112" s="31">
        <f t="shared" si="228"/>
        <v>-1</v>
      </c>
      <c r="V112" s="38">
        <f t="shared" si="228"/>
        <v>-7.2487999999999442E-2</v>
      </c>
    </row>
    <row r="113" spans="1:22">
      <c r="A113" s="33"/>
      <c r="B113" s="33"/>
      <c r="C113" s="34"/>
      <c r="D113" s="34"/>
      <c r="E113" s="34">
        <f>SUM(E6:E112)/2</f>
        <v>4348</v>
      </c>
      <c r="F113" s="70">
        <f>SUM(F6:F112)/2</f>
        <v>470.58255049999997</v>
      </c>
      <c r="G113" s="26"/>
      <c r="H113" s="34">
        <f>SUM(H6:H112)/2</f>
        <v>2002</v>
      </c>
      <c r="I113" s="70">
        <f>SUM(I6:I112)/2</f>
        <v>225.73826674999998</v>
      </c>
      <c r="J113" s="26"/>
      <c r="K113" s="34">
        <f>SUM(K6:K112)/2</f>
        <v>1606</v>
      </c>
      <c r="L113" s="70">
        <f>SUM(L6:L112)/2</f>
        <v>155.03246374999995</v>
      </c>
      <c r="M113" s="26"/>
      <c r="N113" s="34">
        <f>SUM(N6:N112)/2</f>
        <v>575</v>
      </c>
      <c r="O113" s="70">
        <f>SUM(O6:O112)/2</f>
        <v>65.433997000000005</v>
      </c>
      <c r="P113" s="26"/>
      <c r="Q113" s="34">
        <f t="shared" ref="Q113:V113" si="229">SUM(Q6:Q112)/2</f>
        <v>187</v>
      </c>
      <c r="R113" s="70">
        <f t="shared" si="229"/>
        <v>25.917740000000002</v>
      </c>
      <c r="S113" s="34">
        <f t="shared" si="229"/>
        <v>4370</v>
      </c>
      <c r="T113" s="70">
        <f t="shared" si="229"/>
        <v>472.12246749999974</v>
      </c>
      <c r="U113" s="34">
        <f t="shared" si="229"/>
        <v>-22</v>
      </c>
      <c r="V113" s="70">
        <f t="shared" si="229"/>
        <v>-1.5399170000000126</v>
      </c>
    </row>
    <row r="118" spans="1:22" s="56" customFormat="1">
      <c r="A118" s="57" t="s">
        <v>14</v>
      </c>
      <c r="B118" s="57" t="s">
        <v>315</v>
      </c>
      <c r="C118" s="58">
        <v>4.6500000000000004</v>
      </c>
      <c r="D118" s="59">
        <v>10</v>
      </c>
      <c r="E118" s="82">
        <v>99</v>
      </c>
      <c r="F118" s="61">
        <f t="shared" ref="F118:F124" si="230">(C118*D118*E118/1000)</f>
        <v>4.6035000000000004</v>
      </c>
      <c r="G118" s="62"/>
      <c r="H118" s="63"/>
      <c r="I118" s="64">
        <f t="shared" ref="I118:I124" si="231">(C118*D118*H118/1000)</f>
        <v>0</v>
      </c>
      <c r="J118" s="61"/>
      <c r="K118" s="63"/>
      <c r="L118" s="64">
        <f t="shared" ref="L118:L124" si="232">(C118*D118*K118/1000)</f>
        <v>0</v>
      </c>
      <c r="M118" s="61"/>
      <c r="N118" s="63"/>
      <c r="O118" s="64">
        <f t="shared" ref="O118:O124" si="233">(C118*D118*N118/1000)</f>
        <v>0</v>
      </c>
      <c r="P118" s="61"/>
      <c r="Q118" s="63"/>
      <c r="R118" s="64">
        <f t="shared" ref="R118:R124" si="234">(C118*D118*Q118/1000)</f>
        <v>0</v>
      </c>
      <c r="S118" s="65">
        <f t="shared" ref="S118:S124" si="235">+H118+K118+Q118+N118</f>
        <v>0</v>
      </c>
      <c r="T118" s="64">
        <f t="shared" ref="T118:T124" si="236">+I118+L118+R118+O118</f>
        <v>0</v>
      </c>
      <c r="U118" s="42">
        <f t="shared" ref="U118:V124" si="237">E118-S118</f>
        <v>99</v>
      </c>
      <c r="V118" s="64">
        <f t="shared" si="237"/>
        <v>4.6035000000000004</v>
      </c>
    </row>
    <row r="119" spans="1:22" s="56" customFormat="1">
      <c r="A119" s="57" t="s">
        <v>14</v>
      </c>
      <c r="B119" s="57" t="s">
        <v>315</v>
      </c>
      <c r="C119" s="58">
        <v>4.6500000000000004</v>
      </c>
      <c r="D119" s="59">
        <v>10.5</v>
      </c>
      <c r="E119" s="82">
        <v>83</v>
      </c>
      <c r="F119" s="61">
        <f t="shared" si="230"/>
        <v>4.0524750000000003</v>
      </c>
      <c r="G119" s="62"/>
      <c r="H119" s="63"/>
      <c r="I119" s="64">
        <f t="shared" si="231"/>
        <v>0</v>
      </c>
      <c r="J119" s="61"/>
      <c r="K119" s="63"/>
      <c r="L119" s="64">
        <f t="shared" si="232"/>
        <v>0</v>
      </c>
      <c r="M119" s="61"/>
      <c r="N119" s="63"/>
      <c r="O119" s="64">
        <f t="shared" si="233"/>
        <v>0</v>
      </c>
      <c r="P119" s="61"/>
      <c r="Q119" s="63"/>
      <c r="R119" s="64">
        <f t="shared" si="234"/>
        <v>0</v>
      </c>
      <c r="S119" s="65">
        <f t="shared" si="235"/>
        <v>0</v>
      </c>
      <c r="T119" s="64">
        <f t="shared" si="236"/>
        <v>0</v>
      </c>
      <c r="U119" s="42">
        <f t="shared" si="237"/>
        <v>83</v>
      </c>
      <c r="V119" s="64">
        <f t="shared" si="237"/>
        <v>4.0524750000000003</v>
      </c>
    </row>
    <row r="120" spans="1:22" s="56" customFormat="1">
      <c r="A120" s="57" t="s">
        <v>14</v>
      </c>
      <c r="B120" s="57" t="s">
        <v>315</v>
      </c>
      <c r="C120" s="58">
        <v>4.6500000000000004</v>
      </c>
      <c r="D120" s="59">
        <v>11</v>
      </c>
      <c r="E120" s="82">
        <v>56</v>
      </c>
      <c r="F120" s="61">
        <f t="shared" si="230"/>
        <v>2.8644000000000007</v>
      </c>
      <c r="G120" s="62"/>
      <c r="H120" s="63"/>
      <c r="I120" s="64">
        <f t="shared" si="231"/>
        <v>0</v>
      </c>
      <c r="J120" s="61"/>
      <c r="K120" s="63"/>
      <c r="L120" s="64">
        <f t="shared" si="232"/>
        <v>0</v>
      </c>
      <c r="M120" s="61"/>
      <c r="N120" s="63"/>
      <c r="O120" s="64">
        <f t="shared" si="233"/>
        <v>0</v>
      </c>
      <c r="P120" s="61"/>
      <c r="Q120" s="63"/>
      <c r="R120" s="64">
        <f t="shared" si="234"/>
        <v>0</v>
      </c>
      <c r="S120" s="65">
        <f t="shared" si="235"/>
        <v>0</v>
      </c>
      <c r="T120" s="64">
        <f t="shared" si="236"/>
        <v>0</v>
      </c>
      <c r="U120" s="42">
        <f t="shared" si="237"/>
        <v>56</v>
      </c>
      <c r="V120" s="64">
        <f t="shared" si="237"/>
        <v>2.8644000000000007</v>
      </c>
    </row>
    <row r="121" spans="1:22" s="56" customFormat="1">
      <c r="A121" s="57" t="s">
        <v>14</v>
      </c>
      <c r="B121" s="57" t="s">
        <v>315</v>
      </c>
      <c r="C121" s="58">
        <v>4.6500000000000004</v>
      </c>
      <c r="D121" s="59">
        <v>11.2</v>
      </c>
      <c r="E121" s="82">
        <v>166</v>
      </c>
      <c r="F121" s="61">
        <f t="shared" si="230"/>
        <v>8.6452799999999996</v>
      </c>
      <c r="G121" s="62"/>
      <c r="H121" s="63"/>
      <c r="I121" s="64">
        <f t="shared" si="231"/>
        <v>0</v>
      </c>
      <c r="J121" s="61"/>
      <c r="K121" s="63"/>
      <c r="L121" s="64">
        <f t="shared" si="232"/>
        <v>0</v>
      </c>
      <c r="M121" s="61"/>
      <c r="N121" s="63"/>
      <c r="O121" s="64">
        <f t="shared" si="233"/>
        <v>0</v>
      </c>
      <c r="P121" s="61"/>
      <c r="Q121" s="63"/>
      <c r="R121" s="64">
        <f t="shared" si="234"/>
        <v>0</v>
      </c>
      <c r="S121" s="65">
        <f t="shared" si="235"/>
        <v>0</v>
      </c>
      <c r="T121" s="64">
        <f t="shared" si="236"/>
        <v>0</v>
      </c>
      <c r="U121" s="42">
        <f t="shared" si="237"/>
        <v>166</v>
      </c>
      <c r="V121" s="64">
        <f t="shared" si="237"/>
        <v>8.6452799999999996</v>
      </c>
    </row>
    <row r="122" spans="1:22" s="56" customFormat="1">
      <c r="A122" s="57" t="s">
        <v>14</v>
      </c>
      <c r="B122" s="57" t="s">
        <v>315</v>
      </c>
      <c r="C122" s="58">
        <v>4.6500000000000004</v>
      </c>
      <c r="D122" s="59">
        <v>11.5</v>
      </c>
      <c r="E122" s="82">
        <v>302</v>
      </c>
      <c r="F122" s="61">
        <f t="shared" si="230"/>
        <v>16.149450000000002</v>
      </c>
      <c r="G122" s="62"/>
      <c r="H122" s="63"/>
      <c r="I122" s="64">
        <f t="shared" si="231"/>
        <v>0</v>
      </c>
      <c r="J122" s="61"/>
      <c r="K122" s="63"/>
      <c r="L122" s="64">
        <f t="shared" si="232"/>
        <v>0</v>
      </c>
      <c r="M122" s="61"/>
      <c r="N122" s="63"/>
      <c r="O122" s="64">
        <f t="shared" si="233"/>
        <v>0</v>
      </c>
      <c r="P122" s="61"/>
      <c r="Q122" s="63"/>
      <c r="R122" s="64">
        <f t="shared" si="234"/>
        <v>0</v>
      </c>
      <c r="S122" s="65">
        <f t="shared" si="235"/>
        <v>0</v>
      </c>
      <c r="T122" s="64">
        <f t="shared" si="236"/>
        <v>0</v>
      </c>
      <c r="U122" s="42">
        <f t="shared" si="237"/>
        <v>302</v>
      </c>
      <c r="V122" s="64">
        <f t="shared" si="237"/>
        <v>16.149450000000002</v>
      </c>
    </row>
    <row r="123" spans="1:22" s="56" customFormat="1">
      <c r="A123" s="57" t="s">
        <v>14</v>
      </c>
      <c r="B123" s="57" t="s">
        <v>315</v>
      </c>
      <c r="C123" s="58">
        <v>4.6500000000000004</v>
      </c>
      <c r="D123" s="59">
        <v>11.8</v>
      </c>
      <c r="E123" s="82">
        <v>228</v>
      </c>
      <c r="F123" s="61">
        <f t="shared" si="230"/>
        <v>12.51036</v>
      </c>
      <c r="G123" s="62"/>
      <c r="H123" s="63"/>
      <c r="I123" s="64">
        <f t="shared" si="231"/>
        <v>0</v>
      </c>
      <c r="J123" s="61"/>
      <c r="K123" s="63"/>
      <c r="L123" s="64">
        <f t="shared" si="232"/>
        <v>0</v>
      </c>
      <c r="M123" s="61"/>
      <c r="N123" s="63"/>
      <c r="O123" s="64">
        <f t="shared" si="233"/>
        <v>0</v>
      </c>
      <c r="P123" s="61"/>
      <c r="Q123" s="63"/>
      <c r="R123" s="64">
        <f t="shared" si="234"/>
        <v>0</v>
      </c>
      <c r="S123" s="65">
        <f t="shared" si="235"/>
        <v>0</v>
      </c>
      <c r="T123" s="64">
        <f t="shared" si="236"/>
        <v>0</v>
      </c>
      <c r="U123" s="42">
        <f t="shared" si="237"/>
        <v>228</v>
      </c>
      <c r="V123" s="64">
        <f t="shared" si="237"/>
        <v>12.51036</v>
      </c>
    </row>
    <row r="124" spans="1:22" s="56" customFormat="1">
      <c r="A124" s="57" t="s">
        <v>14</v>
      </c>
      <c r="B124" s="57" t="s">
        <v>315</v>
      </c>
      <c r="C124" s="58">
        <v>4.6500000000000004</v>
      </c>
      <c r="D124" s="59">
        <v>12</v>
      </c>
      <c r="E124" s="82">
        <v>107</v>
      </c>
      <c r="F124" s="61">
        <f t="shared" si="230"/>
        <v>5.9706000000000001</v>
      </c>
      <c r="G124" s="62"/>
      <c r="H124" s="63"/>
      <c r="I124" s="64">
        <f t="shared" si="231"/>
        <v>0</v>
      </c>
      <c r="J124" s="61"/>
      <c r="K124" s="63"/>
      <c r="L124" s="64">
        <f t="shared" si="232"/>
        <v>0</v>
      </c>
      <c r="M124" s="61"/>
      <c r="N124" s="63"/>
      <c r="O124" s="64">
        <f t="shared" si="233"/>
        <v>0</v>
      </c>
      <c r="P124" s="61"/>
      <c r="Q124" s="63"/>
      <c r="R124" s="64">
        <f t="shared" si="234"/>
        <v>0</v>
      </c>
      <c r="S124" s="65">
        <f t="shared" si="235"/>
        <v>0</v>
      </c>
      <c r="T124" s="64">
        <f t="shared" si="236"/>
        <v>0</v>
      </c>
      <c r="U124" s="42">
        <f t="shared" si="237"/>
        <v>107</v>
      </c>
      <c r="V124" s="64">
        <f t="shared" si="237"/>
        <v>5.9706000000000001</v>
      </c>
    </row>
    <row r="125" spans="1:22" s="56" customFormat="1">
      <c r="A125" s="41"/>
      <c r="B125" s="41"/>
      <c r="C125" s="66"/>
      <c r="D125" s="67"/>
      <c r="E125" s="68">
        <f t="shared" ref="E125:F125" si="238">SUM(E118:E124)</f>
        <v>1041</v>
      </c>
      <c r="F125" s="67">
        <f t="shared" si="238"/>
        <v>54.796064999999999</v>
      </c>
      <c r="G125" s="57"/>
      <c r="H125" s="68">
        <f t="shared" ref="H125" si="239">SUM(H118:H124)</f>
        <v>0</v>
      </c>
      <c r="I125" s="67">
        <f t="shared" ref="I125" si="240">SUM(I118:I124)</f>
        <v>0</v>
      </c>
      <c r="J125" s="57"/>
      <c r="K125" s="68">
        <f t="shared" ref="K125" si="241">SUM(K118:K124)</f>
        <v>0</v>
      </c>
      <c r="L125" s="67">
        <f t="shared" ref="L125" si="242">SUM(L118:L124)</f>
        <v>0</v>
      </c>
      <c r="M125" s="57"/>
      <c r="N125" s="68">
        <f t="shared" ref="N125" si="243">SUM(N118:N124)</f>
        <v>0</v>
      </c>
      <c r="O125" s="67">
        <f t="shared" ref="O125" si="244">SUM(O118:O124)</f>
        <v>0</v>
      </c>
      <c r="P125" s="57"/>
      <c r="Q125" s="68">
        <f t="shared" ref="Q125" si="245">SUM(Q118:Q124)</f>
        <v>0</v>
      </c>
      <c r="R125" s="67">
        <f t="shared" ref="R125" si="246">SUM(R118:R124)</f>
        <v>0</v>
      </c>
      <c r="S125" s="68">
        <f t="shared" ref="S125" si="247">SUM(S118:S124)</f>
        <v>0</v>
      </c>
      <c r="T125" s="67">
        <f t="shared" ref="T125" si="248">SUM(T118:T124)</f>
        <v>0</v>
      </c>
      <c r="U125" s="68">
        <f t="shared" ref="U125" si="249">SUM(U118:U124)</f>
        <v>1041</v>
      </c>
      <c r="V125" s="67">
        <f t="shared" ref="V125" si="250">SUM(V118:V124)</f>
        <v>54.796064999999999</v>
      </c>
    </row>
    <row r="126" spans="1:22" s="56" customFormat="1">
      <c r="A126" s="57" t="s">
        <v>13</v>
      </c>
      <c r="B126" s="57" t="s">
        <v>315</v>
      </c>
      <c r="C126" s="58">
        <v>4.6500000000000004</v>
      </c>
      <c r="D126" s="59">
        <v>7.8</v>
      </c>
      <c r="E126" s="82">
        <v>135</v>
      </c>
      <c r="F126" s="61">
        <f t="shared" ref="F126:F131" si="251">(C126*D126*E126/1000)</f>
        <v>4.8964500000000006</v>
      </c>
      <c r="G126" s="62"/>
      <c r="H126" s="63"/>
      <c r="I126" s="64">
        <f t="shared" ref="I126:I131" si="252">(C126*D126*H126/1000)</f>
        <v>0</v>
      </c>
      <c r="J126" s="61"/>
      <c r="K126" s="63"/>
      <c r="L126" s="64">
        <f t="shared" ref="L126:L131" si="253">(C126*D126*K126/1000)</f>
        <v>0</v>
      </c>
      <c r="M126" s="61"/>
      <c r="N126" s="63"/>
      <c r="O126" s="64">
        <f t="shared" ref="O126:O131" si="254">(C126*D126*N126/1000)</f>
        <v>0</v>
      </c>
      <c r="P126" s="61"/>
      <c r="Q126" s="63"/>
      <c r="R126" s="64">
        <f t="shared" ref="R126:R131" si="255">(C126*D126*Q126/1000)</f>
        <v>0</v>
      </c>
      <c r="S126" s="65">
        <f t="shared" ref="S126:S131" si="256">+H126+K126+Q126+N126</f>
        <v>0</v>
      </c>
      <c r="T126" s="64">
        <f t="shared" ref="T126:T131" si="257">+I126+L126+R126+O126</f>
        <v>0</v>
      </c>
      <c r="U126" s="42">
        <f t="shared" ref="U126:V131" si="258">E126-S126</f>
        <v>135</v>
      </c>
      <c r="V126" s="64">
        <f t="shared" si="258"/>
        <v>4.8964500000000006</v>
      </c>
    </row>
    <row r="127" spans="1:22" s="56" customFormat="1">
      <c r="A127" s="57" t="s">
        <v>13</v>
      </c>
      <c r="B127" s="57" t="s">
        <v>315</v>
      </c>
      <c r="C127" s="58">
        <v>4.6500000000000004</v>
      </c>
      <c r="D127" s="59">
        <v>8.1999999999999993</v>
      </c>
      <c r="E127" s="82">
        <v>108</v>
      </c>
      <c r="F127" s="61">
        <f t="shared" si="251"/>
        <v>4.1180399999999997</v>
      </c>
      <c r="G127" s="62"/>
      <c r="H127" s="63"/>
      <c r="I127" s="64">
        <f t="shared" si="252"/>
        <v>0</v>
      </c>
      <c r="J127" s="61"/>
      <c r="K127" s="63"/>
      <c r="L127" s="64">
        <f t="shared" si="253"/>
        <v>0</v>
      </c>
      <c r="M127" s="61"/>
      <c r="N127" s="63"/>
      <c r="O127" s="64">
        <f t="shared" si="254"/>
        <v>0</v>
      </c>
      <c r="P127" s="61"/>
      <c r="Q127" s="63"/>
      <c r="R127" s="64">
        <f t="shared" si="255"/>
        <v>0</v>
      </c>
      <c r="S127" s="65">
        <f t="shared" si="256"/>
        <v>0</v>
      </c>
      <c r="T127" s="64">
        <f t="shared" si="257"/>
        <v>0</v>
      </c>
      <c r="U127" s="42">
        <f t="shared" si="258"/>
        <v>108</v>
      </c>
      <c r="V127" s="64">
        <f t="shared" si="258"/>
        <v>4.1180399999999997</v>
      </c>
    </row>
    <row r="128" spans="1:22" s="56" customFormat="1">
      <c r="A128" s="57" t="s">
        <v>13</v>
      </c>
      <c r="B128" s="57" t="s">
        <v>315</v>
      </c>
      <c r="C128" s="58">
        <v>4.6500000000000004</v>
      </c>
      <c r="D128" s="59">
        <v>8.4</v>
      </c>
      <c r="E128" s="82">
        <v>135</v>
      </c>
      <c r="F128" s="61">
        <f t="shared" si="251"/>
        <v>5.2731000000000003</v>
      </c>
      <c r="G128" s="62"/>
      <c r="H128" s="63"/>
      <c r="I128" s="64">
        <f t="shared" si="252"/>
        <v>0</v>
      </c>
      <c r="J128" s="61"/>
      <c r="K128" s="63"/>
      <c r="L128" s="64">
        <f t="shared" si="253"/>
        <v>0</v>
      </c>
      <c r="M128" s="61"/>
      <c r="N128" s="63"/>
      <c r="O128" s="64">
        <f t="shared" si="254"/>
        <v>0</v>
      </c>
      <c r="P128" s="61"/>
      <c r="Q128" s="63"/>
      <c r="R128" s="64">
        <f t="shared" si="255"/>
        <v>0</v>
      </c>
      <c r="S128" s="65">
        <f t="shared" si="256"/>
        <v>0</v>
      </c>
      <c r="T128" s="64">
        <f t="shared" si="257"/>
        <v>0</v>
      </c>
      <c r="U128" s="42">
        <f t="shared" si="258"/>
        <v>135</v>
      </c>
      <c r="V128" s="64">
        <f t="shared" si="258"/>
        <v>5.2731000000000003</v>
      </c>
    </row>
    <row r="129" spans="1:22" s="56" customFormat="1">
      <c r="A129" s="57" t="s">
        <v>13</v>
      </c>
      <c r="B129" s="57" t="s">
        <v>315</v>
      </c>
      <c r="C129" s="58">
        <v>4.6500000000000004</v>
      </c>
      <c r="D129" s="59">
        <v>10.5</v>
      </c>
      <c r="E129" s="82">
        <v>122</v>
      </c>
      <c r="F129" s="61">
        <f t="shared" si="251"/>
        <v>5.9566500000000007</v>
      </c>
      <c r="G129" s="62"/>
      <c r="H129" s="63"/>
      <c r="I129" s="64">
        <f t="shared" si="252"/>
        <v>0</v>
      </c>
      <c r="J129" s="61"/>
      <c r="K129" s="63"/>
      <c r="L129" s="64">
        <f t="shared" si="253"/>
        <v>0</v>
      </c>
      <c r="M129" s="61"/>
      <c r="N129" s="63"/>
      <c r="O129" s="64">
        <f t="shared" si="254"/>
        <v>0</v>
      </c>
      <c r="P129" s="61"/>
      <c r="Q129" s="63"/>
      <c r="R129" s="64">
        <f t="shared" si="255"/>
        <v>0</v>
      </c>
      <c r="S129" s="65">
        <f t="shared" si="256"/>
        <v>0</v>
      </c>
      <c r="T129" s="64">
        <f t="shared" si="257"/>
        <v>0</v>
      </c>
      <c r="U129" s="42">
        <f t="shared" si="258"/>
        <v>122</v>
      </c>
      <c r="V129" s="64">
        <f t="shared" si="258"/>
        <v>5.9566500000000007</v>
      </c>
    </row>
    <row r="130" spans="1:22" s="56" customFormat="1">
      <c r="A130" s="57" t="s">
        <v>13</v>
      </c>
      <c r="B130" s="57" t="s">
        <v>315</v>
      </c>
      <c r="C130" s="58">
        <v>4.6500000000000004</v>
      </c>
      <c r="D130" s="59">
        <v>11</v>
      </c>
      <c r="E130" s="82">
        <v>80</v>
      </c>
      <c r="F130" s="61">
        <f t="shared" si="251"/>
        <v>4.0920000000000005</v>
      </c>
      <c r="G130" s="62"/>
      <c r="H130" s="63"/>
      <c r="I130" s="64">
        <f t="shared" si="252"/>
        <v>0</v>
      </c>
      <c r="J130" s="61"/>
      <c r="K130" s="63"/>
      <c r="L130" s="64">
        <f t="shared" si="253"/>
        <v>0</v>
      </c>
      <c r="M130" s="61"/>
      <c r="N130" s="63"/>
      <c r="O130" s="64">
        <f t="shared" si="254"/>
        <v>0</v>
      </c>
      <c r="P130" s="61"/>
      <c r="Q130" s="63"/>
      <c r="R130" s="64">
        <f t="shared" si="255"/>
        <v>0</v>
      </c>
      <c r="S130" s="65">
        <f t="shared" si="256"/>
        <v>0</v>
      </c>
      <c r="T130" s="64">
        <f t="shared" si="257"/>
        <v>0</v>
      </c>
      <c r="U130" s="42">
        <f t="shared" si="258"/>
        <v>80</v>
      </c>
      <c r="V130" s="64">
        <f t="shared" si="258"/>
        <v>4.0920000000000005</v>
      </c>
    </row>
    <row r="131" spans="1:22" s="56" customFormat="1">
      <c r="A131" s="57" t="s">
        <v>13</v>
      </c>
      <c r="B131" s="57" t="s">
        <v>315</v>
      </c>
      <c r="C131" s="58">
        <v>4.6500000000000004</v>
      </c>
      <c r="D131" s="59">
        <v>11.5</v>
      </c>
      <c r="E131" s="82">
        <v>81</v>
      </c>
      <c r="F131" s="61">
        <f t="shared" si="251"/>
        <v>4.3314750000000002</v>
      </c>
      <c r="G131" s="62"/>
      <c r="H131" s="63"/>
      <c r="I131" s="64">
        <f t="shared" si="252"/>
        <v>0</v>
      </c>
      <c r="J131" s="61"/>
      <c r="K131" s="63"/>
      <c r="L131" s="64">
        <f t="shared" si="253"/>
        <v>0</v>
      </c>
      <c r="M131" s="61"/>
      <c r="N131" s="63"/>
      <c r="O131" s="64">
        <f t="shared" si="254"/>
        <v>0</v>
      </c>
      <c r="P131" s="61"/>
      <c r="Q131" s="63"/>
      <c r="R131" s="64">
        <f t="shared" si="255"/>
        <v>0</v>
      </c>
      <c r="S131" s="65">
        <f t="shared" si="256"/>
        <v>0</v>
      </c>
      <c r="T131" s="64">
        <f t="shared" si="257"/>
        <v>0</v>
      </c>
      <c r="U131" s="42">
        <f t="shared" si="258"/>
        <v>81</v>
      </c>
      <c r="V131" s="64">
        <f t="shared" si="258"/>
        <v>4.3314750000000002</v>
      </c>
    </row>
    <row r="132" spans="1:22" s="56" customFormat="1">
      <c r="A132" s="41"/>
      <c r="B132" s="41"/>
      <c r="C132" s="66"/>
      <c r="D132" s="67"/>
      <c r="E132" s="68">
        <f t="shared" ref="E132:F132" si="259">SUM(E126:E131)</f>
        <v>661</v>
      </c>
      <c r="F132" s="67">
        <f t="shared" si="259"/>
        <v>28.667715000000005</v>
      </c>
      <c r="G132" s="57"/>
      <c r="H132" s="68">
        <f t="shared" ref="H132" si="260">SUM(H126:H131)</f>
        <v>0</v>
      </c>
      <c r="I132" s="67">
        <f t="shared" ref="I132" si="261">SUM(I126:I131)</f>
        <v>0</v>
      </c>
      <c r="J132" s="57"/>
      <c r="K132" s="68">
        <f t="shared" ref="K132" si="262">SUM(K126:K131)</f>
        <v>0</v>
      </c>
      <c r="L132" s="67">
        <f t="shared" ref="L132" si="263">SUM(L126:L131)</f>
        <v>0</v>
      </c>
      <c r="M132" s="57"/>
      <c r="N132" s="68">
        <f t="shared" ref="N132" si="264">SUM(N126:N131)</f>
        <v>0</v>
      </c>
      <c r="O132" s="67">
        <f t="shared" ref="O132" si="265">SUM(O126:O131)</f>
        <v>0</v>
      </c>
      <c r="P132" s="57"/>
      <c r="Q132" s="68">
        <f t="shared" ref="Q132" si="266">SUM(Q126:Q131)</f>
        <v>0</v>
      </c>
      <c r="R132" s="67">
        <f t="shared" ref="R132" si="267">SUM(R126:R131)</f>
        <v>0</v>
      </c>
      <c r="S132" s="68">
        <f t="shared" ref="S132" si="268">SUM(S126:S131)</f>
        <v>0</v>
      </c>
      <c r="T132" s="67">
        <f t="shared" ref="T132" si="269">SUM(T126:T131)</f>
        <v>0</v>
      </c>
      <c r="U132" s="68">
        <f t="shared" ref="U132" si="270">SUM(U126:U131)</f>
        <v>661</v>
      </c>
      <c r="V132" s="67">
        <f t="shared" ref="V132" si="271">SUM(V126:V131)</f>
        <v>28.667715000000005</v>
      </c>
    </row>
    <row r="133" spans="1:22" s="56" customFormat="1">
      <c r="A133" s="57" t="s">
        <v>13</v>
      </c>
      <c r="B133" s="57" t="s">
        <v>36</v>
      </c>
      <c r="C133" s="58">
        <v>6.97</v>
      </c>
      <c r="D133" s="59">
        <v>7</v>
      </c>
      <c r="E133" s="82">
        <v>152</v>
      </c>
      <c r="F133" s="61">
        <f t="shared" ref="F133:F138" si="272">(C133*D133*E133/1000)</f>
        <v>7.41608</v>
      </c>
      <c r="G133" s="62"/>
      <c r="H133" s="63"/>
      <c r="I133" s="64">
        <f t="shared" ref="I133:I138" si="273">(C133*D133*H133/1000)</f>
        <v>0</v>
      </c>
      <c r="J133" s="61"/>
      <c r="K133" s="63"/>
      <c r="L133" s="64">
        <f t="shared" ref="L133:L138" si="274">(C133*D133*K133/1000)</f>
        <v>0</v>
      </c>
      <c r="M133" s="61"/>
      <c r="N133" s="63"/>
      <c r="O133" s="64">
        <f t="shared" ref="O133:O138" si="275">(C133*D133*N133/1000)</f>
        <v>0</v>
      </c>
      <c r="P133" s="61"/>
      <c r="Q133" s="63"/>
      <c r="R133" s="64">
        <f t="shared" ref="R133:R138" si="276">(C133*D133*Q133/1000)</f>
        <v>0</v>
      </c>
      <c r="S133" s="65">
        <f t="shared" ref="S133:S138" si="277">+H133+K133+Q133+N133</f>
        <v>0</v>
      </c>
      <c r="T133" s="64">
        <f t="shared" ref="T133:T138" si="278">+I133+L133+R133+O133</f>
        <v>0</v>
      </c>
      <c r="U133" s="42">
        <f t="shared" ref="U133:V138" si="279">E133-S133</f>
        <v>152</v>
      </c>
      <c r="V133" s="64">
        <f t="shared" si="279"/>
        <v>7.41608</v>
      </c>
    </row>
    <row r="134" spans="1:22" s="56" customFormat="1">
      <c r="A134" s="57" t="s">
        <v>13</v>
      </c>
      <c r="B134" s="57" t="s">
        <v>36</v>
      </c>
      <c r="C134" s="58">
        <v>6.97</v>
      </c>
      <c r="D134" s="59">
        <v>7.4</v>
      </c>
      <c r="E134" s="82">
        <v>228</v>
      </c>
      <c r="F134" s="61">
        <f t="shared" si="272"/>
        <v>11.759784000000002</v>
      </c>
      <c r="G134" s="62"/>
      <c r="H134" s="63"/>
      <c r="I134" s="64">
        <f t="shared" si="273"/>
        <v>0</v>
      </c>
      <c r="J134" s="61"/>
      <c r="K134" s="63"/>
      <c r="L134" s="64">
        <f t="shared" si="274"/>
        <v>0</v>
      </c>
      <c r="M134" s="61"/>
      <c r="N134" s="63"/>
      <c r="O134" s="64">
        <f t="shared" si="275"/>
        <v>0</v>
      </c>
      <c r="P134" s="61"/>
      <c r="Q134" s="63"/>
      <c r="R134" s="64">
        <f t="shared" si="276"/>
        <v>0</v>
      </c>
      <c r="S134" s="65">
        <f t="shared" si="277"/>
        <v>0</v>
      </c>
      <c r="T134" s="64">
        <f t="shared" si="278"/>
        <v>0</v>
      </c>
      <c r="U134" s="42">
        <f t="shared" si="279"/>
        <v>228</v>
      </c>
      <c r="V134" s="64">
        <f t="shared" si="279"/>
        <v>11.759784000000002</v>
      </c>
    </row>
    <row r="135" spans="1:22" s="56" customFormat="1">
      <c r="A135" s="57" t="s">
        <v>13</v>
      </c>
      <c r="B135" s="57" t="s">
        <v>36</v>
      </c>
      <c r="C135" s="58">
        <v>6.97</v>
      </c>
      <c r="D135" s="59">
        <v>10.199999999999999</v>
      </c>
      <c r="E135" s="82">
        <v>152</v>
      </c>
      <c r="F135" s="61">
        <f t="shared" si="272"/>
        <v>10.806287999999999</v>
      </c>
      <c r="G135" s="62"/>
      <c r="H135" s="63"/>
      <c r="I135" s="64">
        <f t="shared" si="273"/>
        <v>0</v>
      </c>
      <c r="J135" s="61"/>
      <c r="K135" s="63"/>
      <c r="L135" s="64">
        <f t="shared" si="274"/>
        <v>0</v>
      </c>
      <c r="M135" s="61"/>
      <c r="N135" s="63"/>
      <c r="O135" s="64">
        <f t="shared" si="275"/>
        <v>0</v>
      </c>
      <c r="P135" s="61"/>
      <c r="Q135" s="63"/>
      <c r="R135" s="64">
        <f t="shared" si="276"/>
        <v>0</v>
      </c>
      <c r="S135" s="65">
        <f t="shared" si="277"/>
        <v>0</v>
      </c>
      <c r="T135" s="64">
        <f t="shared" si="278"/>
        <v>0</v>
      </c>
      <c r="U135" s="42">
        <f t="shared" si="279"/>
        <v>152</v>
      </c>
      <c r="V135" s="64">
        <f t="shared" si="279"/>
        <v>10.806287999999999</v>
      </c>
    </row>
    <row r="136" spans="1:22" s="56" customFormat="1">
      <c r="A136" s="57" t="s">
        <v>13</v>
      </c>
      <c r="B136" s="57" t="s">
        <v>36</v>
      </c>
      <c r="C136" s="58">
        <v>6.97</v>
      </c>
      <c r="D136" s="59">
        <v>11.2</v>
      </c>
      <c r="E136" s="82">
        <v>152</v>
      </c>
      <c r="F136" s="61">
        <f t="shared" si="272"/>
        <v>11.865727999999999</v>
      </c>
      <c r="G136" s="62"/>
      <c r="H136" s="63"/>
      <c r="I136" s="64">
        <f t="shared" si="273"/>
        <v>0</v>
      </c>
      <c r="J136" s="61"/>
      <c r="K136" s="63"/>
      <c r="L136" s="64">
        <f t="shared" si="274"/>
        <v>0</v>
      </c>
      <c r="M136" s="61"/>
      <c r="N136" s="63"/>
      <c r="O136" s="64">
        <f t="shared" si="275"/>
        <v>0</v>
      </c>
      <c r="P136" s="61"/>
      <c r="Q136" s="63"/>
      <c r="R136" s="64">
        <f t="shared" si="276"/>
        <v>0</v>
      </c>
      <c r="S136" s="65">
        <f t="shared" si="277"/>
        <v>0</v>
      </c>
      <c r="T136" s="64">
        <f t="shared" si="278"/>
        <v>0</v>
      </c>
      <c r="U136" s="42">
        <f t="shared" si="279"/>
        <v>152</v>
      </c>
      <c r="V136" s="64">
        <f t="shared" si="279"/>
        <v>11.865727999999999</v>
      </c>
    </row>
    <row r="137" spans="1:22" s="56" customFormat="1">
      <c r="A137" s="57" t="s">
        <v>13</v>
      </c>
      <c r="B137" s="57" t="s">
        <v>36</v>
      </c>
      <c r="C137" s="58">
        <v>6.97</v>
      </c>
      <c r="D137" s="59">
        <v>11.7</v>
      </c>
      <c r="E137" s="82">
        <v>76</v>
      </c>
      <c r="F137" s="61">
        <f t="shared" si="272"/>
        <v>6.1977239999999991</v>
      </c>
      <c r="G137" s="62"/>
      <c r="H137" s="63"/>
      <c r="I137" s="64">
        <f t="shared" si="273"/>
        <v>0</v>
      </c>
      <c r="J137" s="61"/>
      <c r="K137" s="63"/>
      <c r="L137" s="64">
        <f t="shared" si="274"/>
        <v>0</v>
      </c>
      <c r="M137" s="61"/>
      <c r="N137" s="63"/>
      <c r="O137" s="64">
        <f t="shared" si="275"/>
        <v>0</v>
      </c>
      <c r="P137" s="61"/>
      <c r="Q137" s="63"/>
      <c r="R137" s="64">
        <f t="shared" si="276"/>
        <v>0</v>
      </c>
      <c r="S137" s="65">
        <f t="shared" si="277"/>
        <v>0</v>
      </c>
      <c r="T137" s="64">
        <f t="shared" si="278"/>
        <v>0</v>
      </c>
      <c r="U137" s="42">
        <f t="shared" si="279"/>
        <v>76</v>
      </c>
      <c r="V137" s="64">
        <f t="shared" si="279"/>
        <v>6.1977239999999991</v>
      </c>
    </row>
    <row r="138" spans="1:22" s="56" customFormat="1">
      <c r="A138" s="57" t="s">
        <v>13</v>
      </c>
      <c r="B138" s="57" t="s">
        <v>36</v>
      </c>
      <c r="C138" s="58">
        <v>6.97</v>
      </c>
      <c r="D138" s="59">
        <v>12</v>
      </c>
      <c r="E138" s="82">
        <v>77</v>
      </c>
      <c r="F138" s="61">
        <f t="shared" si="272"/>
        <v>6.4402799999999996</v>
      </c>
      <c r="G138" s="62"/>
      <c r="H138" s="63"/>
      <c r="I138" s="64">
        <f t="shared" si="273"/>
        <v>0</v>
      </c>
      <c r="J138" s="61"/>
      <c r="K138" s="63"/>
      <c r="L138" s="64">
        <f t="shared" si="274"/>
        <v>0</v>
      </c>
      <c r="M138" s="61"/>
      <c r="N138" s="63"/>
      <c r="O138" s="64">
        <f t="shared" si="275"/>
        <v>0</v>
      </c>
      <c r="P138" s="61"/>
      <c r="Q138" s="63"/>
      <c r="R138" s="64">
        <f t="shared" si="276"/>
        <v>0</v>
      </c>
      <c r="S138" s="65">
        <f t="shared" si="277"/>
        <v>0</v>
      </c>
      <c r="T138" s="64">
        <f t="shared" si="278"/>
        <v>0</v>
      </c>
      <c r="U138" s="42">
        <f t="shared" si="279"/>
        <v>77</v>
      </c>
      <c r="V138" s="64">
        <f t="shared" si="279"/>
        <v>6.4402799999999996</v>
      </c>
    </row>
    <row r="139" spans="1:22" s="56" customFormat="1">
      <c r="A139" s="41"/>
      <c r="B139" s="41"/>
      <c r="C139" s="66"/>
      <c r="D139" s="67"/>
      <c r="E139" s="68">
        <f>SUM(E133:E138)</f>
        <v>837</v>
      </c>
      <c r="F139" s="67">
        <f>SUM(F133:F138)</f>
        <v>54.485883999999999</v>
      </c>
      <c r="G139" s="57"/>
      <c r="H139" s="68">
        <f>SUM(H133:H138)</f>
        <v>0</v>
      </c>
      <c r="I139" s="67">
        <f>SUM(I133:I138)</f>
        <v>0</v>
      </c>
      <c r="J139" s="57"/>
      <c r="K139" s="68">
        <f>SUM(K133:K138)</f>
        <v>0</v>
      </c>
      <c r="L139" s="67">
        <f>SUM(L133:L138)</f>
        <v>0</v>
      </c>
      <c r="M139" s="57"/>
      <c r="N139" s="68">
        <f>SUM(N133:N138)</f>
        <v>0</v>
      </c>
      <c r="O139" s="67">
        <f>SUM(O133:O138)</f>
        <v>0</v>
      </c>
      <c r="P139" s="57"/>
      <c r="Q139" s="68">
        <f t="shared" ref="Q139:V139" si="280">SUM(Q133:Q138)</f>
        <v>0</v>
      </c>
      <c r="R139" s="67">
        <f t="shared" si="280"/>
        <v>0</v>
      </c>
      <c r="S139" s="68">
        <f t="shared" si="280"/>
        <v>0</v>
      </c>
      <c r="T139" s="67">
        <f t="shared" si="280"/>
        <v>0</v>
      </c>
      <c r="U139" s="68">
        <f t="shared" si="280"/>
        <v>837</v>
      </c>
      <c r="V139" s="67">
        <f t="shared" si="280"/>
        <v>54.485883999999999</v>
      </c>
    </row>
    <row r="140" spans="1:22" s="56" customFormat="1">
      <c r="A140" s="57" t="s">
        <v>14</v>
      </c>
      <c r="B140" s="57" t="s">
        <v>26</v>
      </c>
      <c r="C140" s="58">
        <v>8.32</v>
      </c>
      <c r="D140" s="59">
        <v>10.7</v>
      </c>
      <c r="E140" s="82">
        <v>16</v>
      </c>
      <c r="F140" s="61">
        <f t="shared" ref="F140:F143" si="281">(C140*D140*E140/1000)</f>
        <v>1.4243840000000001</v>
      </c>
      <c r="G140" s="62"/>
      <c r="H140" s="63"/>
      <c r="I140" s="64">
        <f>(C140*D140*H140/1000)</f>
        <v>0</v>
      </c>
      <c r="J140" s="61"/>
      <c r="K140" s="63"/>
      <c r="L140" s="64">
        <f>(C140*D140*K140/1000)</f>
        <v>0</v>
      </c>
      <c r="M140" s="61"/>
      <c r="N140" s="63"/>
      <c r="O140" s="64">
        <f>(C140*D140*N140/1000)</f>
        <v>0</v>
      </c>
      <c r="P140" s="61"/>
      <c r="Q140" s="63"/>
      <c r="R140" s="64">
        <f>(C140*D140*Q140/1000)</f>
        <v>0</v>
      </c>
      <c r="S140" s="65">
        <f t="shared" ref="S140:S143" si="282">+H140+K140+Q140+N140</f>
        <v>0</v>
      </c>
      <c r="T140" s="64">
        <f t="shared" ref="T140:T143" si="283">+I140+L140+R140+O140</f>
        <v>0</v>
      </c>
      <c r="U140" s="42">
        <f t="shared" ref="U140:U143" si="284">E140-S140</f>
        <v>16</v>
      </c>
      <c r="V140" s="64">
        <f t="shared" ref="V140:V143" si="285">F140-T140</f>
        <v>1.4243840000000001</v>
      </c>
    </row>
    <row r="141" spans="1:22" s="56" customFormat="1">
      <c r="A141" s="57" t="s">
        <v>14</v>
      </c>
      <c r="B141" s="57" t="s">
        <v>26</v>
      </c>
      <c r="C141" s="58">
        <v>8.32</v>
      </c>
      <c r="D141" s="59">
        <v>11</v>
      </c>
      <c r="E141" s="82">
        <v>38</v>
      </c>
      <c r="F141" s="61">
        <f t="shared" si="281"/>
        <v>3.4777600000000004</v>
      </c>
      <c r="G141" s="62"/>
      <c r="H141" s="63"/>
      <c r="I141" s="64">
        <f>(C141*D141*H141/1000)</f>
        <v>0</v>
      </c>
      <c r="J141" s="61"/>
      <c r="K141" s="63"/>
      <c r="L141" s="64">
        <f>(C141*D141*K141/1000)</f>
        <v>0</v>
      </c>
      <c r="M141" s="61"/>
      <c r="N141" s="63"/>
      <c r="O141" s="64">
        <f>(C141*D141*N141/1000)</f>
        <v>0</v>
      </c>
      <c r="P141" s="61"/>
      <c r="Q141" s="63"/>
      <c r="R141" s="64">
        <f>(C141*D141*Q141/1000)</f>
        <v>0</v>
      </c>
      <c r="S141" s="65">
        <f t="shared" si="282"/>
        <v>0</v>
      </c>
      <c r="T141" s="64">
        <f t="shared" si="283"/>
        <v>0</v>
      </c>
      <c r="U141" s="42">
        <f t="shared" si="284"/>
        <v>38</v>
      </c>
      <c r="V141" s="64">
        <f t="shared" si="285"/>
        <v>3.4777600000000004</v>
      </c>
    </row>
    <row r="142" spans="1:22" s="56" customFormat="1">
      <c r="A142" s="57" t="s">
        <v>14</v>
      </c>
      <c r="B142" s="57" t="s">
        <v>26</v>
      </c>
      <c r="C142" s="58">
        <v>8.32</v>
      </c>
      <c r="D142" s="59">
        <v>11.5</v>
      </c>
      <c r="E142" s="82">
        <v>12</v>
      </c>
      <c r="F142" s="61">
        <f t="shared" si="281"/>
        <v>1.1481600000000001</v>
      </c>
      <c r="G142" s="62"/>
      <c r="H142" s="63"/>
      <c r="I142" s="64">
        <f>(C142*D142*H142/1000)</f>
        <v>0</v>
      </c>
      <c r="J142" s="61"/>
      <c r="K142" s="63"/>
      <c r="L142" s="64">
        <f>(C142*D142*K142/1000)</f>
        <v>0</v>
      </c>
      <c r="M142" s="61"/>
      <c r="N142" s="63"/>
      <c r="O142" s="64">
        <f>(C142*D142*N142/1000)</f>
        <v>0</v>
      </c>
      <c r="P142" s="61"/>
      <c r="Q142" s="63"/>
      <c r="R142" s="64">
        <f>(C142*D142*Q142/1000)</f>
        <v>0</v>
      </c>
      <c r="S142" s="65">
        <f t="shared" si="282"/>
        <v>0</v>
      </c>
      <c r="T142" s="64">
        <f t="shared" si="283"/>
        <v>0</v>
      </c>
      <c r="U142" s="42">
        <f t="shared" si="284"/>
        <v>12</v>
      </c>
      <c r="V142" s="64">
        <f t="shared" si="285"/>
        <v>1.1481600000000001</v>
      </c>
    </row>
    <row r="143" spans="1:22" s="56" customFormat="1">
      <c r="A143" s="57" t="s">
        <v>14</v>
      </c>
      <c r="B143" s="57" t="s">
        <v>26</v>
      </c>
      <c r="C143" s="58">
        <v>8.32</v>
      </c>
      <c r="D143" s="59">
        <v>12</v>
      </c>
      <c r="E143" s="82">
        <v>157</v>
      </c>
      <c r="F143" s="61">
        <f t="shared" si="281"/>
        <v>15.674880000000002</v>
      </c>
      <c r="G143" s="62"/>
      <c r="H143" s="63"/>
      <c r="I143" s="64">
        <f>(C143*D143*H143/1000)</f>
        <v>0</v>
      </c>
      <c r="J143" s="61"/>
      <c r="K143" s="63"/>
      <c r="L143" s="64">
        <f>(C143*D143*K143/1000)</f>
        <v>0</v>
      </c>
      <c r="M143" s="61"/>
      <c r="N143" s="63"/>
      <c r="O143" s="64">
        <f>(C143*D143*N143/1000)</f>
        <v>0</v>
      </c>
      <c r="P143" s="61"/>
      <c r="Q143" s="63"/>
      <c r="R143" s="64">
        <f>(C143*D143*Q143/1000)</f>
        <v>0</v>
      </c>
      <c r="S143" s="65">
        <f t="shared" si="282"/>
        <v>0</v>
      </c>
      <c r="T143" s="64">
        <f t="shared" si="283"/>
        <v>0</v>
      </c>
      <c r="U143" s="42">
        <f t="shared" si="284"/>
        <v>157</v>
      </c>
      <c r="V143" s="64">
        <f t="shared" si="285"/>
        <v>15.674880000000002</v>
      </c>
    </row>
    <row r="144" spans="1:22" s="56" customFormat="1">
      <c r="A144" s="41"/>
      <c r="B144" s="41"/>
      <c r="C144" s="68"/>
      <c r="D144" s="67"/>
      <c r="E144" s="68">
        <f>SUM(E140:E143)</f>
        <v>223</v>
      </c>
      <c r="F144" s="67">
        <f>SUM(F140:F143)</f>
        <v>21.725184000000002</v>
      </c>
      <c r="G144" s="57"/>
      <c r="H144" s="68">
        <f>SUM(H140:H143)</f>
        <v>0</v>
      </c>
      <c r="I144" s="67">
        <f>SUM(I140:I143)</f>
        <v>0</v>
      </c>
      <c r="J144" s="57"/>
      <c r="K144" s="68">
        <f>SUM(K140:K143)</f>
        <v>0</v>
      </c>
      <c r="L144" s="67">
        <f>SUM(L140:L143)</f>
        <v>0</v>
      </c>
      <c r="M144" s="57"/>
      <c r="N144" s="68">
        <f>SUM(N140:N143)</f>
        <v>0</v>
      </c>
      <c r="O144" s="67">
        <f>SUM(O140:O143)</f>
        <v>0</v>
      </c>
      <c r="P144" s="57"/>
      <c r="Q144" s="68">
        <f t="shared" ref="Q144:V144" si="286">SUM(Q140:Q143)</f>
        <v>0</v>
      </c>
      <c r="R144" s="67">
        <f t="shared" si="286"/>
        <v>0</v>
      </c>
      <c r="S144" s="68">
        <f t="shared" si="286"/>
        <v>0</v>
      </c>
      <c r="T144" s="67">
        <f t="shared" si="286"/>
        <v>0</v>
      </c>
      <c r="U144" s="68">
        <f t="shared" si="286"/>
        <v>223</v>
      </c>
      <c r="V144" s="67">
        <f t="shared" si="286"/>
        <v>21.725184000000002</v>
      </c>
    </row>
    <row r="145" spans="1:22" s="56" customFormat="1">
      <c r="A145" s="57" t="s">
        <v>13</v>
      </c>
      <c r="B145" s="57" t="s">
        <v>47</v>
      </c>
      <c r="C145" s="58">
        <v>18.149999999999999</v>
      </c>
      <c r="D145" s="59">
        <v>12</v>
      </c>
      <c r="E145" s="82">
        <v>81</v>
      </c>
      <c r="F145" s="61">
        <f>(C145*D145*E145/1000)</f>
        <v>17.6418</v>
      </c>
      <c r="G145" s="62"/>
      <c r="H145" s="63"/>
      <c r="I145" s="64">
        <f>(C145*D145*H145/1000)</f>
        <v>0</v>
      </c>
      <c r="J145" s="61"/>
      <c r="K145" s="63"/>
      <c r="L145" s="64">
        <f>(C145*D145*K145/1000)</f>
        <v>0</v>
      </c>
      <c r="M145" s="61"/>
      <c r="N145" s="63"/>
      <c r="O145" s="64">
        <f>(C145*D145*N145/1000)</f>
        <v>0</v>
      </c>
      <c r="P145" s="61"/>
      <c r="Q145" s="63"/>
      <c r="R145" s="64">
        <f>(C145*D145*Q145/1000)</f>
        <v>0</v>
      </c>
      <c r="S145" s="65">
        <f>+H145+K145+Q145+N145</f>
        <v>0</v>
      </c>
      <c r="T145" s="64">
        <f>+I145+L145+R145+O145</f>
        <v>0</v>
      </c>
      <c r="U145" s="42">
        <f>E145-S145</f>
        <v>81</v>
      </c>
      <c r="V145" s="64">
        <f>F145-T145</f>
        <v>17.6418</v>
      </c>
    </row>
    <row r="146" spans="1:22" s="56" customFormat="1">
      <c r="A146" s="41"/>
      <c r="B146" s="41"/>
      <c r="C146" s="66"/>
      <c r="D146" s="67"/>
      <c r="E146" s="68">
        <f t="shared" ref="E146:F146" si="287">SUM(E145)</f>
        <v>81</v>
      </c>
      <c r="F146" s="67">
        <f t="shared" si="287"/>
        <v>17.6418</v>
      </c>
      <c r="G146" s="57"/>
      <c r="H146" s="68">
        <f t="shared" ref="H146" si="288">SUM(H145)</f>
        <v>0</v>
      </c>
      <c r="I146" s="67">
        <f t="shared" ref="I146" si="289">SUM(I145)</f>
        <v>0</v>
      </c>
      <c r="J146" s="57"/>
      <c r="K146" s="68">
        <f t="shared" ref="K146" si="290">SUM(K145)</f>
        <v>0</v>
      </c>
      <c r="L146" s="67">
        <f t="shared" ref="L146" si="291">SUM(L145)</f>
        <v>0</v>
      </c>
      <c r="M146" s="57"/>
      <c r="N146" s="68">
        <f t="shared" ref="N146" si="292">SUM(N145)</f>
        <v>0</v>
      </c>
      <c r="O146" s="67">
        <f t="shared" ref="O146" si="293">SUM(O145)</f>
        <v>0</v>
      </c>
      <c r="P146" s="57"/>
      <c r="Q146" s="68">
        <f t="shared" ref="Q146" si="294">SUM(Q145)</f>
        <v>0</v>
      </c>
      <c r="R146" s="67">
        <f t="shared" ref="R146" si="295">SUM(R145)</f>
        <v>0</v>
      </c>
      <c r="S146" s="68">
        <f t="shared" ref="S146" si="296">SUM(S145)</f>
        <v>0</v>
      </c>
      <c r="T146" s="67">
        <f t="shared" ref="T146" si="297">SUM(T145)</f>
        <v>0</v>
      </c>
      <c r="U146" s="68">
        <f t="shared" ref="U146" si="298">SUM(U145)</f>
        <v>81</v>
      </c>
      <c r="V146" s="67">
        <f t="shared" ref="V146" si="299">SUM(V145)</f>
        <v>17.6418</v>
      </c>
    </row>
    <row r="147" spans="1:22" s="56" customFormat="1">
      <c r="A147" s="57" t="s">
        <v>13</v>
      </c>
      <c r="B147" s="57" t="s">
        <v>50</v>
      </c>
      <c r="C147" s="58">
        <v>16.5</v>
      </c>
      <c r="D147" s="59">
        <v>7.1</v>
      </c>
      <c r="E147" s="82">
        <v>152</v>
      </c>
      <c r="F147" s="61">
        <f t="shared" ref="F147:F149" si="300">(C147*D147*E147/1000)</f>
        <v>17.806799999999999</v>
      </c>
      <c r="G147" s="62"/>
      <c r="H147" s="63"/>
      <c r="I147" s="64">
        <f>(C147*D147*H147/1000)</f>
        <v>0</v>
      </c>
      <c r="J147" s="61"/>
      <c r="K147" s="63"/>
      <c r="L147" s="64">
        <f>(C147*D147*K147/1000)</f>
        <v>0</v>
      </c>
      <c r="M147" s="61"/>
      <c r="N147" s="63"/>
      <c r="O147" s="64">
        <f>(C147*D147*N147/1000)</f>
        <v>0</v>
      </c>
      <c r="P147" s="61"/>
      <c r="Q147" s="63"/>
      <c r="R147" s="64">
        <f>(C147*D147*Q147/1000)</f>
        <v>0</v>
      </c>
      <c r="S147" s="65">
        <f t="shared" ref="S147:S149" si="301">+H147+K147+Q147+N147</f>
        <v>0</v>
      </c>
      <c r="T147" s="64">
        <f t="shared" ref="T147:T149" si="302">+I147+L147+R147+O147</f>
        <v>0</v>
      </c>
      <c r="U147" s="42">
        <f t="shared" ref="U147:V149" si="303">E147-S147</f>
        <v>152</v>
      </c>
      <c r="V147" s="64">
        <f t="shared" si="303"/>
        <v>17.806799999999999</v>
      </c>
    </row>
    <row r="148" spans="1:22" s="56" customFormat="1">
      <c r="A148" s="57" t="s">
        <v>13</v>
      </c>
      <c r="B148" s="57" t="s">
        <v>50</v>
      </c>
      <c r="C148" s="58">
        <v>16.5</v>
      </c>
      <c r="D148" s="59">
        <v>11.8</v>
      </c>
      <c r="E148" s="82">
        <v>76</v>
      </c>
      <c r="F148" s="61">
        <f t="shared" si="300"/>
        <v>14.7972</v>
      </c>
      <c r="G148" s="62"/>
      <c r="H148" s="63"/>
      <c r="I148" s="64">
        <f>(C148*D148*H148/1000)</f>
        <v>0</v>
      </c>
      <c r="J148" s="61"/>
      <c r="K148" s="63"/>
      <c r="L148" s="64">
        <f>(C148*D148*K148/1000)</f>
        <v>0</v>
      </c>
      <c r="M148" s="61"/>
      <c r="N148" s="63"/>
      <c r="O148" s="64">
        <f>(C148*D148*N148/1000)</f>
        <v>0</v>
      </c>
      <c r="P148" s="61"/>
      <c r="Q148" s="63"/>
      <c r="R148" s="64">
        <f>(C148*D148*Q148/1000)</f>
        <v>0</v>
      </c>
      <c r="S148" s="65">
        <f t="shared" si="301"/>
        <v>0</v>
      </c>
      <c r="T148" s="64">
        <f t="shared" si="302"/>
        <v>0</v>
      </c>
      <c r="U148" s="42">
        <f t="shared" si="303"/>
        <v>76</v>
      </c>
      <c r="V148" s="64">
        <f t="shared" si="303"/>
        <v>14.7972</v>
      </c>
    </row>
    <row r="149" spans="1:22" s="56" customFormat="1">
      <c r="A149" s="57" t="s">
        <v>13</v>
      </c>
      <c r="B149" s="57" t="s">
        <v>50</v>
      </c>
      <c r="C149" s="58">
        <v>16.5</v>
      </c>
      <c r="D149" s="59">
        <v>12</v>
      </c>
      <c r="E149" s="82">
        <v>157</v>
      </c>
      <c r="F149" s="61">
        <f t="shared" si="300"/>
        <v>31.085999999999999</v>
      </c>
      <c r="G149" s="62"/>
      <c r="H149" s="63"/>
      <c r="I149" s="64">
        <f>(C149*D149*H149/1000)</f>
        <v>0</v>
      </c>
      <c r="J149" s="61"/>
      <c r="K149" s="63"/>
      <c r="L149" s="64">
        <f>(C149*D149*K149/1000)</f>
        <v>0</v>
      </c>
      <c r="M149" s="61"/>
      <c r="N149" s="63"/>
      <c r="O149" s="64">
        <f>(C149*D149*N149/1000)</f>
        <v>0</v>
      </c>
      <c r="P149" s="61"/>
      <c r="Q149" s="63"/>
      <c r="R149" s="64">
        <f>(C149*D149*Q149/1000)</f>
        <v>0</v>
      </c>
      <c r="S149" s="65">
        <f t="shared" si="301"/>
        <v>0</v>
      </c>
      <c r="T149" s="64">
        <f t="shared" si="302"/>
        <v>0</v>
      </c>
      <c r="U149" s="42">
        <f t="shared" si="303"/>
        <v>157</v>
      </c>
      <c r="V149" s="64">
        <f t="shared" si="303"/>
        <v>31.085999999999999</v>
      </c>
    </row>
    <row r="150" spans="1:22" s="56" customFormat="1">
      <c r="A150" s="41"/>
      <c r="B150" s="41"/>
      <c r="C150" s="66"/>
      <c r="D150" s="67"/>
      <c r="E150" s="68">
        <f t="shared" ref="E150:F150" si="304">SUM(E147:E149)</f>
        <v>385</v>
      </c>
      <c r="F150" s="67">
        <f t="shared" si="304"/>
        <v>63.69</v>
      </c>
      <c r="G150" s="57"/>
      <c r="H150" s="68">
        <f t="shared" ref="H150" si="305">SUM(H147:H149)</f>
        <v>0</v>
      </c>
      <c r="I150" s="67">
        <f t="shared" ref="I150" si="306">SUM(I147:I149)</f>
        <v>0</v>
      </c>
      <c r="J150" s="57"/>
      <c r="K150" s="68">
        <f t="shared" ref="K150" si="307">SUM(K147:K149)</f>
        <v>0</v>
      </c>
      <c r="L150" s="67">
        <f t="shared" ref="L150" si="308">SUM(L147:L149)</f>
        <v>0</v>
      </c>
      <c r="M150" s="57"/>
      <c r="N150" s="68">
        <f t="shared" ref="N150" si="309">SUM(N147:N149)</f>
        <v>0</v>
      </c>
      <c r="O150" s="67">
        <f t="shared" ref="O150" si="310">SUM(O147:O149)</f>
        <v>0</v>
      </c>
      <c r="P150" s="57"/>
      <c r="Q150" s="68">
        <f t="shared" ref="Q150" si="311">SUM(Q147:Q149)</f>
        <v>0</v>
      </c>
      <c r="R150" s="67">
        <f t="shared" ref="R150" si="312">SUM(R147:R149)</f>
        <v>0</v>
      </c>
      <c r="S150" s="68">
        <f t="shared" ref="S150" si="313">SUM(S147:S149)</f>
        <v>0</v>
      </c>
      <c r="T150" s="67">
        <f t="shared" ref="T150" si="314">SUM(T147:T149)</f>
        <v>0</v>
      </c>
      <c r="U150" s="68">
        <f t="shared" ref="U150" si="315">SUM(U147:U149)</f>
        <v>385</v>
      </c>
      <c r="V150" s="67">
        <f t="shared" ref="V150" si="316">SUM(V147:V149)</f>
        <v>63.69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61">
    <tabColor rgb="FFFF0000"/>
  </sheetPr>
  <dimension ref="A1:X129"/>
  <sheetViews>
    <sheetView zoomScale="75" zoomScaleNormal="75" workbookViewId="0">
      <pane ySplit="5" topLeftCell="A96" activePane="bottomLeft" state="frozen"/>
      <selection activeCell="A4" sqref="A4"/>
      <selection pane="bottomLeft" activeCell="K120" sqref="K12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LOI-614  01.08.23 HOLD</v>
      </c>
      <c r="D1" s="1"/>
      <c r="E1" s="2"/>
      <c r="F1" s="2"/>
      <c r="G1" s="143" t="s">
        <v>221</v>
      </c>
      <c r="H1" s="144"/>
      <c r="I1" s="145" t="s">
        <v>333</v>
      </c>
      <c r="J1" s="144"/>
      <c r="K1" s="3"/>
      <c r="L1" s="4"/>
      <c r="M1" s="4"/>
      <c r="N1" s="3"/>
      <c r="O1" s="4"/>
      <c r="P1" s="146" t="str">
        <f>+F2</f>
        <v>LOI-614  01.08.23 HOLD</v>
      </c>
      <c r="Q1" s="146"/>
      <c r="R1" s="5"/>
      <c r="S1" s="5"/>
      <c r="T1" s="147" t="s">
        <v>1</v>
      </c>
      <c r="U1" s="147"/>
      <c r="V1" s="147"/>
    </row>
    <row r="2" spans="1:24" ht="17.399999999999999">
      <c r="A2" s="7" t="s">
        <v>218</v>
      </c>
      <c r="B2" s="8"/>
      <c r="C2" s="9"/>
      <c r="D2" s="9"/>
      <c r="E2" s="10"/>
      <c r="F2" s="146" t="s">
        <v>402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LOI-614  01.08.23 HOLD</v>
      </c>
      <c r="V2" s="146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92" t="s">
        <v>10</v>
      </c>
      <c r="F5" s="92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88" t="s">
        <v>13</v>
      </c>
      <c r="B6" s="89" t="s">
        <v>45</v>
      </c>
      <c r="C6" s="90">
        <v>9.26</v>
      </c>
      <c r="D6" s="91">
        <v>6.25</v>
      </c>
      <c r="E6" s="93">
        <v>192</v>
      </c>
      <c r="F6" s="16">
        <f t="shared" ref="F6:F13" si="0">(C6*D6*E6/1000)</f>
        <v>11.112</v>
      </c>
      <c r="G6" s="17"/>
      <c r="H6" s="18"/>
      <c r="I6" s="19">
        <f t="shared" ref="I6:I13" si="1">(C6*D6*H6/1000)</f>
        <v>0</v>
      </c>
      <c r="J6" s="16"/>
      <c r="K6" s="18"/>
      <c r="L6" s="19">
        <f t="shared" ref="L6:L13" si="2">(C6*D6*K6/1000)</f>
        <v>0</v>
      </c>
      <c r="M6" s="16"/>
      <c r="N6" s="18"/>
      <c r="O6" s="19">
        <f t="shared" ref="O6:O13" si="3">(C6*D6*N6/1000)</f>
        <v>0</v>
      </c>
      <c r="P6" s="16"/>
      <c r="Q6" s="18"/>
      <c r="R6" s="19">
        <f t="shared" ref="R6:R13" si="4">(C6*D6*Q6/1000)</f>
        <v>0</v>
      </c>
      <c r="S6" s="20">
        <f t="shared" ref="S6:S13" si="5">+H6+K6+Q6+N6</f>
        <v>0</v>
      </c>
      <c r="T6" s="19">
        <f t="shared" ref="T6:T13" si="6">+I6+L6+R6+O6</f>
        <v>0</v>
      </c>
      <c r="U6" s="21">
        <f t="shared" ref="U6:U13" si="7">E6-S6</f>
        <v>192</v>
      </c>
      <c r="V6" s="19">
        <f t="shared" ref="V6:V13" si="8">F6-T6</f>
        <v>11.112</v>
      </c>
      <c r="X6" s="29"/>
    </row>
    <row r="7" spans="1:24">
      <c r="A7" s="88" t="s">
        <v>13</v>
      </c>
      <c r="B7" s="89" t="s">
        <v>45</v>
      </c>
      <c r="C7" s="90">
        <v>9.26</v>
      </c>
      <c r="D7" s="91">
        <v>10</v>
      </c>
      <c r="E7" s="93">
        <v>56</v>
      </c>
      <c r="F7" s="16">
        <f t="shared" si="0"/>
        <v>5.1855999999999991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6"/>
        <v>0</v>
      </c>
      <c r="U7" s="21">
        <f t="shared" si="7"/>
        <v>56</v>
      </c>
      <c r="V7" s="19">
        <f t="shared" si="8"/>
        <v>5.1855999999999991</v>
      </c>
      <c r="X7" s="29"/>
    </row>
    <row r="8" spans="1:24">
      <c r="A8" s="88" t="s">
        <v>13</v>
      </c>
      <c r="B8" s="89" t="s">
        <v>45</v>
      </c>
      <c r="C8" s="90">
        <v>9.26</v>
      </c>
      <c r="D8" s="91">
        <v>10.5</v>
      </c>
      <c r="E8" s="93">
        <v>77</v>
      </c>
      <c r="F8" s="16">
        <f t="shared" si="0"/>
        <v>7.4867100000000004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77</v>
      </c>
      <c r="V8" s="19">
        <f t="shared" si="8"/>
        <v>7.4867100000000004</v>
      </c>
      <c r="X8" s="29"/>
    </row>
    <row r="9" spans="1:24">
      <c r="A9" s="88" t="s">
        <v>13</v>
      </c>
      <c r="B9" s="89" t="s">
        <v>45</v>
      </c>
      <c r="C9" s="90">
        <v>9.26</v>
      </c>
      <c r="D9" s="91">
        <v>10.7</v>
      </c>
      <c r="E9" s="93">
        <v>192</v>
      </c>
      <c r="F9" s="16">
        <f t="shared" si="0"/>
        <v>19.023743999999997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192</v>
      </c>
      <c r="V9" s="19">
        <f t="shared" si="8"/>
        <v>19.023743999999997</v>
      </c>
      <c r="X9" s="29"/>
    </row>
    <row r="10" spans="1:24">
      <c r="A10" s="88" t="s">
        <v>13</v>
      </c>
      <c r="B10" s="89" t="s">
        <v>45</v>
      </c>
      <c r="C10" s="90">
        <v>9.26</v>
      </c>
      <c r="D10" s="91">
        <v>11.3</v>
      </c>
      <c r="E10" s="93">
        <v>12</v>
      </c>
      <c r="F10" s="16">
        <f t="shared" si="0"/>
        <v>1.2556559999999999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6"/>
        <v>0</v>
      </c>
      <c r="U10" s="21">
        <f t="shared" si="7"/>
        <v>12</v>
      </c>
      <c r="V10" s="19">
        <f t="shared" si="8"/>
        <v>1.2556559999999999</v>
      </c>
      <c r="X10" s="29"/>
    </row>
    <row r="11" spans="1:24">
      <c r="A11" s="88" t="s">
        <v>13</v>
      </c>
      <c r="B11" s="89" t="s">
        <v>45</v>
      </c>
      <c r="C11" s="90">
        <v>9.26</v>
      </c>
      <c r="D11" s="91">
        <v>11.5</v>
      </c>
      <c r="E11" s="93">
        <v>122</v>
      </c>
      <c r="F11" s="16">
        <f t="shared" si="0"/>
        <v>12.991779999999999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122</v>
      </c>
      <c r="V11" s="19">
        <f t="shared" si="8"/>
        <v>12.991779999999999</v>
      </c>
      <c r="X11" s="29"/>
    </row>
    <row r="12" spans="1:24">
      <c r="A12" s="88" t="s">
        <v>13</v>
      </c>
      <c r="B12" s="89" t="s">
        <v>45</v>
      </c>
      <c r="C12" s="90">
        <v>9.26</v>
      </c>
      <c r="D12" s="91">
        <v>11.7</v>
      </c>
      <c r="E12" s="93">
        <v>109</v>
      </c>
      <c r="F12" s="16">
        <f t="shared" si="0"/>
        <v>11.809277999999999</v>
      </c>
      <c r="G12" s="17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16"/>
      <c r="Q12" s="18"/>
      <c r="R12" s="19">
        <f t="shared" si="4"/>
        <v>0</v>
      </c>
      <c r="S12" s="20">
        <f t="shared" si="5"/>
        <v>0</v>
      </c>
      <c r="T12" s="19">
        <f t="shared" si="6"/>
        <v>0</v>
      </c>
      <c r="U12" s="21">
        <f t="shared" si="7"/>
        <v>109</v>
      </c>
      <c r="V12" s="19">
        <f t="shared" si="8"/>
        <v>11.809277999999999</v>
      </c>
      <c r="X12" s="29"/>
    </row>
    <row r="13" spans="1:24">
      <c r="A13" s="88" t="s">
        <v>13</v>
      </c>
      <c r="B13" s="89" t="s">
        <v>45</v>
      </c>
      <c r="C13" s="90">
        <v>9.26</v>
      </c>
      <c r="D13" s="91">
        <v>12</v>
      </c>
      <c r="E13" s="93">
        <v>124</v>
      </c>
      <c r="F13" s="16">
        <f t="shared" si="0"/>
        <v>13.778880000000001</v>
      </c>
      <c r="G13" s="17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16"/>
      <c r="Q13" s="18"/>
      <c r="R13" s="19">
        <f t="shared" si="4"/>
        <v>0</v>
      </c>
      <c r="S13" s="20">
        <f t="shared" si="5"/>
        <v>0</v>
      </c>
      <c r="T13" s="19">
        <f t="shared" si="6"/>
        <v>0</v>
      </c>
      <c r="U13" s="21">
        <f t="shared" si="7"/>
        <v>124</v>
      </c>
      <c r="V13" s="19">
        <f t="shared" si="8"/>
        <v>13.778880000000001</v>
      </c>
      <c r="X13" s="29"/>
    </row>
    <row r="14" spans="1:24">
      <c r="A14" s="88"/>
      <c r="B14" s="89"/>
      <c r="C14" s="90"/>
      <c r="D14" s="91"/>
      <c r="E14" s="94">
        <f t="shared" ref="E14:F14" si="9">SUM(E6:E13)</f>
        <v>884</v>
      </c>
      <c r="F14" s="95">
        <f t="shared" si="9"/>
        <v>82.643647999999999</v>
      </c>
      <c r="G14" s="17"/>
      <c r="H14" s="94">
        <f t="shared" ref="H14" si="10">SUM(H6:H13)</f>
        <v>0</v>
      </c>
      <c r="I14" s="95">
        <f t="shared" ref="I14" si="11">SUM(I6:I13)</f>
        <v>0</v>
      </c>
      <c r="J14" s="16"/>
      <c r="K14" s="94">
        <f t="shared" ref="K14" si="12">SUM(K6:K13)</f>
        <v>0</v>
      </c>
      <c r="L14" s="95">
        <f t="shared" ref="L14" si="13">SUM(L6:L13)</f>
        <v>0</v>
      </c>
      <c r="M14" s="16"/>
      <c r="N14" s="94">
        <f t="shared" ref="N14" si="14">SUM(N6:N13)</f>
        <v>0</v>
      </c>
      <c r="O14" s="95">
        <f t="shared" ref="O14" si="15">SUM(O6:O13)</f>
        <v>0</v>
      </c>
      <c r="P14" s="16"/>
      <c r="Q14" s="94">
        <f t="shared" ref="Q14" si="16">SUM(Q6:Q13)</f>
        <v>0</v>
      </c>
      <c r="R14" s="95">
        <f t="shared" ref="R14" si="17">SUM(R6:R13)</f>
        <v>0</v>
      </c>
      <c r="S14" s="94">
        <f t="shared" ref="S14" si="18">SUM(S6:S13)</f>
        <v>0</v>
      </c>
      <c r="T14" s="95">
        <f t="shared" ref="T14" si="19">SUM(T6:T13)</f>
        <v>0</v>
      </c>
      <c r="U14" s="94">
        <f t="shared" ref="U14" si="20">SUM(U6:U13)</f>
        <v>884</v>
      </c>
      <c r="V14" s="95">
        <f t="shared" ref="V14" si="21">SUM(V6:V13)</f>
        <v>82.643647999999999</v>
      </c>
      <c r="X14" s="29"/>
    </row>
    <row r="15" spans="1:24">
      <c r="A15" s="88" t="s">
        <v>13</v>
      </c>
      <c r="B15" s="89" t="s">
        <v>46</v>
      </c>
      <c r="C15" s="90">
        <v>10.73</v>
      </c>
      <c r="D15" s="91">
        <v>10</v>
      </c>
      <c r="E15" s="93">
        <v>48</v>
      </c>
      <c r="F15" s="16">
        <f t="shared" ref="F15:F18" si="22">(C15*D15*E15/1000)</f>
        <v>5.1504000000000003</v>
      </c>
      <c r="G15" s="17"/>
      <c r="H15" s="18"/>
      <c r="I15" s="19">
        <f t="shared" ref="I15:I18" si="23">(C15*D15*H15/1000)</f>
        <v>0</v>
      </c>
      <c r="J15" s="16"/>
      <c r="K15" s="18"/>
      <c r="L15" s="19">
        <f t="shared" ref="L15:L18" si="24">(C15*D15*K15/1000)</f>
        <v>0</v>
      </c>
      <c r="M15" s="16"/>
      <c r="N15" s="18"/>
      <c r="O15" s="19">
        <f t="shared" ref="O15:O18" si="25">(C15*D15*N15/1000)</f>
        <v>0</v>
      </c>
      <c r="P15" s="16"/>
      <c r="Q15" s="18"/>
      <c r="R15" s="19">
        <f t="shared" ref="R15:R18" si="26">(C15*D15*Q15/1000)</f>
        <v>0</v>
      </c>
      <c r="S15" s="20">
        <f t="shared" ref="S15:S18" si="27">+H15+K15+Q15+N15</f>
        <v>0</v>
      </c>
      <c r="T15" s="19">
        <f t="shared" ref="T15:T18" si="28">+I15+L15+R15+O15</f>
        <v>0</v>
      </c>
      <c r="U15" s="21">
        <f t="shared" ref="U15:U18" si="29">E15-S15</f>
        <v>48</v>
      </c>
      <c r="V15" s="19">
        <f t="shared" ref="V15:V18" si="30">F15-T15</f>
        <v>5.1504000000000003</v>
      </c>
      <c r="X15" s="29"/>
    </row>
    <row r="16" spans="1:24">
      <c r="A16" s="88" t="s">
        <v>13</v>
      </c>
      <c r="B16" s="89" t="s">
        <v>46</v>
      </c>
      <c r="C16" s="90">
        <v>10.73</v>
      </c>
      <c r="D16" s="91">
        <v>10.5</v>
      </c>
      <c r="E16" s="93">
        <v>30</v>
      </c>
      <c r="F16" s="16">
        <f t="shared" si="22"/>
        <v>3.3799500000000005</v>
      </c>
      <c r="G16" s="17"/>
      <c r="H16" s="18"/>
      <c r="I16" s="19">
        <f t="shared" si="23"/>
        <v>0</v>
      </c>
      <c r="J16" s="16"/>
      <c r="K16" s="18"/>
      <c r="L16" s="19">
        <f t="shared" si="24"/>
        <v>0</v>
      </c>
      <c r="M16" s="16"/>
      <c r="N16" s="18"/>
      <c r="O16" s="19">
        <f t="shared" si="25"/>
        <v>0</v>
      </c>
      <c r="P16" s="16"/>
      <c r="Q16" s="18"/>
      <c r="R16" s="19">
        <f t="shared" si="26"/>
        <v>0</v>
      </c>
      <c r="S16" s="20">
        <f t="shared" si="27"/>
        <v>0</v>
      </c>
      <c r="T16" s="19">
        <f t="shared" si="28"/>
        <v>0</v>
      </c>
      <c r="U16" s="21">
        <f t="shared" si="29"/>
        <v>30</v>
      </c>
      <c r="V16" s="19">
        <f t="shared" si="30"/>
        <v>3.3799500000000005</v>
      </c>
      <c r="X16" s="29"/>
    </row>
    <row r="17" spans="1:24">
      <c r="A17" s="88" t="s">
        <v>13</v>
      </c>
      <c r="B17" s="89" t="s">
        <v>46</v>
      </c>
      <c r="C17" s="90">
        <v>10.73</v>
      </c>
      <c r="D17" s="91">
        <v>11</v>
      </c>
      <c r="E17" s="93">
        <v>24</v>
      </c>
      <c r="F17" s="16">
        <f t="shared" si="22"/>
        <v>2.8327200000000001</v>
      </c>
      <c r="G17" s="17"/>
      <c r="H17" s="18"/>
      <c r="I17" s="19">
        <f t="shared" si="23"/>
        <v>0</v>
      </c>
      <c r="J17" s="16"/>
      <c r="K17" s="18"/>
      <c r="L17" s="19">
        <f t="shared" si="24"/>
        <v>0</v>
      </c>
      <c r="M17" s="16"/>
      <c r="N17" s="18"/>
      <c r="O17" s="19">
        <f t="shared" si="25"/>
        <v>0</v>
      </c>
      <c r="P17" s="16"/>
      <c r="Q17" s="18"/>
      <c r="R17" s="19">
        <f t="shared" si="26"/>
        <v>0</v>
      </c>
      <c r="S17" s="20">
        <f t="shared" si="27"/>
        <v>0</v>
      </c>
      <c r="T17" s="19">
        <f t="shared" si="28"/>
        <v>0</v>
      </c>
      <c r="U17" s="21">
        <f t="shared" si="29"/>
        <v>24</v>
      </c>
      <c r="V17" s="19">
        <f t="shared" si="30"/>
        <v>2.8327200000000001</v>
      </c>
      <c r="X17" s="29"/>
    </row>
    <row r="18" spans="1:24">
      <c r="A18" s="88" t="s">
        <v>13</v>
      </c>
      <c r="B18" s="89" t="s">
        <v>46</v>
      </c>
      <c r="C18" s="90">
        <v>10.73</v>
      </c>
      <c r="D18" s="91">
        <v>12</v>
      </c>
      <c r="E18" s="93">
        <v>119</v>
      </c>
      <c r="F18" s="16">
        <f t="shared" si="22"/>
        <v>15.322439999999999</v>
      </c>
      <c r="G18" s="17"/>
      <c r="H18" s="18"/>
      <c r="I18" s="19">
        <f t="shared" si="23"/>
        <v>0</v>
      </c>
      <c r="J18" s="16"/>
      <c r="K18" s="18"/>
      <c r="L18" s="19">
        <f t="shared" si="24"/>
        <v>0</v>
      </c>
      <c r="M18" s="16"/>
      <c r="N18" s="18"/>
      <c r="O18" s="19">
        <f t="shared" si="25"/>
        <v>0</v>
      </c>
      <c r="P18" s="16"/>
      <c r="Q18" s="18"/>
      <c r="R18" s="19">
        <f t="shared" si="26"/>
        <v>0</v>
      </c>
      <c r="S18" s="20">
        <f t="shared" si="27"/>
        <v>0</v>
      </c>
      <c r="T18" s="19">
        <f t="shared" si="28"/>
        <v>0</v>
      </c>
      <c r="U18" s="21">
        <f t="shared" si="29"/>
        <v>119</v>
      </c>
      <c r="V18" s="19">
        <f t="shared" si="30"/>
        <v>15.322439999999999</v>
      </c>
      <c r="X18" s="29"/>
    </row>
    <row r="19" spans="1:24">
      <c r="A19" s="88"/>
      <c r="B19" s="89"/>
      <c r="C19" s="90"/>
      <c r="D19" s="91"/>
      <c r="E19" s="94">
        <f t="shared" ref="E19:F19" si="31">SUM(E15:E18)</f>
        <v>221</v>
      </c>
      <c r="F19" s="95">
        <f t="shared" si="31"/>
        <v>26.685510000000001</v>
      </c>
      <c r="G19" s="17"/>
      <c r="H19" s="94">
        <f t="shared" ref="H19" si="32">SUM(H15:H18)</f>
        <v>0</v>
      </c>
      <c r="I19" s="95">
        <f t="shared" ref="I19" si="33">SUM(I15:I18)</f>
        <v>0</v>
      </c>
      <c r="J19" s="16"/>
      <c r="K19" s="94">
        <f t="shared" ref="K19" si="34">SUM(K15:K18)</f>
        <v>0</v>
      </c>
      <c r="L19" s="95">
        <f t="shared" ref="L19" si="35">SUM(L15:L18)</f>
        <v>0</v>
      </c>
      <c r="M19" s="16"/>
      <c r="N19" s="94">
        <f t="shared" ref="N19" si="36">SUM(N15:N18)</f>
        <v>0</v>
      </c>
      <c r="O19" s="95">
        <f t="shared" ref="O19" si="37">SUM(O15:O18)</f>
        <v>0</v>
      </c>
      <c r="P19" s="16"/>
      <c r="Q19" s="94">
        <f t="shared" ref="Q19" si="38">SUM(Q15:Q18)</f>
        <v>0</v>
      </c>
      <c r="R19" s="95">
        <f t="shared" ref="R19" si="39">SUM(R15:R18)</f>
        <v>0</v>
      </c>
      <c r="S19" s="94">
        <f t="shared" ref="S19" si="40">SUM(S15:S18)</f>
        <v>0</v>
      </c>
      <c r="T19" s="95">
        <f t="shared" ref="T19" si="41">SUM(T15:T18)</f>
        <v>0</v>
      </c>
      <c r="U19" s="94">
        <f t="shared" ref="U19" si="42">SUM(U15:U18)</f>
        <v>221</v>
      </c>
      <c r="V19" s="95">
        <f t="shared" ref="V19" si="43">SUM(V15:V18)</f>
        <v>26.685510000000001</v>
      </c>
    </row>
    <row r="20" spans="1:24">
      <c r="A20" s="88" t="s">
        <v>13</v>
      </c>
      <c r="B20" s="89" t="s">
        <v>31</v>
      </c>
      <c r="C20" s="90">
        <v>10.199999999999999</v>
      </c>
      <c r="D20" s="91">
        <v>8.35</v>
      </c>
      <c r="E20" s="93">
        <v>25</v>
      </c>
      <c r="F20" s="16">
        <f t="shared" ref="F20:F26" si="44">(C20*D20*E20/1000)</f>
        <v>2.1292499999999994</v>
      </c>
      <c r="G20" s="17"/>
      <c r="H20" s="18"/>
      <c r="I20" s="19">
        <f t="shared" ref="I20:I26" si="45">(C20*D20*H20/1000)</f>
        <v>0</v>
      </c>
      <c r="J20" s="16"/>
      <c r="K20" s="18"/>
      <c r="L20" s="19">
        <f t="shared" ref="L20:L26" si="46">(C20*D20*K20/1000)</f>
        <v>0</v>
      </c>
      <c r="M20" s="16"/>
      <c r="N20" s="18"/>
      <c r="O20" s="19">
        <f t="shared" ref="O20:O26" si="47">(C20*D20*N20/1000)</f>
        <v>0</v>
      </c>
      <c r="P20" s="16"/>
      <c r="Q20" s="18"/>
      <c r="R20" s="19">
        <f t="shared" ref="R20:R26" si="48">(C20*D20*Q20/1000)</f>
        <v>0</v>
      </c>
      <c r="S20" s="20">
        <f t="shared" ref="S20:S26" si="49">+H20+K20+Q20+N20</f>
        <v>0</v>
      </c>
      <c r="T20" s="19">
        <f t="shared" ref="T20:T26" si="50">+I20+L20+R20+O20</f>
        <v>0</v>
      </c>
      <c r="U20" s="21">
        <f t="shared" ref="U20:U26" si="51">E20-S20</f>
        <v>25</v>
      </c>
      <c r="V20" s="19">
        <f t="shared" ref="V20:V26" si="52">F20-T20</f>
        <v>2.1292499999999994</v>
      </c>
    </row>
    <row r="21" spans="1:24">
      <c r="A21" s="88" t="s">
        <v>13</v>
      </c>
      <c r="B21" s="89" t="s">
        <v>31</v>
      </c>
      <c r="C21" s="90">
        <v>10.199999999999999</v>
      </c>
      <c r="D21" s="91">
        <v>9.1999999999999993</v>
      </c>
      <c r="E21" s="93">
        <v>24</v>
      </c>
      <c r="F21" s="16">
        <f t="shared" si="44"/>
        <v>2.2521599999999999</v>
      </c>
      <c r="G21" s="17"/>
      <c r="H21" s="18"/>
      <c r="I21" s="19">
        <f t="shared" si="45"/>
        <v>0</v>
      </c>
      <c r="J21" s="16"/>
      <c r="K21" s="18"/>
      <c r="L21" s="19">
        <f t="shared" si="46"/>
        <v>0</v>
      </c>
      <c r="M21" s="16"/>
      <c r="N21" s="18"/>
      <c r="O21" s="19">
        <f t="shared" si="47"/>
        <v>0</v>
      </c>
      <c r="P21" s="16"/>
      <c r="Q21" s="18"/>
      <c r="R21" s="19">
        <f t="shared" si="48"/>
        <v>0</v>
      </c>
      <c r="S21" s="20">
        <f t="shared" si="49"/>
        <v>0</v>
      </c>
      <c r="T21" s="19">
        <f t="shared" si="50"/>
        <v>0</v>
      </c>
      <c r="U21" s="21">
        <f t="shared" si="51"/>
        <v>24</v>
      </c>
      <c r="V21" s="19">
        <f t="shared" si="52"/>
        <v>2.2521599999999999</v>
      </c>
    </row>
    <row r="22" spans="1:24">
      <c r="A22" s="88" t="s">
        <v>13</v>
      </c>
      <c r="B22" s="89" t="s">
        <v>31</v>
      </c>
      <c r="C22" s="90">
        <v>10.199999999999999</v>
      </c>
      <c r="D22" s="91">
        <v>10</v>
      </c>
      <c r="E22" s="93">
        <v>24</v>
      </c>
      <c r="F22" s="16">
        <f t="shared" si="44"/>
        <v>2.448</v>
      </c>
      <c r="G22" s="17"/>
      <c r="H22" s="18"/>
      <c r="I22" s="19">
        <f t="shared" si="45"/>
        <v>0</v>
      </c>
      <c r="J22" s="16"/>
      <c r="K22" s="18"/>
      <c r="L22" s="19">
        <f t="shared" si="46"/>
        <v>0</v>
      </c>
      <c r="M22" s="16"/>
      <c r="N22" s="18"/>
      <c r="O22" s="19">
        <f t="shared" si="47"/>
        <v>0</v>
      </c>
      <c r="P22" s="16"/>
      <c r="Q22" s="18"/>
      <c r="R22" s="19">
        <f t="shared" si="48"/>
        <v>0</v>
      </c>
      <c r="S22" s="20">
        <f t="shared" si="49"/>
        <v>0</v>
      </c>
      <c r="T22" s="19">
        <f t="shared" si="50"/>
        <v>0</v>
      </c>
      <c r="U22" s="21">
        <f t="shared" si="51"/>
        <v>24</v>
      </c>
      <c r="V22" s="19">
        <f t="shared" si="52"/>
        <v>2.448</v>
      </c>
    </row>
    <row r="23" spans="1:24">
      <c r="A23" s="88" t="s">
        <v>13</v>
      </c>
      <c r="B23" s="89" t="s">
        <v>31</v>
      </c>
      <c r="C23" s="90">
        <v>10.199999999999999</v>
      </c>
      <c r="D23" s="91">
        <v>11</v>
      </c>
      <c r="E23" s="93">
        <v>24</v>
      </c>
      <c r="F23" s="16">
        <f t="shared" si="44"/>
        <v>2.6927999999999996</v>
      </c>
      <c r="G23" s="17"/>
      <c r="H23" s="18"/>
      <c r="I23" s="19">
        <f t="shared" si="45"/>
        <v>0</v>
      </c>
      <c r="J23" s="16"/>
      <c r="K23" s="18"/>
      <c r="L23" s="19">
        <f t="shared" si="46"/>
        <v>0</v>
      </c>
      <c r="M23" s="16"/>
      <c r="N23" s="18"/>
      <c r="O23" s="19">
        <f t="shared" si="47"/>
        <v>0</v>
      </c>
      <c r="P23" s="16"/>
      <c r="Q23" s="18"/>
      <c r="R23" s="19">
        <f t="shared" si="48"/>
        <v>0</v>
      </c>
      <c r="S23" s="20">
        <f t="shared" si="49"/>
        <v>0</v>
      </c>
      <c r="T23" s="19">
        <f t="shared" si="50"/>
        <v>0</v>
      </c>
      <c r="U23" s="21">
        <f t="shared" si="51"/>
        <v>24</v>
      </c>
      <c r="V23" s="19">
        <f t="shared" si="52"/>
        <v>2.6927999999999996</v>
      </c>
    </row>
    <row r="24" spans="1:24">
      <c r="A24" s="88" t="s">
        <v>13</v>
      </c>
      <c r="B24" s="89" t="s">
        <v>31</v>
      </c>
      <c r="C24" s="90">
        <v>10.199999999999999</v>
      </c>
      <c r="D24" s="91">
        <v>11.6</v>
      </c>
      <c r="E24" s="93">
        <v>24</v>
      </c>
      <c r="F24" s="16">
        <f t="shared" si="44"/>
        <v>2.83968</v>
      </c>
      <c r="G24" s="17"/>
      <c r="H24" s="18"/>
      <c r="I24" s="19">
        <f t="shared" si="45"/>
        <v>0</v>
      </c>
      <c r="J24" s="16"/>
      <c r="K24" s="18"/>
      <c r="L24" s="19">
        <f t="shared" si="46"/>
        <v>0</v>
      </c>
      <c r="M24" s="16"/>
      <c r="N24" s="18"/>
      <c r="O24" s="19">
        <f t="shared" si="47"/>
        <v>0</v>
      </c>
      <c r="P24" s="16"/>
      <c r="Q24" s="18"/>
      <c r="R24" s="19">
        <f t="shared" si="48"/>
        <v>0</v>
      </c>
      <c r="S24" s="20">
        <f t="shared" si="49"/>
        <v>0</v>
      </c>
      <c r="T24" s="19">
        <f t="shared" si="50"/>
        <v>0</v>
      </c>
      <c r="U24" s="21">
        <f t="shared" si="51"/>
        <v>24</v>
      </c>
      <c r="V24" s="19">
        <f t="shared" si="52"/>
        <v>2.83968</v>
      </c>
    </row>
    <row r="25" spans="1:24">
      <c r="A25" s="88" t="s">
        <v>13</v>
      </c>
      <c r="B25" s="89" t="s">
        <v>31</v>
      </c>
      <c r="C25" s="90">
        <v>10.199999999999999</v>
      </c>
      <c r="D25" s="91">
        <v>11.75</v>
      </c>
      <c r="E25" s="93">
        <v>48</v>
      </c>
      <c r="F25" s="16">
        <f t="shared" si="44"/>
        <v>5.7527999999999997</v>
      </c>
      <c r="G25" s="17"/>
      <c r="H25" s="18"/>
      <c r="I25" s="19">
        <f t="shared" si="45"/>
        <v>0</v>
      </c>
      <c r="J25" s="16"/>
      <c r="K25" s="18"/>
      <c r="L25" s="19">
        <f t="shared" si="46"/>
        <v>0</v>
      </c>
      <c r="M25" s="16"/>
      <c r="N25" s="18"/>
      <c r="O25" s="19">
        <f t="shared" si="47"/>
        <v>0</v>
      </c>
      <c r="P25" s="16"/>
      <c r="Q25" s="18"/>
      <c r="R25" s="19">
        <f t="shared" si="48"/>
        <v>0</v>
      </c>
      <c r="S25" s="20">
        <f t="shared" si="49"/>
        <v>0</v>
      </c>
      <c r="T25" s="19">
        <f t="shared" si="50"/>
        <v>0</v>
      </c>
      <c r="U25" s="21">
        <f t="shared" si="51"/>
        <v>48</v>
      </c>
      <c r="V25" s="19">
        <f t="shared" si="52"/>
        <v>5.7527999999999997</v>
      </c>
    </row>
    <row r="26" spans="1:24">
      <c r="A26" s="88" t="s">
        <v>13</v>
      </c>
      <c r="B26" s="89" t="s">
        <v>31</v>
      </c>
      <c r="C26" s="90">
        <v>10.199999999999999</v>
      </c>
      <c r="D26" s="91">
        <v>11.9</v>
      </c>
      <c r="E26" s="93">
        <v>24</v>
      </c>
      <c r="F26" s="16">
        <f t="shared" si="44"/>
        <v>2.9131199999999997</v>
      </c>
      <c r="G26" s="17"/>
      <c r="H26" s="18"/>
      <c r="I26" s="19">
        <f t="shared" si="45"/>
        <v>0</v>
      </c>
      <c r="J26" s="16"/>
      <c r="K26" s="18"/>
      <c r="L26" s="19">
        <f t="shared" si="46"/>
        <v>0</v>
      </c>
      <c r="M26" s="16"/>
      <c r="N26" s="18"/>
      <c r="O26" s="19">
        <f t="shared" si="47"/>
        <v>0</v>
      </c>
      <c r="P26" s="16"/>
      <c r="Q26" s="18"/>
      <c r="R26" s="19">
        <f t="shared" si="48"/>
        <v>0</v>
      </c>
      <c r="S26" s="20">
        <f t="shared" si="49"/>
        <v>0</v>
      </c>
      <c r="T26" s="19">
        <f t="shared" si="50"/>
        <v>0</v>
      </c>
      <c r="U26" s="21">
        <f t="shared" si="51"/>
        <v>24</v>
      </c>
      <c r="V26" s="19">
        <f t="shared" si="52"/>
        <v>2.9131199999999997</v>
      </c>
    </row>
    <row r="27" spans="1:24">
      <c r="A27" s="88"/>
      <c r="B27" s="89"/>
      <c r="C27" s="90"/>
      <c r="D27" s="91"/>
      <c r="E27" s="94">
        <f t="shared" ref="E27:F27" si="53">SUM(E20:E26)</f>
        <v>193</v>
      </c>
      <c r="F27" s="95">
        <f t="shared" si="53"/>
        <v>21.027809999999999</v>
      </c>
      <c r="G27" s="17"/>
      <c r="H27" s="94">
        <f t="shared" ref="H27" si="54">SUM(H20:H26)</f>
        <v>0</v>
      </c>
      <c r="I27" s="95">
        <f t="shared" ref="I27" si="55">SUM(I20:I26)</f>
        <v>0</v>
      </c>
      <c r="J27" s="16"/>
      <c r="K27" s="94">
        <f t="shared" ref="K27" si="56">SUM(K20:K26)</f>
        <v>0</v>
      </c>
      <c r="L27" s="95">
        <f t="shared" ref="L27" si="57">SUM(L20:L26)</f>
        <v>0</v>
      </c>
      <c r="M27" s="16"/>
      <c r="N27" s="94">
        <f t="shared" ref="N27" si="58">SUM(N20:N26)</f>
        <v>0</v>
      </c>
      <c r="O27" s="95">
        <f t="shared" ref="O27" si="59">SUM(O20:O26)</f>
        <v>0</v>
      </c>
      <c r="P27" s="16"/>
      <c r="Q27" s="94">
        <f t="shared" ref="Q27" si="60">SUM(Q20:Q26)</f>
        <v>0</v>
      </c>
      <c r="R27" s="95">
        <f t="shared" ref="R27" si="61">SUM(R20:R26)</f>
        <v>0</v>
      </c>
      <c r="S27" s="94">
        <f t="shared" ref="S27" si="62">SUM(S20:S26)</f>
        <v>0</v>
      </c>
      <c r="T27" s="95">
        <f t="shared" ref="T27" si="63">SUM(T20:T26)</f>
        <v>0</v>
      </c>
      <c r="U27" s="94">
        <f t="shared" ref="U27" si="64">SUM(U20:U26)</f>
        <v>193</v>
      </c>
      <c r="V27" s="95">
        <f t="shared" ref="V27" si="65">SUM(V20:V26)</f>
        <v>21.027809999999999</v>
      </c>
    </row>
    <row r="28" spans="1:24">
      <c r="A28" s="88" t="s">
        <v>13</v>
      </c>
      <c r="B28" s="89" t="s">
        <v>32</v>
      </c>
      <c r="C28" s="90">
        <v>11.8</v>
      </c>
      <c r="D28" s="91">
        <v>8</v>
      </c>
      <c r="E28" s="93">
        <v>46</v>
      </c>
      <c r="F28" s="16">
        <f t="shared" ref="F28:F36" si="66">(C28*D28*E28/1000)</f>
        <v>4.3424000000000005</v>
      </c>
      <c r="G28" s="17"/>
      <c r="H28" s="18"/>
      <c r="I28" s="19">
        <f t="shared" ref="I28:I36" si="67">(C28*D28*H28/1000)</f>
        <v>0</v>
      </c>
      <c r="J28" s="16"/>
      <c r="K28" s="18"/>
      <c r="L28" s="19">
        <f t="shared" ref="L28:L36" si="68">(C28*D28*K28/1000)</f>
        <v>0</v>
      </c>
      <c r="M28" s="16"/>
      <c r="N28" s="18"/>
      <c r="O28" s="19">
        <f t="shared" ref="O28:O36" si="69">(C28*D28*N28/1000)</f>
        <v>0</v>
      </c>
      <c r="P28" s="16"/>
      <c r="Q28" s="18"/>
      <c r="R28" s="19">
        <f t="shared" ref="R28:R36" si="70">(C28*D28*Q28/1000)</f>
        <v>0</v>
      </c>
      <c r="S28" s="20">
        <f t="shared" ref="S28:S36" si="71">+H28+K28+Q28+N28</f>
        <v>0</v>
      </c>
      <c r="T28" s="19">
        <f t="shared" ref="T28:T36" si="72">+I28+L28+R28+O28</f>
        <v>0</v>
      </c>
      <c r="U28" s="21">
        <f t="shared" ref="U28:U36" si="73">E28-S28</f>
        <v>46</v>
      </c>
      <c r="V28" s="19">
        <f t="shared" ref="V28:V36" si="74">F28-T28</f>
        <v>4.3424000000000005</v>
      </c>
    </row>
    <row r="29" spans="1:24">
      <c r="A29" s="88" t="s">
        <v>13</v>
      </c>
      <c r="B29" s="89" t="s">
        <v>32</v>
      </c>
      <c r="C29" s="90">
        <v>11.8</v>
      </c>
      <c r="D29" s="91">
        <v>8.1999999999999993</v>
      </c>
      <c r="E29" s="93">
        <v>48</v>
      </c>
      <c r="F29" s="16">
        <f t="shared" si="66"/>
        <v>4.6444799999999997</v>
      </c>
      <c r="G29" s="17"/>
      <c r="H29" s="18"/>
      <c r="I29" s="19">
        <f t="shared" si="67"/>
        <v>0</v>
      </c>
      <c r="J29" s="16"/>
      <c r="K29" s="18"/>
      <c r="L29" s="19">
        <f t="shared" si="68"/>
        <v>0</v>
      </c>
      <c r="M29" s="16"/>
      <c r="N29" s="18"/>
      <c r="O29" s="19">
        <f t="shared" si="69"/>
        <v>0</v>
      </c>
      <c r="P29" s="16"/>
      <c r="Q29" s="18"/>
      <c r="R29" s="19">
        <f t="shared" si="70"/>
        <v>0</v>
      </c>
      <c r="S29" s="20">
        <f t="shared" si="71"/>
        <v>0</v>
      </c>
      <c r="T29" s="19">
        <f t="shared" si="72"/>
        <v>0</v>
      </c>
      <c r="U29" s="21">
        <f t="shared" si="73"/>
        <v>48</v>
      </c>
      <c r="V29" s="19">
        <f t="shared" si="74"/>
        <v>4.6444799999999997</v>
      </c>
    </row>
    <row r="30" spans="1:24">
      <c r="A30" s="88" t="s">
        <v>13</v>
      </c>
      <c r="B30" s="89" t="s">
        <v>32</v>
      </c>
      <c r="C30" s="90">
        <v>11.8</v>
      </c>
      <c r="D30" s="91">
        <v>10.4</v>
      </c>
      <c r="E30" s="93">
        <v>12</v>
      </c>
      <c r="F30" s="16">
        <f t="shared" si="66"/>
        <v>1.4726400000000002</v>
      </c>
      <c r="G30" s="17"/>
      <c r="H30" s="18"/>
      <c r="I30" s="19">
        <f t="shared" si="67"/>
        <v>0</v>
      </c>
      <c r="J30" s="16"/>
      <c r="K30" s="18"/>
      <c r="L30" s="19">
        <f t="shared" si="68"/>
        <v>0</v>
      </c>
      <c r="M30" s="16"/>
      <c r="N30" s="18"/>
      <c r="O30" s="19">
        <f t="shared" si="69"/>
        <v>0</v>
      </c>
      <c r="P30" s="16"/>
      <c r="Q30" s="18"/>
      <c r="R30" s="19">
        <f t="shared" si="70"/>
        <v>0</v>
      </c>
      <c r="S30" s="20">
        <f t="shared" si="71"/>
        <v>0</v>
      </c>
      <c r="T30" s="19">
        <f t="shared" si="72"/>
        <v>0</v>
      </c>
      <c r="U30" s="21">
        <f t="shared" si="73"/>
        <v>12</v>
      </c>
      <c r="V30" s="19">
        <f t="shared" si="74"/>
        <v>1.4726400000000002</v>
      </c>
    </row>
    <row r="31" spans="1:24">
      <c r="A31" s="88" t="s">
        <v>13</v>
      </c>
      <c r="B31" s="89" t="s">
        <v>32</v>
      </c>
      <c r="C31" s="90">
        <v>11.8</v>
      </c>
      <c r="D31" s="91">
        <v>10.5</v>
      </c>
      <c r="E31" s="93">
        <v>48</v>
      </c>
      <c r="F31" s="16">
        <f t="shared" si="66"/>
        <v>5.9472000000000005</v>
      </c>
      <c r="G31" s="17"/>
      <c r="H31" s="18"/>
      <c r="I31" s="19">
        <f t="shared" si="67"/>
        <v>0</v>
      </c>
      <c r="J31" s="16"/>
      <c r="K31" s="18"/>
      <c r="L31" s="19">
        <f t="shared" si="68"/>
        <v>0</v>
      </c>
      <c r="M31" s="16"/>
      <c r="N31" s="18"/>
      <c r="O31" s="19">
        <f t="shared" si="69"/>
        <v>0</v>
      </c>
      <c r="P31" s="16"/>
      <c r="Q31" s="18"/>
      <c r="R31" s="19">
        <f t="shared" si="70"/>
        <v>0</v>
      </c>
      <c r="S31" s="20">
        <f t="shared" si="71"/>
        <v>0</v>
      </c>
      <c r="T31" s="19">
        <f t="shared" si="72"/>
        <v>0</v>
      </c>
      <c r="U31" s="21">
        <f t="shared" si="73"/>
        <v>48</v>
      </c>
      <c r="V31" s="19">
        <f t="shared" si="74"/>
        <v>5.9472000000000005</v>
      </c>
    </row>
    <row r="32" spans="1:24">
      <c r="A32" s="88" t="s">
        <v>13</v>
      </c>
      <c r="B32" s="89" t="s">
        <v>32</v>
      </c>
      <c r="C32" s="90">
        <v>11.8</v>
      </c>
      <c r="D32" s="91">
        <v>10.8</v>
      </c>
      <c r="E32" s="93">
        <v>30</v>
      </c>
      <c r="F32" s="16">
        <f t="shared" si="66"/>
        <v>3.8232000000000004</v>
      </c>
      <c r="G32" s="17"/>
      <c r="H32" s="18"/>
      <c r="I32" s="19">
        <f t="shared" si="67"/>
        <v>0</v>
      </c>
      <c r="J32" s="16"/>
      <c r="K32" s="18"/>
      <c r="L32" s="19">
        <f t="shared" si="68"/>
        <v>0</v>
      </c>
      <c r="M32" s="16"/>
      <c r="N32" s="18"/>
      <c r="O32" s="19">
        <f t="shared" si="69"/>
        <v>0</v>
      </c>
      <c r="P32" s="16"/>
      <c r="Q32" s="18"/>
      <c r="R32" s="19">
        <f t="shared" si="70"/>
        <v>0</v>
      </c>
      <c r="S32" s="20">
        <f t="shared" si="71"/>
        <v>0</v>
      </c>
      <c r="T32" s="19">
        <f t="shared" si="72"/>
        <v>0</v>
      </c>
      <c r="U32" s="21">
        <f t="shared" si="73"/>
        <v>30</v>
      </c>
      <c r="V32" s="19">
        <f t="shared" si="74"/>
        <v>3.8232000000000004</v>
      </c>
    </row>
    <row r="33" spans="1:22">
      <c r="A33" s="88" t="s">
        <v>13</v>
      </c>
      <c r="B33" s="89" t="s">
        <v>32</v>
      </c>
      <c r="C33" s="90">
        <v>11.8</v>
      </c>
      <c r="D33" s="91">
        <v>10.9</v>
      </c>
      <c r="E33" s="93">
        <v>24</v>
      </c>
      <c r="F33" s="16">
        <f t="shared" si="66"/>
        <v>3.0868800000000003</v>
      </c>
      <c r="G33" s="17"/>
      <c r="H33" s="18"/>
      <c r="I33" s="19">
        <f t="shared" si="67"/>
        <v>0</v>
      </c>
      <c r="J33" s="16"/>
      <c r="K33" s="18"/>
      <c r="L33" s="19">
        <f t="shared" si="68"/>
        <v>0</v>
      </c>
      <c r="M33" s="16"/>
      <c r="N33" s="18"/>
      <c r="O33" s="19">
        <f t="shared" si="69"/>
        <v>0</v>
      </c>
      <c r="P33" s="16"/>
      <c r="Q33" s="18"/>
      <c r="R33" s="19">
        <f t="shared" si="70"/>
        <v>0</v>
      </c>
      <c r="S33" s="20">
        <f t="shared" si="71"/>
        <v>0</v>
      </c>
      <c r="T33" s="19">
        <f t="shared" si="72"/>
        <v>0</v>
      </c>
      <c r="U33" s="21">
        <f t="shared" si="73"/>
        <v>24</v>
      </c>
      <c r="V33" s="19">
        <f t="shared" si="74"/>
        <v>3.0868800000000003</v>
      </c>
    </row>
    <row r="34" spans="1:22">
      <c r="A34" s="88" t="s">
        <v>13</v>
      </c>
      <c r="B34" s="89" t="s">
        <v>32</v>
      </c>
      <c r="C34" s="90">
        <v>11.8</v>
      </c>
      <c r="D34" s="91">
        <v>11.6</v>
      </c>
      <c r="E34" s="93">
        <v>25</v>
      </c>
      <c r="F34" s="16">
        <f t="shared" si="66"/>
        <v>3.4220000000000002</v>
      </c>
      <c r="G34" s="17"/>
      <c r="H34" s="18"/>
      <c r="I34" s="19">
        <f t="shared" si="67"/>
        <v>0</v>
      </c>
      <c r="J34" s="16"/>
      <c r="K34" s="18"/>
      <c r="L34" s="19">
        <f t="shared" si="68"/>
        <v>0</v>
      </c>
      <c r="M34" s="16"/>
      <c r="N34" s="18"/>
      <c r="O34" s="19">
        <f t="shared" si="69"/>
        <v>0</v>
      </c>
      <c r="P34" s="16"/>
      <c r="Q34" s="18"/>
      <c r="R34" s="19">
        <f t="shared" si="70"/>
        <v>0</v>
      </c>
      <c r="S34" s="20">
        <f t="shared" si="71"/>
        <v>0</v>
      </c>
      <c r="T34" s="19">
        <f t="shared" si="72"/>
        <v>0</v>
      </c>
      <c r="U34" s="21">
        <f t="shared" si="73"/>
        <v>25</v>
      </c>
      <c r="V34" s="19">
        <f t="shared" si="74"/>
        <v>3.4220000000000002</v>
      </c>
    </row>
    <row r="35" spans="1:22">
      <c r="A35" s="88" t="s">
        <v>13</v>
      </c>
      <c r="B35" s="89" t="s">
        <v>32</v>
      </c>
      <c r="C35" s="90">
        <v>11.8</v>
      </c>
      <c r="D35" s="91">
        <v>11.7</v>
      </c>
      <c r="E35" s="93">
        <v>25</v>
      </c>
      <c r="F35" s="16">
        <f t="shared" si="66"/>
        <v>3.4514999999999998</v>
      </c>
      <c r="G35" s="17"/>
      <c r="H35" s="18"/>
      <c r="I35" s="19">
        <f t="shared" si="67"/>
        <v>0</v>
      </c>
      <c r="J35" s="16"/>
      <c r="K35" s="18"/>
      <c r="L35" s="19">
        <f t="shared" si="68"/>
        <v>0</v>
      </c>
      <c r="M35" s="16"/>
      <c r="N35" s="18"/>
      <c r="O35" s="19">
        <f t="shared" si="69"/>
        <v>0</v>
      </c>
      <c r="P35" s="16"/>
      <c r="Q35" s="18"/>
      <c r="R35" s="19">
        <f t="shared" si="70"/>
        <v>0</v>
      </c>
      <c r="S35" s="20">
        <f t="shared" si="71"/>
        <v>0</v>
      </c>
      <c r="T35" s="19">
        <f t="shared" si="72"/>
        <v>0</v>
      </c>
      <c r="U35" s="21">
        <f t="shared" si="73"/>
        <v>25</v>
      </c>
      <c r="V35" s="19">
        <f t="shared" si="74"/>
        <v>3.4514999999999998</v>
      </c>
    </row>
    <row r="36" spans="1:22">
      <c r="A36" s="88" t="s">
        <v>13</v>
      </c>
      <c r="B36" s="89" t="s">
        <v>32</v>
      </c>
      <c r="C36" s="90">
        <v>11.8</v>
      </c>
      <c r="D36" s="91">
        <v>11.9</v>
      </c>
      <c r="E36" s="93">
        <v>60</v>
      </c>
      <c r="F36" s="16">
        <f t="shared" si="66"/>
        <v>8.4252000000000002</v>
      </c>
      <c r="G36" s="17"/>
      <c r="H36" s="18"/>
      <c r="I36" s="19">
        <f t="shared" si="67"/>
        <v>0</v>
      </c>
      <c r="J36" s="16"/>
      <c r="K36" s="18"/>
      <c r="L36" s="19">
        <f t="shared" si="68"/>
        <v>0</v>
      </c>
      <c r="M36" s="16"/>
      <c r="N36" s="18"/>
      <c r="O36" s="19">
        <f t="shared" si="69"/>
        <v>0</v>
      </c>
      <c r="P36" s="16"/>
      <c r="Q36" s="18"/>
      <c r="R36" s="19">
        <f t="shared" si="70"/>
        <v>0</v>
      </c>
      <c r="S36" s="20">
        <f t="shared" si="71"/>
        <v>0</v>
      </c>
      <c r="T36" s="19">
        <f t="shared" si="72"/>
        <v>0</v>
      </c>
      <c r="U36" s="21">
        <f t="shared" si="73"/>
        <v>60</v>
      </c>
      <c r="V36" s="19">
        <f t="shared" si="74"/>
        <v>8.4252000000000002</v>
      </c>
    </row>
    <row r="37" spans="1:22">
      <c r="A37" s="88"/>
      <c r="B37" s="89"/>
      <c r="C37" s="90"/>
      <c r="D37" s="91"/>
      <c r="E37" s="94">
        <f t="shared" ref="E37:F37" si="75">SUM(E28:E36)</f>
        <v>318</v>
      </c>
      <c r="F37" s="95">
        <f t="shared" si="75"/>
        <v>38.615499999999997</v>
      </c>
      <c r="G37" s="17"/>
      <c r="H37" s="94">
        <f t="shared" ref="H37" si="76">SUM(H28:H36)</f>
        <v>0</v>
      </c>
      <c r="I37" s="95">
        <f t="shared" ref="I37" si="77">SUM(I28:I36)</f>
        <v>0</v>
      </c>
      <c r="J37" s="16"/>
      <c r="K37" s="94">
        <f t="shared" ref="K37" si="78">SUM(K28:K36)</f>
        <v>0</v>
      </c>
      <c r="L37" s="95">
        <f t="shared" ref="L37" si="79">SUM(L28:L36)</f>
        <v>0</v>
      </c>
      <c r="M37" s="16"/>
      <c r="N37" s="94">
        <f t="shared" ref="N37" si="80">SUM(N28:N36)</f>
        <v>0</v>
      </c>
      <c r="O37" s="95">
        <f t="shared" ref="O37" si="81">SUM(O28:O36)</f>
        <v>0</v>
      </c>
      <c r="P37" s="16"/>
      <c r="Q37" s="94">
        <f t="shared" ref="Q37" si="82">SUM(Q28:Q36)</f>
        <v>0</v>
      </c>
      <c r="R37" s="95">
        <f t="shared" ref="R37" si="83">SUM(R28:R36)</f>
        <v>0</v>
      </c>
      <c r="S37" s="94">
        <f t="shared" ref="S37" si="84">SUM(S28:S36)</f>
        <v>0</v>
      </c>
      <c r="T37" s="95">
        <f t="shared" ref="T37" si="85">SUM(T28:T36)</f>
        <v>0</v>
      </c>
      <c r="U37" s="94">
        <f t="shared" ref="U37" si="86">SUM(U28:U36)</f>
        <v>318</v>
      </c>
      <c r="V37" s="95">
        <f t="shared" ref="V37" si="87">SUM(V28:V36)</f>
        <v>38.615499999999997</v>
      </c>
    </row>
    <row r="38" spans="1:22">
      <c r="A38" s="88" t="s">
        <v>13</v>
      </c>
      <c r="B38" s="89" t="s">
        <v>25</v>
      </c>
      <c r="C38" s="90">
        <v>13.4</v>
      </c>
      <c r="D38" s="91">
        <v>10.3</v>
      </c>
      <c r="E38" s="93">
        <v>72</v>
      </c>
      <c r="F38" s="16">
        <f t="shared" ref="F38:F41" si="88">(C38*D38*E38/1000)</f>
        <v>9.9374400000000005</v>
      </c>
      <c r="G38" s="17"/>
      <c r="H38" s="18"/>
      <c r="I38" s="19">
        <f t="shared" ref="I38:I41" si="89">(C38*D38*H38/1000)</f>
        <v>0</v>
      </c>
      <c r="J38" s="16"/>
      <c r="K38" s="18"/>
      <c r="L38" s="19">
        <f t="shared" ref="L38:L41" si="90">(C38*D38*K38/1000)</f>
        <v>0</v>
      </c>
      <c r="M38" s="16"/>
      <c r="N38" s="18"/>
      <c r="O38" s="19">
        <f t="shared" ref="O38:O41" si="91">(C38*D38*N38/1000)</f>
        <v>0</v>
      </c>
      <c r="P38" s="16"/>
      <c r="Q38" s="18"/>
      <c r="R38" s="19">
        <f t="shared" ref="R38:R41" si="92">(C38*D38*Q38/1000)</f>
        <v>0</v>
      </c>
      <c r="S38" s="20">
        <f t="shared" ref="S38:S41" si="93">+H38+K38+Q38+N38</f>
        <v>0</v>
      </c>
      <c r="T38" s="19">
        <f t="shared" ref="T38:T41" si="94">+I38+L38+R38+O38</f>
        <v>0</v>
      </c>
      <c r="U38" s="21">
        <f t="shared" ref="U38:U41" si="95">E38-S38</f>
        <v>72</v>
      </c>
      <c r="V38" s="19">
        <f t="shared" ref="V38:V41" si="96">F38-T38</f>
        <v>9.9374400000000005</v>
      </c>
    </row>
    <row r="39" spans="1:22">
      <c r="A39" s="88" t="s">
        <v>13</v>
      </c>
      <c r="B39" s="89" t="s">
        <v>25</v>
      </c>
      <c r="C39" s="90">
        <v>13.4</v>
      </c>
      <c r="D39" s="91">
        <v>11.4</v>
      </c>
      <c r="E39" s="93">
        <v>50</v>
      </c>
      <c r="F39" s="16">
        <f t="shared" si="88"/>
        <v>7.6380000000000008</v>
      </c>
      <c r="G39" s="17"/>
      <c r="H39" s="18"/>
      <c r="I39" s="19">
        <f t="shared" si="89"/>
        <v>0</v>
      </c>
      <c r="J39" s="16"/>
      <c r="K39" s="18"/>
      <c r="L39" s="19">
        <f t="shared" si="90"/>
        <v>0</v>
      </c>
      <c r="M39" s="16"/>
      <c r="N39" s="18"/>
      <c r="O39" s="19">
        <f t="shared" si="91"/>
        <v>0</v>
      </c>
      <c r="P39" s="16"/>
      <c r="Q39" s="18"/>
      <c r="R39" s="19">
        <f t="shared" si="92"/>
        <v>0</v>
      </c>
      <c r="S39" s="20">
        <f t="shared" si="93"/>
        <v>0</v>
      </c>
      <c r="T39" s="19">
        <f t="shared" si="94"/>
        <v>0</v>
      </c>
      <c r="U39" s="21">
        <f t="shared" si="95"/>
        <v>50</v>
      </c>
      <c r="V39" s="19">
        <f t="shared" si="96"/>
        <v>7.6380000000000008</v>
      </c>
    </row>
    <row r="40" spans="1:22">
      <c r="A40" s="88" t="s">
        <v>13</v>
      </c>
      <c r="B40" s="89" t="s">
        <v>25</v>
      </c>
      <c r="C40" s="90">
        <v>13.4</v>
      </c>
      <c r="D40" s="91">
        <v>11.9</v>
      </c>
      <c r="E40" s="93">
        <v>96</v>
      </c>
      <c r="F40" s="16">
        <f t="shared" si="88"/>
        <v>15.308159999999999</v>
      </c>
      <c r="G40" s="17"/>
      <c r="H40" s="18"/>
      <c r="I40" s="19">
        <f t="shared" si="89"/>
        <v>0</v>
      </c>
      <c r="J40" s="16"/>
      <c r="K40" s="18"/>
      <c r="L40" s="19">
        <f t="shared" si="90"/>
        <v>0</v>
      </c>
      <c r="M40" s="16"/>
      <c r="N40" s="18"/>
      <c r="O40" s="19">
        <f t="shared" si="91"/>
        <v>0</v>
      </c>
      <c r="P40" s="16"/>
      <c r="Q40" s="18"/>
      <c r="R40" s="19">
        <f t="shared" si="92"/>
        <v>0</v>
      </c>
      <c r="S40" s="20">
        <f t="shared" si="93"/>
        <v>0</v>
      </c>
      <c r="T40" s="19">
        <f t="shared" si="94"/>
        <v>0</v>
      </c>
      <c r="U40" s="21">
        <f t="shared" si="95"/>
        <v>96</v>
      </c>
      <c r="V40" s="19">
        <f t="shared" si="96"/>
        <v>15.308159999999999</v>
      </c>
    </row>
    <row r="41" spans="1:22">
      <c r="A41" s="88" t="s">
        <v>13</v>
      </c>
      <c r="B41" s="89" t="s">
        <v>25</v>
      </c>
      <c r="C41" s="90">
        <v>13.4</v>
      </c>
      <c r="D41" s="91">
        <v>12</v>
      </c>
      <c r="E41" s="93">
        <v>12</v>
      </c>
      <c r="F41" s="16">
        <f t="shared" si="88"/>
        <v>1.9296000000000002</v>
      </c>
      <c r="G41" s="17"/>
      <c r="H41" s="18"/>
      <c r="I41" s="19">
        <f t="shared" si="89"/>
        <v>0</v>
      </c>
      <c r="J41" s="16"/>
      <c r="K41" s="18"/>
      <c r="L41" s="19">
        <f t="shared" si="90"/>
        <v>0</v>
      </c>
      <c r="M41" s="16"/>
      <c r="N41" s="18"/>
      <c r="O41" s="19">
        <f t="shared" si="91"/>
        <v>0</v>
      </c>
      <c r="P41" s="16"/>
      <c r="Q41" s="18"/>
      <c r="R41" s="19">
        <f t="shared" si="92"/>
        <v>0</v>
      </c>
      <c r="S41" s="20">
        <f t="shared" si="93"/>
        <v>0</v>
      </c>
      <c r="T41" s="19">
        <f t="shared" si="94"/>
        <v>0</v>
      </c>
      <c r="U41" s="21">
        <f t="shared" si="95"/>
        <v>12</v>
      </c>
      <c r="V41" s="19">
        <f t="shared" si="96"/>
        <v>1.9296000000000002</v>
      </c>
    </row>
    <row r="42" spans="1:22">
      <c r="A42" s="88"/>
      <c r="B42" s="89"/>
      <c r="C42" s="90"/>
      <c r="D42" s="91"/>
      <c r="E42" s="94">
        <f>SUM(E38:E41)</f>
        <v>230</v>
      </c>
      <c r="F42" s="95">
        <f>SUM(F38:F41)</f>
        <v>34.813200000000002</v>
      </c>
      <c r="G42" s="17"/>
      <c r="H42" s="94">
        <f>SUM(H38:H41)</f>
        <v>0</v>
      </c>
      <c r="I42" s="95">
        <f>SUM(I38:I41)</f>
        <v>0</v>
      </c>
      <c r="J42" s="16"/>
      <c r="K42" s="94">
        <f>SUM(K38:K41)</f>
        <v>0</v>
      </c>
      <c r="L42" s="95">
        <f>SUM(L38:L41)</f>
        <v>0</v>
      </c>
      <c r="M42" s="16"/>
      <c r="N42" s="94">
        <f>SUM(N38:N41)</f>
        <v>0</v>
      </c>
      <c r="O42" s="95">
        <f>SUM(O38:O41)</f>
        <v>0</v>
      </c>
      <c r="P42" s="16"/>
      <c r="Q42" s="94">
        <f t="shared" ref="Q42:V42" si="97">SUM(Q38:Q41)</f>
        <v>0</v>
      </c>
      <c r="R42" s="95">
        <f t="shared" si="97"/>
        <v>0</v>
      </c>
      <c r="S42" s="94">
        <f t="shared" si="97"/>
        <v>0</v>
      </c>
      <c r="T42" s="95">
        <f t="shared" si="97"/>
        <v>0</v>
      </c>
      <c r="U42" s="94">
        <f t="shared" si="97"/>
        <v>230</v>
      </c>
      <c r="V42" s="95">
        <f t="shared" si="97"/>
        <v>34.813200000000002</v>
      </c>
    </row>
    <row r="43" spans="1:22">
      <c r="A43" s="88" t="s">
        <v>13</v>
      </c>
      <c r="B43" s="89" t="s">
        <v>48</v>
      </c>
      <c r="C43" s="90">
        <v>12.9</v>
      </c>
      <c r="D43" s="91">
        <v>9</v>
      </c>
      <c r="E43" s="93">
        <v>6</v>
      </c>
      <c r="F43" s="16">
        <f t="shared" ref="F43:F51" si="98">(C43*D43*E43/1000)</f>
        <v>0.6966</v>
      </c>
      <c r="G43" s="17"/>
      <c r="H43" s="18"/>
      <c r="I43" s="19">
        <f t="shared" ref="I43:I51" si="99">(C43*D43*H43/1000)</f>
        <v>0</v>
      </c>
      <c r="J43" s="16"/>
      <c r="K43" s="18"/>
      <c r="L43" s="19">
        <f t="shared" ref="L43:L51" si="100">(C43*D43*K43/1000)</f>
        <v>0</v>
      </c>
      <c r="M43" s="16"/>
      <c r="N43" s="18"/>
      <c r="O43" s="19">
        <f t="shared" ref="O43:O51" si="101">(C43*D43*N43/1000)</f>
        <v>0</v>
      </c>
      <c r="P43" s="16"/>
      <c r="Q43" s="18"/>
      <c r="R43" s="19">
        <f t="shared" ref="R43:R51" si="102">(C43*D43*Q43/1000)</f>
        <v>0</v>
      </c>
      <c r="S43" s="20">
        <f t="shared" ref="S43:S51" si="103">+H43+K43+Q43+N43</f>
        <v>0</v>
      </c>
      <c r="T43" s="19">
        <f t="shared" ref="T43:T51" si="104">+I43+L43+R43+O43</f>
        <v>0</v>
      </c>
      <c r="U43" s="21">
        <f t="shared" ref="U43:U51" si="105">E43-S43</f>
        <v>6</v>
      </c>
      <c r="V43" s="19">
        <f t="shared" ref="V43:V51" si="106">F43-T43</f>
        <v>0.6966</v>
      </c>
    </row>
    <row r="44" spans="1:22">
      <c r="A44" s="88" t="s">
        <v>13</v>
      </c>
      <c r="B44" s="89" t="s">
        <v>48</v>
      </c>
      <c r="C44" s="90">
        <v>12.9</v>
      </c>
      <c r="D44" s="91">
        <v>10.3</v>
      </c>
      <c r="E44" s="93">
        <v>48</v>
      </c>
      <c r="F44" s="16">
        <f t="shared" si="98"/>
        <v>6.3777600000000003</v>
      </c>
      <c r="G44" s="17"/>
      <c r="H44" s="18"/>
      <c r="I44" s="19">
        <f t="shared" si="99"/>
        <v>0</v>
      </c>
      <c r="J44" s="16"/>
      <c r="K44" s="18"/>
      <c r="L44" s="19">
        <f t="shared" si="100"/>
        <v>0</v>
      </c>
      <c r="M44" s="16"/>
      <c r="N44" s="18"/>
      <c r="O44" s="19">
        <f t="shared" si="101"/>
        <v>0</v>
      </c>
      <c r="P44" s="16"/>
      <c r="Q44" s="18"/>
      <c r="R44" s="19">
        <f t="shared" si="102"/>
        <v>0</v>
      </c>
      <c r="S44" s="20">
        <f t="shared" si="103"/>
        <v>0</v>
      </c>
      <c r="T44" s="19">
        <f t="shared" si="104"/>
        <v>0</v>
      </c>
      <c r="U44" s="21">
        <f t="shared" si="105"/>
        <v>48</v>
      </c>
      <c r="V44" s="19">
        <f t="shared" si="106"/>
        <v>6.3777600000000003</v>
      </c>
    </row>
    <row r="45" spans="1:22">
      <c r="A45" s="88" t="s">
        <v>13</v>
      </c>
      <c r="B45" s="89" t="s">
        <v>48</v>
      </c>
      <c r="C45" s="90">
        <v>12.9</v>
      </c>
      <c r="D45" s="91">
        <v>11</v>
      </c>
      <c r="E45" s="93">
        <v>24</v>
      </c>
      <c r="F45" s="16">
        <f t="shared" si="98"/>
        <v>3.4056000000000002</v>
      </c>
      <c r="G45" s="17"/>
      <c r="H45" s="18"/>
      <c r="I45" s="19">
        <f t="shared" si="99"/>
        <v>0</v>
      </c>
      <c r="J45" s="16"/>
      <c r="K45" s="18"/>
      <c r="L45" s="19">
        <f t="shared" si="100"/>
        <v>0</v>
      </c>
      <c r="M45" s="16"/>
      <c r="N45" s="18"/>
      <c r="O45" s="19">
        <f t="shared" si="101"/>
        <v>0</v>
      </c>
      <c r="P45" s="16"/>
      <c r="Q45" s="18"/>
      <c r="R45" s="19">
        <f t="shared" si="102"/>
        <v>0</v>
      </c>
      <c r="S45" s="20">
        <f t="shared" si="103"/>
        <v>0</v>
      </c>
      <c r="T45" s="19">
        <f t="shared" si="104"/>
        <v>0</v>
      </c>
      <c r="U45" s="21">
        <f t="shared" si="105"/>
        <v>24</v>
      </c>
      <c r="V45" s="19">
        <f t="shared" si="106"/>
        <v>3.4056000000000002</v>
      </c>
    </row>
    <row r="46" spans="1:22">
      <c r="A46" s="88" t="s">
        <v>13</v>
      </c>
      <c r="B46" s="89" t="s">
        <v>48</v>
      </c>
      <c r="C46" s="90">
        <v>12.9</v>
      </c>
      <c r="D46" s="91">
        <v>11.1</v>
      </c>
      <c r="E46" s="93">
        <v>24</v>
      </c>
      <c r="F46" s="16">
        <f t="shared" si="98"/>
        <v>3.4365600000000001</v>
      </c>
      <c r="G46" s="17"/>
      <c r="H46" s="18"/>
      <c r="I46" s="19">
        <f t="shared" si="99"/>
        <v>0</v>
      </c>
      <c r="J46" s="16"/>
      <c r="K46" s="18"/>
      <c r="L46" s="19">
        <f t="shared" si="100"/>
        <v>0</v>
      </c>
      <c r="M46" s="16"/>
      <c r="N46" s="18"/>
      <c r="O46" s="19">
        <f t="shared" si="101"/>
        <v>0</v>
      </c>
      <c r="P46" s="16"/>
      <c r="Q46" s="18"/>
      <c r="R46" s="19">
        <f t="shared" si="102"/>
        <v>0</v>
      </c>
      <c r="S46" s="20">
        <f t="shared" si="103"/>
        <v>0</v>
      </c>
      <c r="T46" s="19">
        <f t="shared" si="104"/>
        <v>0</v>
      </c>
      <c r="U46" s="21">
        <f t="shared" si="105"/>
        <v>24</v>
      </c>
      <c r="V46" s="19">
        <f t="shared" si="106"/>
        <v>3.4365600000000001</v>
      </c>
    </row>
    <row r="47" spans="1:22">
      <c r="A47" s="88" t="s">
        <v>13</v>
      </c>
      <c r="B47" s="89" t="s">
        <v>48</v>
      </c>
      <c r="C47" s="90">
        <v>12.9</v>
      </c>
      <c r="D47" s="91">
        <v>11.3</v>
      </c>
      <c r="E47" s="93">
        <v>24</v>
      </c>
      <c r="F47" s="16">
        <f t="shared" si="98"/>
        <v>3.4984800000000003</v>
      </c>
      <c r="G47" s="17"/>
      <c r="H47" s="18"/>
      <c r="I47" s="19">
        <f t="shared" si="99"/>
        <v>0</v>
      </c>
      <c r="J47" s="16"/>
      <c r="K47" s="18"/>
      <c r="L47" s="19">
        <f t="shared" si="100"/>
        <v>0</v>
      </c>
      <c r="M47" s="16"/>
      <c r="N47" s="18"/>
      <c r="O47" s="19">
        <f t="shared" si="101"/>
        <v>0</v>
      </c>
      <c r="P47" s="16"/>
      <c r="Q47" s="18"/>
      <c r="R47" s="19">
        <f t="shared" si="102"/>
        <v>0</v>
      </c>
      <c r="S47" s="20">
        <f t="shared" si="103"/>
        <v>0</v>
      </c>
      <c r="T47" s="19">
        <f t="shared" si="104"/>
        <v>0</v>
      </c>
      <c r="U47" s="21">
        <f t="shared" si="105"/>
        <v>24</v>
      </c>
      <c r="V47" s="19">
        <f t="shared" si="106"/>
        <v>3.4984800000000003</v>
      </c>
    </row>
    <row r="48" spans="1:22">
      <c r="A48" s="88" t="s">
        <v>13</v>
      </c>
      <c r="B48" s="89" t="s">
        <v>48</v>
      </c>
      <c r="C48" s="90">
        <v>12.9</v>
      </c>
      <c r="D48" s="91">
        <v>11.4</v>
      </c>
      <c r="E48" s="93">
        <v>24</v>
      </c>
      <c r="F48" s="16">
        <f t="shared" si="98"/>
        <v>3.5294400000000001</v>
      </c>
      <c r="G48" s="17"/>
      <c r="H48" s="18"/>
      <c r="I48" s="19">
        <f t="shared" si="99"/>
        <v>0</v>
      </c>
      <c r="J48" s="16"/>
      <c r="K48" s="18"/>
      <c r="L48" s="19">
        <f t="shared" si="100"/>
        <v>0</v>
      </c>
      <c r="M48" s="16"/>
      <c r="N48" s="18"/>
      <c r="O48" s="19">
        <f t="shared" si="101"/>
        <v>0</v>
      </c>
      <c r="P48" s="16"/>
      <c r="Q48" s="18"/>
      <c r="R48" s="19">
        <f t="shared" si="102"/>
        <v>0</v>
      </c>
      <c r="S48" s="20">
        <f t="shared" si="103"/>
        <v>0</v>
      </c>
      <c r="T48" s="19">
        <f t="shared" si="104"/>
        <v>0</v>
      </c>
      <c r="U48" s="21">
        <f t="shared" si="105"/>
        <v>24</v>
      </c>
      <c r="V48" s="19">
        <f t="shared" si="106"/>
        <v>3.5294400000000001</v>
      </c>
    </row>
    <row r="49" spans="1:22">
      <c r="A49" s="88" t="s">
        <v>13</v>
      </c>
      <c r="B49" s="89" t="s">
        <v>48</v>
      </c>
      <c r="C49" s="90">
        <v>12.9</v>
      </c>
      <c r="D49" s="91">
        <v>11.5</v>
      </c>
      <c r="E49" s="93">
        <v>24</v>
      </c>
      <c r="F49" s="16">
        <f t="shared" si="98"/>
        <v>3.5603999999999996</v>
      </c>
      <c r="G49" s="17"/>
      <c r="H49" s="18"/>
      <c r="I49" s="19">
        <f t="shared" si="99"/>
        <v>0</v>
      </c>
      <c r="J49" s="16"/>
      <c r="K49" s="18"/>
      <c r="L49" s="19">
        <f t="shared" si="100"/>
        <v>0</v>
      </c>
      <c r="M49" s="16"/>
      <c r="N49" s="18"/>
      <c r="O49" s="19">
        <f t="shared" si="101"/>
        <v>0</v>
      </c>
      <c r="P49" s="16"/>
      <c r="Q49" s="18"/>
      <c r="R49" s="19">
        <f t="shared" si="102"/>
        <v>0</v>
      </c>
      <c r="S49" s="20">
        <f t="shared" si="103"/>
        <v>0</v>
      </c>
      <c r="T49" s="19">
        <f t="shared" si="104"/>
        <v>0</v>
      </c>
      <c r="U49" s="21">
        <f t="shared" si="105"/>
        <v>24</v>
      </c>
      <c r="V49" s="19">
        <f t="shared" si="106"/>
        <v>3.5603999999999996</v>
      </c>
    </row>
    <row r="50" spans="1:22">
      <c r="A50" s="88" t="s">
        <v>13</v>
      </c>
      <c r="B50" s="89" t="s">
        <v>48</v>
      </c>
      <c r="C50" s="90">
        <v>12.9</v>
      </c>
      <c r="D50" s="91">
        <v>11.7</v>
      </c>
      <c r="E50" s="93">
        <v>72</v>
      </c>
      <c r="F50" s="16">
        <f t="shared" si="98"/>
        <v>10.866960000000001</v>
      </c>
      <c r="G50" s="17"/>
      <c r="H50" s="18"/>
      <c r="I50" s="19">
        <f t="shared" si="99"/>
        <v>0</v>
      </c>
      <c r="J50" s="16"/>
      <c r="K50" s="18"/>
      <c r="L50" s="19">
        <f t="shared" si="100"/>
        <v>0</v>
      </c>
      <c r="M50" s="16"/>
      <c r="N50" s="18"/>
      <c r="O50" s="19">
        <f t="shared" si="101"/>
        <v>0</v>
      </c>
      <c r="P50" s="16"/>
      <c r="Q50" s="18"/>
      <c r="R50" s="19">
        <f t="shared" si="102"/>
        <v>0</v>
      </c>
      <c r="S50" s="20">
        <f t="shared" si="103"/>
        <v>0</v>
      </c>
      <c r="T50" s="19">
        <f t="shared" si="104"/>
        <v>0</v>
      </c>
      <c r="U50" s="21">
        <f t="shared" si="105"/>
        <v>72</v>
      </c>
      <c r="V50" s="19">
        <f t="shared" si="106"/>
        <v>10.866960000000001</v>
      </c>
    </row>
    <row r="51" spans="1:22">
      <c r="A51" s="88" t="s">
        <v>13</v>
      </c>
      <c r="B51" s="89" t="s">
        <v>48</v>
      </c>
      <c r="C51" s="90">
        <v>12.9</v>
      </c>
      <c r="D51" s="91">
        <v>11.9</v>
      </c>
      <c r="E51" s="93">
        <v>12</v>
      </c>
      <c r="F51" s="16">
        <f t="shared" si="98"/>
        <v>1.8421200000000004</v>
      </c>
      <c r="G51" s="17"/>
      <c r="H51" s="18"/>
      <c r="I51" s="19">
        <f t="shared" si="99"/>
        <v>0</v>
      </c>
      <c r="J51" s="16"/>
      <c r="K51" s="18"/>
      <c r="L51" s="19">
        <f t="shared" si="100"/>
        <v>0</v>
      </c>
      <c r="M51" s="16"/>
      <c r="N51" s="18"/>
      <c r="O51" s="19">
        <f t="shared" si="101"/>
        <v>0</v>
      </c>
      <c r="P51" s="16"/>
      <c r="Q51" s="18"/>
      <c r="R51" s="19">
        <f t="shared" si="102"/>
        <v>0</v>
      </c>
      <c r="S51" s="20">
        <f t="shared" si="103"/>
        <v>0</v>
      </c>
      <c r="T51" s="19">
        <f t="shared" si="104"/>
        <v>0</v>
      </c>
      <c r="U51" s="21">
        <f t="shared" si="105"/>
        <v>12</v>
      </c>
      <c r="V51" s="19">
        <f t="shared" si="106"/>
        <v>1.8421200000000004</v>
      </c>
    </row>
    <row r="52" spans="1:22">
      <c r="A52" s="88"/>
      <c r="B52" s="89"/>
      <c r="C52" s="90"/>
      <c r="D52" s="91"/>
      <c r="E52" s="94">
        <f t="shared" ref="E52:F52" si="107">SUM(E43:E51)</f>
        <v>258</v>
      </c>
      <c r="F52" s="95">
        <f t="shared" si="107"/>
        <v>37.213920000000002</v>
      </c>
      <c r="G52" s="17"/>
      <c r="H52" s="94">
        <f t="shared" ref="H52" si="108">SUM(H43:H51)</f>
        <v>0</v>
      </c>
      <c r="I52" s="95">
        <f t="shared" ref="I52" si="109">SUM(I43:I51)</f>
        <v>0</v>
      </c>
      <c r="J52" s="16"/>
      <c r="K52" s="94">
        <f t="shared" ref="K52" si="110">SUM(K43:K51)</f>
        <v>0</v>
      </c>
      <c r="L52" s="95">
        <f t="shared" ref="L52" si="111">SUM(L43:L51)</f>
        <v>0</v>
      </c>
      <c r="M52" s="16"/>
      <c r="N52" s="94">
        <f t="shared" ref="N52" si="112">SUM(N43:N51)</f>
        <v>0</v>
      </c>
      <c r="O52" s="95">
        <f t="shared" ref="O52" si="113">SUM(O43:O51)</f>
        <v>0</v>
      </c>
      <c r="P52" s="16"/>
      <c r="Q52" s="94">
        <f t="shared" ref="Q52" si="114">SUM(Q43:Q51)</f>
        <v>0</v>
      </c>
      <c r="R52" s="95">
        <f t="shared" ref="R52" si="115">SUM(R43:R51)</f>
        <v>0</v>
      </c>
      <c r="S52" s="94">
        <f t="shared" ref="S52" si="116">SUM(S43:S51)</f>
        <v>0</v>
      </c>
      <c r="T52" s="95">
        <f t="shared" ref="T52" si="117">SUM(T43:T51)</f>
        <v>0</v>
      </c>
      <c r="U52" s="94">
        <f t="shared" ref="U52" si="118">SUM(U43:U51)</f>
        <v>258</v>
      </c>
      <c r="V52" s="95">
        <f t="shared" ref="V52" si="119">SUM(V43:V51)</f>
        <v>37.213920000000002</v>
      </c>
    </row>
    <row r="53" spans="1:22">
      <c r="A53" s="88" t="s">
        <v>13</v>
      </c>
      <c r="B53" s="89" t="s">
        <v>49</v>
      </c>
      <c r="C53" s="90">
        <v>14.66</v>
      </c>
      <c r="D53" s="91">
        <v>7.1</v>
      </c>
      <c r="E53" s="93">
        <v>72</v>
      </c>
      <c r="F53" s="16">
        <f t="shared" ref="F53:F56" si="120">(C53*D53*E53/1000)</f>
        <v>7.494192</v>
      </c>
      <c r="G53" s="17"/>
      <c r="H53" s="18"/>
      <c r="I53" s="19">
        <f t="shared" ref="I53:I56" si="121">(C53*D53*H53/1000)</f>
        <v>0</v>
      </c>
      <c r="J53" s="16"/>
      <c r="K53" s="18"/>
      <c r="L53" s="19">
        <f t="shared" ref="L53:L56" si="122">(C53*D53*K53/1000)</f>
        <v>0</v>
      </c>
      <c r="M53" s="16"/>
      <c r="N53" s="18"/>
      <c r="O53" s="19">
        <f t="shared" ref="O53:O56" si="123">(C53*D53*N53/1000)</f>
        <v>0</v>
      </c>
      <c r="P53" s="16"/>
      <c r="Q53" s="18"/>
      <c r="R53" s="19">
        <f t="shared" ref="R53:R56" si="124">(C53*D53*Q53/1000)</f>
        <v>0</v>
      </c>
      <c r="S53" s="20">
        <f t="shared" ref="S53:S56" si="125">+H53+K53+Q53+N53</f>
        <v>0</v>
      </c>
      <c r="T53" s="19">
        <f t="shared" ref="T53:T56" si="126">+I53+L53+R53+O53</f>
        <v>0</v>
      </c>
      <c r="U53" s="21">
        <f t="shared" ref="U53:U56" si="127">E53-S53</f>
        <v>72</v>
      </c>
      <c r="V53" s="19">
        <f t="shared" ref="V53:V56" si="128">F53-T53</f>
        <v>7.494192</v>
      </c>
    </row>
    <row r="54" spans="1:22">
      <c r="A54" s="88" t="s">
        <v>13</v>
      </c>
      <c r="B54" s="89" t="s">
        <v>49</v>
      </c>
      <c r="C54" s="90">
        <v>14.66</v>
      </c>
      <c r="D54" s="91">
        <v>10.7</v>
      </c>
      <c r="E54" s="93">
        <v>12</v>
      </c>
      <c r="F54" s="16">
        <f t="shared" si="120"/>
        <v>1.882344</v>
      </c>
      <c r="G54" s="17"/>
      <c r="H54" s="18"/>
      <c r="I54" s="19">
        <f t="shared" si="121"/>
        <v>0</v>
      </c>
      <c r="J54" s="16"/>
      <c r="K54" s="18"/>
      <c r="L54" s="19">
        <f t="shared" si="122"/>
        <v>0</v>
      </c>
      <c r="M54" s="16"/>
      <c r="N54" s="18"/>
      <c r="O54" s="19">
        <f t="shared" si="123"/>
        <v>0</v>
      </c>
      <c r="P54" s="16"/>
      <c r="Q54" s="18"/>
      <c r="R54" s="19">
        <f t="shared" si="124"/>
        <v>0</v>
      </c>
      <c r="S54" s="20">
        <f t="shared" si="125"/>
        <v>0</v>
      </c>
      <c r="T54" s="19">
        <f t="shared" si="126"/>
        <v>0</v>
      </c>
      <c r="U54" s="21">
        <f t="shared" si="127"/>
        <v>12</v>
      </c>
      <c r="V54" s="19">
        <f t="shared" si="128"/>
        <v>1.882344</v>
      </c>
    </row>
    <row r="55" spans="1:22">
      <c r="A55" s="88" t="s">
        <v>13</v>
      </c>
      <c r="B55" s="89" t="s">
        <v>49</v>
      </c>
      <c r="C55" s="90">
        <v>14.66</v>
      </c>
      <c r="D55" s="91">
        <v>11.5</v>
      </c>
      <c r="E55" s="93">
        <v>24</v>
      </c>
      <c r="F55" s="16">
        <f t="shared" si="120"/>
        <v>4.0461599999999995</v>
      </c>
      <c r="G55" s="17"/>
      <c r="H55" s="18"/>
      <c r="I55" s="19">
        <f t="shared" si="121"/>
        <v>0</v>
      </c>
      <c r="J55" s="16"/>
      <c r="K55" s="18"/>
      <c r="L55" s="19">
        <f t="shared" si="122"/>
        <v>0</v>
      </c>
      <c r="M55" s="16"/>
      <c r="N55" s="18"/>
      <c r="O55" s="19">
        <f t="shared" si="123"/>
        <v>0</v>
      </c>
      <c r="P55" s="16"/>
      <c r="Q55" s="18"/>
      <c r="R55" s="19">
        <f t="shared" si="124"/>
        <v>0</v>
      </c>
      <c r="S55" s="20">
        <f t="shared" si="125"/>
        <v>0</v>
      </c>
      <c r="T55" s="19">
        <f t="shared" si="126"/>
        <v>0</v>
      </c>
      <c r="U55" s="21">
        <f t="shared" si="127"/>
        <v>24</v>
      </c>
      <c r="V55" s="19">
        <f t="shared" si="128"/>
        <v>4.0461599999999995</v>
      </c>
    </row>
    <row r="56" spans="1:22">
      <c r="A56" s="88" t="s">
        <v>13</v>
      </c>
      <c r="B56" s="89" t="s">
        <v>49</v>
      </c>
      <c r="C56" s="90">
        <v>14.66</v>
      </c>
      <c r="D56" s="91">
        <v>12</v>
      </c>
      <c r="E56" s="93">
        <v>16</v>
      </c>
      <c r="F56" s="16">
        <f t="shared" si="120"/>
        <v>2.8147200000000003</v>
      </c>
      <c r="G56" s="17"/>
      <c r="H56" s="18"/>
      <c r="I56" s="19">
        <f t="shared" si="121"/>
        <v>0</v>
      </c>
      <c r="J56" s="16"/>
      <c r="K56" s="18"/>
      <c r="L56" s="19">
        <f t="shared" si="122"/>
        <v>0</v>
      </c>
      <c r="M56" s="16"/>
      <c r="N56" s="18"/>
      <c r="O56" s="19">
        <f t="shared" si="123"/>
        <v>0</v>
      </c>
      <c r="P56" s="16"/>
      <c r="Q56" s="18"/>
      <c r="R56" s="19">
        <f t="shared" si="124"/>
        <v>0</v>
      </c>
      <c r="S56" s="20">
        <f t="shared" si="125"/>
        <v>0</v>
      </c>
      <c r="T56" s="19">
        <f t="shared" si="126"/>
        <v>0</v>
      </c>
      <c r="U56" s="21">
        <f t="shared" si="127"/>
        <v>16</v>
      </c>
      <c r="V56" s="19">
        <f t="shared" si="128"/>
        <v>2.8147200000000003</v>
      </c>
    </row>
    <row r="57" spans="1:22">
      <c r="A57" s="88"/>
      <c r="B57" s="89"/>
      <c r="C57" s="90"/>
      <c r="D57" s="91"/>
      <c r="E57" s="94">
        <f t="shared" ref="E57:F57" si="129">SUM(E53:E56)</f>
        <v>124</v>
      </c>
      <c r="F57" s="95">
        <f t="shared" si="129"/>
        <v>16.237416</v>
      </c>
      <c r="G57" s="17"/>
      <c r="H57" s="94">
        <f t="shared" ref="H57" si="130">SUM(H53:H56)</f>
        <v>0</v>
      </c>
      <c r="I57" s="95">
        <f t="shared" ref="I57" si="131">SUM(I53:I56)</f>
        <v>0</v>
      </c>
      <c r="J57" s="16"/>
      <c r="K57" s="94">
        <f t="shared" ref="K57" si="132">SUM(K53:K56)</f>
        <v>0</v>
      </c>
      <c r="L57" s="95">
        <f t="shared" ref="L57" si="133">SUM(L53:L56)</f>
        <v>0</v>
      </c>
      <c r="M57" s="16"/>
      <c r="N57" s="94">
        <f t="shared" ref="N57" si="134">SUM(N53:N56)</f>
        <v>0</v>
      </c>
      <c r="O57" s="95">
        <f t="shared" ref="O57" si="135">SUM(O53:O56)</f>
        <v>0</v>
      </c>
      <c r="P57" s="16"/>
      <c r="Q57" s="94">
        <f t="shared" ref="Q57" si="136">SUM(Q53:Q56)</f>
        <v>0</v>
      </c>
      <c r="R57" s="95">
        <f t="shared" ref="R57" si="137">SUM(R53:R56)</f>
        <v>0</v>
      </c>
      <c r="S57" s="94">
        <f t="shared" ref="S57" si="138">SUM(S53:S56)</f>
        <v>0</v>
      </c>
      <c r="T57" s="95">
        <f t="shared" ref="T57" si="139">SUM(T53:T56)</f>
        <v>0</v>
      </c>
      <c r="U57" s="94">
        <f t="shared" ref="U57" si="140">SUM(U53:U56)</f>
        <v>124</v>
      </c>
      <c r="V57" s="95">
        <f t="shared" ref="V57" si="141">SUM(V53:V56)</f>
        <v>16.237416</v>
      </c>
    </row>
    <row r="58" spans="1:22">
      <c r="A58" s="88" t="s">
        <v>13</v>
      </c>
      <c r="B58" s="89" t="s">
        <v>50</v>
      </c>
      <c r="C58" s="90">
        <v>16.5</v>
      </c>
      <c r="D58" s="91">
        <v>10.4</v>
      </c>
      <c r="E58" s="93">
        <v>12</v>
      </c>
      <c r="F58" s="16">
        <f t="shared" ref="F58:F60" si="142">(C58*D58*E58/1000)</f>
        <v>2.0591999999999997</v>
      </c>
      <c r="G58" s="17"/>
      <c r="H58" s="18"/>
      <c r="I58" s="19">
        <f t="shared" ref="I58:I60" si="143">(C58*D58*H58/1000)</f>
        <v>0</v>
      </c>
      <c r="J58" s="16"/>
      <c r="K58" s="18"/>
      <c r="L58" s="19">
        <f t="shared" ref="L58:L60" si="144">(C58*D58*K58/1000)</f>
        <v>0</v>
      </c>
      <c r="M58" s="16"/>
      <c r="N58" s="18"/>
      <c r="O58" s="19">
        <f t="shared" ref="O58:O60" si="145">(C58*D58*N58/1000)</f>
        <v>0</v>
      </c>
      <c r="P58" s="16"/>
      <c r="Q58" s="18"/>
      <c r="R58" s="19">
        <f t="shared" ref="R58:R60" si="146">(C58*D58*Q58/1000)</f>
        <v>0</v>
      </c>
      <c r="S58" s="20">
        <f t="shared" ref="S58:S60" si="147">+H58+K58+Q58+N58</f>
        <v>0</v>
      </c>
      <c r="T58" s="19">
        <f t="shared" ref="T58:T60" si="148">+I58+L58+R58+O58</f>
        <v>0</v>
      </c>
      <c r="U58" s="21">
        <f t="shared" ref="U58:U60" si="149">E58-S58</f>
        <v>12</v>
      </c>
      <c r="V58" s="19">
        <f t="shared" ref="V58:V60" si="150">F58-T58</f>
        <v>2.0591999999999997</v>
      </c>
    </row>
    <row r="59" spans="1:22">
      <c r="A59" s="88" t="s">
        <v>13</v>
      </c>
      <c r="B59" s="89" t="s">
        <v>50</v>
      </c>
      <c r="C59" s="90">
        <v>16.5</v>
      </c>
      <c r="D59" s="91">
        <v>11.2</v>
      </c>
      <c r="E59" s="93">
        <v>24</v>
      </c>
      <c r="F59" s="16">
        <f t="shared" si="142"/>
        <v>4.4352</v>
      </c>
      <c r="G59" s="17"/>
      <c r="H59" s="18"/>
      <c r="I59" s="19">
        <f t="shared" si="143"/>
        <v>0</v>
      </c>
      <c r="J59" s="16"/>
      <c r="K59" s="18"/>
      <c r="L59" s="19">
        <f t="shared" si="144"/>
        <v>0</v>
      </c>
      <c r="M59" s="16"/>
      <c r="N59" s="18"/>
      <c r="O59" s="19">
        <f t="shared" si="145"/>
        <v>0</v>
      </c>
      <c r="P59" s="16"/>
      <c r="Q59" s="18"/>
      <c r="R59" s="19">
        <f t="shared" si="146"/>
        <v>0</v>
      </c>
      <c r="S59" s="20">
        <f t="shared" si="147"/>
        <v>0</v>
      </c>
      <c r="T59" s="19">
        <f t="shared" si="148"/>
        <v>0</v>
      </c>
      <c r="U59" s="21">
        <f t="shared" si="149"/>
        <v>24</v>
      </c>
      <c r="V59" s="19">
        <f t="shared" si="150"/>
        <v>4.4352</v>
      </c>
    </row>
    <row r="60" spans="1:22">
      <c r="A60" s="88" t="s">
        <v>13</v>
      </c>
      <c r="B60" s="89" t="s">
        <v>50</v>
      </c>
      <c r="C60" s="90">
        <v>16.5</v>
      </c>
      <c r="D60" s="91">
        <v>11.5</v>
      </c>
      <c r="E60" s="93">
        <v>16</v>
      </c>
      <c r="F60" s="16">
        <f t="shared" si="142"/>
        <v>3.036</v>
      </c>
      <c r="G60" s="17"/>
      <c r="H60" s="18"/>
      <c r="I60" s="19">
        <f t="shared" si="143"/>
        <v>0</v>
      </c>
      <c r="J60" s="16"/>
      <c r="K60" s="18"/>
      <c r="L60" s="19">
        <f t="shared" si="144"/>
        <v>0</v>
      </c>
      <c r="M60" s="16"/>
      <c r="N60" s="18"/>
      <c r="O60" s="19">
        <f t="shared" si="145"/>
        <v>0</v>
      </c>
      <c r="P60" s="16"/>
      <c r="Q60" s="18"/>
      <c r="R60" s="19">
        <f t="shared" si="146"/>
        <v>0</v>
      </c>
      <c r="S60" s="20">
        <f t="shared" si="147"/>
        <v>0</v>
      </c>
      <c r="T60" s="19">
        <f t="shared" si="148"/>
        <v>0</v>
      </c>
      <c r="U60" s="21">
        <f t="shared" si="149"/>
        <v>16</v>
      </c>
      <c r="V60" s="19">
        <f t="shared" si="150"/>
        <v>3.036</v>
      </c>
    </row>
    <row r="61" spans="1:22">
      <c r="A61" s="88"/>
      <c r="B61" s="89"/>
      <c r="C61" s="90"/>
      <c r="D61" s="91"/>
      <c r="E61" s="94">
        <f t="shared" ref="E61:F61" si="151">SUM(E58:E60)</f>
        <v>52</v>
      </c>
      <c r="F61" s="95">
        <f t="shared" si="151"/>
        <v>9.5304000000000002</v>
      </c>
      <c r="G61" s="17"/>
      <c r="H61" s="94">
        <f t="shared" ref="H61" si="152">SUM(H58:H60)</f>
        <v>0</v>
      </c>
      <c r="I61" s="95">
        <f t="shared" ref="I61" si="153">SUM(I58:I60)</f>
        <v>0</v>
      </c>
      <c r="J61" s="16"/>
      <c r="K61" s="94">
        <f t="shared" ref="K61" si="154">SUM(K58:K60)</f>
        <v>0</v>
      </c>
      <c r="L61" s="95">
        <f t="shared" ref="L61" si="155">SUM(L58:L60)</f>
        <v>0</v>
      </c>
      <c r="M61" s="16"/>
      <c r="N61" s="94">
        <f t="shared" ref="N61" si="156">SUM(N58:N60)</f>
        <v>0</v>
      </c>
      <c r="O61" s="95">
        <f t="shared" ref="O61" si="157">SUM(O58:O60)</f>
        <v>0</v>
      </c>
      <c r="P61" s="16"/>
      <c r="Q61" s="94">
        <f t="shared" ref="Q61" si="158">SUM(Q58:Q60)</f>
        <v>0</v>
      </c>
      <c r="R61" s="95">
        <f t="shared" ref="R61" si="159">SUM(R58:R60)</f>
        <v>0</v>
      </c>
      <c r="S61" s="94">
        <f t="shared" ref="S61" si="160">SUM(S58:S60)</f>
        <v>0</v>
      </c>
      <c r="T61" s="95">
        <f t="shared" ref="T61" si="161">SUM(T58:T60)</f>
        <v>0</v>
      </c>
      <c r="U61" s="94">
        <f t="shared" ref="U61" si="162">SUM(U58:U60)</f>
        <v>52</v>
      </c>
      <c r="V61" s="95">
        <f t="shared" ref="V61" si="163">SUM(V58:V60)</f>
        <v>9.5304000000000002</v>
      </c>
    </row>
    <row r="62" spans="1:22">
      <c r="A62" s="88" t="s">
        <v>13</v>
      </c>
      <c r="B62" s="89" t="s">
        <v>52</v>
      </c>
      <c r="C62" s="90">
        <v>21.7</v>
      </c>
      <c r="D62" s="91">
        <v>8.9</v>
      </c>
      <c r="E62" s="93">
        <v>27</v>
      </c>
      <c r="F62" s="16">
        <f t="shared" ref="F62:F66" si="164">(C62*D62*E62/1000)</f>
        <v>5.2145100000000006</v>
      </c>
      <c r="G62" s="17"/>
      <c r="H62" s="18"/>
      <c r="I62" s="19">
        <f t="shared" ref="I62:I66" si="165">(C62*D62*H62/1000)</f>
        <v>0</v>
      </c>
      <c r="J62" s="16"/>
      <c r="K62" s="18"/>
      <c r="L62" s="19">
        <f t="shared" ref="L62:L66" si="166">(C62*D62*K62/1000)</f>
        <v>0</v>
      </c>
      <c r="M62" s="16"/>
      <c r="N62" s="18"/>
      <c r="O62" s="19">
        <f t="shared" ref="O62:O66" si="167">(C62*D62*N62/1000)</f>
        <v>0</v>
      </c>
      <c r="P62" s="16"/>
      <c r="Q62" s="18"/>
      <c r="R62" s="19">
        <f t="shared" ref="R62:R66" si="168">(C62*D62*Q62/1000)</f>
        <v>0</v>
      </c>
      <c r="S62" s="20">
        <f t="shared" ref="S62:S66" si="169">+H62+K62+Q62+N62</f>
        <v>0</v>
      </c>
      <c r="T62" s="19">
        <f t="shared" ref="T62:T66" si="170">+I62+L62+R62+O62</f>
        <v>0</v>
      </c>
      <c r="U62" s="21">
        <f t="shared" ref="U62:U66" si="171">E62-S62</f>
        <v>27</v>
      </c>
      <c r="V62" s="19">
        <f t="shared" ref="V62:V66" si="172">F62-T62</f>
        <v>5.2145100000000006</v>
      </c>
    </row>
    <row r="63" spans="1:22">
      <c r="A63" s="88" t="s">
        <v>13</v>
      </c>
      <c r="B63" s="89" t="s">
        <v>52</v>
      </c>
      <c r="C63" s="90">
        <v>21.7</v>
      </c>
      <c r="D63" s="91">
        <v>9.5</v>
      </c>
      <c r="E63" s="93">
        <v>24</v>
      </c>
      <c r="F63" s="16">
        <f t="shared" si="164"/>
        <v>4.9476000000000004</v>
      </c>
      <c r="G63" s="17"/>
      <c r="H63" s="18"/>
      <c r="I63" s="19">
        <f t="shared" si="165"/>
        <v>0</v>
      </c>
      <c r="J63" s="16"/>
      <c r="K63" s="18"/>
      <c r="L63" s="19">
        <f t="shared" si="166"/>
        <v>0</v>
      </c>
      <c r="M63" s="16"/>
      <c r="N63" s="18"/>
      <c r="O63" s="19">
        <f t="shared" si="167"/>
        <v>0</v>
      </c>
      <c r="P63" s="16"/>
      <c r="Q63" s="18"/>
      <c r="R63" s="19">
        <f t="shared" si="168"/>
        <v>0</v>
      </c>
      <c r="S63" s="20">
        <f t="shared" si="169"/>
        <v>0</v>
      </c>
      <c r="T63" s="19">
        <f t="shared" si="170"/>
        <v>0</v>
      </c>
      <c r="U63" s="21">
        <f t="shared" si="171"/>
        <v>24</v>
      </c>
      <c r="V63" s="19">
        <f t="shared" si="172"/>
        <v>4.9476000000000004</v>
      </c>
    </row>
    <row r="64" spans="1:22">
      <c r="A64" s="88" t="s">
        <v>13</v>
      </c>
      <c r="B64" s="89" t="s">
        <v>52</v>
      </c>
      <c r="C64" s="90">
        <v>21.7</v>
      </c>
      <c r="D64" s="91">
        <v>10</v>
      </c>
      <c r="E64" s="93">
        <v>24</v>
      </c>
      <c r="F64" s="16">
        <f t="shared" si="164"/>
        <v>5.2080000000000002</v>
      </c>
      <c r="G64" s="17"/>
      <c r="H64" s="18"/>
      <c r="I64" s="19">
        <f t="shared" si="165"/>
        <v>0</v>
      </c>
      <c r="J64" s="16"/>
      <c r="K64" s="18"/>
      <c r="L64" s="19">
        <f t="shared" si="166"/>
        <v>0</v>
      </c>
      <c r="M64" s="16"/>
      <c r="N64" s="18"/>
      <c r="O64" s="19">
        <f t="shared" si="167"/>
        <v>0</v>
      </c>
      <c r="P64" s="16"/>
      <c r="Q64" s="18"/>
      <c r="R64" s="19">
        <f t="shared" si="168"/>
        <v>0</v>
      </c>
      <c r="S64" s="20">
        <f t="shared" si="169"/>
        <v>0</v>
      </c>
      <c r="T64" s="19">
        <f t="shared" si="170"/>
        <v>0</v>
      </c>
      <c r="U64" s="21">
        <f t="shared" si="171"/>
        <v>24</v>
      </c>
      <c r="V64" s="19">
        <f t="shared" si="172"/>
        <v>5.2080000000000002</v>
      </c>
    </row>
    <row r="65" spans="1:22">
      <c r="A65" s="88" t="s">
        <v>13</v>
      </c>
      <c r="B65" s="89" t="s">
        <v>52</v>
      </c>
      <c r="C65" s="90">
        <v>21.7</v>
      </c>
      <c r="D65" s="91">
        <v>10.3</v>
      </c>
      <c r="E65" s="93">
        <v>12</v>
      </c>
      <c r="F65" s="16">
        <f t="shared" si="164"/>
        <v>2.6821200000000003</v>
      </c>
      <c r="G65" s="17"/>
      <c r="H65" s="18"/>
      <c r="I65" s="19">
        <f t="shared" si="165"/>
        <v>0</v>
      </c>
      <c r="J65" s="16"/>
      <c r="K65" s="18"/>
      <c r="L65" s="19">
        <f t="shared" si="166"/>
        <v>0</v>
      </c>
      <c r="M65" s="16"/>
      <c r="N65" s="18"/>
      <c r="O65" s="19">
        <f t="shared" si="167"/>
        <v>0</v>
      </c>
      <c r="P65" s="16"/>
      <c r="Q65" s="18"/>
      <c r="R65" s="19">
        <f t="shared" si="168"/>
        <v>0</v>
      </c>
      <c r="S65" s="20">
        <f t="shared" si="169"/>
        <v>0</v>
      </c>
      <c r="T65" s="19">
        <f t="shared" si="170"/>
        <v>0</v>
      </c>
      <c r="U65" s="21">
        <f t="shared" si="171"/>
        <v>12</v>
      </c>
      <c r="V65" s="19">
        <f t="shared" si="172"/>
        <v>2.6821200000000003</v>
      </c>
    </row>
    <row r="66" spans="1:22">
      <c r="A66" s="88" t="s">
        <v>13</v>
      </c>
      <c r="B66" s="89" t="s">
        <v>52</v>
      </c>
      <c r="C66" s="90">
        <v>21.7</v>
      </c>
      <c r="D66" s="91">
        <v>11.1</v>
      </c>
      <c r="E66" s="93">
        <v>13</v>
      </c>
      <c r="F66" s="16">
        <f t="shared" si="164"/>
        <v>3.1313099999999996</v>
      </c>
      <c r="G66" s="17"/>
      <c r="H66" s="18"/>
      <c r="I66" s="19">
        <f t="shared" si="165"/>
        <v>0</v>
      </c>
      <c r="J66" s="16"/>
      <c r="K66" s="18"/>
      <c r="L66" s="19">
        <f t="shared" si="166"/>
        <v>0</v>
      </c>
      <c r="M66" s="16"/>
      <c r="N66" s="18"/>
      <c r="O66" s="19">
        <f t="shared" si="167"/>
        <v>0</v>
      </c>
      <c r="P66" s="16"/>
      <c r="Q66" s="18"/>
      <c r="R66" s="19">
        <f t="shared" si="168"/>
        <v>0</v>
      </c>
      <c r="S66" s="20">
        <f t="shared" si="169"/>
        <v>0</v>
      </c>
      <c r="T66" s="19">
        <f t="shared" si="170"/>
        <v>0</v>
      </c>
      <c r="U66" s="21">
        <f t="shared" si="171"/>
        <v>13</v>
      </c>
      <c r="V66" s="19">
        <f t="shared" si="172"/>
        <v>3.1313099999999996</v>
      </c>
    </row>
    <row r="67" spans="1:22">
      <c r="A67" s="88"/>
      <c r="B67" s="89"/>
      <c r="C67" s="90"/>
      <c r="D67" s="91"/>
      <c r="E67" s="94">
        <f t="shared" ref="E67:F67" si="173">SUM(E62:E66)</f>
        <v>100</v>
      </c>
      <c r="F67" s="95">
        <f t="shared" si="173"/>
        <v>21.183540000000001</v>
      </c>
      <c r="G67" s="17"/>
      <c r="H67" s="94">
        <f t="shared" ref="H67" si="174">SUM(H62:H66)</f>
        <v>0</v>
      </c>
      <c r="I67" s="95">
        <f t="shared" ref="I67" si="175">SUM(I62:I66)</f>
        <v>0</v>
      </c>
      <c r="J67" s="16"/>
      <c r="K67" s="94">
        <f t="shared" ref="K67" si="176">SUM(K62:K66)</f>
        <v>0</v>
      </c>
      <c r="L67" s="95">
        <f t="shared" ref="L67" si="177">SUM(L62:L66)</f>
        <v>0</v>
      </c>
      <c r="M67" s="16"/>
      <c r="N67" s="94">
        <f t="shared" ref="N67" si="178">SUM(N62:N66)</f>
        <v>0</v>
      </c>
      <c r="O67" s="95">
        <f t="shared" ref="O67" si="179">SUM(O62:O66)</f>
        <v>0</v>
      </c>
      <c r="P67" s="16"/>
      <c r="Q67" s="94">
        <f t="shared" ref="Q67" si="180">SUM(Q62:Q66)</f>
        <v>0</v>
      </c>
      <c r="R67" s="95">
        <f t="shared" ref="R67" si="181">SUM(R62:R66)</f>
        <v>0</v>
      </c>
      <c r="S67" s="94">
        <f t="shared" ref="S67" si="182">SUM(S62:S66)</f>
        <v>0</v>
      </c>
      <c r="T67" s="95">
        <f t="shared" ref="T67" si="183">SUM(T62:T66)</f>
        <v>0</v>
      </c>
      <c r="U67" s="94">
        <f t="shared" ref="U67" si="184">SUM(U62:U66)</f>
        <v>100</v>
      </c>
      <c r="V67" s="95">
        <f t="shared" ref="V67" si="185">SUM(V62:V66)</f>
        <v>21.183540000000001</v>
      </c>
    </row>
    <row r="68" spans="1:22">
      <c r="A68" s="88" t="s">
        <v>13</v>
      </c>
      <c r="B68" s="89" t="s">
        <v>55</v>
      </c>
      <c r="C68" s="90">
        <v>15.92</v>
      </c>
      <c r="D68" s="91">
        <v>6.6</v>
      </c>
      <c r="E68" s="93">
        <v>24</v>
      </c>
      <c r="F68" s="16">
        <f t="shared" ref="F68:F72" si="186">(C68*D68*E68/1000)</f>
        <v>2.5217279999999995</v>
      </c>
      <c r="G68" s="17"/>
      <c r="H68" s="18"/>
      <c r="I68" s="19">
        <f t="shared" ref="I68:I72" si="187">(C68*D68*H68/1000)</f>
        <v>0</v>
      </c>
      <c r="J68" s="16"/>
      <c r="K68" s="18"/>
      <c r="L68" s="19">
        <f t="shared" ref="L68:L72" si="188">(C68*D68*K68/1000)</f>
        <v>0</v>
      </c>
      <c r="M68" s="16"/>
      <c r="N68" s="18"/>
      <c r="O68" s="19">
        <f t="shared" ref="O68:O72" si="189">(C68*D68*N68/1000)</f>
        <v>0</v>
      </c>
      <c r="P68" s="16"/>
      <c r="Q68" s="18"/>
      <c r="R68" s="19">
        <f t="shared" ref="R68:R72" si="190">(C68*D68*Q68/1000)</f>
        <v>0</v>
      </c>
      <c r="S68" s="20">
        <f t="shared" ref="S68:S72" si="191">+H68+K68+Q68+N68</f>
        <v>0</v>
      </c>
      <c r="T68" s="19">
        <f t="shared" ref="T68:T72" si="192">+I68+L68+R68+O68</f>
        <v>0</v>
      </c>
      <c r="U68" s="21">
        <f t="shared" ref="U68:U72" si="193">E68-S68</f>
        <v>24</v>
      </c>
      <c r="V68" s="19">
        <f t="shared" ref="V68:V72" si="194">F68-T68</f>
        <v>2.5217279999999995</v>
      </c>
    </row>
    <row r="69" spans="1:22">
      <c r="A69" s="88" t="s">
        <v>13</v>
      </c>
      <c r="B69" s="89" t="s">
        <v>55</v>
      </c>
      <c r="C69" s="90">
        <v>15.92</v>
      </c>
      <c r="D69" s="91">
        <v>7.1</v>
      </c>
      <c r="E69" s="93">
        <v>72</v>
      </c>
      <c r="F69" s="16">
        <f t="shared" si="186"/>
        <v>8.1383039999999998</v>
      </c>
      <c r="G69" s="17"/>
      <c r="H69" s="18"/>
      <c r="I69" s="19">
        <f t="shared" si="187"/>
        <v>0</v>
      </c>
      <c r="J69" s="16"/>
      <c r="K69" s="18"/>
      <c r="L69" s="19">
        <f t="shared" si="188"/>
        <v>0</v>
      </c>
      <c r="M69" s="16"/>
      <c r="N69" s="18"/>
      <c r="O69" s="19">
        <f t="shared" si="189"/>
        <v>0</v>
      </c>
      <c r="P69" s="16"/>
      <c r="Q69" s="18"/>
      <c r="R69" s="19">
        <f t="shared" si="190"/>
        <v>0</v>
      </c>
      <c r="S69" s="20">
        <f t="shared" si="191"/>
        <v>0</v>
      </c>
      <c r="T69" s="19">
        <f t="shared" si="192"/>
        <v>0</v>
      </c>
      <c r="U69" s="21">
        <f t="shared" si="193"/>
        <v>72</v>
      </c>
      <c r="V69" s="19">
        <f t="shared" si="194"/>
        <v>8.1383039999999998</v>
      </c>
    </row>
    <row r="70" spans="1:22">
      <c r="A70" s="88" t="s">
        <v>13</v>
      </c>
      <c r="B70" s="89" t="s">
        <v>55</v>
      </c>
      <c r="C70" s="90">
        <v>15.92</v>
      </c>
      <c r="D70" s="91">
        <v>7.75</v>
      </c>
      <c r="E70" s="93">
        <v>24</v>
      </c>
      <c r="F70" s="16">
        <f t="shared" si="186"/>
        <v>2.9611199999999998</v>
      </c>
      <c r="G70" s="17"/>
      <c r="H70" s="18"/>
      <c r="I70" s="19">
        <f t="shared" si="187"/>
        <v>0</v>
      </c>
      <c r="J70" s="16"/>
      <c r="K70" s="18"/>
      <c r="L70" s="19">
        <f t="shared" si="188"/>
        <v>0</v>
      </c>
      <c r="M70" s="16"/>
      <c r="N70" s="18"/>
      <c r="O70" s="19">
        <f t="shared" si="189"/>
        <v>0</v>
      </c>
      <c r="P70" s="16"/>
      <c r="Q70" s="18"/>
      <c r="R70" s="19">
        <f t="shared" si="190"/>
        <v>0</v>
      </c>
      <c r="S70" s="20">
        <f t="shared" si="191"/>
        <v>0</v>
      </c>
      <c r="T70" s="19">
        <f t="shared" si="192"/>
        <v>0</v>
      </c>
      <c r="U70" s="21">
        <f t="shared" si="193"/>
        <v>24</v>
      </c>
      <c r="V70" s="19">
        <f t="shared" si="194"/>
        <v>2.9611199999999998</v>
      </c>
    </row>
    <row r="71" spans="1:22">
      <c r="A71" s="88" t="s">
        <v>13</v>
      </c>
      <c r="B71" s="89" t="s">
        <v>55</v>
      </c>
      <c r="C71" s="90">
        <v>15.92</v>
      </c>
      <c r="D71" s="91">
        <v>11.6</v>
      </c>
      <c r="E71" s="93">
        <v>12</v>
      </c>
      <c r="F71" s="16">
        <f t="shared" si="186"/>
        <v>2.2160639999999998</v>
      </c>
      <c r="G71" s="17"/>
      <c r="H71" s="18"/>
      <c r="I71" s="19">
        <f t="shared" si="187"/>
        <v>0</v>
      </c>
      <c r="J71" s="16"/>
      <c r="K71" s="18"/>
      <c r="L71" s="19">
        <f t="shared" si="188"/>
        <v>0</v>
      </c>
      <c r="M71" s="16"/>
      <c r="N71" s="18"/>
      <c r="O71" s="19">
        <f t="shared" si="189"/>
        <v>0</v>
      </c>
      <c r="P71" s="16"/>
      <c r="Q71" s="18"/>
      <c r="R71" s="19">
        <f t="shared" si="190"/>
        <v>0</v>
      </c>
      <c r="S71" s="20">
        <f t="shared" si="191"/>
        <v>0</v>
      </c>
      <c r="T71" s="19">
        <f t="shared" si="192"/>
        <v>0</v>
      </c>
      <c r="U71" s="21">
        <f t="shared" si="193"/>
        <v>12</v>
      </c>
      <c r="V71" s="19">
        <f t="shared" si="194"/>
        <v>2.2160639999999998</v>
      </c>
    </row>
    <row r="72" spans="1:22">
      <c r="A72" s="88" t="s">
        <v>13</v>
      </c>
      <c r="B72" s="89" t="s">
        <v>55</v>
      </c>
      <c r="C72" s="90">
        <v>15.92</v>
      </c>
      <c r="D72" s="91">
        <v>11.9</v>
      </c>
      <c r="E72" s="93">
        <v>51</v>
      </c>
      <c r="F72" s="16">
        <f t="shared" si="186"/>
        <v>9.6618479999999991</v>
      </c>
      <c r="G72" s="17"/>
      <c r="H72" s="18"/>
      <c r="I72" s="19">
        <f t="shared" si="187"/>
        <v>0</v>
      </c>
      <c r="J72" s="16"/>
      <c r="K72" s="18"/>
      <c r="L72" s="19">
        <f t="shared" si="188"/>
        <v>0</v>
      </c>
      <c r="M72" s="16"/>
      <c r="N72" s="18"/>
      <c r="O72" s="19">
        <f t="shared" si="189"/>
        <v>0</v>
      </c>
      <c r="P72" s="16"/>
      <c r="Q72" s="18"/>
      <c r="R72" s="19">
        <f t="shared" si="190"/>
        <v>0</v>
      </c>
      <c r="S72" s="20">
        <f t="shared" si="191"/>
        <v>0</v>
      </c>
      <c r="T72" s="19">
        <f t="shared" si="192"/>
        <v>0</v>
      </c>
      <c r="U72" s="21">
        <f t="shared" si="193"/>
        <v>51</v>
      </c>
      <c r="V72" s="19">
        <f t="shared" si="194"/>
        <v>9.6618479999999991</v>
      </c>
    </row>
    <row r="73" spans="1:22">
      <c r="A73" s="88"/>
      <c r="B73" s="89"/>
      <c r="C73" s="90"/>
      <c r="D73" s="91"/>
      <c r="E73" s="94">
        <f t="shared" ref="E73:F73" si="195">SUM(E68:E72)</f>
        <v>183</v>
      </c>
      <c r="F73" s="95">
        <f t="shared" si="195"/>
        <v>25.499063999999997</v>
      </c>
      <c r="G73" s="17"/>
      <c r="H73" s="94">
        <f t="shared" ref="H73" si="196">SUM(H68:H72)</f>
        <v>0</v>
      </c>
      <c r="I73" s="95">
        <f t="shared" ref="I73" si="197">SUM(I68:I72)</f>
        <v>0</v>
      </c>
      <c r="J73" s="16"/>
      <c r="K73" s="94">
        <f t="shared" ref="K73" si="198">SUM(K68:K72)</f>
        <v>0</v>
      </c>
      <c r="L73" s="95">
        <f t="shared" ref="L73" si="199">SUM(L68:L72)</f>
        <v>0</v>
      </c>
      <c r="M73" s="16"/>
      <c r="N73" s="94">
        <f t="shared" ref="N73" si="200">SUM(N68:N72)</f>
        <v>0</v>
      </c>
      <c r="O73" s="95">
        <f t="shared" ref="O73" si="201">SUM(O68:O72)</f>
        <v>0</v>
      </c>
      <c r="P73" s="16"/>
      <c r="Q73" s="94">
        <f t="shared" ref="Q73" si="202">SUM(Q68:Q72)</f>
        <v>0</v>
      </c>
      <c r="R73" s="95">
        <f t="shared" ref="R73" si="203">SUM(R68:R72)</f>
        <v>0</v>
      </c>
      <c r="S73" s="94">
        <f t="shared" ref="S73" si="204">SUM(S68:S72)</f>
        <v>0</v>
      </c>
      <c r="T73" s="95">
        <f t="shared" ref="T73" si="205">SUM(T68:T72)</f>
        <v>0</v>
      </c>
      <c r="U73" s="94">
        <f t="shared" ref="U73" si="206">SUM(U68:U72)</f>
        <v>183</v>
      </c>
      <c r="V73" s="95">
        <f t="shared" ref="V73" si="207">SUM(V68:V72)</f>
        <v>25.499063999999997</v>
      </c>
    </row>
    <row r="74" spans="1:22">
      <c r="A74" s="88" t="s">
        <v>13</v>
      </c>
      <c r="B74" s="89" t="s">
        <v>56</v>
      </c>
      <c r="C74" s="90">
        <v>17.82</v>
      </c>
      <c r="D74" s="91">
        <v>10.3</v>
      </c>
      <c r="E74" s="93">
        <v>12</v>
      </c>
      <c r="F74" s="16">
        <f t="shared" ref="F74:F76" si="208">(C74*D74*E74/1000)</f>
        <v>2.2025520000000003</v>
      </c>
      <c r="G74" s="17"/>
      <c r="H74" s="18"/>
      <c r="I74" s="19">
        <f t="shared" ref="I74:I76" si="209">(C74*D74*H74/1000)</f>
        <v>0</v>
      </c>
      <c r="J74" s="16"/>
      <c r="K74" s="18"/>
      <c r="L74" s="19">
        <f t="shared" ref="L74:L76" si="210">(C74*D74*K74/1000)</f>
        <v>0</v>
      </c>
      <c r="M74" s="16"/>
      <c r="N74" s="18"/>
      <c r="O74" s="19">
        <f t="shared" ref="O74:O76" si="211">(C74*D74*N74/1000)</f>
        <v>0</v>
      </c>
      <c r="P74" s="16"/>
      <c r="Q74" s="18"/>
      <c r="R74" s="19">
        <f t="shared" ref="R74:R76" si="212">(C74*D74*Q74/1000)</f>
        <v>0</v>
      </c>
      <c r="S74" s="20">
        <f t="shared" ref="S74:S76" si="213">+H74+K74+Q74+N74</f>
        <v>0</v>
      </c>
      <c r="T74" s="19">
        <f t="shared" ref="T74:T76" si="214">+I74+L74+R74+O74</f>
        <v>0</v>
      </c>
      <c r="U74" s="21">
        <f t="shared" ref="U74:U76" si="215">E74-S74</f>
        <v>12</v>
      </c>
      <c r="V74" s="19">
        <f t="shared" ref="V74:V76" si="216">F74-T74</f>
        <v>2.2025520000000003</v>
      </c>
    </row>
    <row r="75" spans="1:22">
      <c r="A75" s="88" t="s">
        <v>13</v>
      </c>
      <c r="B75" s="89" t="s">
        <v>56</v>
      </c>
      <c r="C75" s="90">
        <v>17.82</v>
      </c>
      <c r="D75" s="91">
        <v>11.8</v>
      </c>
      <c r="E75" s="93">
        <v>48</v>
      </c>
      <c r="F75" s="16">
        <f t="shared" si="208"/>
        <v>10.093247999999999</v>
      </c>
      <c r="G75" s="17"/>
      <c r="H75" s="18"/>
      <c r="I75" s="19">
        <f t="shared" si="209"/>
        <v>0</v>
      </c>
      <c r="J75" s="16"/>
      <c r="K75" s="18"/>
      <c r="L75" s="19">
        <f t="shared" si="210"/>
        <v>0</v>
      </c>
      <c r="M75" s="16"/>
      <c r="N75" s="18"/>
      <c r="O75" s="19">
        <f t="shared" si="211"/>
        <v>0</v>
      </c>
      <c r="P75" s="16"/>
      <c r="Q75" s="18"/>
      <c r="R75" s="19">
        <f t="shared" si="212"/>
        <v>0</v>
      </c>
      <c r="S75" s="20">
        <f t="shared" si="213"/>
        <v>0</v>
      </c>
      <c r="T75" s="19">
        <f t="shared" si="214"/>
        <v>0</v>
      </c>
      <c r="U75" s="21">
        <f t="shared" si="215"/>
        <v>48</v>
      </c>
      <c r="V75" s="19">
        <f t="shared" si="216"/>
        <v>10.093247999999999</v>
      </c>
    </row>
    <row r="76" spans="1:22">
      <c r="A76" s="88" t="s">
        <v>13</v>
      </c>
      <c r="B76" s="89" t="s">
        <v>56</v>
      </c>
      <c r="C76" s="90">
        <v>17.82</v>
      </c>
      <c r="D76" s="91">
        <v>12</v>
      </c>
      <c r="E76" s="93">
        <v>48</v>
      </c>
      <c r="F76" s="16">
        <f t="shared" si="208"/>
        <v>10.26432</v>
      </c>
      <c r="G76" s="17"/>
      <c r="H76" s="18"/>
      <c r="I76" s="19">
        <f t="shared" si="209"/>
        <v>0</v>
      </c>
      <c r="J76" s="16"/>
      <c r="K76" s="18"/>
      <c r="L76" s="19">
        <f t="shared" si="210"/>
        <v>0</v>
      </c>
      <c r="M76" s="16"/>
      <c r="N76" s="18"/>
      <c r="O76" s="19">
        <f t="shared" si="211"/>
        <v>0</v>
      </c>
      <c r="P76" s="16"/>
      <c r="Q76" s="18"/>
      <c r="R76" s="19">
        <f t="shared" si="212"/>
        <v>0</v>
      </c>
      <c r="S76" s="20">
        <f t="shared" si="213"/>
        <v>0</v>
      </c>
      <c r="T76" s="19">
        <f t="shared" si="214"/>
        <v>0</v>
      </c>
      <c r="U76" s="21">
        <f t="shared" si="215"/>
        <v>48</v>
      </c>
      <c r="V76" s="19">
        <f t="shared" si="216"/>
        <v>10.26432</v>
      </c>
    </row>
    <row r="77" spans="1:22">
      <c r="A77" s="88"/>
      <c r="B77" s="89"/>
      <c r="C77" s="90"/>
      <c r="D77" s="91"/>
      <c r="E77" s="94">
        <f t="shared" ref="E77:F77" si="217">SUM(E74:E76)</f>
        <v>108</v>
      </c>
      <c r="F77" s="95">
        <f t="shared" si="217"/>
        <v>22.560119999999998</v>
      </c>
      <c r="G77" s="26"/>
      <c r="H77" s="94">
        <f t="shared" ref="H77" si="218">SUM(H74:H76)</f>
        <v>0</v>
      </c>
      <c r="I77" s="95">
        <f t="shared" ref="I77" si="219">SUM(I74:I76)</f>
        <v>0</v>
      </c>
      <c r="J77" s="26"/>
      <c r="K77" s="94">
        <f t="shared" ref="K77" si="220">SUM(K74:K76)</f>
        <v>0</v>
      </c>
      <c r="L77" s="95">
        <f t="shared" ref="L77" si="221">SUM(L74:L76)</f>
        <v>0</v>
      </c>
      <c r="M77" s="26"/>
      <c r="N77" s="94">
        <f t="shared" ref="N77" si="222">SUM(N74:N76)</f>
        <v>0</v>
      </c>
      <c r="O77" s="95">
        <f t="shared" ref="O77" si="223">SUM(O74:O76)</f>
        <v>0</v>
      </c>
      <c r="P77" s="26"/>
      <c r="Q77" s="94">
        <f t="shared" ref="Q77" si="224">SUM(Q74:Q76)</f>
        <v>0</v>
      </c>
      <c r="R77" s="95">
        <f t="shared" ref="R77" si="225">SUM(R74:R76)</f>
        <v>0</v>
      </c>
      <c r="S77" s="94">
        <f t="shared" ref="S77" si="226">SUM(S74:S76)</f>
        <v>0</v>
      </c>
      <c r="T77" s="95">
        <f t="shared" ref="T77" si="227">SUM(T74:T76)</f>
        <v>0</v>
      </c>
      <c r="U77" s="94">
        <f t="shared" ref="U77" si="228">SUM(U74:U76)</f>
        <v>108</v>
      </c>
      <c r="V77" s="95">
        <f t="shared" ref="V77" si="229">SUM(V74:V76)</f>
        <v>22.560119999999998</v>
      </c>
    </row>
    <row r="78" spans="1:22">
      <c r="A78" s="88" t="s">
        <v>13</v>
      </c>
      <c r="B78" s="89" t="s">
        <v>75</v>
      </c>
      <c r="C78" s="90">
        <v>31.6</v>
      </c>
      <c r="D78" s="91">
        <v>11.8</v>
      </c>
      <c r="E78" s="93">
        <v>3</v>
      </c>
      <c r="F78" s="16">
        <f>(C78*D78*E78/1000)</f>
        <v>1.1186400000000001</v>
      </c>
      <c r="G78" s="17"/>
      <c r="H78" s="18"/>
      <c r="I78" s="19">
        <f>(C78*D78*H78/1000)</f>
        <v>0</v>
      </c>
      <c r="J78" s="16"/>
      <c r="K78" s="18"/>
      <c r="L78" s="19">
        <f>(C78*D78*K78/1000)</f>
        <v>0</v>
      </c>
      <c r="M78" s="16"/>
      <c r="N78" s="18"/>
      <c r="O78" s="19">
        <f>(C78*D78*N78/1000)</f>
        <v>0</v>
      </c>
      <c r="P78" s="16"/>
      <c r="Q78" s="18"/>
      <c r="R78" s="19">
        <f>(C78*D78*Q78/1000)</f>
        <v>0</v>
      </c>
      <c r="S78" s="20">
        <f>+H78+K78+Q78+N78</f>
        <v>0</v>
      </c>
      <c r="T78" s="19">
        <f>+I78+L78+R78+O78</f>
        <v>0</v>
      </c>
      <c r="U78" s="21">
        <f>E78-S78</f>
        <v>3</v>
      </c>
      <c r="V78" s="19">
        <f>F78-T78</f>
        <v>1.1186400000000001</v>
      </c>
    </row>
    <row r="79" spans="1:22">
      <c r="A79" s="88"/>
      <c r="B79" s="89"/>
      <c r="C79" s="90"/>
      <c r="D79" s="91"/>
      <c r="E79" s="94">
        <f t="shared" ref="E79:F79" si="230">SUM(E78)</f>
        <v>3</v>
      </c>
      <c r="F79" s="95">
        <f t="shared" si="230"/>
        <v>1.1186400000000001</v>
      </c>
      <c r="G79" s="17"/>
      <c r="H79" s="94">
        <f t="shared" ref="H79" si="231">SUM(H78)</f>
        <v>0</v>
      </c>
      <c r="I79" s="95">
        <f t="shared" ref="I79" si="232">SUM(I78)</f>
        <v>0</v>
      </c>
      <c r="J79" s="16"/>
      <c r="K79" s="94">
        <f t="shared" ref="K79" si="233">SUM(K78)</f>
        <v>0</v>
      </c>
      <c r="L79" s="95">
        <f t="shared" ref="L79" si="234">SUM(L78)</f>
        <v>0</v>
      </c>
      <c r="M79" s="16"/>
      <c r="N79" s="94">
        <f t="shared" ref="N79" si="235">SUM(N78)</f>
        <v>0</v>
      </c>
      <c r="O79" s="95">
        <f t="shared" ref="O79" si="236">SUM(O78)</f>
        <v>0</v>
      </c>
      <c r="P79" s="16"/>
      <c r="Q79" s="94">
        <f t="shared" ref="Q79" si="237">SUM(Q78)</f>
        <v>0</v>
      </c>
      <c r="R79" s="95">
        <f t="shared" ref="R79" si="238">SUM(R78)</f>
        <v>0</v>
      </c>
      <c r="S79" s="94">
        <f t="shared" ref="S79" si="239">SUM(S78)</f>
        <v>0</v>
      </c>
      <c r="T79" s="95">
        <f t="shared" ref="T79" si="240">SUM(T78)</f>
        <v>0</v>
      </c>
      <c r="U79" s="94">
        <f t="shared" ref="U79" si="241">SUM(U78)</f>
        <v>3</v>
      </c>
      <c r="V79" s="95">
        <f t="shared" ref="V79" si="242">SUM(V78)</f>
        <v>1.1186400000000001</v>
      </c>
    </row>
    <row r="80" spans="1:22">
      <c r="A80" s="88" t="s">
        <v>13</v>
      </c>
      <c r="B80" s="89" t="s">
        <v>126</v>
      </c>
      <c r="C80" s="90">
        <v>33.72</v>
      </c>
      <c r="D80" s="91">
        <v>9.75</v>
      </c>
      <c r="E80" s="93">
        <v>25</v>
      </c>
      <c r="F80" s="16">
        <f>(C80*D80*E80/1000)</f>
        <v>8.2192500000000006</v>
      </c>
      <c r="G80" s="17"/>
      <c r="H80" s="18"/>
      <c r="I80" s="19">
        <f>(C80*D80*H80/1000)</f>
        <v>0</v>
      </c>
      <c r="J80" s="16"/>
      <c r="K80" s="18"/>
      <c r="L80" s="19">
        <f>(C80*D80*K80/1000)</f>
        <v>0</v>
      </c>
      <c r="M80" s="16"/>
      <c r="N80" s="18"/>
      <c r="O80" s="19">
        <f>(C80*D80*N80/1000)</f>
        <v>0</v>
      </c>
      <c r="P80" s="16"/>
      <c r="Q80" s="18"/>
      <c r="R80" s="19">
        <f>(C80*D80*Q80/1000)</f>
        <v>0</v>
      </c>
      <c r="S80" s="20">
        <f>+H80+K80+Q80+N80</f>
        <v>0</v>
      </c>
      <c r="T80" s="19">
        <f>+I80+L80+R80+O80</f>
        <v>0</v>
      </c>
      <c r="U80" s="21">
        <f>E80-S80</f>
        <v>25</v>
      </c>
      <c r="V80" s="19">
        <f>F80-T80</f>
        <v>8.2192500000000006</v>
      </c>
    </row>
    <row r="81" spans="1:22">
      <c r="A81" s="88"/>
      <c r="B81" s="89"/>
      <c r="C81" s="90"/>
      <c r="D81" s="91"/>
      <c r="E81" s="94">
        <f t="shared" ref="E81:F81" si="243">SUM(E80)</f>
        <v>25</v>
      </c>
      <c r="F81" s="95">
        <f t="shared" si="243"/>
        <v>8.2192500000000006</v>
      </c>
      <c r="G81" s="17"/>
      <c r="H81" s="94">
        <f t="shared" ref="H81" si="244">SUM(H80)</f>
        <v>0</v>
      </c>
      <c r="I81" s="95">
        <f t="shared" ref="I81" si="245">SUM(I80)</f>
        <v>0</v>
      </c>
      <c r="J81" s="16"/>
      <c r="K81" s="94">
        <f t="shared" ref="K81" si="246">SUM(K80)</f>
        <v>0</v>
      </c>
      <c r="L81" s="95">
        <f t="shared" ref="L81" si="247">SUM(L80)</f>
        <v>0</v>
      </c>
      <c r="M81" s="16"/>
      <c r="N81" s="94">
        <f t="shared" ref="N81" si="248">SUM(N80)</f>
        <v>0</v>
      </c>
      <c r="O81" s="95">
        <f t="shared" ref="O81" si="249">SUM(O80)</f>
        <v>0</v>
      </c>
      <c r="P81" s="16"/>
      <c r="Q81" s="94">
        <f t="shared" ref="Q81" si="250">SUM(Q80)</f>
        <v>0</v>
      </c>
      <c r="R81" s="95">
        <f t="shared" ref="R81" si="251">SUM(R80)</f>
        <v>0</v>
      </c>
      <c r="S81" s="94">
        <f t="shared" ref="S81" si="252">SUM(S80)</f>
        <v>0</v>
      </c>
      <c r="T81" s="95">
        <f t="shared" ref="T81" si="253">SUM(T80)</f>
        <v>0</v>
      </c>
      <c r="U81" s="94">
        <f t="shared" ref="U81" si="254">SUM(U80)</f>
        <v>25</v>
      </c>
      <c r="V81" s="95">
        <f t="shared" ref="V81" si="255">SUM(V80)</f>
        <v>8.2192500000000006</v>
      </c>
    </row>
    <row r="82" spans="1:22">
      <c r="A82" s="88" t="s">
        <v>13</v>
      </c>
      <c r="B82" s="89" t="s">
        <v>57</v>
      </c>
      <c r="C82" s="90">
        <v>6.17</v>
      </c>
      <c r="D82" s="91">
        <v>10</v>
      </c>
      <c r="E82" s="93">
        <v>26</v>
      </c>
      <c r="F82" s="16">
        <f t="shared" ref="F82:F85" si="256">(C82*D82*E82/1000)</f>
        <v>1.6042000000000001</v>
      </c>
      <c r="G82" s="17"/>
      <c r="H82" s="18"/>
      <c r="I82" s="19">
        <f t="shared" ref="I82:I85" si="257">(C82*D82*H82/1000)</f>
        <v>0</v>
      </c>
      <c r="J82" s="16"/>
      <c r="K82" s="18"/>
      <c r="L82" s="19">
        <f t="shared" ref="L82:L85" si="258">(C82*D82*K82/1000)</f>
        <v>0</v>
      </c>
      <c r="M82" s="16"/>
      <c r="N82" s="18"/>
      <c r="O82" s="19">
        <f t="shared" ref="O82:O85" si="259">(C82*D82*N82/1000)</f>
        <v>0</v>
      </c>
      <c r="P82" s="16"/>
      <c r="Q82" s="18"/>
      <c r="R82" s="19">
        <f t="shared" ref="R82:R85" si="260">(C82*D82*Q82/1000)</f>
        <v>0</v>
      </c>
      <c r="S82" s="20">
        <f t="shared" ref="S82:S85" si="261">+H82+K82+Q82+N82</f>
        <v>0</v>
      </c>
      <c r="T82" s="19">
        <f t="shared" ref="T82:T85" si="262">+I82+L82+R82+O82</f>
        <v>0</v>
      </c>
      <c r="U82" s="21">
        <f t="shared" ref="U82:U85" si="263">E82-S82</f>
        <v>26</v>
      </c>
      <c r="V82" s="19">
        <f t="shared" ref="V82:V85" si="264">F82-T82</f>
        <v>1.6042000000000001</v>
      </c>
    </row>
    <row r="83" spans="1:22">
      <c r="A83" s="88" t="s">
        <v>13</v>
      </c>
      <c r="B83" s="89" t="s">
        <v>57</v>
      </c>
      <c r="C83" s="90">
        <v>6.17</v>
      </c>
      <c r="D83" s="91">
        <v>11</v>
      </c>
      <c r="E83" s="93">
        <v>8</v>
      </c>
      <c r="F83" s="16">
        <f t="shared" si="256"/>
        <v>0.54296</v>
      </c>
      <c r="G83" s="17"/>
      <c r="H83" s="18"/>
      <c r="I83" s="19">
        <f t="shared" si="257"/>
        <v>0</v>
      </c>
      <c r="J83" s="16"/>
      <c r="K83" s="18"/>
      <c r="L83" s="19">
        <f t="shared" si="258"/>
        <v>0</v>
      </c>
      <c r="M83" s="16"/>
      <c r="N83" s="18"/>
      <c r="O83" s="19">
        <f t="shared" si="259"/>
        <v>0</v>
      </c>
      <c r="P83" s="16"/>
      <c r="Q83" s="18"/>
      <c r="R83" s="19">
        <f t="shared" si="260"/>
        <v>0</v>
      </c>
      <c r="S83" s="20">
        <f t="shared" si="261"/>
        <v>0</v>
      </c>
      <c r="T83" s="19">
        <f t="shared" si="262"/>
        <v>0</v>
      </c>
      <c r="U83" s="21">
        <f t="shared" si="263"/>
        <v>8</v>
      </c>
      <c r="V83" s="19">
        <f t="shared" si="264"/>
        <v>0.54296</v>
      </c>
    </row>
    <row r="84" spans="1:22">
      <c r="A84" s="88" t="s">
        <v>13</v>
      </c>
      <c r="B84" s="89" t="s">
        <v>57</v>
      </c>
      <c r="C84" s="90">
        <v>6.17</v>
      </c>
      <c r="D84" s="91">
        <v>11.5</v>
      </c>
      <c r="E84" s="93">
        <v>1</v>
      </c>
      <c r="F84" s="16">
        <f t="shared" si="256"/>
        <v>7.0955000000000004E-2</v>
      </c>
      <c r="G84" s="17"/>
      <c r="H84" s="18"/>
      <c r="I84" s="19">
        <f t="shared" si="257"/>
        <v>0</v>
      </c>
      <c r="J84" s="16"/>
      <c r="K84" s="18"/>
      <c r="L84" s="19">
        <f t="shared" si="258"/>
        <v>0</v>
      </c>
      <c r="M84" s="16"/>
      <c r="N84" s="18"/>
      <c r="O84" s="19">
        <f t="shared" si="259"/>
        <v>0</v>
      </c>
      <c r="P84" s="16"/>
      <c r="Q84" s="18"/>
      <c r="R84" s="19">
        <f t="shared" si="260"/>
        <v>0</v>
      </c>
      <c r="S84" s="20">
        <f t="shared" si="261"/>
        <v>0</v>
      </c>
      <c r="T84" s="19">
        <f t="shared" si="262"/>
        <v>0</v>
      </c>
      <c r="U84" s="21">
        <f t="shared" si="263"/>
        <v>1</v>
      </c>
      <c r="V84" s="19">
        <f t="shared" si="264"/>
        <v>7.0955000000000004E-2</v>
      </c>
    </row>
    <row r="85" spans="1:22">
      <c r="A85" s="88" t="s">
        <v>13</v>
      </c>
      <c r="B85" s="89" t="s">
        <v>57</v>
      </c>
      <c r="C85" s="90">
        <v>6.17</v>
      </c>
      <c r="D85" s="91">
        <v>12</v>
      </c>
      <c r="E85" s="93">
        <v>29</v>
      </c>
      <c r="F85" s="16">
        <f t="shared" si="256"/>
        <v>2.14716</v>
      </c>
      <c r="G85" s="17"/>
      <c r="H85" s="18"/>
      <c r="I85" s="19">
        <f t="shared" si="257"/>
        <v>0</v>
      </c>
      <c r="J85" s="16"/>
      <c r="K85" s="18"/>
      <c r="L85" s="19">
        <f t="shared" si="258"/>
        <v>0</v>
      </c>
      <c r="M85" s="16"/>
      <c r="N85" s="18"/>
      <c r="O85" s="19">
        <f t="shared" si="259"/>
        <v>0</v>
      </c>
      <c r="P85" s="16"/>
      <c r="Q85" s="18"/>
      <c r="R85" s="19">
        <f t="shared" si="260"/>
        <v>0</v>
      </c>
      <c r="S85" s="20">
        <f t="shared" si="261"/>
        <v>0</v>
      </c>
      <c r="T85" s="19">
        <f t="shared" si="262"/>
        <v>0</v>
      </c>
      <c r="U85" s="21">
        <f t="shared" si="263"/>
        <v>29</v>
      </c>
      <c r="V85" s="19">
        <f t="shared" si="264"/>
        <v>2.14716</v>
      </c>
    </row>
    <row r="86" spans="1:22">
      <c r="A86" s="88"/>
      <c r="B86" s="89"/>
      <c r="C86" s="90"/>
      <c r="D86" s="91"/>
      <c r="E86" s="94">
        <f t="shared" ref="E86:F86" si="265">SUM(E82:E85)</f>
        <v>64</v>
      </c>
      <c r="F86" s="95">
        <f t="shared" si="265"/>
        <v>4.3652750000000005</v>
      </c>
      <c r="G86" s="17"/>
      <c r="H86" s="94">
        <f t="shared" ref="H86" si="266">SUM(H82:H85)</f>
        <v>0</v>
      </c>
      <c r="I86" s="95">
        <f t="shared" ref="I86" si="267">SUM(I82:I85)</f>
        <v>0</v>
      </c>
      <c r="J86" s="16"/>
      <c r="K86" s="94">
        <f t="shared" ref="K86" si="268">SUM(K82:K85)</f>
        <v>0</v>
      </c>
      <c r="L86" s="95">
        <f t="shared" ref="L86" si="269">SUM(L82:L85)</f>
        <v>0</v>
      </c>
      <c r="M86" s="16"/>
      <c r="N86" s="94">
        <f t="shared" ref="N86" si="270">SUM(N82:N85)</f>
        <v>0</v>
      </c>
      <c r="O86" s="95">
        <f t="shared" ref="O86" si="271">SUM(O82:O85)</f>
        <v>0</v>
      </c>
      <c r="P86" s="16"/>
      <c r="Q86" s="94">
        <f t="shared" ref="Q86" si="272">SUM(Q82:Q85)</f>
        <v>0</v>
      </c>
      <c r="R86" s="95">
        <f t="shared" ref="R86" si="273">SUM(R82:R85)</f>
        <v>0</v>
      </c>
      <c r="S86" s="94">
        <f t="shared" ref="S86" si="274">SUM(S82:S85)</f>
        <v>0</v>
      </c>
      <c r="T86" s="95">
        <f t="shared" ref="T86" si="275">SUM(T82:T85)</f>
        <v>0</v>
      </c>
      <c r="U86" s="94">
        <f t="shared" ref="U86" si="276">SUM(U82:U85)</f>
        <v>64</v>
      </c>
      <c r="V86" s="95">
        <f t="shared" ref="V86" si="277">SUM(V82:V85)</f>
        <v>4.3652750000000005</v>
      </c>
    </row>
    <row r="87" spans="1:22">
      <c r="A87" s="88" t="s">
        <v>13</v>
      </c>
      <c r="B87" s="89" t="s">
        <v>58</v>
      </c>
      <c r="C87" s="90">
        <v>7.36</v>
      </c>
      <c r="D87" s="91">
        <v>10</v>
      </c>
      <c r="E87" s="93">
        <v>15</v>
      </c>
      <c r="F87" s="16">
        <f t="shared" ref="F87:F92" si="278">(C87*D87*E87/1000)</f>
        <v>1.1040000000000003</v>
      </c>
      <c r="G87" s="17"/>
      <c r="H87" s="18"/>
      <c r="I87" s="19">
        <f t="shared" ref="I87:I92" si="279">(C87*D87*H87/1000)</f>
        <v>0</v>
      </c>
      <c r="J87" s="16"/>
      <c r="K87" s="18"/>
      <c r="L87" s="19">
        <f t="shared" ref="L87:L92" si="280">(C87*D87*K87/1000)</f>
        <v>0</v>
      </c>
      <c r="M87" s="16"/>
      <c r="N87" s="18"/>
      <c r="O87" s="19">
        <f t="shared" ref="O87:O92" si="281">(C87*D87*N87/1000)</f>
        <v>0</v>
      </c>
      <c r="P87" s="16"/>
      <c r="Q87" s="18"/>
      <c r="R87" s="19">
        <f t="shared" ref="R87:R92" si="282">(C87*D87*Q87/1000)</f>
        <v>0</v>
      </c>
      <c r="S87" s="20">
        <f t="shared" ref="S87:S92" si="283">+H87+K87+Q87+N87</f>
        <v>0</v>
      </c>
      <c r="T87" s="19">
        <f t="shared" ref="T87:T92" si="284">+I87+L87+R87+O87</f>
        <v>0</v>
      </c>
      <c r="U87" s="21">
        <f t="shared" ref="U87:U92" si="285">E87-S87</f>
        <v>15</v>
      </c>
      <c r="V87" s="19">
        <f t="shared" ref="V87:V92" si="286">F87-T87</f>
        <v>1.1040000000000003</v>
      </c>
    </row>
    <row r="88" spans="1:22">
      <c r="A88" s="88" t="s">
        <v>13</v>
      </c>
      <c r="B88" s="89" t="s">
        <v>58</v>
      </c>
      <c r="C88" s="90">
        <v>7.36</v>
      </c>
      <c r="D88" s="91">
        <v>10.5</v>
      </c>
      <c r="E88" s="93">
        <v>2</v>
      </c>
      <c r="F88" s="16">
        <f t="shared" si="278"/>
        <v>0.15456</v>
      </c>
      <c r="G88" s="17"/>
      <c r="H88" s="18"/>
      <c r="I88" s="19">
        <f t="shared" si="279"/>
        <v>0</v>
      </c>
      <c r="J88" s="16"/>
      <c r="K88" s="18"/>
      <c r="L88" s="19">
        <f t="shared" si="280"/>
        <v>0</v>
      </c>
      <c r="M88" s="16"/>
      <c r="N88" s="18"/>
      <c r="O88" s="19">
        <f t="shared" si="281"/>
        <v>0</v>
      </c>
      <c r="P88" s="16"/>
      <c r="Q88" s="18"/>
      <c r="R88" s="19">
        <f t="shared" si="282"/>
        <v>0</v>
      </c>
      <c r="S88" s="20">
        <f t="shared" si="283"/>
        <v>0</v>
      </c>
      <c r="T88" s="19">
        <f t="shared" si="284"/>
        <v>0</v>
      </c>
      <c r="U88" s="21">
        <f t="shared" si="285"/>
        <v>2</v>
      </c>
      <c r="V88" s="19">
        <f t="shared" si="286"/>
        <v>0.15456</v>
      </c>
    </row>
    <row r="89" spans="1:22">
      <c r="A89" s="88" t="s">
        <v>13</v>
      </c>
      <c r="B89" s="89" t="s">
        <v>58</v>
      </c>
      <c r="C89" s="90">
        <v>7.36</v>
      </c>
      <c r="D89" s="91">
        <v>11</v>
      </c>
      <c r="E89" s="93">
        <v>12</v>
      </c>
      <c r="F89" s="16">
        <f t="shared" si="278"/>
        <v>0.97152000000000005</v>
      </c>
      <c r="G89" s="17"/>
      <c r="H89" s="18"/>
      <c r="I89" s="19">
        <f t="shared" si="279"/>
        <v>0</v>
      </c>
      <c r="J89" s="16"/>
      <c r="K89" s="18"/>
      <c r="L89" s="19">
        <f t="shared" si="280"/>
        <v>0</v>
      </c>
      <c r="M89" s="16"/>
      <c r="N89" s="18"/>
      <c r="O89" s="19">
        <f t="shared" si="281"/>
        <v>0</v>
      </c>
      <c r="P89" s="16"/>
      <c r="Q89" s="18"/>
      <c r="R89" s="19">
        <f t="shared" si="282"/>
        <v>0</v>
      </c>
      <c r="S89" s="20">
        <f t="shared" si="283"/>
        <v>0</v>
      </c>
      <c r="T89" s="19">
        <f t="shared" si="284"/>
        <v>0</v>
      </c>
      <c r="U89" s="21">
        <f t="shared" si="285"/>
        <v>12</v>
      </c>
      <c r="V89" s="19">
        <f t="shared" si="286"/>
        <v>0.97152000000000005</v>
      </c>
    </row>
    <row r="90" spans="1:22">
      <c r="A90" s="88" t="s">
        <v>13</v>
      </c>
      <c r="B90" s="89" t="s">
        <v>58</v>
      </c>
      <c r="C90" s="90">
        <v>7.36</v>
      </c>
      <c r="D90" s="91">
        <v>11.2</v>
      </c>
      <c r="E90" s="93">
        <v>20</v>
      </c>
      <c r="F90" s="16">
        <f t="shared" si="278"/>
        <v>1.6486400000000001</v>
      </c>
      <c r="G90" s="17"/>
      <c r="H90" s="18"/>
      <c r="I90" s="19">
        <f t="shared" si="279"/>
        <v>0</v>
      </c>
      <c r="J90" s="16"/>
      <c r="K90" s="18"/>
      <c r="L90" s="19">
        <f t="shared" si="280"/>
        <v>0</v>
      </c>
      <c r="M90" s="16"/>
      <c r="N90" s="18"/>
      <c r="O90" s="19">
        <f t="shared" si="281"/>
        <v>0</v>
      </c>
      <c r="P90" s="16"/>
      <c r="Q90" s="18"/>
      <c r="R90" s="19">
        <f t="shared" si="282"/>
        <v>0</v>
      </c>
      <c r="S90" s="20">
        <f t="shared" si="283"/>
        <v>0</v>
      </c>
      <c r="T90" s="19">
        <f t="shared" si="284"/>
        <v>0</v>
      </c>
      <c r="U90" s="21">
        <f t="shared" si="285"/>
        <v>20</v>
      </c>
      <c r="V90" s="19">
        <f t="shared" si="286"/>
        <v>1.6486400000000001</v>
      </c>
    </row>
    <row r="91" spans="1:22">
      <c r="A91" s="88" t="s">
        <v>13</v>
      </c>
      <c r="B91" s="89" t="s">
        <v>58</v>
      </c>
      <c r="C91" s="90">
        <v>7.36</v>
      </c>
      <c r="D91" s="91">
        <v>11.5</v>
      </c>
      <c r="E91" s="93">
        <v>24</v>
      </c>
      <c r="F91" s="16">
        <f t="shared" si="278"/>
        <v>2.0313600000000003</v>
      </c>
      <c r="G91" s="17"/>
      <c r="H91" s="18"/>
      <c r="I91" s="19">
        <f t="shared" si="279"/>
        <v>0</v>
      </c>
      <c r="J91" s="16"/>
      <c r="K91" s="18"/>
      <c r="L91" s="19">
        <f t="shared" si="280"/>
        <v>0</v>
      </c>
      <c r="M91" s="16"/>
      <c r="N91" s="18"/>
      <c r="O91" s="19">
        <f t="shared" si="281"/>
        <v>0</v>
      </c>
      <c r="P91" s="16"/>
      <c r="Q91" s="18"/>
      <c r="R91" s="19">
        <f t="shared" si="282"/>
        <v>0</v>
      </c>
      <c r="S91" s="20">
        <f t="shared" si="283"/>
        <v>0</v>
      </c>
      <c r="T91" s="19">
        <f t="shared" si="284"/>
        <v>0</v>
      </c>
      <c r="U91" s="21">
        <f t="shared" si="285"/>
        <v>24</v>
      </c>
      <c r="V91" s="19">
        <f t="shared" si="286"/>
        <v>2.0313600000000003</v>
      </c>
    </row>
    <row r="92" spans="1:22">
      <c r="A92" s="88" t="s">
        <v>13</v>
      </c>
      <c r="B92" s="89" t="s">
        <v>58</v>
      </c>
      <c r="C92" s="90">
        <v>7.36</v>
      </c>
      <c r="D92" s="91">
        <v>12</v>
      </c>
      <c r="E92" s="93">
        <v>1</v>
      </c>
      <c r="F92" s="16">
        <f t="shared" si="278"/>
        <v>8.832000000000001E-2</v>
      </c>
      <c r="G92" s="17"/>
      <c r="H92" s="18"/>
      <c r="I92" s="19">
        <f t="shared" si="279"/>
        <v>0</v>
      </c>
      <c r="J92" s="16"/>
      <c r="K92" s="18"/>
      <c r="L92" s="19">
        <f t="shared" si="280"/>
        <v>0</v>
      </c>
      <c r="M92" s="16"/>
      <c r="N92" s="18"/>
      <c r="O92" s="19">
        <f t="shared" si="281"/>
        <v>0</v>
      </c>
      <c r="P92" s="16"/>
      <c r="Q92" s="18"/>
      <c r="R92" s="19">
        <f t="shared" si="282"/>
        <v>0</v>
      </c>
      <c r="S92" s="20">
        <f t="shared" si="283"/>
        <v>0</v>
      </c>
      <c r="T92" s="19">
        <f t="shared" si="284"/>
        <v>0</v>
      </c>
      <c r="U92" s="21">
        <f t="shared" si="285"/>
        <v>1</v>
      </c>
      <c r="V92" s="19">
        <f t="shared" si="286"/>
        <v>8.832000000000001E-2</v>
      </c>
    </row>
    <row r="93" spans="1:22">
      <c r="A93" s="88"/>
      <c r="B93" s="89"/>
      <c r="C93" s="90"/>
      <c r="D93" s="91"/>
      <c r="E93" s="94">
        <f t="shared" ref="E93:F93" si="287">SUM(E87:E92)</f>
        <v>74</v>
      </c>
      <c r="F93" s="95">
        <f t="shared" si="287"/>
        <v>5.9984000000000011</v>
      </c>
      <c r="G93" s="17"/>
      <c r="H93" s="94">
        <f t="shared" ref="H93" si="288">SUM(H87:H92)</f>
        <v>0</v>
      </c>
      <c r="I93" s="95">
        <f t="shared" ref="I93" si="289">SUM(I87:I92)</f>
        <v>0</v>
      </c>
      <c r="J93" s="16"/>
      <c r="K93" s="94">
        <f t="shared" ref="K93" si="290">SUM(K87:K92)</f>
        <v>0</v>
      </c>
      <c r="L93" s="95">
        <f t="shared" ref="L93" si="291">SUM(L87:L92)</f>
        <v>0</v>
      </c>
      <c r="M93" s="16"/>
      <c r="N93" s="94">
        <f t="shared" ref="N93" si="292">SUM(N87:N92)</f>
        <v>0</v>
      </c>
      <c r="O93" s="95">
        <f t="shared" ref="O93" si="293">SUM(O87:O92)</f>
        <v>0</v>
      </c>
      <c r="P93" s="16"/>
      <c r="Q93" s="94">
        <f t="shared" ref="Q93" si="294">SUM(Q87:Q92)</f>
        <v>0</v>
      </c>
      <c r="R93" s="95">
        <f t="shared" ref="R93" si="295">SUM(R87:R92)</f>
        <v>0</v>
      </c>
      <c r="S93" s="94">
        <f t="shared" ref="S93" si="296">SUM(S87:S92)</f>
        <v>0</v>
      </c>
      <c r="T93" s="95">
        <f t="shared" ref="T93" si="297">SUM(T87:T92)</f>
        <v>0</v>
      </c>
      <c r="U93" s="94">
        <f t="shared" ref="U93" si="298">SUM(U87:U92)</f>
        <v>74</v>
      </c>
      <c r="V93" s="95">
        <f t="shared" ref="V93" si="299">SUM(V87:V92)</f>
        <v>5.9984000000000011</v>
      </c>
    </row>
    <row r="94" spans="1:22">
      <c r="A94" s="88" t="s">
        <v>13</v>
      </c>
      <c r="B94" s="89" t="s">
        <v>36</v>
      </c>
      <c r="C94" s="90">
        <v>6.97</v>
      </c>
      <c r="D94" s="91">
        <v>10.5</v>
      </c>
      <c r="E94" s="93">
        <v>1</v>
      </c>
      <c r="F94" s="16">
        <f t="shared" ref="F94:F98" si="300">(C94*D94*E94/1000)</f>
        <v>7.3185E-2</v>
      </c>
      <c r="G94" s="17"/>
      <c r="H94" s="18"/>
      <c r="I94" s="19">
        <f t="shared" ref="I94:I98" si="301">(C94*D94*H94/1000)</f>
        <v>0</v>
      </c>
      <c r="J94" s="16"/>
      <c r="K94" s="18"/>
      <c r="L94" s="19">
        <f t="shared" ref="L94:L98" si="302">(C94*D94*K94/1000)</f>
        <v>0</v>
      </c>
      <c r="M94" s="16"/>
      <c r="N94" s="18"/>
      <c r="O94" s="19">
        <f t="shared" ref="O94:O98" si="303">(C94*D94*N94/1000)</f>
        <v>0</v>
      </c>
      <c r="P94" s="16"/>
      <c r="Q94" s="18"/>
      <c r="R94" s="19">
        <f t="shared" ref="R94:R98" si="304">(C94*D94*Q94/1000)</f>
        <v>0</v>
      </c>
      <c r="S94" s="20">
        <f t="shared" ref="S94:S98" si="305">+H94+K94+Q94+N94</f>
        <v>0</v>
      </c>
      <c r="T94" s="19">
        <f t="shared" ref="T94:T98" si="306">+I94+L94+R94+O94</f>
        <v>0</v>
      </c>
      <c r="U94" s="21">
        <f t="shared" ref="U94:U98" si="307">E94-S94</f>
        <v>1</v>
      </c>
      <c r="V94" s="19">
        <f t="shared" ref="V94:V98" si="308">F94-T94</f>
        <v>7.3185E-2</v>
      </c>
    </row>
    <row r="95" spans="1:22">
      <c r="A95" s="88" t="s">
        <v>13</v>
      </c>
      <c r="B95" s="89" t="s">
        <v>36</v>
      </c>
      <c r="C95" s="90">
        <v>6.97</v>
      </c>
      <c r="D95" s="91">
        <v>10.75</v>
      </c>
      <c r="E95" s="93">
        <v>20</v>
      </c>
      <c r="F95" s="16">
        <f t="shared" si="300"/>
        <v>1.49855</v>
      </c>
      <c r="G95" s="17"/>
      <c r="H95" s="18"/>
      <c r="I95" s="19">
        <f t="shared" si="301"/>
        <v>0</v>
      </c>
      <c r="J95" s="16"/>
      <c r="K95" s="18"/>
      <c r="L95" s="19">
        <f t="shared" si="302"/>
        <v>0</v>
      </c>
      <c r="M95" s="16"/>
      <c r="N95" s="18"/>
      <c r="O95" s="19">
        <f t="shared" si="303"/>
        <v>0</v>
      </c>
      <c r="P95" s="16"/>
      <c r="Q95" s="18"/>
      <c r="R95" s="19">
        <f t="shared" si="304"/>
        <v>0</v>
      </c>
      <c r="S95" s="20">
        <f t="shared" si="305"/>
        <v>0</v>
      </c>
      <c r="T95" s="19">
        <f t="shared" si="306"/>
        <v>0</v>
      </c>
      <c r="U95" s="21">
        <f t="shared" si="307"/>
        <v>20</v>
      </c>
      <c r="V95" s="19">
        <f t="shared" si="308"/>
        <v>1.49855</v>
      </c>
    </row>
    <row r="96" spans="1:22">
      <c r="A96" s="88" t="s">
        <v>13</v>
      </c>
      <c r="B96" s="89" t="s">
        <v>36</v>
      </c>
      <c r="C96" s="90">
        <v>6.97</v>
      </c>
      <c r="D96" s="91">
        <v>11</v>
      </c>
      <c r="E96" s="93">
        <v>28</v>
      </c>
      <c r="F96" s="16">
        <f t="shared" si="300"/>
        <v>2.14676</v>
      </c>
      <c r="G96" s="17"/>
      <c r="H96" s="18"/>
      <c r="I96" s="19">
        <f t="shared" si="301"/>
        <v>0</v>
      </c>
      <c r="J96" s="16"/>
      <c r="K96" s="18"/>
      <c r="L96" s="19">
        <f t="shared" si="302"/>
        <v>0</v>
      </c>
      <c r="M96" s="16"/>
      <c r="N96" s="18"/>
      <c r="O96" s="19">
        <f t="shared" si="303"/>
        <v>0</v>
      </c>
      <c r="P96" s="16"/>
      <c r="Q96" s="18"/>
      <c r="R96" s="19">
        <f t="shared" si="304"/>
        <v>0</v>
      </c>
      <c r="S96" s="20">
        <f t="shared" si="305"/>
        <v>0</v>
      </c>
      <c r="T96" s="19">
        <f t="shared" si="306"/>
        <v>0</v>
      </c>
      <c r="U96" s="21">
        <f t="shared" si="307"/>
        <v>28</v>
      </c>
      <c r="V96" s="19">
        <f t="shared" si="308"/>
        <v>2.14676</v>
      </c>
    </row>
    <row r="97" spans="1:22">
      <c r="A97" s="88" t="s">
        <v>13</v>
      </c>
      <c r="B97" s="89" t="s">
        <v>36</v>
      </c>
      <c r="C97" s="90">
        <v>6.97</v>
      </c>
      <c r="D97" s="91">
        <v>11.5</v>
      </c>
      <c r="E97" s="93">
        <v>37</v>
      </c>
      <c r="F97" s="16">
        <f t="shared" si="300"/>
        <v>2.965735</v>
      </c>
      <c r="G97" s="17"/>
      <c r="H97" s="18"/>
      <c r="I97" s="19">
        <f t="shared" si="301"/>
        <v>0</v>
      </c>
      <c r="J97" s="16"/>
      <c r="K97" s="18"/>
      <c r="L97" s="19">
        <f t="shared" si="302"/>
        <v>0</v>
      </c>
      <c r="M97" s="16"/>
      <c r="N97" s="18"/>
      <c r="O97" s="19">
        <f t="shared" si="303"/>
        <v>0</v>
      </c>
      <c r="P97" s="16"/>
      <c r="Q97" s="18"/>
      <c r="R97" s="19">
        <f t="shared" si="304"/>
        <v>0</v>
      </c>
      <c r="S97" s="20">
        <f t="shared" si="305"/>
        <v>0</v>
      </c>
      <c r="T97" s="19">
        <f t="shared" si="306"/>
        <v>0</v>
      </c>
      <c r="U97" s="21">
        <f t="shared" si="307"/>
        <v>37</v>
      </c>
      <c r="V97" s="19">
        <f t="shared" si="308"/>
        <v>2.965735</v>
      </c>
    </row>
    <row r="98" spans="1:22">
      <c r="A98" s="88" t="s">
        <v>13</v>
      </c>
      <c r="B98" s="89" t="s">
        <v>36</v>
      </c>
      <c r="C98" s="90">
        <v>6.97</v>
      </c>
      <c r="D98" s="91">
        <v>12</v>
      </c>
      <c r="E98" s="93">
        <v>32</v>
      </c>
      <c r="F98" s="16">
        <f t="shared" si="300"/>
        <v>2.6764800000000002</v>
      </c>
      <c r="G98" s="17"/>
      <c r="H98" s="18"/>
      <c r="I98" s="19">
        <f t="shared" si="301"/>
        <v>0</v>
      </c>
      <c r="J98" s="16"/>
      <c r="K98" s="18"/>
      <c r="L98" s="19">
        <f t="shared" si="302"/>
        <v>0</v>
      </c>
      <c r="M98" s="16"/>
      <c r="N98" s="18"/>
      <c r="O98" s="19">
        <f t="shared" si="303"/>
        <v>0</v>
      </c>
      <c r="P98" s="16"/>
      <c r="Q98" s="18"/>
      <c r="R98" s="19">
        <f t="shared" si="304"/>
        <v>0</v>
      </c>
      <c r="S98" s="20">
        <f t="shared" si="305"/>
        <v>0</v>
      </c>
      <c r="T98" s="19">
        <f t="shared" si="306"/>
        <v>0</v>
      </c>
      <c r="U98" s="21">
        <f t="shared" si="307"/>
        <v>32</v>
      </c>
      <c r="V98" s="19">
        <f t="shared" si="308"/>
        <v>2.6764800000000002</v>
      </c>
    </row>
    <row r="99" spans="1:22">
      <c r="A99" s="88"/>
      <c r="B99" s="89"/>
      <c r="C99" s="90"/>
      <c r="D99" s="91"/>
      <c r="E99" s="94">
        <f t="shared" ref="E99:F99" si="309">SUM(E94:E98)</f>
        <v>118</v>
      </c>
      <c r="F99" s="95">
        <f t="shared" si="309"/>
        <v>9.3607099999999992</v>
      </c>
      <c r="G99" s="17"/>
      <c r="H99" s="94">
        <f t="shared" ref="H99" si="310">SUM(H94:H98)</f>
        <v>0</v>
      </c>
      <c r="I99" s="95">
        <f t="shared" ref="I99" si="311">SUM(I94:I98)</f>
        <v>0</v>
      </c>
      <c r="J99" s="16"/>
      <c r="K99" s="94">
        <f t="shared" ref="K99" si="312">SUM(K94:K98)</f>
        <v>0</v>
      </c>
      <c r="L99" s="95">
        <f t="shared" ref="L99" si="313">SUM(L94:L98)</f>
        <v>0</v>
      </c>
      <c r="M99" s="16"/>
      <c r="N99" s="94">
        <f t="shared" ref="N99" si="314">SUM(N94:N98)</f>
        <v>0</v>
      </c>
      <c r="O99" s="95">
        <f t="shared" ref="O99" si="315">SUM(O94:O98)</f>
        <v>0</v>
      </c>
      <c r="P99" s="16"/>
      <c r="Q99" s="94">
        <f t="shared" ref="Q99" si="316">SUM(Q94:Q98)</f>
        <v>0</v>
      </c>
      <c r="R99" s="95">
        <f t="shared" ref="R99" si="317">SUM(R94:R98)</f>
        <v>0</v>
      </c>
      <c r="S99" s="94">
        <f t="shared" ref="S99" si="318">SUM(S94:S98)</f>
        <v>0</v>
      </c>
      <c r="T99" s="95">
        <f t="shared" ref="T99" si="319">SUM(T94:T98)</f>
        <v>0</v>
      </c>
      <c r="U99" s="94">
        <f t="shared" ref="U99" si="320">SUM(U94:U98)</f>
        <v>118</v>
      </c>
      <c r="V99" s="95">
        <f t="shared" ref="V99" si="321">SUM(V94:V98)</f>
        <v>9.3607099999999992</v>
      </c>
    </row>
    <row r="100" spans="1:22">
      <c r="A100" s="88" t="s">
        <v>13</v>
      </c>
      <c r="B100" s="89" t="s">
        <v>26</v>
      </c>
      <c r="C100" s="90">
        <v>8.32</v>
      </c>
      <c r="D100" s="91">
        <v>8.25</v>
      </c>
      <c r="E100" s="93">
        <v>228</v>
      </c>
      <c r="F100" s="16">
        <f t="shared" ref="F100:F103" si="322">(C100*D100*E100/1000)</f>
        <v>15.64992</v>
      </c>
      <c r="G100" s="17"/>
      <c r="H100" s="18"/>
      <c r="I100" s="19">
        <f t="shared" ref="I100:I103" si="323">(C100*D100*H100/1000)</f>
        <v>0</v>
      </c>
      <c r="J100" s="16"/>
      <c r="K100" s="18"/>
      <c r="L100" s="19">
        <f t="shared" ref="L100:L103" si="324">(C100*D100*K100/1000)</f>
        <v>0</v>
      </c>
      <c r="M100" s="16"/>
      <c r="N100" s="18"/>
      <c r="O100" s="19">
        <f t="shared" ref="O100:O103" si="325">(C100*D100*N100/1000)</f>
        <v>0</v>
      </c>
      <c r="P100" s="16"/>
      <c r="Q100" s="18"/>
      <c r="R100" s="19">
        <f t="shared" ref="R100:R103" si="326">(C100*D100*Q100/1000)</f>
        <v>0</v>
      </c>
      <c r="S100" s="20">
        <f t="shared" ref="S100:S103" si="327">+H100+K100+Q100+N100</f>
        <v>0</v>
      </c>
      <c r="T100" s="19">
        <f t="shared" ref="T100:T103" si="328">+I100+L100+R100+O100</f>
        <v>0</v>
      </c>
      <c r="U100" s="21">
        <f t="shared" ref="U100:U103" si="329">E100-S100</f>
        <v>228</v>
      </c>
      <c r="V100" s="19">
        <f t="shared" ref="V100:V103" si="330">F100-T100</f>
        <v>15.64992</v>
      </c>
    </row>
    <row r="101" spans="1:22">
      <c r="A101" s="88" t="s">
        <v>13</v>
      </c>
      <c r="B101" s="89" t="s">
        <v>26</v>
      </c>
      <c r="C101" s="90">
        <v>8.32</v>
      </c>
      <c r="D101" s="91">
        <v>10.5</v>
      </c>
      <c r="E101" s="93">
        <v>10</v>
      </c>
      <c r="F101" s="16">
        <f t="shared" si="322"/>
        <v>0.87360000000000004</v>
      </c>
      <c r="G101" s="17"/>
      <c r="H101" s="18"/>
      <c r="I101" s="19">
        <f t="shared" si="323"/>
        <v>0</v>
      </c>
      <c r="J101" s="16"/>
      <c r="K101" s="18"/>
      <c r="L101" s="19">
        <f t="shared" si="324"/>
        <v>0</v>
      </c>
      <c r="M101" s="16"/>
      <c r="N101" s="18"/>
      <c r="O101" s="19">
        <f t="shared" si="325"/>
        <v>0</v>
      </c>
      <c r="P101" s="16"/>
      <c r="Q101" s="18"/>
      <c r="R101" s="19">
        <f t="shared" si="326"/>
        <v>0</v>
      </c>
      <c r="S101" s="20">
        <f t="shared" si="327"/>
        <v>0</v>
      </c>
      <c r="T101" s="19">
        <f t="shared" si="328"/>
        <v>0</v>
      </c>
      <c r="U101" s="21">
        <f t="shared" si="329"/>
        <v>10</v>
      </c>
      <c r="V101" s="19">
        <f t="shared" si="330"/>
        <v>0.87360000000000004</v>
      </c>
    </row>
    <row r="102" spans="1:22">
      <c r="A102" s="88" t="s">
        <v>13</v>
      </c>
      <c r="B102" s="89" t="s">
        <v>26</v>
      </c>
      <c r="C102" s="90">
        <v>8.32</v>
      </c>
      <c r="D102" s="91">
        <v>11</v>
      </c>
      <c r="E102" s="93">
        <v>36</v>
      </c>
      <c r="F102" s="16">
        <f t="shared" si="322"/>
        <v>3.2947200000000003</v>
      </c>
      <c r="G102" s="17"/>
      <c r="H102" s="18"/>
      <c r="I102" s="19">
        <f t="shared" si="323"/>
        <v>0</v>
      </c>
      <c r="J102" s="16"/>
      <c r="K102" s="18"/>
      <c r="L102" s="19">
        <f t="shared" si="324"/>
        <v>0</v>
      </c>
      <c r="M102" s="16"/>
      <c r="N102" s="18"/>
      <c r="O102" s="19">
        <f t="shared" si="325"/>
        <v>0</v>
      </c>
      <c r="P102" s="16"/>
      <c r="Q102" s="18"/>
      <c r="R102" s="19">
        <f t="shared" si="326"/>
        <v>0</v>
      </c>
      <c r="S102" s="20">
        <f t="shared" si="327"/>
        <v>0</v>
      </c>
      <c r="T102" s="19">
        <f t="shared" si="328"/>
        <v>0</v>
      </c>
      <c r="U102" s="21">
        <f t="shared" si="329"/>
        <v>36</v>
      </c>
      <c r="V102" s="19">
        <f t="shared" si="330"/>
        <v>3.2947200000000003</v>
      </c>
    </row>
    <row r="103" spans="1:22">
      <c r="A103" s="88" t="s">
        <v>13</v>
      </c>
      <c r="B103" s="89" t="s">
        <v>26</v>
      </c>
      <c r="C103" s="90">
        <v>8.32</v>
      </c>
      <c r="D103" s="91">
        <v>12</v>
      </c>
      <c r="E103" s="93">
        <v>5</v>
      </c>
      <c r="F103" s="16">
        <f t="shared" si="322"/>
        <v>0.49920000000000003</v>
      </c>
      <c r="G103" s="17"/>
      <c r="H103" s="18"/>
      <c r="I103" s="19">
        <f t="shared" si="323"/>
        <v>0</v>
      </c>
      <c r="J103" s="16"/>
      <c r="K103" s="18"/>
      <c r="L103" s="19">
        <f t="shared" si="324"/>
        <v>0</v>
      </c>
      <c r="M103" s="16"/>
      <c r="N103" s="18"/>
      <c r="O103" s="19">
        <f t="shared" si="325"/>
        <v>0</v>
      </c>
      <c r="P103" s="16"/>
      <c r="Q103" s="18"/>
      <c r="R103" s="19">
        <f t="shared" si="326"/>
        <v>0</v>
      </c>
      <c r="S103" s="20">
        <f t="shared" si="327"/>
        <v>0</v>
      </c>
      <c r="T103" s="19">
        <f t="shared" si="328"/>
        <v>0</v>
      </c>
      <c r="U103" s="21">
        <f t="shared" si="329"/>
        <v>5</v>
      </c>
      <c r="V103" s="19">
        <f t="shared" si="330"/>
        <v>0.49920000000000003</v>
      </c>
    </row>
    <row r="104" spans="1:22">
      <c r="A104" s="88"/>
      <c r="B104" s="89"/>
      <c r="C104" s="90"/>
      <c r="D104" s="91"/>
      <c r="E104" s="94">
        <f t="shared" ref="E104:F104" si="331">SUM(E100:E103)</f>
        <v>279</v>
      </c>
      <c r="F104" s="95">
        <f t="shared" si="331"/>
        <v>20.317440000000001</v>
      </c>
      <c r="G104" s="17"/>
      <c r="H104" s="94">
        <f t="shared" ref="H104" si="332">SUM(H100:H103)</f>
        <v>0</v>
      </c>
      <c r="I104" s="95">
        <f t="shared" ref="I104" si="333">SUM(I100:I103)</f>
        <v>0</v>
      </c>
      <c r="J104" s="16"/>
      <c r="K104" s="94">
        <f t="shared" ref="K104" si="334">SUM(K100:K103)</f>
        <v>0</v>
      </c>
      <c r="L104" s="95">
        <f t="shared" ref="L104" si="335">SUM(L100:L103)</f>
        <v>0</v>
      </c>
      <c r="M104" s="16"/>
      <c r="N104" s="94">
        <f t="shared" ref="N104" si="336">SUM(N100:N103)</f>
        <v>0</v>
      </c>
      <c r="O104" s="95">
        <f t="shared" ref="O104" si="337">SUM(O100:O103)</f>
        <v>0</v>
      </c>
      <c r="P104" s="16"/>
      <c r="Q104" s="94">
        <f t="shared" ref="Q104" si="338">SUM(Q100:Q103)</f>
        <v>0</v>
      </c>
      <c r="R104" s="95">
        <f t="shared" ref="R104" si="339">SUM(R100:R103)</f>
        <v>0</v>
      </c>
      <c r="S104" s="94">
        <f t="shared" ref="S104" si="340">SUM(S100:S103)</f>
        <v>0</v>
      </c>
      <c r="T104" s="95">
        <f t="shared" ref="T104" si="341">SUM(T100:T103)</f>
        <v>0</v>
      </c>
      <c r="U104" s="94">
        <f t="shared" ref="U104" si="342">SUM(U100:U103)</f>
        <v>279</v>
      </c>
      <c r="V104" s="95">
        <f t="shared" ref="V104" si="343">SUM(V100:V103)</f>
        <v>20.317440000000001</v>
      </c>
    </row>
    <row r="105" spans="1:22">
      <c r="A105" s="88" t="s">
        <v>14</v>
      </c>
      <c r="B105" s="89" t="s">
        <v>45</v>
      </c>
      <c r="C105" s="90">
        <v>9.26</v>
      </c>
      <c r="D105" s="91">
        <v>8.1999999999999993</v>
      </c>
      <c r="E105" s="93">
        <v>24</v>
      </c>
      <c r="F105" s="16">
        <f t="shared" ref="F105:F108" si="344">(C105*D105*E105/1000)</f>
        <v>1.8223679999999998</v>
      </c>
      <c r="G105" s="17"/>
      <c r="H105" s="18"/>
      <c r="I105" s="19">
        <f t="shared" ref="I105:I108" si="345">(C105*D105*H105/1000)</f>
        <v>0</v>
      </c>
      <c r="J105" s="16"/>
      <c r="K105" s="18"/>
      <c r="L105" s="19">
        <f t="shared" ref="L105:L108" si="346">(C105*D105*K105/1000)</f>
        <v>0</v>
      </c>
      <c r="M105" s="16"/>
      <c r="N105" s="18"/>
      <c r="O105" s="19">
        <f t="shared" ref="O105:O108" si="347">(C105*D105*N105/1000)</f>
        <v>0</v>
      </c>
      <c r="P105" s="16"/>
      <c r="Q105" s="18"/>
      <c r="R105" s="19">
        <f t="shared" ref="R105:R108" si="348">(C105*D105*Q105/1000)</f>
        <v>0</v>
      </c>
      <c r="S105" s="20">
        <f t="shared" ref="S105:S108" si="349">+H105+K105+Q105+N105</f>
        <v>0</v>
      </c>
      <c r="T105" s="19">
        <f t="shared" ref="T105:T108" si="350">+I105+L105+R105+O105</f>
        <v>0</v>
      </c>
      <c r="U105" s="21">
        <f t="shared" ref="U105:U108" si="351">E105-S105</f>
        <v>24</v>
      </c>
      <c r="V105" s="19">
        <f t="shared" ref="V105:V108" si="352">F105-T105</f>
        <v>1.8223679999999998</v>
      </c>
    </row>
    <row r="106" spans="1:22">
      <c r="A106" s="88" t="s">
        <v>14</v>
      </c>
      <c r="B106" s="89" t="s">
        <v>45</v>
      </c>
      <c r="C106" s="90">
        <v>9.26</v>
      </c>
      <c r="D106" s="91">
        <v>9.1999999999999993</v>
      </c>
      <c r="E106" s="93">
        <v>12</v>
      </c>
      <c r="F106" s="16">
        <f t="shared" si="344"/>
        <v>1.0223039999999999</v>
      </c>
      <c r="G106" s="17"/>
      <c r="H106" s="18"/>
      <c r="I106" s="19">
        <f t="shared" si="345"/>
        <v>0</v>
      </c>
      <c r="J106" s="16"/>
      <c r="K106" s="18"/>
      <c r="L106" s="19">
        <f t="shared" si="346"/>
        <v>0</v>
      </c>
      <c r="M106" s="16"/>
      <c r="N106" s="18"/>
      <c r="O106" s="19">
        <f t="shared" si="347"/>
        <v>0</v>
      </c>
      <c r="P106" s="16"/>
      <c r="Q106" s="18"/>
      <c r="R106" s="19">
        <f t="shared" si="348"/>
        <v>0</v>
      </c>
      <c r="S106" s="20">
        <f t="shared" si="349"/>
        <v>0</v>
      </c>
      <c r="T106" s="19">
        <f t="shared" si="350"/>
        <v>0</v>
      </c>
      <c r="U106" s="21">
        <f t="shared" si="351"/>
        <v>12</v>
      </c>
      <c r="V106" s="19">
        <f t="shared" si="352"/>
        <v>1.0223039999999999</v>
      </c>
    </row>
    <row r="107" spans="1:22">
      <c r="A107" s="88" t="s">
        <v>14</v>
      </c>
      <c r="B107" s="89" t="s">
        <v>45</v>
      </c>
      <c r="C107" s="90">
        <v>9.26</v>
      </c>
      <c r="D107" s="91">
        <v>10.5</v>
      </c>
      <c r="E107" s="93">
        <v>12</v>
      </c>
      <c r="F107" s="16">
        <f t="shared" si="344"/>
        <v>1.16676</v>
      </c>
      <c r="G107" s="17"/>
      <c r="H107" s="18"/>
      <c r="I107" s="19">
        <f t="shared" si="345"/>
        <v>0</v>
      </c>
      <c r="J107" s="16"/>
      <c r="K107" s="18"/>
      <c r="L107" s="19">
        <f t="shared" si="346"/>
        <v>0</v>
      </c>
      <c r="M107" s="16"/>
      <c r="N107" s="18"/>
      <c r="O107" s="19">
        <f t="shared" si="347"/>
        <v>0</v>
      </c>
      <c r="P107" s="16"/>
      <c r="Q107" s="18"/>
      <c r="R107" s="19">
        <f t="shared" si="348"/>
        <v>0</v>
      </c>
      <c r="S107" s="20">
        <f t="shared" si="349"/>
        <v>0</v>
      </c>
      <c r="T107" s="19">
        <f t="shared" si="350"/>
        <v>0</v>
      </c>
      <c r="U107" s="21">
        <f t="shared" si="351"/>
        <v>12</v>
      </c>
      <c r="V107" s="19">
        <f t="shared" si="352"/>
        <v>1.16676</v>
      </c>
    </row>
    <row r="108" spans="1:22">
      <c r="A108" s="88" t="s">
        <v>14</v>
      </c>
      <c r="B108" s="89" t="s">
        <v>45</v>
      </c>
      <c r="C108" s="90">
        <v>9.26</v>
      </c>
      <c r="D108" s="91">
        <v>10.5</v>
      </c>
      <c r="E108" s="93">
        <v>24</v>
      </c>
      <c r="F108" s="16">
        <f t="shared" si="344"/>
        <v>2.33352</v>
      </c>
      <c r="G108" s="17"/>
      <c r="H108" s="18"/>
      <c r="I108" s="19">
        <f t="shared" si="345"/>
        <v>0</v>
      </c>
      <c r="J108" s="16"/>
      <c r="K108" s="18"/>
      <c r="L108" s="19">
        <f t="shared" si="346"/>
        <v>0</v>
      </c>
      <c r="M108" s="16"/>
      <c r="N108" s="18"/>
      <c r="O108" s="19">
        <f t="shared" si="347"/>
        <v>0</v>
      </c>
      <c r="P108" s="16"/>
      <c r="Q108" s="18"/>
      <c r="R108" s="19">
        <f t="shared" si="348"/>
        <v>0</v>
      </c>
      <c r="S108" s="20">
        <f t="shared" si="349"/>
        <v>0</v>
      </c>
      <c r="T108" s="19">
        <f t="shared" si="350"/>
        <v>0</v>
      </c>
      <c r="U108" s="21">
        <f t="shared" si="351"/>
        <v>24</v>
      </c>
      <c r="V108" s="19">
        <f t="shared" si="352"/>
        <v>2.33352</v>
      </c>
    </row>
    <row r="109" spans="1:22">
      <c r="A109" s="88"/>
      <c r="B109" s="89"/>
      <c r="C109" s="90"/>
      <c r="D109" s="91"/>
      <c r="E109" s="94">
        <f t="shared" ref="E109:F109" si="353">SUM(E105:E108)</f>
        <v>72</v>
      </c>
      <c r="F109" s="95">
        <f t="shared" si="353"/>
        <v>6.3449519999999993</v>
      </c>
      <c r="G109" s="17"/>
      <c r="H109" s="94">
        <f t="shared" ref="H109" si="354">SUM(H105:H108)</f>
        <v>0</v>
      </c>
      <c r="I109" s="95">
        <f t="shared" ref="I109" si="355">SUM(I105:I108)</f>
        <v>0</v>
      </c>
      <c r="J109" s="16"/>
      <c r="K109" s="94">
        <f t="shared" ref="K109" si="356">SUM(K105:K108)</f>
        <v>0</v>
      </c>
      <c r="L109" s="95">
        <f t="shared" ref="L109" si="357">SUM(L105:L108)</f>
        <v>0</v>
      </c>
      <c r="M109" s="16"/>
      <c r="N109" s="94">
        <f t="shared" ref="N109" si="358">SUM(N105:N108)</f>
        <v>0</v>
      </c>
      <c r="O109" s="95">
        <f t="shared" ref="O109" si="359">SUM(O105:O108)</f>
        <v>0</v>
      </c>
      <c r="P109" s="16"/>
      <c r="Q109" s="94">
        <f t="shared" ref="Q109" si="360">SUM(Q105:Q108)</f>
        <v>0</v>
      </c>
      <c r="R109" s="95">
        <f t="shared" ref="R109" si="361">SUM(R105:R108)</f>
        <v>0</v>
      </c>
      <c r="S109" s="94">
        <f t="shared" ref="S109" si="362">SUM(S105:S108)</f>
        <v>0</v>
      </c>
      <c r="T109" s="95">
        <f t="shared" ref="T109" si="363">SUM(T105:T108)</f>
        <v>0</v>
      </c>
      <c r="U109" s="94">
        <f t="shared" ref="U109" si="364">SUM(U105:U108)</f>
        <v>72</v>
      </c>
      <c r="V109" s="95">
        <f t="shared" ref="V109" si="365">SUM(V105:V108)</f>
        <v>6.3449519999999993</v>
      </c>
    </row>
    <row r="110" spans="1:22">
      <c r="A110" s="88" t="s">
        <v>14</v>
      </c>
      <c r="B110" s="89" t="s">
        <v>31</v>
      </c>
      <c r="C110" s="90">
        <v>10.199999999999999</v>
      </c>
      <c r="D110" s="91">
        <v>9.6</v>
      </c>
      <c r="E110" s="93">
        <v>16</v>
      </c>
      <c r="F110" s="16">
        <f>(C110*D110*E110/1000)</f>
        <v>1.5667199999999999</v>
      </c>
      <c r="G110" s="17"/>
      <c r="H110" s="18"/>
      <c r="I110" s="19">
        <f>(C110*D110*H110/1000)</f>
        <v>0</v>
      </c>
      <c r="J110" s="16"/>
      <c r="K110" s="18"/>
      <c r="L110" s="19">
        <f>(C110*D110*K110/1000)</f>
        <v>0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>+H110+K110+Q110+N110</f>
        <v>0</v>
      </c>
      <c r="T110" s="19">
        <f>+I110+L110+R110+O110</f>
        <v>0</v>
      </c>
      <c r="U110" s="21">
        <f>E110-S110</f>
        <v>16</v>
      </c>
      <c r="V110" s="19">
        <f>F110-T110</f>
        <v>1.5667199999999999</v>
      </c>
    </row>
    <row r="111" spans="1:22">
      <c r="A111" s="88"/>
      <c r="B111" s="89"/>
      <c r="C111" s="90"/>
      <c r="D111" s="91"/>
      <c r="E111" s="94">
        <f t="shared" ref="E111:F111" si="366">SUM(E110)</f>
        <v>16</v>
      </c>
      <c r="F111" s="95">
        <f t="shared" si="366"/>
        <v>1.5667199999999999</v>
      </c>
      <c r="G111" s="17"/>
      <c r="H111" s="94">
        <f t="shared" ref="H111" si="367">SUM(H110)</f>
        <v>0</v>
      </c>
      <c r="I111" s="95">
        <f t="shared" ref="I111" si="368">SUM(I110)</f>
        <v>0</v>
      </c>
      <c r="J111" s="16"/>
      <c r="K111" s="94">
        <f t="shared" ref="K111" si="369">SUM(K110)</f>
        <v>0</v>
      </c>
      <c r="L111" s="95">
        <f t="shared" ref="L111" si="370">SUM(L110)</f>
        <v>0</v>
      </c>
      <c r="M111" s="16"/>
      <c r="N111" s="94">
        <f t="shared" ref="N111" si="371">SUM(N110)</f>
        <v>0</v>
      </c>
      <c r="O111" s="95">
        <f t="shared" ref="O111" si="372">SUM(O110)</f>
        <v>0</v>
      </c>
      <c r="P111" s="16"/>
      <c r="Q111" s="94">
        <f t="shared" ref="Q111" si="373">SUM(Q110)</f>
        <v>0</v>
      </c>
      <c r="R111" s="95">
        <f t="shared" ref="R111" si="374">SUM(R110)</f>
        <v>0</v>
      </c>
      <c r="S111" s="94">
        <f t="shared" ref="S111" si="375">SUM(S110)</f>
        <v>0</v>
      </c>
      <c r="T111" s="95">
        <f t="shared" ref="T111" si="376">SUM(T110)</f>
        <v>0</v>
      </c>
      <c r="U111" s="94">
        <f t="shared" ref="U111" si="377">SUM(U110)</f>
        <v>16</v>
      </c>
      <c r="V111" s="95">
        <f t="shared" ref="V111" si="378">SUM(V110)</f>
        <v>1.5667199999999999</v>
      </c>
    </row>
    <row r="112" spans="1:22">
      <c r="A112" s="88" t="s">
        <v>14</v>
      </c>
      <c r="B112" s="89" t="s">
        <v>36</v>
      </c>
      <c r="C112" s="90">
        <v>6.97</v>
      </c>
      <c r="D112" s="91">
        <v>9</v>
      </c>
      <c r="E112" s="93">
        <v>48</v>
      </c>
      <c r="F112" s="16">
        <f t="shared" ref="F112:F116" si="379">(C112*D112*E112/1000)</f>
        <v>3.0110399999999999</v>
      </c>
      <c r="G112" s="17"/>
      <c r="H112" s="18"/>
      <c r="I112" s="19">
        <f t="shared" ref="I112:I116" si="380">(C112*D112*H112/1000)</f>
        <v>0</v>
      </c>
      <c r="J112" s="16"/>
      <c r="K112" s="18"/>
      <c r="L112" s="19">
        <f t="shared" ref="L112:L116" si="381">(C112*D112*K112/1000)</f>
        <v>0</v>
      </c>
      <c r="M112" s="16"/>
      <c r="N112" s="18"/>
      <c r="O112" s="19">
        <f t="shared" ref="O112:O116" si="382">(C112*D112*N112/1000)</f>
        <v>0</v>
      </c>
      <c r="P112" s="16"/>
      <c r="Q112" s="18"/>
      <c r="R112" s="19">
        <f t="shared" ref="R112:R116" si="383">(C112*D112*Q112/1000)</f>
        <v>0</v>
      </c>
      <c r="S112" s="20">
        <f t="shared" ref="S112:S116" si="384">+H112+K112+Q112+N112</f>
        <v>0</v>
      </c>
      <c r="T112" s="19">
        <f t="shared" ref="T112:T116" si="385">+I112+L112+R112+O112</f>
        <v>0</v>
      </c>
      <c r="U112" s="21">
        <f t="shared" ref="U112:U116" si="386">E112-S112</f>
        <v>48</v>
      </c>
      <c r="V112" s="19">
        <f t="shared" ref="V112:V116" si="387">F112-T112</f>
        <v>3.0110399999999999</v>
      </c>
    </row>
    <row r="113" spans="1:22">
      <c r="A113" s="88" t="s">
        <v>14</v>
      </c>
      <c r="B113" s="89" t="s">
        <v>36</v>
      </c>
      <c r="C113" s="90">
        <v>6.97</v>
      </c>
      <c r="D113" s="91">
        <v>10.705</v>
      </c>
      <c r="E113" s="93">
        <v>18</v>
      </c>
      <c r="F113" s="16">
        <f t="shared" si="379"/>
        <v>1.3430492999999999</v>
      </c>
      <c r="G113" s="17"/>
      <c r="H113" s="18"/>
      <c r="I113" s="19">
        <f t="shared" si="380"/>
        <v>0</v>
      </c>
      <c r="J113" s="16"/>
      <c r="K113" s="18"/>
      <c r="L113" s="19">
        <f t="shared" si="381"/>
        <v>0</v>
      </c>
      <c r="M113" s="16"/>
      <c r="N113" s="18"/>
      <c r="O113" s="19">
        <f t="shared" si="382"/>
        <v>0</v>
      </c>
      <c r="P113" s="16"/>
      <c r="Q113" s="18"/>
      <c r="R113" s="19">
        <f t="shared" si="383"/>
        <v>0</v>
      </c>
      <c r="S113" s="20">
        <f t="shared" si="384"/>
        <v>0</v>
      </c>
      <c r="T113" s="19">
        <f t="shared" si="385"/>
        <v>0</v>
      </c>
      <c r="U113" s="21">
        <f t="shared" si="386"/>
        <v>18</v>
      </c>
      <c r="V113" s="19">
        <f t="shared" si="387"/>
        <v>1.3430492999999999</v>
      </c>
    </row>
    <row r="114" spans="1:22">
      <c r="A114" s="88" t="s">
        <v>14</v>
      </c>
      <c r="B114" s="89" t="s">
        <v>36</v>
      </c>
      <c r="C114" s="90">
        <v>6.97</v>
      </c>
      <c r="D114" s="91">
        <v>11</v>
      </c>
      <c r="E114" s="93">
        <v>56</v>
      </c>
      <c r="F114" s="16">
        <f t="shared" si="379"/>
        <v>4.29352</v>
      </c>
      <c r="G114" s="17"/>
      <c r="H114" s="18"/>
      <c r="I114" s="19">
        <f t="shared" si="380"/>
        <v>0</v>
      </c>
      <c r="J114" s="16"/>
      <c r="K114" s="18"/>
      <c r="L114" s="19">
        <f t="shared" si="381"/>
        <v>0</v>
      </c>
      <c r="M114" s="16"/>
      <c r="N114" s="18"/>
      <c r="O114" s="19">
        <f t="shared" si="382"/>
        <v>0</v>
      </c>
      <c r="P114" s="16"/>
      <c r="Q114" s="18"/>
      <c r="R114" s="19">
        <f t="shared" si="383"/>
        <v>0</v>
      </c>
      <c r="S114" s="20">
        <f t="shared" si="384"/>
        <v>0</v>
      </c>
      <c r="T114" s="19">
        <f t="shared" si="385"/>
        <v>0</v>
      </c>
      <c r="U114" s="21">
        <f t="shared" si="386"/>
        <v>56</v>
      </c>
      <c r="V114" s="19">
        <f t="shared" si="387"/>
        <v>4.29352</v>
      </c>
    </row>
    <row r="115" spans="1:22">
      <c r="A115" s="88" t="s">
        <v>14</v>
      </c>
      <c r="B115" s="89" t="s">
        <v>36</v>
      </c>
      <c r="C115" s="90">
        <v>6.97</v>
      </c>
      <c r="D115" s="91">
        <v>11.2</v>
      </c>
      <c r="E115" s="93">
        <v>44</v>
      </c>
      <c r="F115" s="16">
        <f t="shared" si="379"/>
        <v>3.4348159999999996</v>
      </c>
      <c r="G115" s="17"/>
      <c r="H115" s="18"/>
      <c r="I115" s="19">
        <f t="shared" si="380"/>
        <v>0</v>
      </c>
      <c r="J115" s="16"/>
      <c r="K115" s="18"/>
      <c r="L115" s="19">
        <f t="shared" si="381"/>
        <v>0</v>
      </c>
      <c r="M115" s="16"/>
      <c r="N115" s="18"/>
      <c r="O115" s="19">
        <f t="shared" si="382"/>
        <v>0</v>
      </c>
      <c r="P115" s="16"/>
      <c r="Q115" s="18"/>
      <c r="R115" s="19">
        <f t="shared" si="383"/>
        <v>0</v>
      </c>
      <c r="S115" s="20">
        <f t="shared" si="384"/>
        <v>0</v>
      </c>
      <c r="T115" s="19">
        <f t="shared" si="385"/>
        <v>0</v>
      </c>
      <c r="U115" s="21">
        <f t="shared" si="386"/>
        <v>44</v>
      </c>
      <c r="V115" s="19">
        <f t="shared" si="387"/>
        <v>3.4348159999999996</v>
      </c>
    </row>
    <row r="116" spans="1:22">
      <c r="A116" s="88" t="s">
        <v>14</v>
      </c>
      <c r="B116" s="89" t="s">
        <v>36</v>
      </c>
      <c r="C116" s="90">
        <v>6.97</v>
      </c>
      <c r="D116" s="91">
        <v>12</v>
      </c>
      <c r="E116" s="93">
        <v>24</v>
      </c>
      <c r="F116" s="16">
        <f t="shared" si="379"/>
        <v>2.0073600000000003</v>
      </c>
      <c r="G116" s="17"/>
      <c r="H116" s="18"/>
      <c r="I116" s="19">
        <f t="shared" si="380"/>
        <v>0</v>
      </c>
      <c r="J116" s="16"/>
      <c r="K116" s="18"/>
      <c r="L116" s="19">
        <f t="shared" si="381"/>
        <v>0</v>
      </c>
      <c r="M116" s="16"/>
      <c r="N116" s="18"/>
      <c r="O116" s="19">
        <f t="shared" si="382"/>
        <v>0</v>
      </c>
      <c r="P116" s="16"/>
      <c r="Q116" s="18"/>
      <c r="R116" s="19">
        <f t="shared" si="383"/>
        <v>0</v>
      </c>
      <c r="S116" s="20">
        <f t="shared" si="384"/>
        <v>0</v>
      </c>
      <c r="T116" s="19">
        <f t="shared" si="385"/>
        <v>0</v>
      </c>
      <c r="U116" s="21">
        <f t="shared" si="386"/>
        <v>24</v>
      </c>
      <c r="V116" s="19">
        <f t="shared" si="387"/>
        <v>2.0073600000000003</v>
      </c>
    </row>
    <row r="117" spans="1:22">
      <c r="A117" s="88"/>
      <c r="B117" s="89"/>
      <c r="C117" s="90"/>
      <c r="D117" s="91"/>
      <c r="E117" s="94">
        <f t="shared" ref="E117:F117" si="388">SUM(E112:E116)</f>
        <v>190</v>
      </c>
      <c r="F117" s="95">
        <f t="shared" si="388"/>
        <v>14.089785299999999</v>
      </c>
      <c r="G117" s="17"/>
      <c r="H117" s="94">
        <f t="shared" ref="H117" si="389">SUM(H112:H116)</f>
        <v>0</v>
      </c>
      <c r="I117" s="95">
        <f t="shared" ref="I117" si="390">SUM(I112:I116)</f>
        <v>0</v>
      </c>
      <c r="J117" s="16"/>
      <c r="K117" s="94">
        <f t="shared" ref="K117" si="391">SUM(K112:K116)</f>
        <v>0</v>
      </c>
      <c r="L117" s="95">
        <f t="shared" ref="L117" si="392">SUM(L112:L116)</f>
        <v>0</v>
      </c>
      <c r="M117" s="16"/>
      <c r="N117" s="94">
        <f t="shared" ref="N117" si="393">SUM(N112:N116)</f>
        <v>0</v>
      </c>
      <c r="O117" s="95">
        <f t="shared" ref="O117" si="394">SUM(O112:O116)</f>
        <v>0</v>
      </c>
      <c r="P117" s="16"/>
      <c r="Q117" s="94">
        <f t="shared" ref="Q117" si="395">SUM(Q112:Q116)</f>
        <v>0</v>
      </c>
      <c r="R117" s="95">
        <f t="shared" ref="R117" si="396">SUM(R112:R116)</f>
        <v>0</v>
      </c>
      <c r="S117" s="94">
        <f t="shared" ref="S117" si="397">SUM(S112:S116)</f>
        <v>0</v>
      </c>
      <c r="T117" s="95">
        <f t="shared" ref="T117" si="398">SUM(T112:T116)</f>
        <v>0</v>
      </c>
      <c r="U117" s="94">
        <f t="shared" ref="U117" si="399">SUM(U112:U116)</f>
        <v>190</v>
      </c>
      <c r="V117" s="95">
        <f t="shared" ref="V117" si="400">SUM(V112:V116)</f>
        <v>14.089785299999999</v>
      </c>
    </row>
    <row r="118" spans="1:22">
      <c r="A118" s="88" t="s">
        <v>14</v>
      </c>
      <c r="B118" s="89" t="s">
        <v>26</v>
      </c>
      <c r="C118" s="90">
        <v>8.32</v>
      </c>
      <c r="D118" s="91">
        <v>6.3</v>
      </c>
      <c r="E118" s="93">
        <v>192</v>
      </c>
      <c r="F118" s="16">
        <f t="shared" ref="F118:F119" si="401">(C118*D118*E118/1000)</f>
        <v>10.063872</v>
      </c>
      <c r="G118" s="17"/>
      <c r="H118" s="18"/>
      <c r="I118" s="19">
        <f t="shared" ref="I118:I119" si="402">(C118*D118*H118/1000)</f>
        <v>0</v>
      </c>
      <c r="J118" s="16"/>
      <c r="K118" s="18"/>
      <c r="L118" s="19">
        <f t="shared" ref="L118:L119" si="403">(C118*D118*K118/1000)</f>
        <v>0</v>
      </c>
      <c r="M118" s="16"/>
      <c r="N118" s="18"/>
      <c r="O118" s="19">
        <f t="shared" ref="O118:O119" si="404">(C118*D118*N118/1000)</f>
        <v>0</v>
      </c>
      <c r="P118" s="16"/>
      <c r="Q118" s="18"/>
      <c r="R118" s="19">
        <f t="shared" ref="R118:R119" si="405">(C118*D118*Q118/1000)</f>
        <v>0</v>
      </c>
      <c r="S118" s="20">
        <f t="shared" ref="S118:S119" si="406">+H118+K118+Q118+N118</f>
        <v>0</v>
      </c>
      <c r="T118" s="19">
        <f t="shared" ref="T118:T119" si="407">+I118+L118+R118+O118</f>
        <v>0</v>
      </c>
      <c r="U118" s="21">
        <f t="shared" ref="U118:U119" si="408">E118-S118</f>
        <v>192</v>
      </c>
      <c r="V118" s="19">
        <f t="shared" ref="V118:V119" si="409">F118-T118</f>
        <v>10.063872</v>
      </c>
    </row>
    <row r="119" spans="1:22">
      <c r="A119" s="88" t="s">
        <v>14</v>
      </c>
      <c r="B119" s="89" t="s">
        <v>26</v>
      </c>
      <c r="C119" s="90">
        <v>8.32</v>
      </c>
      <c r="D119" s="91">
        <v>6.5</v>
      </c>
      <c r="E119" s="93">
        <v>96</v>
      </c>
      <c r="F119" s="16">
        <f t="shared" si="401"/>
        <v>5.1916799999999999</v>
      </c>
      <c r="G119" s="17"/>
      <c r="H119" s="18"/>
      <c r="I119" s="19">
        <f t="shared" si="402"/>
        <v>0</v>
      </c>
      <c r="J119" s="16"/>
      <c r="K119" s="18"/>
      <c r="L119" s="19">
        <f t="shared" si="403"/>
        <v>0</v>
      </c>
      <c r="M119" s="16"/>
      <c r="N119" s="18"/>
      <c r="O119" s="19">
        <f t="shared" si="404"/>
        <v>0</v>
      </c>
      <c r="P119" s="16"/>
      <c r="Q119" s="18"/>
      <c r="R119" s="19">
        <f t="shared" si="405"/>
        <v>0</v>
      </c>
      <c r="S119" s="20">
        <f t="shared" si="406"/>
        <v>0</v>
      </c>
      <c r="T119" s="19">
        <f t="shared" si="407"/>
        <v>0</v>
      </c>
      <c r="U119" s="21">
        <f t="shared" si="408"/>
        <v>96</v>
      </c>
      <c r="V119" s="19">
        <f t="shared" si="409"/>
        <v>5.1916799999999999</v>
      </c>
    </row>
    <row r="120" spans="1:22">
      <c r="A120" s="88"/>
      <c r="B120" s="89"/>
      <c r="C120" s="90"/>
      <c r="D120" s="91"/>
      <c r="E120" s="94">
        <f t="shared" ref="E120:F120" si="410">SUM(E118:E119)</f>
        <v>288</v>
      </c>
      <c r="F120" s="95">
        <f t="shared" si="410"/>
        <v>15.255552</v>
      </c>
      <c r="G120" s="17"/>
      <c r="H120" s="94">
        <f t="shared" ref="H120" si="411">SUM(H118:H119)</f>
        <v>0</v>
      </c>
      <c r="I120" s="95">
        <f t="shared" ref="I120" si="412">SUM(I118:I119)</f>
        <v>0</v>
      </c>
      <c r="J120" s="16"/>
      <c r="K120" s="94">
        <f t="shared" ref="K120" si="413">SUM(K118:K119)</f>
        <v>0</v>
      </c>
      <c r="L120" s="95">
        <f t="shared" ref="L120" si="414">SUM(L118:L119)</f>
        <v>0</v>
      </c>
      <c r="M120" s="16"/>
      <c r="N120" s="94">
        <f t="shared" ref="N120" si="415">SUM(N118:N119)</f>
        <v>0</v>
      </c>
      <c r="O120" s="95">
        <f t="shared" ref="O120" si="416">SUM(O118:O119)</f>
        <v>0</v>
      </c>
      <c r="P120" s="16"/>
      <c r="Q120" s="94">
        <f t="shared" ref="Q120" si="417">SUM(Q118:Q119)</f>
        <v>0</v>
      </c>
      <c r="R120" s="95">
        <f t="shared" ref="R120" si="418">SUM(R118:R119)</f>
        <v>0</v>
      </c>
      <c r="S120" s="94">
        <f t="shared" ref="S120" si="419">SUM(S118:S119)</f>
        <v>0</v>
      </c>
      <c r="T120" s="95">
        <f t="shared" ref="T120" si="420">SUM(T118:T119)</f>
        <v>0</v>
      </c>
      <c r="U120" s="94">
        <f t="shared" ref="U120" si="421">SUM(U118:U119)</f>
        <v>288</v>
      </c>
      <c r="V120" s="95">
        <f t="shared" ref="V120" si="422">SUM(V118:V119)</f>
        <v>15.255552</v>
      </c>
    </row>
    <row r="121" spans="1:22">
      <c r="A121" s="33"/>
      <c r="B121" s="33"/>
      <c r="C121" s="34"/>
      <c r="D121" s="34"/>
      <c r="E121" s="34">
        <f>SUM(E6:E120)/2</f>
        <v>3800</v>
      </c>
      <c r="F121" s="35">
        <f>SUM(F6:F120)/2</f>
        <v>422.64685229999975</v>
      </c>
      <c r="H121" s="34">
        <f>SUM(H6:H120)/2</f>
        <v>0</v>
      </c>
      <c r="I121" s="35">
        <f>SUM(I6:I120)/2</f>
        <v>0</v>
      </c>
      <c r="K121" s="34">
        <f>SUM(K6:K120)/2</f>
        <v>0</v>
      </c>
      <c r="L121" s="35">
        <f>SUM(L6:L120)/2</f>
        <v>0</v>
      </c>
      <c r="N121" s="34">
        <f>SUM(N6:N120)/2</f>
        <v>0</v>
      </c>
      <c r="O121" s="35">
        <f>SUM(O6:O120)/2</f>
        <v>0</v>
      </c>
      <c r="Q121" s="34">
        <f t="shared" ref="Q121:V121" si="423">SUM(Q6:Q120)/2</f>
        <v>0</v>
      </c>
      <c r="R121" s="35">
        <f t="shared" si="423"/>
        <v>0</v>
      </c>
      <c r="S121" s="34">
        <f t="shared" si="423"/>
        <v>0</v>
      </c>
      <c r="T121" s="35">
        <f t="shared" si="423"/>
        <v>0</v>
      </c>
      <c r="U121" s="34">
        <f t="shared" si="423"/>
        <v>3800</v>
      </c>
      <c r="V121" s="35">
        <f t="shared" si="423"/>
        <v>422.64685229999975</v>
      </c>
    </row>
    <row r="124" spans="1:22" ht="17.25" customHeight="1"/>
    <row r="125" spans="1:22" s="56" customFormat="1">
      <c r="A125" s="57" t="s">
        <v>14</v>
      </c>
      <c r="B125" s="57" t="s">
        <v>315</v>
      </c>
      <c r="C125" s="58">
        <v>4.6500000000000004</v>
      </c>
      <c r="D125" s="59">
        <v>9.8000000000000007</v>
      </c>
      <c r="E125" s="60">
        <v>114</v>
      </c>
      <c r="F125" s="61">
        <f t="shared" ref="F125:F128" si="424">(C125*D125*E125/1000)</f>
        <v>5.1949800000000002</v>
      </c>
      <c r="G125" s="62"/>
      <c r="H125" s="63"/>
      <c r="I125" s="64">
        <f t="shared" ref="I125:I128" si="425">(C125*D125*H125/1000)</f>
        <v>0</v>
      </c>
      <c r="J125" s="61"/>
      <c r="K125" s="63"/>
      <c r="L125" s="64">
        <f t="shared" ref="L125:L128" si="426">(C125*D125*K125/1000)</f>
        <v>0</v>
      </c>
      <c r="M125" s="61"/>
      <c r="N125" s="63"/>
      <c r="O125" s="64">
        <f t="shared" ref="O125:O128" si="427">(C125*D125*N125/1000)</f>
        <v>0</v>
      </c>
      <c r="P125" s="61"/>
      <c r="Q125" s="63"/>
      <c r="R125" s="64">
        <f t="shared" ref="R125:R128" si="428">(C125*D125*Q125/1000)</f>
        <v>0</v>
      </c>
      <c r="S125" s="65">
        <f t="shared" ref="S125:T128" si="429">+H125+K125+Q125+N125</f>
        <v>0</v>
      </c>
      <c r="T125" s="64">
        <f t="shared" si="429"/>
        <v>0</v>
      </c>
      <c r="U125" s="42">
        <f t="shared" ref="U125:V128" si="430">E125-S125</f>
        <v>114</v>
      </c>
      <c r="V125" s="64">
        <f t="shared" si="430"/>
        <v>5.1949800000000002</v>
      </c>
    </row>
    <row r="126" spans="1:22" s="56" customFormat="1">
      <c r="A126" s="57" t="s">
        <v>14</v>
      </c>
      <c r="B126" s="57" t="s">
        <v>315</v>
      </c>
      <c r="C126" s="58">
        <v>4.6500000000000004</v>
      </c>
      <c r="D126" s="59">
        <v>10</v>
      </c>
      <c r="E126" s="60">
        <v>128</v>
      </c>
      <c r="F126" s="61">
        <f t="shared" si="424"/>
        <v>5.952</v>
      </c>
      <c r="G126" s="62"/>
      <c r="H126" s="63"/>
      <c r="I126" s="64">
        <f t="shared" si="425"/>
        <v>0</v>
      </c>
      <c r="J126" s="61"/>
      <c r="K126" s="63"/>
      <c r="L126" s="64">
        <f t="shared" si="426"/>
        <v>0</v>
      </c>
      <c r="M126" s="61"/>
      <c r="N126" s="63"/>
      <c r="O126" s="64">
        <f t="shared" si="427"/>
        <v>0</v>
      </c>
      <c r="P126" s="61"/>
      <c r="Q126" s="63"/>
      <c r="R126" s="64">
        <f t="shared" si="428"/>
        <v>0</v>
      </c>
      <c r="S126" s="65">
        <f t="shared" si="429"/>
        <v>0</v>
      </c>
      <c r="T126" s="64">
        <f t="shared" si="429"/>
        <v>0</v>
      </c>
      <c r="U126" s="42">
        <f t="shared" si="430"/>
        <v>128</v>
      </c>
      <c r="V126" s="64">
        <f t="shared" si="430"/>
        <v>5.952</v>
      </c>
    </row>
    <row r="127" spans="1:22" s="56" customFormat="1">
      <c r="A127" s="57" t="s">
        <v>14</v>
      </c>
      <c r="B127" s="57" t="s">
        <v>315</v>
      </c>
      <c r="C127" s="58">
        <v>4.6500000000000004</v>
      </c>
      <c r="D127" s="59">
        <v>11.5</v>
      </c>
      <c r="E127" s="60">
        <v>28</v>
      </c>
      <c r="F127" s="61">
        <f t="shared" si="424"/>
        <v>1.4972999999999999</v>
      </c>
      <c r="G127" s="62"/>
      <c r="H127" s="63"/>
      <c r="I127" s="64">
        <f t="shared" si="425"/>
        <v>0</v>
      </c>
      <c r="J127" s="61"/>
      <c r="K127" s="63"/>
      <c r="L127" s="64">
        <f t="shared" si="426"/>
        <v>0</v>
      </c>
      <c r="M127" s="61"/>
      <c r="N127" s="63"/>
      <c r="O127" s="64">
        <f t="shared" si="427"/>
        <v>0</v>
      </c>
      <c r="P127" s="61"/>
      <c r="Q127" s="63"/>
      <c r="R127" s="64">
        <f t="shared" si="428"/>
        <v>0</v>
      </c>
      <c r="S127" s="65">
        <f t="shared" si="429"/>
        <v>0</v>
      </c>
      <c r="T127" s="64">
        <f t="shared" si="429"/>
        <v>0</v>
      </c>
      <c r="U127" s="42">
        <f t="shared" si="430"/>
        <v>28</v>
      </c>
      <c r="V127" s="64">
        <f t="shared" si="430"/>
        <v>1.4972999999999999</v>
      </c>
    </row>
    <row r="128" spans="1:22" s="56" customFormat="1">
      <c r="A128" s="57" t="s">
        <v>14</v>
      </c>
      <c r="B128" s="57" t="s">
        <v>315</v>
      </c>
      <c r="C128" s="58">
        <v>4.6500000000000004</v>
      </c>
      <c r="D128" s="59">
        <v>12</v>
      </c>
      <c r="E128" s="60">
        <v>22</v>
      </c>
      <c r="F128" s="61">
        <f t="shared" si="424"/>
        <v>1.2276000000000002</v>
      </c>
      <c r="G128" s="62"/>
      <c r="H128" s="63"/>
      <c r="I128" s="64">
        <f t="shared" si="425"/>
        <v>0</v>
      </c>
      <c r="J128" s="61"/>
      <c r="K128" s="63"/>
      <c r="L128" s="64">
        <f t="shared" si="426"/>
        <v>0</v>
      </c>
      <c r="M128" s="61"/>
      <c r="N128" s="63"/>
      <c r="O128" s="64">
        <f t="shared" si="427"/>
        <v>0</v>
      </c>
      <c r="P128" s="61"/>
      <c r="Q128" s="63"/>
      <c r="R128" s="64">
        <f t="shared" si="428"/>
        <v>0</v>
      </c>
      <c r="S128" s="65">
        <f t="shared" si="429"/>
        <v>0</v>
      </c>
      <c r="T128" s="64">
        <f t="shared" si="429"/>
        <v>0</v>
      </c>
      <c r="U128" s="42">
        <f t="shared" si="430"/>
        <v>22</v>
      </c>
      <c r="V128" s="64">
        <f t="shared" si="430"/>
        <v>1.2276000000000002</v>
      </c>
    </row>
    <row r="129" spans="1:22" s="56" customFormat="1">
      <c r="A129" s="41"/>
      <c r="B129" s="41"/>
      <c r="C129" s="58"/>
      <c r="D129" s="67"/>
      <c r="E129" s="68">
        <f t="shared" ref="E129:F129" si="431">SUM(E125:E128)</f>
        <v>292</v>
      </c>
      <c r="F129" s="67">
        <f t="shared" si="431"/>
        <v>13.871879999999999</v>
      </c>
      <c r="H129" s="68">
        <f t="shared" ref="H129:I129" si="432">SUM(H125:H128)</f>
        <v>0</v>
      </c>
      <c r="I129" s="67">
        <f t="shared" si="432"/>
        <v>0</v>
      </c>
      <c r="K129" s="68">
        <f t="shared" ref="K129:L129" si="433">SUM(K125:K128)</f>
        <v>0</v>
      </c>
      <c r="L129" s="67">
        <f t="shared" si="433"/>
        <v>0</v>
      </c>
      <c r="N129" s="68">
        <f t="shared" ref="N129:O129" si="434">SUM(N125:N128)</f>
        <v>0</v>
      </c>
      <c r="O129" s="67">
        <f t="shared" si="434"/>
        <v>0</v>
      </c>
      <c r="Q129" s="68">
        <f t="shared" ref="Q129:V129" si="435">SUM(Q125:Q128)</f>
        <v>0</v>
      </c>
      <c r="R129" s="67">
        <f t="shared" si="435"/>
        <v>0</v>
      </c>
      <c r="S129" s="68">
        <f t="shared" si="435"/>
        <v>0</v>
      </c>
      <c r="T129" s="67">
        <f t="shared" si="435"/>
        <v>0</v>
      </c>
      <c r="U129" s="68">
        <f t="shared" si="435"/>
        <v>292</v>
      </c>
      <c r="V129" s="67">
        <f t="shared" si="435"/>
        <v>13.871879999999999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62">
    <tabColor rgb="FFFF0000"/>
  </sheetPr>
  <dimension ref="A1:X154"/>
  <sheetViews>
    <sheetView zoomScale="75" zoomScaleNormal="75" workbookViewId="0">
      <pane ySplit="5" topLeftCell="A133" activePane="bottomLeft" state="frozen"/>
      <selection activeCell="A4" sqref="A4"/>
      <selection pane="bottomLeft" activeCell="G157" sqref="G157"/>
    </sheetView>
  </sheetViews>
  <sheetFormatPr defaultColWidth="9.109375" defaultRowHeight="14.4"/>
  <cols>
    <col min="1" max="1" width="5.109375" style="56" customWidth="1"/>
    <col min="2" max="2" width="17.33203125" style="56" customWidth="1"/>
    <col min="3" max="3" width="8.5546875" style="56" customWidth="1"/>
    <col min="4" max="4" width="10.88671875" style="56" customWidth="1"/>
    <col min="5" max="5" width="7.6640625" style="56" customWidth="1"/>
    <col min="6" max="6" width="10.44140625" style="56" customWidth="1"/>
    <col min="7" max="7" width="14.88671875" style="56" customWidth="1"/>
    <col min="8" max="8" width="10.5546875" style="56" customWidth="1"/>
    <col min="9" max="9" width="9.109375" style="56" customWidth="1"/>
    <col min="10" max="10" width="13.109375" style="56" customWidth="1"/>
    <col min="11" max="11" width="6.88671875" style="56" customWidth="1"/>
    <col min="12" max="12" width="9.109375" style="56" customWidth="1"/>
    <col min="13" max="13" width="13.109375" style="56" customWidth="1"/>
    <col min="14" max="14" width="6.88671875" style="56" customWidth="1"/>
    <col min="15" max="15" width="9.109375" style="56" customWidth="1"/>
    <col min="16" max="16" width="14" style="56" customWidth="1"/>
    <col min="17" max="19" width="9.109375" style="56" customWidth="1"/>
    <col min="20" max="20" width="10.6640625" style="56" customWidth="1"/>
    <col min="21" max="21" width="9.109375" style="56"/>
    <col min="22" max="22" width="11" style="56" customWidth="1"/>
    <col min="23" max="16384" width="9.109375" style="56"/>
  </cols>
  <sheetData>
    <row r="1" spans="1:24" s="115" customFormat="1" ht="15" customHeight="1">
      <c r="A1" s="111" t="s">
        <v>385</v>
      </c>
      <c r="B1" s="111"/>
      <c r="C1" s="111" t="str">
        <f>+F2</f>
        <v xml:space="preserve">LOI-614  01.08.23 Ok Rolling </v>
      </c>
      <c r="D1" s="111"/>
      <c r="E1" s="112"/>
      <c r="F1" s="112"/>
      <c r="G1" s="155" t="s">
        <v>221</v>
      </c>
      <c r="H1" s="156"/>
      <c r="I1" s="157" t="s">
        <v>333</v>
      </c>
      <c r="J1" s="156"/>
      <c r="K1" s="113"/>
      <c r="L1" s="114" t="s">
        <v>447</v>
      </c>
      <c r="M1" s="114"/>
      <c r="N1" s="113"/>
      <c r="O1" s="114"/>
      <c r="P1" s="158" t="str">
        <f>+F2</f>
        <v xml:space="preserve">LOI-614  01.08.23 Ok Rolling </v>
      </c>
      <c r="Q1" s="158"/>
      <c r="R1" s="5"/>
      <c r="S1" s="5"/>
      <c r="T1" s="159" t="s">
        <v>1</v>
      </c>
      <c r="U1" s="159"/>
      <c r="V1" s="159"/>
    </row>
    <row r="2" spans="1:24" ht="20.399999999999999">
      <c r="A2" s="116" t="s">
        <v>218</v>
      </c>
      <c r="B2" s="116"/>
      <c r="C2" s="116"/>
      <c r="D2" s="116"/>
      <c r="E2" s="5"/>
      <c r="F2" s="158" t="s">
        <v>446</v>
      </c>
      <c r="G2" s="158"/>
      <c r="H2" s="117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58" t="str">
        <f>+P1</f>
        <v xml:space="preserve">LOI-614  01.08.23 Ok Rolling </v>
      </c>
      <c r="V2" s="158"/>
    </row>
    <row r="3" spans="1:24">
      <c r="A3" s="118" t="s">
        <v>219</v>
      </c>
      <c r="B3" s="118"/>
      <c r="C3" s="118"/>
      <c r="D3" s="118"/>
      <c r="E3" s="119"/>
      <c r="F3" s="61">
        <f>(C3*D3*E3/1000)</f>
        <v>0</v>
      </c>
      <c r="G3" s="62"/>
      <c r="H3" s="63"/>
      <c r="I3" s="64">
        <f>(C3*D3*H3/1000)</f>
        <v>0</v>
      </c>
      <c r="J3" s="61"/>
      <c r="K3" s="63"/>
      <c r="L3" s="64">
        <f>(C3*D3*K3/1000)</f>
        <v>0</v>
      </c>
      <c r="M3" s="61"/>
      <c r="N3" s="63"/>
      <c r="O3" s="64">
        <f>(C3*D3*N3/1000)</f>
        <v>0</v>
      </c>
      <c r="P3" s="61"/>
      <c r="Q3" s="63"/>
      <c r="R3" s="64">
        <f>(C3*D3*Q3/1000)</f>
        <v>0</v>
      </c>
      <c r="S3" s="65">
        <f>+H3+K3+Q3+N3</f>
        <v>0</v>
      </c>
      <c r="T3" s="64">
        <f>+I3+L3+R3+O3</f>
        <v>0</v>
      </c>
      <c r="U3" s="42">
        <f>E3-S3</f>
        <v>0</v>
      </c>
      <c r="V3" s="64">
        <f>F3-T3</f>
        <v>0</v>
      </c>
    </row>
    <row r="4" spans="1:24" s="115" customFormat="1" ht="13.8">
      <c r="A4" s="120"/>
      <c r="B4" s="120"/>
      <c r="C4" s="120"/>
      <c r="D4" s="120"/>
      <c r="E4" s="121" t="s">
        <v>2</v>
      </c>
      <c r="F4" s="121"/>
      <c r="G4" s="122" t="s">
        <v>3</v>
      </c>
      <c r="H4" s="122"/>
      <c r="I4" s="122"/>
      <c r="J4" s="152"/>
      <c r="K4" s="152"/>
      <c r="L4" s="152"/>
      <c r="M4" s="152"/>
      <c r="N4" s="152"/>
      <c r="O4" s="152"/>
      <c r="P4" s="152"/>
      <c r="Q4" s="152"/>
      <c r="R4" s="152"/>
      <c r="S4" s="153" t="s">
        <v>4</v>
      </c>
      <c r="T4" s="153"/>
      <c r="U4" s="154" t="s">
        <v>5</v>
      </c>
      <c r="V4" s="154"/>
    </row>
    <row r="5" spans="1:24" s="115" customFormat="1" ht="27.6">
      <c r="A5" s="123" t="s">
        <v>6</v>
      </c>
      <c r="B5" s="123" t="s">
        <v>7</v>
      </c>
      <c r="C5" s="123" t="s">
        <v>8</v>
      </c>
      <c r="D5" s="123" t="s">
        <v>9</v>
      </c>
      <c r="E5" s="124" t="s">
        <v>10</v>
      </c>
      <c r="F5" s="124" t="s">
        <v>11</v>
      </c>
      <c r="G5" s="124" t="s">
        <v>12</v>
      </c>
      <c r="H5" s="124" t="s">
        <v>10</v>
      </c>
      <c r="I5" s="124" t="s">
        <v>11</v>
      </c>
      <c r="J5" s="124" t="s">
        <v>12</v>
      </c>
      <c r="K5" s="124" t="s">
        <v>10</v>
      </c>
      <c r="L5" s="124" t="s">
        <v>11</v>
      </c>
      <c r="M5" s="124" t="s">
        <v>12</v>
      </c>
      <c r="N5" s="124" t="s">
        <v>10</v>
      </c>
      <c r="O5" s="124" t="s">
        <v>11</v>
      </c>
      <c r="P5" s="124" t="s">
        <v>12</v>
      </c>
      <c r="Q5" s="124" t="s">
        <v>10</v>
      </c>
      <c r="R5" s="124" t="s">
        <v>11</v>
      </c>
      <c r="S5" s="124" t="s">
        <v>10</v>
      </c>
      <c r="T5" s="124" t="s">
        <v>11</v>
      </c>
      <c r="U5" s="124" t="s">
        <v>10</v>
      </c>
      <c r="V5" s="124" t="s">
        <v>11</v>
      </c>
    </row>
    <row r="6" spans="1:24">
      <c r="A6" s="125" t="s">
        <v>13</v>
      </c>
      <c r="B6" s="126" t="s">
        <v>45</v>
      </c>
      <c r="C6" s="127">
        <v>9.26</v>
      </c>
      <c r="D6" s="128">
        <v>8.1999999999999993</v>
      </c>
      <c r="E6" s="129">
        <v>28</v>
      </c>
      <c r="F6" s="61">
        <f t="shared" ref="F6:F12" si="0">(C6*D6*E6/1000)</f>
        <v>2.1260959999999995</v>
      </c>
      <c r="G6" s="130"/>
      <c r="H6" s="131"/>
      <c r="I6" s="61">
        <f t="shared" ref="I6:I12" si="1">(C6*D6*H6/1000)</f>
        <v>0</v>
      </c>
      <c r="J6" s="61"/>
      <c r="K6" s="131"/>
      <c r="L6" s="61">
        <f t="shared" ref="L6:L12" si="2">(C6*D6*K6/1000)</f>
        <v>0</v>
      </c>
      <c r="M6" s="61"/>
      <c r="N6" s="131"/>
      <c r="O6" s="61">
        <f t="shared" ref="O6:O12" si="3">(C6*D6*N6/1000)</f>
        <v>0</v>
      </c>
      <c r="P6" s="61"/>
      <c r="Q6" s="131"/>
      <c r="R6" s="61">
        <f t="shared" ref="R6:R12" si="4">(C6*D6*Q6/1000)</f>
        <v>0</v>
      </c>
      <c r="S6" s="65">
        <f t="shared" ref="S6:S12" si="5">+H6+K6+Q6+N6</f>
        <v>0</v>
      </c>
      <c r="T6" s="61">
        <f t="shared" ref="T6:T12" si="6">+I6+L6+R6+O6</f>
        <v>0</v>
      </c>
      <c r="U6" s="82">
        <f t="shared" ref="U6:U12" si="7">E6-S6</f>
        <v>28</v>
      </c>
      <c r="V6" s="61">
        <f t="shared" ref="V6:V12" si="8">F6-T6</f>
        <v>2.1260959999999995</v>
      </c>
      <c r="X6" s="69"/>
    </row>
    <row r="7" spans="1:24">
      <c r="A7" s="125" t="s">
        <v>13</v>
      </c>
      <c r="B7" s="126" t="s">
        <v>45</v>
      </c>
      <c r="C7" s="127">
        <v>9.26</v>
      </c>
      <c r="D7" s="128">
        <v>8.6999999999999993</v>
      </c>
      <c r="E7" s="129">
        <v>7</v>
      </c>
      <c r="F7" s="61">
        <f t="shared" si="0"/>
        <v>0.56393399999999994</v>
      </c>
      <c r="G7" s="130"/>
      <c r="H7" s="131"/>
      <c r="I7" s="61">
        <f t="shared" si="1"/>
        <v>0</v>
      </c>
      <c r="J7" s="61"/>
      <c r="K7" s="131"/>
      <c r="L7" s="61">
        <f t="shared" si="2"/>
        <v>0</v>
      </c>
      <c r="M7" s="61"/>
      <c r="N7" s="131"/>
      <c r="O7" s="61">
        <f t="shared" si="3"/>
        <v>0</v>
      </c>
      <c r="P7" s="61"/>
      <c r="Q7" s="131"/>
      <c r="R7" s="61">
        <f t="shared" si="4"/>
        <v>0</v>
      </c>
      <c r="S7" s="65">
        <f t="shared" si="5"/>
        <v>0</v>
      </c>
      <c r="T7" s="61">
        <f t="shared" si="6"/>
        <v>0</v>
      </c>
      <c r="U7" s="82">
        <f t="shared" si="7"/>
        <v>7</v>
      </c>
      <c r="V7" s="61">
        <f t="shared" si="8"/>
        <v>0.56393399999999994</v>
      </c>
      <c r="X7" s="69"/>
    </row>
    <row r="8" spans="1:24">
      <c r="A8" s="125" t="s">
        <v>13</v>
      </c>
      <c r="B8" s="126" t="s">
        <v>45</v>
      </c>
      <c r="C8" s="127">
        <v>9.26</v>
      </c>
      <c r="D8" s="128">
        <v>9.6999999999999993</v>
      </c>
      <c r="E8" s="129">
        <v>2</v>
      </c>
      <c r="F8" s="61">
        <f t="shared" si="0"/>
        <v>0.17964399999999997</v>
      </c>
      <c r="G8" s="130"/>
      <c r="H8" s="131"/>
      <c r="I8" s="61">
        <f t="shared" si="1"/>
        <v>0</v>
      </c>
      <c r="J8" s="61"/>
      <c r="K8" s="131"/>
      <c r="L8" s="61">
        <f t="shared" si="2"/>
        <v>0</v>
      </c>
      <c r="M8" s="61"/>
      <c r="N8" s="131"/>
      <c r="O8" s="61">
        <f t="shared" si="3"/>
        <v>0</v>
      </c>
      <c r="P8" s="61"/>
      <c r="Q8" s="131"/>
      <c r="R8" s="61">
        <f t="shared" si="4"/>
        <v>0</v>
      </c>
      <c r="S8" s="65">
        <f t="shared" si="5"/>
        <v>0</v>
      </c>
      <c r="T8" s="61">
        <f t="shared" si="6"/>
        <v>0</v>
      </c>
      <c r="U8" s="82">
        <f t="shared" si="7"/>
        <v>2</v>
      </c>
      <c r="V8" s="61">
        <f t="shared" si="8"/>
        <v>0.17964399999999997</v>
      </c>
      <c r="X8" s="69"/>
    </row>
    <row r="9" spans="1:24">
      <c r="A9" s="125" t="s">
        <v>13</v>
      </c>
      <c r="B9" s="126" t="s">
        <v>45</v>
      </c>
      <c r="C9" s="127">
        <v>9.26</v>
      </c>
      <c r="D9" s="128">
        <v>10.5</v>
      </c>
      <c r="E9" s="129">
        <v>15</v>
      </c>
      <c r="F9" s="61">
        <f t="shared" si="0"/>
        <v>1.45845</v>
      </c>
      <c r="G9" s="130"/>
      <c r="H9" s="131"/>
      <c r="I9" s="61">
        <f t="shared" si="1"/>
        <v>0</v>
      </c>
      <c r="J9" s="61"/>
      <c r="K9" s="131"/>
      <c r="L9" s="61">
        <f t="shared" si="2"/>
        <v>0</v>
      </c>
      <c r="M9" s="61"/>
      <c r="N9" s="131"/>
      <c r="O9" s="61">
        <f t="shared" si="3"/>
        <v>0</v>
      </c>
      <c r="P9" s="61"/>
      <c r="Q9" s="131"/>
      <c r="R9" s="61">
        <f t="shared" si="4"/>
        <v>0</v>
      </c>
      <c r="S9" s="65">
        <f t="shared" si="5"/>
        <v>0</v>
      </c>
      <c r="T9" s="61">
        <f t="shared" si="6"/>
        <v>0</v>
      </c>
      <c r="U9" s="82">
        <f t="shared" si="7"/>
        <v>15</v>
      </c>
      <c r="V9" s="61">
        <f t="shared" si="8"/>
        <v>1.45845</v>
      </c>
      <c r="X9" s="69"/>
    </row>
    <row r="10" spans="1:24">
      <c r="A10" s="125" t="s">
        <v>13</v>
      </c>
      <c r="B10" s="126" t="s">
        <v>45</v>
      </c>
      <c r="C10" s="127">
        <v>9.26</v>
      </c>
      <c r="D10" s="128">
        <v>10.7</v>
      </c>
      <c r="E10" s="129">
        <v>17</v>
      </c>
      <c r="F10" s="61">
        <f t="shared" si="0"/>
        <v>1.6843939999999997</v>
      </c>
      <c r="G10" s="130"/>
      <c r="H10" s="131"/>
      <c r="I10" s="61">
        <f t="shared" si="1"/>
        <v>0</v>
      </c>
      <c r="J10" s="61"/>
      <c r="K10" s="131"/>
      <c r="L10" s="61">
        <f t="shared" si="2"/>
        <v>0</v>
      </c>
      <c r="M10" s="61"/>
      <c r="N10" s="131"/>
      <c r="O10" s="61">
        <f t="shared" si="3"/>
        <v>0</v>
      </c>
      <c r="P10" s="61"/>
      <c r="Q10" s="131"/>
      <c r="R10" s="61">
        <f t="shared" si="4"/>
        <v>0</v>
      </c>
      <c r="S10" s="65">
        <f t="shared" si="5"/>
        <v>0</v>
      </c>
      <c r="T10" s="61">
        <f t="shared" si="6"/>
        <v>0</v>
      </c>
      <c r="U10" s="82">
        <f t="shared" si="7"/>
        <v>17</v>
      </c>
      <c r="V10" s="61">
        <f t="shared" si="8"/>
        <v>1.6843939999999997</v>
      </c>
      <c r="X10" s="69"/>
    </row>
    <row r="11" spans="1:24">
      <c r="A11" s="125" t="s">
        <v>13</v>
      </c>
      <c r="B11" s="126" t="s">
        <v>45</v>
      </c>
      <c r="C11" s="127">
        <v>9.26</v>
      </c>
      <c r="D11" s="128">
        <v>11.8</v>
      </c>
      <c r="E11" s="129">
        <v>30</v>
      </c>
      <c r="F11" s="61">
        <f t="shared" si="0"/>
        <v>3.2780399999999998</v>
      </c>
      <c r="G11" s="130"/>
      <c r="H11" s="131"/>
      <c r="I11" s="61">
        <f t="shared" si="1"/>
        <v>0</v>
      </c>
      <c r="J11" s="61"/>
      <c r="K11" s="131"/>
      <c r="L11" s="61">
        <f t="shared" si="2"/>
        <v>0</v>
      </c>
      <c r="M11" s="61"/>
      <c r="N11" s="131"/>
      <c r="O11" s="61">
        <f t="shared" si="3"/>
        <v>0</v>
      </c>
      <c r="P11" s="61"/>
      <c r="Q11" s="131"/>
      <c r="R11" s="61">
        <f t="shared" si="4"/>
        <v>0</v>
      </c>
      <c r="S11" s="65">
        <f t="shared" si="5"/>
        <v>0</v>
      </c>
      <c r="T11" s="61">
        <f t="shared" si="6"/>
        <v>0</v>
      </c>
      <c r="U11" s="82">
        <f t="shared" si="7"/>
        <v>30</v>
      </c>
      <c r="V11" s="61">
        <f t="shared" si="8"/>
        <v>3.2780399999999998</v>
      </c>
      <c r="X11" s="69"/>
    </row>
    <row r="12" spans="1:24">
      <c r="A12" s="125" t="s">
        <v>13</v>
      </c>
      <c r="B12" s="126" t="s">
        <v>45</v>
      </c>
      <c r="C12" s="127">
        <v>9.26</v>
      </c>
      <c r="D12" s="128">
        <v>12</v>
      </c>
      <c r="E12" s="129">
        <v>11</v>
      </c>
      <c r="F12" s="61">
        <f t="shared" si="0"/>
        <v>1.2223200000000001</v>
      </c>
      <c r="G12" s="130"/>
      <c r="H12" s="131"/>
      <c r="I12" s="61">
        <f t="shared" si="1"/>
        <v>0</v>
      </c>
      <c r="J12" s="61"/>
      <c r="K12" s="131"/>
      <c r="L12" s="61">
        <f t="shared" si="2"/>
        <v>0</v>
      </c>
      <c r="M12" s="61"/>
      <c r="N12" s="131"/>
      <c r="O12" s="61">
        <f t="shared" si="3"/>
        <v>0</v>
      </c>
      <c r="P12" s="61"/>
      <c r="Q12" s="131"/>
      <c r="R12" s="61">
        <f t="shared" si="4"/>
        <v>0</v>
      </c>
      <c r="S12" s="65">
        <f t="shared" si="5"/>
        <v>0</v>
      </c>
      <c r="T12" s="61">
        <f t="shared" si="6"/>
        <v>0</v>
      </c>
      <c r="U12" s="82">
        <f t="shared" si="7"/>
        <v>11</v>
      </c>
      <c r="V12" s="61">
        <f t="shared" si="8"/>
        <v>1.2223200000000001</v>
      </c>
      <c r="X12" s="69"/>
    </row>
    <row r="13" spans="1:24">
      <c r="A13" s="125"/>
      <c r="B13" s="126"/>
      <c r="C13" s="127"/>
      <c r="D13" s="128"/>
      <c r="E13" s="132">
        <f t="shared" ref="E13:F13" si="9">SUM(E6:E12)</f>
        <v>110</v>
      </c>
      <c r="F13" s="133">
        <f t="shared" si="9"/>
        <v>10.512877999999997</v>
      </c>
      <c r="G13" s="130"/>
      <c r="H13" s="132">
        <f t="shared" ref="H13" si="10">SUM(H6:H12)</f>
        <v>0</v>
      </c>
      <c r="I13" s="133">
        <f t="shared" ref="I13" si="11">SUM(I6:I12)</f>
        <v>0</v>
      </c>
      <c r="J13" s="61"/>
      <c r="K13" s="132">
        <f t="shared" ref="K13" si="12">SUM(K6:K12)</f>
        <v>0</v>
      </c>
      <c r="L13" s="133">
        <f t="shared" ref="L13" si="13">SUM(L6:L12)</f>
        <v>0</v>
      </c>
      <c r="M13" s="61"/>
      <c r="N13" s="132">
        <f t="shared" ref="N13" si="14">SUM(N6:N12)</f>
        <v>0</v>
      </c>
      <c r="O13" s="133">
        <f t="shared" ref="O13" si="15">SUM(O6:O12)</f>
        <v>0</v>
      </c>
      <c r="P13" s="61"/>
      <c r="Q13" s="132">
        <f t="shared" ref="Q13" si="16">SUM(Q6:Q12)</f>
        <v>0</v>
      </c>
      <c r="R13" s="133">
        <f t="shared" ref="R13" si="17">SUM(R6:R12)</f>
        <v>0</v>
      </c>
      <c r="S13" s="132">
        <f t="shared" ref="S13" si="18">SUM(S6:S12)</f>
        <v>0</v>
      </c>
      <c r="T13" s="133">
        <f t="shared" ref="T13" si="19">SUM(T6:T12)</f>
        <v>0</v>
      </c>
      <c r="U13" s="132">
        <f t="shared" ref="U13" si="20">SUM(U6:U12)</f>
        <v>110</v>
      </c>
      <c r="V13" s="133">
        <f t="shared" ref="V13" si="21">SUM(V6:V12)</f>
        <v>10.512877999999997</v>
      </c>
      <c r="X13" s="69"/>
    </row>
    <row r="14" spans="1:24">
      <c r="A14" s="125" t="s">
        <v>13</v>
      </c>
      <c r="B14" s="126" t="s">
        <v>46</v>
      </c>
      <c r="C14" s="127">
        <v>10.73</v>
      </c>
      <c r="D14" s="128">
        <v>7.5</v>
      </c>
      <c r="E14" s="129">
        <v>22</v>
      </c>
      <c r="F14" s="61">
        <f t="shared" ref="F14:F16" si="22">(C14*D14*E14/1000)</f>
        <v>1.7704500000000003</v>
      </c>
      <c r="G14" s="130"/>
      <c r="H14" s="131"/>
      <c r="I14" s="61">
        <f t="shared" ref="I14:I16" si="23">(C14*D14*H14/1000)</f>
        <v>0</v>
      </c>
      <c r="J14" s="61"/>
      <c r="K14" s="131"/>
      <c r="L14" s="61">
        <f t="shared" ref="L14:L16" si="24">(C14*D14*K14/1000)</f>
        <v>0</v>
      </c>
      <c r="M14" s="61"/>
      <c r="N14" s="131"/>
      <c r="O14" s="61">
        <f t="shared" ref="O14:O16" si="25">(C14*D14*N14/1000)</f>
        <v>0</v>
      </c>
      <c r="P14" s="61"/>
      <c r="Q14" s="131"/>
      <c r="R14" s="61">
        <f t="shared" ref="R14:R16" si="26">(C14*D14*Q14/1000)</f>
        <v>0</v>
      </c>
      <c r="S14" s="65">
        <f t="shared" ref="S14:S16" si="27">+H14+K14+Q14+N14</f>
        <v>0</v>
      </c>
      <c r="T14" s="61">
        <f t="shared" ref="T14:T16" si="28">+I14+L14+R14+O14</f>
        <v>0</v>
      </c>
      <c r="U14" s="82">
        <f t="shared" ref="U14:U16" si="29">E14-S14</f>
        <v>22</v>
      </c>
      <c r="V14" s="61">
        <f t="shared" ref="V14:V16" si="30">F14-T14</f>
        <v>1.7704500000000003</v>
      </c>
      <c r="X14" s="69"/>
    </row>
    <row r="15" spans="1:24">
      <c r="A15" s="125" t="s">
        <v>13</v>
      </c>
      <c r="B15" s="126" t="s">
        <v>46</v>
      </c>
      <c r="C15" s="127">
        <v>10.73</v>
      </c>
      <c r="D15" s="128">
        <v>8.6999999999999993</v>
      </c>
      <c r="E15" s="129">
        <v>35</v>
      </c>
      <c r="F15" s="61">
        <f t="shared" si="22"/>
        <v>3.2672849999999998</v>
      </c>
      <c r="G15" s="130"/>
      <c r="H15" s="131"/>
      <c r="I15" s="61">
        <f t="shared" si="23"/>
        <v>0</v>
      </c>
      <c r="J15" s="61"/>
      <c r="K15" s="131"/>
      <c r="L15" s="61">
        <f t="shared" si="24"/>
        <v>0</v>
      </c>
      <c r="M15" s="61"/>
      <c r="N15" s="131"/>
      <c r="O15" s="61">
        <f t="shared" si="25"/>
        <v>0</v>
      </c>
      <c r="P15" s="61"/>
      <c r="Q15" s="131"/>
      <c r="R15" s="61">
        <f t="shared" si="26"/>
        <v>0</v>
      </c>
      <c r="S15" s="65">
        <f t="shared" si="27"/>
        <v>0</v>
      </c>
      <c r="T15" s="61">
        <f t="shared" si="28"/>
        <v>0</v>
      </c>
      <c r="U15" s="82">
        <f t="shared" si="29"/>
        <v>35</v>
      </c>
      <c r="V15" s="61">
        <f t="shared" si="30"/>
        <v>3.2672849999999998</v>
      </c>
      <c r="X15" s="69"/>
    </row>
    <row r="16" spans="1:24">
      <c r="A16" s="125" t="s">
        <v>13</v>
      </c>
      <c r="B16" s="126" t="s">
        <v>46</v>
      </c>
      <c r="C16" s="127">
        <v>10.73</v>
      </c>
      <c r="D16" s="128">
        <v>11.6</v>
      </c>
      <c r="E16" s="129">
        <v>70</v>
      </c>
      <c r="F16" s="61">
        <f t="shared" si="22"/>
        <v>8.7127599999999994</v>
      </c>
      <c r="G16" s="130"/>
      <c r="H16" s="131"/>
      <c r="I16" s="61">
        <f t="shared" si="23"/>
        <v>0</v>
      </c>
      <c r="J16" s="61"/>
      <c r="K16" s="131"/>
      <c r="L16" s="61">
        <f t="shared" si="24"/>
        <v>0</v>
      </c>
      <c r="M16" s="61"/>
      <c r="N16" s="131"/>
      <c r="O16" s="61">
        <f t="shared" si="25"/>
        <v>0</v>
      </c>
      <c r="P16" s="61"/>
      <c r="Q16" s="131"/>
      <c r="R16" s="61">
        <f t="shared" si="26"/>
        <v>0</v>
      </c>
      <c r="S16" s="65">
        <f t="shared" si="27"/>
        <v>0</v>
      </c>
      <c r="T16" s="61">
        <f t="shared" si="28"/>
        <v>0</v>
      </c>
      <c r="U16" s="82">
        <f t="shared" si="29"/>
        <v>70</v>
      </c>
      <c r="V16" s="61">
        <f t="shared" si="30"/>
        <v>8.7127599999999994</v>
      </c>
      <c r="X16" s="69"/>
    </row>
    <row r="17" spans="1:24">
      <c r="A17" s="125"/>
      <c r="B17" s="126"/>
      <c r="C17" s="127"/>
      <c r="D17" s="128"/>
      <c r="E17" s="132">
        <f t="shared" ref="E17:F17" si="31">SUM(E14:E16)</f>
        <v>127</v>
      </c>
      <c r="F17" s="133">
        <f t="shared" si="31"/>
        <v>13.750494999999999</v>
      </c>
      <c r="G17" s="130"/>
      <c r="H17" s="132">
        <f t="shared" ref="H17" si="32">SUM(H14:H16)</f>
        <v>0</v>
      </c>
      <c r="I17" s="133">
        <f t="shared" ref="I17" si="33">SUM(I14:I16)</f>
        <v>0</v>
      </c>
      <c r="J17" s="61"/>
      <c r="K17" s="132">
        <f t="shared" ref="K17" si="34">SUM(K14:K16)</f>
        <v>0</v>
      </c>
      <c r="L17" s="133">
        <f t="shared" ref="L17" si="35">SUM(L14:L16)</f>
        <v>0</v>
      </c>
      <c r="M17" s="61"/>
      <c r="N17" s="132">
        <f t="shared" ref="N17" si="36">SUM(N14:N16)</f>
        <v>0</v>
      </c>
      <c r="O17" s="133">
        <f t="shared" ref="O17" si="37">SUM(O14:O16)</f>
        <v>0</v>
      </c>
      <c r="P17" s="61"/>
      <c r="Q17" s="132">
        <f t="shared" ref="Q17" si="38">SUM(Q14:Q16)</f>
        <v>0</v>
      </c>
      <c r="R17" s="133">
        <f t="shared" ref="R17" si="39">SUM(R14:R16)</f>
        <v>0</v>
      </c>
      <c r="S17" s="132">
        <f t="shared" ref="S17" si="40">SUM(S14:S16)</f>
        <v>0</v>
      </c>
      <c r="T17" s="133">
        <f t="shared" ref="T17" si="41">SUM(T14:T16)</f>
        <v>0</v>
      </c>
      <c r="U17" s="132">
        <f t="shared" ref="U17" si="42">SUM(U14:U16)</f>
        <v>127</v>
      </c>
      <c r="V17" s="133">
        <f t="shared" ref="V17" si="43">SUM(V14:V16)</f>
        <v>13.750494999999999</v>
      </c>
      <c r="X17" s="69"/>
    </row>
    <row r="18" spans="1:24">
      <c r="A18" s="125" t="s">
        <v>13</v>
      </c>
      <c r="B18" s="126" t="s">
        <v>61</v>
      </c>
      <c r="C18" s="127">
        <v>12.18</v>
      </c>
      <c r="D18" s="128">
        <v>7.9</v>
      </c>
      <c r="E18" s="129">
        <v>14</v>
      </c>
      <c r="F18" s="61">
        <f t="shared" ref="F18:F21" si="44">(C18*D18*E18/1000)</f>
        <v>1.3471080000000002</v>
      </c>
      <c r="G18" s="130"/>
      <c r="H18" s="131"/>
      <c r="I18" s="61">
        <f t="shared" ref="I18:I21" si="45">(C18*D18*H18/1000)</f>
        <v>0</v>
      </c>
      <c r="J18" s="61"/>
      <c r="K18" s="131"/>
      <c r="L18" s="61">
        <f t="shared" ref="L18:L21" si="46">(C18*D18*K18/1000)</f>
        <v>0</v>
      </c>
      <c r="M18" s="61"/>
      <c r="N18" s="131"/>
      <c r="O18" s="61">
        <f t="shared" ref="O18:O21" si="47">(C18*D18*N18/1000)</f>
        <v>0</v>
      </c>
      <c r="P18" s="61"/>
      <c r="Q18" s="131"/>
      <c r="R18" s="61">
        <f t="shared" ref="R18:R21" si="48">(C18*D18*Q18/1000)</f>
        <v>0</v>
      </c>
      <c r="S18" s="65">
        <f t="shared" ref="S18:S21" si="49">+H18+K18+Q18+N18</f>
        <v>0</v>
      </c>
      <c r="T18" s="61">
        <f t="shared" ref="T18:T21" si="50">+I18+L18+R18+O18</f>
        <v>0</v>
      </c>
      <c r="U18" s="82">
        <f t="shared" ref="U18:U21" si="51">E18-S18</f>
        <v>14</v>
      </c>
      <c r="V18" s="61">
        <f t="shared" ref="V18:V21" si="52">F18-T18</f>
        <v>1.3471080000000002</v>
      </c>
      <c r="X18" s="69"/>
    </row>
    <row r="19" spans="1:24">
      <c r="A19" s="125" t="s">
        <v>13</v>
      </c>
      <c r="B19" s="126" t="s">
        <v>61</v>
      </c>
      <c r="C19" s="127">
        <v>12.18</v>
      </c>
      <c r="D19" s="128">
        <v>10.1</v>
      </c>
      <c r="E19" s="129">
        <v>7</v>
      </c>
      <c r="F19" s="61">
        <f t="shared" si="44"/>
        <v>0.86112599999999984</v>
      </c>
      <c r="G19" s="130"/>
      <c r="H19" s="131"/>
      <c r="I19" s="61">
        <f t="shared" si="45"/>
        <v>0</v>
      </c>
      <c r="J19" s="61"/>
      <c r="K19" s="131"/>
      <c r="L19" s="61">
        <f t="shared" si="46"/>
        <v>0</v>
      </c>
      <c r="M19" s="61"/>
      <c r="N19" s="131"/>
      <c r="O19" s="61">
        <f t="shared" si="47"/>
        <v>0</v>
      </c>
      <c r="P19" s="61"/>
      <c r="Q19" s="131"/>
      <c r="R19" s="61">
        <f t="shared" si="48"/>
        <v>0</v>
      </c>
      <c r="S19" s="65">
        <f t="shared" si="49"/>
        <v>0</v>
      </c>
      <c r="T19" s="61">
        <f t="shared" si="50"/>
        <v>0</v>
      </c>
      <c r="U19" s="82">
        <f t="shared" si="51"/>
        <v>7</v>
      </c>
      <c r="V19" s="61">
        <f t="shared" si="52"/>
        <v>0.86112599999999984</v>
      </c>
    </row>
    <row r="20" spans="1:24">
      <c r="A20" s="125" t="s">
        <v>13</v>
      </c>
      <c r="B20" s="126" t="s">
        <v>61</v>
      </c>
      <c r="C20" s="127">
        <v>12.18</v>
      </c>
      <c r="D20" s="128">
        <v>11.4</v>
      </c>
      <c r="E20" s="129">
        <v>42</v>
      </c>
      <c r="F20" s="61">
        <f t="shared" si="44"/>
        <v>5.8317840000000007</v>
      </c>
      <c r="G20" s="130"/>
      <c r="H20" s="131"/>
      <c r="I20" s="61">
        <f t="shared" si="45"/>
        <v>0</v>
      </c>
      <c r="J20" s="61"/>
      <c r="K20" s="131"/>
      <c r="L20" s="61">
        <f t="shared" si="46"/>
        <v>0</v>
      </c>
      <c r="M20" s="61"/>
      <c r="N20" s="131"/>
      <c r="O20" s="61">
        <f t="shared" si="47"/>
        <v>0</v>
      </c>
      <c r="P20" s="61"/>
      <c r="Q20" s="131"/>
      <c r="R20" s="61">
        <f t="shared" si="48"/>
        <v>0</v>
      </c>
      <c r="S20" s="65">
        <f t="shared" si="49"/>
        <v>0</v>
      </c>
      <c r="T20" s="61">
        <f t="shared" si="50"/>
        <v>0</v>
      </c>
      <c r="U20" s="82">
        <f t="shared" si="51"/>
        <v>42</v>
      </c>
      <c r="V20" s="61">
        <f t="shared" si="52"/>
        <v>5.8317840000000007</v>
      </c>
    </row>
    <row r="21" spans="1:24">
      <c r="A21" s="125" t="s">
        <v>13</v>
      </c>
      <c r="B21" s="126" t="s">
        <v>61</v>
      </c>
      <c r="C21" s="127">
        <v>12.18</v>
      </c>
      <c r="D21" s="128">
        <v>12</v>
      </c>
      <c r="E21" s="129">
        <v>30</v>
      </c>
      <c r="F21" s="61">
        <f t="shared" si="44"/>
        <v>4.3848000000000003</v>
      </c>
      <c r="G21" s="130"/>
      <c r="H21" s="131"/>
      <c r="I21" s="61">
        <f t="shared" si="45"/>
        <v>0</v>
      </c>
      <c r="J21" s="61"/>
      <c r="K21" s="131"/>
      <c r="L21" s="61">
        <f t="shared" si="46"/>
        <v>0</v>
      </c>
      <c r="M21" s="61"/>
      <c r="N21" s="131"/>
      <c r="O21" s="61">
        <f t="shared" si="47"/>
        <v>0</v>
      </c>
      <c r="P21" s="61"/>
      <c r="Q21" s="131"/>
      <c r="R21" s="61">
        <f t="shared" si="48"/>
        <v>0</v>
      </c>
      <c r="S21" s="65">
        <f t="shared" si="49"/>
        <v>0</v>
      </c>
      <c r="T21" s="61">
        <f t="shared" si="50"/>
        <v>0</v>
      </c>
      <c r="U21" s="82">
        <f t="shared" si="51"/>
        <v>30</v>
      </c>
      <c r="V21" s="61">
        <f t="shared" si="52"/>
        <v>4.3848000000000003</v>
      </c>
    </row>
    <row r="22" spans="1:24">
      <c r="A22" s="125"/>
      <c r="B22" s="126"/>
      <c r="C22" s="127"/>
      <c r="D22" s="128"/>
      <c r="E22" s="132">
        <f>SUM(E18:E21)</f>
        <v>93</v>
      </c>
      <c r="F22" s="133">
        <f>SUM(F18:F21)</f>
        <v>12.424818</v>
      </c>
      <c r="G22" s="130"/>
      <c r="H22" s="132">
        <f>SUM(H18:H21)</f>
        <v>0</v>
      </c>
      <c r="I22" s="133">
        <f>SUM(I18:I21)</f>
        <v>0</v>
      </c>
      <c r="J22" s="61"/>
      <c r="K22" s="132">
        <f>SUM(K18:K21)</f>
        <v>0</v>
      </c>
      <c r="L22" s="133">
        <f>SUM(L18:L21)</f>
        <v>0</v>
      </c>
      <c r="M22" s="61"/>
      <c r="N22" s="132">
        <f>SUM(N18:N21)</f>
        <v>0</v>
      </c>
      <c r="O22" s="133">
        <f>SUM(O18:O21)</f>
        <v>0</v>
      </c>
      <c r="P22" s="61"/>
      <c r="Q22" s="132">
        <f t="shared" ref="Q22:V22" si="53">SUM(Q18:Q21)</f>
        <v>0</v>
      </c>
      <c r="R22" s="133">
        <f t="shared" si="53"/>
        <v>0</v>
      </c>
      <c r="S22" s="132">
        <f t="shared" si="53"/>
        <v>0</v>
      </c>
      <c r="T22" s="133">
        <f t="shared" si="53"/>
        <v>0</v>
      </c>
      <c r="U22" s="132">
        <f t="shared" si="53"/>
        <v>93</v>
      </c>
      <c r="V22" s="133">
        <f t="shared" si="53"/>
        <v>12.424818</v>
      </c>
    </row>
    <row r="23" spans="1:24">
      <c r="A23" s="125" t="s">
        <v>13</v>
      </c>
      <c r="B23" s="126" t="s">
        <v>31</v>
      </c>
      <c r="C23" s="127">
        <v>10.199999999999999</v>
      </c>
      <c r="D23" s="128">
        <v>10.5</v>
      </c>
      <c r="E23" s="129">
        <v>10</v>
      </c>
      <c r="F23" s="61">
        <f t="shared" ref="F23:F26" si="54">(C23*D23*E23/1000)</f>
        <v>1.071</v>
      </c>
      <c r="G23" s="130"/>
      <c r="H23" s="131"/>
      <c r="I23" s="61">
        <f t="shared" ref="I23:I26" si="55">(C23*D23*H23/1000)</f>
        <v>0</v>
      </c>
      <c r="J23" s="61"/>
      <c r="K23" s="131"/>
      <c r="L23" s="61">
        <f t="shared" ref="L23:L26" si="56">(C23*D23*K23/1000)</f>
        <v>0</v>
      </c>
      <c r="M23" s="61"/>
      <c r="N23" s="131"/>
      <c r="O23" s="61">
        <f t="shared" ref="O23:O26" si="57">(C23*D23*N23/1000)</f>
        <v>0</v>
      </c>
      <c r="P23" s="61"/>
      <c r="Q23" s="131"/>
      <c r="R23" s="61">
        <f t="shared" ref="R23:R26" si="58">(C23*D23*Q23/1000)</f>
        <v>0</v>
      </c>
      <c r="S23" s="65">
        <f t="shared" ref="S23:S26" si="59">+H23+K23+Q23+N23</f>
        <v>0</v>
      </c>
      <c r="T23" s="61">
        <f t="shared" ref="T23:T26" si="60">+I23+L23+R23+O23</f>
        <v>0</v>
      </c>
      <c r="U23" s="82">
        <f t="shared" ref="U23:U26" si="61">E23-S23</f>
        <v>10</v>
      </c>
      <c r="V23" s="61">
        <f t="shared" ref="V23:V26" si="62">F23-T23</f>
        <v>1.071</v>
      </c>
    </row>
    <row r="24" spans="1:24">
      <c r="A24" s="125" t="s">
        <v>13</v>
      </c>
      <c r="B24" s="126" t="s">
        <v>31</v>
      </c>
      <c r="C24" s="127">
        <v>10.199999999999999</v>
      </c>
      <c r="D24" s="128">
        <v>11</v>
      </c>
      <c r="E24" s="129">
        <v>22</v>
      </c>
      <c r="F24" s="61">
        <f t="shared" si="54"/>
        <v>2.4683999999999995</v>
      </c>
      <c r="G24" s="130"/>
      <c r="H24" s="131"/>
      <c r="I24" s="61">
        <f t="shared" si="55"/>
        <v>0</v>
      </c>
      <c r="J24" s="61"/>
      <c r="K24" s="131"/>
      <c r="L24" s="61">
        <f t="shared" si="56"/>
        <v>0</v>
      </c>
      <c r="M24" s="61"/>
      <c r="N24" s="131"/>
      <c r="O24" s="61">
        <f t="shared" si="57"/>
        <v>0</v>
      </c>
      <c r="P24" s="61"/>
      <c r="Q24" s="131"/>
      <c r="R24" s="61">
        <f t="shared" si="58"/>
        <v>0</v>
      </c>
      <c r="S24" s="65">
        <f t="shared" si="59"/>
        <v>0</v>
      </c>
      <c r="T24" s="61">
        <f t="shared" si="60"/>
        <v>0</v>
      </c>
      <c r="U24" s="82">
        <f t="shared" si="61"/>
        <v>22</v>
      </c>
      <c r="V24" s="61">
        <f t="shared" si="62"/>
        <v>2.4683999999999995</v>
      </c>
    </row>
    <row r="25" spans="1:24">
      <c r="A25" s="125" t="s">
        <v>13</v>
      </c>
      <c r="B25" s="126" t="s">
        <v>31</v>
      </c>
      <c r="C25" s="127">
        <v>10.199999999999999</v>
      </c>
      <c r="D25" s="128">
        <v>11.2</v>
      </c>
      <c r="E25" s="129">
        <v>37</v>
      </c>
      <c r="F25" s="61">
        <f t="shared" si="54"/>
        <v>4.2268799999999995</v>
      </c>
      <c r="G25" s="130"/>
      <c r="H25" s="131"/>
      <c r="I25" s="61">
        <f t="shared" si="55"/>
        <v>0</v>
      </c>
      <c r="J25" s="61"/>
      <c r="K25" s="131"/>
      <c r="L25" s="61">
        <f t="shared" si="56"/>
        <v>0</v>
      </c>
      <c r="M25" s="61"/>
      <c r="N25" s="131"/>
      <c r="O25" s="61">
        <f t="shared" si="57"/>
        <v>0</v>
      </c>
      <c r="P25" s="61"/>
      <c r="Q25" s="131"/>
      <c r="R25" s="61">
        <f t="shared" si="58"/>
        <v>0</v>
      </c>
      <c r="S25" s="65">
        <f t="shared" si="59"/>
        <v>0</v>
      </c>
      <c r="T25" s="61">
        <f t="shared" si="60"/>
        <v>0</v>
      </c>
      <c r="U25" s="82">
        <f t="shared" si="61"/>
        <v>37</v>
      </c>
      <c r="V25" s="61">
        <f t="shared" si="62"/>
        <v>4.2268799999999995</v>
      </c>
    </row>
    <row r="26" spans="1:24">
      <c r="A26" s="125" t="s">
        <v>13</v>
      </c>
      <c r="B26" s="126" t="s">
        <v>31</v>
      </c>
      <c r="C26" s="127">
        <v>10.199999999999999</v>
      </c>
      <c r="D26" s="128">
        <v>11.6</v>
      </c>
      <c r="E26" s="129">
        <v>16</v>
      </c>
      <c r="F26" s="61">
        <f t="shared" si="54"/>
        <v>1.8931199999999999</v>
      </c>
      <c r="G26" s="130"/>
      <c r="H26" s="131"/>
      <c r="I26" s="61">
        <f t="shared" si="55"/>
        <v>0</v>
      </c>
      <c r="J26" s="61"/>
      <c r="K26" s="131"/>
      <c r="L26" s="61">
        <f t="shared" si="56"/>
        <v>0</v>
      </c>
      <c r="M26" s="61"/>
      <c r="N26" s="131"/>
      <c r="O26" s="61">
        <f t="shared" si="57"/>
        <v>0</v>
      </c>
      <c r="P26" s="61"/>
      <c r="Q26" s="131"/>
      <c r="R26" s="61">
        <f t="shared" si="58"/>
        <v>0</v>
      </c>
      <c r="S26" s="65">
        <f t="shared" si="59"/>
        <v>0</v>
      </c>
      <c r="T26" s="61">
        <f t="shared" si="60"/>
        <v>0</v>
      </c>
      <c r="U26" s="82">
        <f t="shared" si="61"/>
        <v>16</v>
      </c>
      <c r="V26" s="61">
        <f t="shared" si="62"/>
        <v>1.8931199999999999</v>
      </c>
    </row>
    <row r="27" spans="1:24">
      <c r="A27" s="125"/>
      <c r="B27" s="126"/>
      <c r="C27" s="127"/>
      <c r="D27" s="128"/>
      <c r="E27" s="132">
        <f t="shared" ref="E27:F27" si="63">SUM(E23:E26)</f>
        <v>85</v>
      </c>
      <c r="F27" s="133">
        <f t="shared" si="63"/>
        <v>9.6593999999999998</v>
      </c>
      <c r="G27" s="130"/>
      <c r="H27" s="132">
        <f t="shared" ref="H27" si="64">SUM(H23:H26)</f>
        <v>0</v>
      </c>
      <c r="I27" s="133">
        <f t="shared" ref="I27" si="65">SUM(I23:I26)</f>
        <v>0</v>
      </c>
      <c r="J27" s="61"/>
      <c r="K27" s="132">
        <f t="shared" ref="K27" si="66">SUM(K23:K26)</f>
        <v>0</v>
      </c>
      <c r="L27" s="133">
        <f t="shared" ref="L27" si="67">SUM(L23:L26)</f>
        <v>0</v>
      </c>
      <c r="M27" s="61"/>
      <c r="N27" s="132">
        <f t="shared" ref="N27" si="68">SUM(N23:N26)</f>
        <v>0</v>
      </c>
      <c r="O27" s="133">
        <f t="shared" ref="O27" si="69">SUM(O23:O26)</f>
        <v>0</v>
      </c>
      <c r="P27" s="61"/>
      <c r="Q27" s="132">
        <f t="shared" ref="Q27" si="70">SUM(Q23:Q26)</f>
        <v>0</v>
      </c>
      <c r="R27" s="133">
        <f t="shared" ref="R27" si="71">SUM(R23:R26)</f>
        <v>0</v>
      </c>
      <c r="S27" s="132">
        <f t="shared" ref="S27" si="72">SUM(S23:S26)</f>
        <v>0</v>
      </c>
      <c r="T27" s="133">
        <f t="shared" ref="T27" si="73">SUM(T23:T26)</f>
        <v>0</v>
      </c>
      <c r="U27" s="132">
        <f t="shared" ref="U27" si="74">SUM(U23:U26)</f>
        <v>85</v>
      </c>
      <c r="V27" s="133">
        <f t="shared" ref="V27" si="75">SUM(V23:V26)</f>
        <v>9.6593999999999998</v>
      </c>
    </row>
    <row r="28" spans="1:24">
      <c r="A28" s="125" t="s">
        <v>13</v>
      </c>
      <c r="B28" s="126" t="s">
        <v>32</v>
      </c>
      <c r="C28" s="127">
        <v>11.8</v>
      </c>
      <c r="D28" s="128">
        <v>7.1</v>
      </c>
      <c r="E28" s="129">
        <v>101</v>
      </c>
      <c r="F28" s="61">
        <f t="shared" ref="F28:F34" si="76">(C28*D28*E28/1000)</f>
        <v>8.461780000000001</v>
      </c>
      <c r="G28" s="130"/>
      <c r="H28" s="131"/>
      <c r="I28" s="61">
        <f t="shared" ref="I28:I34" si="77">(C28*D28*H28/1000)</f>
        <v>0</v>
      </c>
      <c r="J28" s="61"/>
      <c r="K28" s="131"/>
      <c r="L28" s="61">
        <f t="shared" ref="L28:L34" si="78">(C28*D28*K28/1000)</f>
        <v>0</v>
      </c>
      <c r="M28" s="61"/>
      <c r="N28" s="131"/>
      <c r="O28" s="61">
        <f t="shared" ref="O28:O34" si="79">(C28*D28*N28/1000)</f>
        <v>0</v>
      </c>
      <c r="P28" s="61"/>
      <c r="Q28" s="131"/>
      <c r="R28" s="61">
        <f t="shared" ref="R28:R34" si="80">(C28*D28*Q28/1000)</f>
        <v>0</v>
      </c>
      <c r="S28" s="65">
        <f t="shared" ref="S28:S34" si="81">+H28+K28+Q28+N28</f>
        <v>0</v>
      </c>
      <c r="T28" s="61">
        <f t="shared" ref="T28:T34" si="82">+I28+L28+R28+O28</f>
        <v>0</v>
      </c>
      <c r="U28" s="82">
        <f t="shared" ref="U28:U34" si="83">E28-S28</f>
        <v>101</v>
      </c>
      <c r="V28" s="61">
        <f t="shared" ref="V28:V34" si="84">F28-T28</f>
        <v>8.461780000000001</v>
      </c>
    </row>
    <row r="29" spans="1:24">
      <c r="A29" s="125" t="s">
        <v>13</v>
      </c>
      <c r="B29" s="126" t="s">
        <v>32</v>
      </c>
      <c r="C29" s="127">
        <v>11.8</v>
      </c>
      <c r="D29" s="128">
        <v>7.4</v>
      </c>
      <c r="E29" s="129">
        <v>14</v>
      </c>
      <c r="F29" s="61">
        <f t="shared" si="76"/>
        <v>1.22248</v>
      </c>
      <c r="G29" s="130"/>
      <c r="H29" s="131"/>
      <c r="I29" s="61">
        <f t="shared" si="77"/>
        <v>0</v>
      </c>
      <c r="J29" s="61"/>
      <c r="K29" s="131"/>
      <c r="L29" s="61">
        <f t="shared" si="78"/>
        <v>0</v>
      </c>
      <c r="M29" s="61"/>
      <c r="N29" s="131"/>
      <c r="O29" s="61">
        <f t="shared" si="79"/>
        <v>0</v>
      </c>
      <c r="P29" s="61"/>
      <c r="Q29" s="131"/>
      <c r="R29" s="61">
        <f t="shared" si="80"/>
        <v>0</v>
      </c>
      <c r="S29" s="65">
        <f t="shared" si="81"/>
        <v>0</v>
      </c>
      <c r="T29" s="61">
        <f t="shared" si="82"/>
        <v>0</v>
      </c>
      <c r="U29" s="82">
        <f t="shared" si="83"/>
        <v>14</v>
      </c>
      <c r="V29" s="61">
        <f t="shared" si="84"/>
        <v>1.22248</v>
      </c>
    </row>
    <row r="30" spans="1:24">
      <c r="A30" s="125" t="s">
        <v>13</v>
      </c>
      <c r="B30" s="126" t="s">
        <v>32</v>
      </c>
      <c r="C30" s="127">
        <v>11.8</v>
      </c>
      <c r="D30" s="128">
        <v>8.1</v>
      </c>
      <c r="E30" s="129">
        <v>56</v>
      </c>
      <c r="F30" s="61">
        <f t="shared" si="76"/>
        <v>5.3524799999999999</v>
      </c>
      <c r="G30" s="130"/>
      <c r="H30" s="131"/>
      <c r="I30" s="61">
        <f t="shared" si="77"/>
        <v>0</v>
      </c>
      <c r="J30" s="61"/>
      <c r="K30" s="131"/>
      <c r="L30" s="61">
        <f t="shared" si="78"/>
        <v>0</v>
      </c>
      <c r="M30" s="61"/>
      <c r="N30" s="131"/>
      <c r="O30" s="61">
        <f t="shared" si="79"/>
        <v>0</v>
      </c>
      <c r="P30" s="61"/>
      <c r="Q30" s="131"/>
      <c r="R30" s="61">
        <f t="shared" si="80"/>
        <v>0</v>
      </c>
      <c r="S30" s="65">
        <f t="shared" si="81"/>
        <v>0</v>
      </c>
      <c r="T30" s="61">
        <f t="shared" si="82"/>
        <v>0</v>
      </c>
      <c r="U30" s="82">
        <f t="shared" si="83"/>
        <v>56</v>
      </c>
      <c r="V30" s="61">
        <f t="shared" si="84"/>
        <v>5.3524799999999999</v>
      </c>
    </row>
    <row r="31" spans="1:24">
      <c r="A31" s="125" t="s">
        <v>13</v>
      </c>
      <c r="B31" s="126" t="s">
        <v>32</v>
      </c>
      <c r="C31" s="127">
        <v>11.8</v>
      </c>
      <c r="D31" s="128">
        <v>9.1999999999999993</v>
      </c>
      <c r="E31" s="129">
        <v>20</v>
      </c>
      <c r="F31" s="61">
        <f t="shared" si="76"/>
        <v>2.1711999999999998</v>
      </c>
      <c r="G31" s="130"/>
      <c r="H31" s="131"/>
      <c r="I31" s="61">
        <f t="shared" si="77"/>
        <v>0</v>
      </c>
      <c r="J31" s="61"/>
      <c r="K31" s="131"/>
      <c r="L31" s="61">
        <f t="shared" si="78"/>
        <v>0</v>
      </c>
      <c r="M31" s="61"/>
      <c r="N31" s="131"/>
      <c r="O31" s="61">
        <f t="shared" si="79"/>
        <v>0</v>
      </c>
      <c r="P31" s="61"/>
      <c r="Q31" s="131"/>
      <c r="R31" s="61">
        <f t="shared" si="80"/>
        <v>0</v>
      </c>
      <c r="S31" s="65">
        <f t="shared" si="81"/>
        <v>0</v>
      </c>
      <c r="T31" s="61">
        <f t="shared" si="82"/>
        <v>0</v>
      </c>
      <c r="U31" s="82">
        <f t="shared" si="83"/>
        <v>20</v>
      </c>
      <c r="V31" s="61">
        <f t="shared" si="84"/>
        <v>2.1711999999999998</v>
      </c>
    </row>
    <row r="32" spans="1:24">
      <c r="A32" s="125" t="s">
        <v>13</v>
      </c>
      <c r="B32" s="126" t="s">
        <v>32</v>
      </c>
      <c r="C32" s="127">
        <v>11.8</v>
      </c>
      <c r="D32" s="128">
        <v>10.4</v>
      </c>
      <c r="E32" s="129">
        <v>28</v>
      </c>
      <c r="F32" s="61">
        <f t="shared" si="76"/>
        <v>3.4361600000000001</v>
      </c>
      <c r="G32" s="130"/>
      <c r="H32" s="131"/>
      <c r="I32" s="61">
        <f t="shared" si="77"/>
        <v>0</v>
      </c>
      <c r="J32" s="61"/>
      <c r="K32" s="131"/>
      <c r="L32" s="61">
        <f t="shared" si="78"/>
        <v>0</v>
      </c>
      <c r="M32" s="61"/>
      <c r="N32" s="131"/>
      <c r="O32" s="61">
        <f t="shared" si="79"/>
        <v>0</v>
      </c>
      <c r="P32" s="61"/>
      <c r="Q32" s="131"/>
      <c r="R32" s="61">
        <f t="shared" si="80"/>
        <v>0</v>
      </c>
      <c r="S32" s="65">
        <f t="shared" si="81"/>
        <v>0</v>
      </c>
      <c r="T32" s="61">
        <f t="shared" si="82"/>
        <v>0</v>
      </c>
      <c r="U32" s="82">
        <f t="shared" si="83"/>
        <v>28</v>
      </c>
      <c r="V32" s="61">
        <f t="shared" si="84"/>
        <v>3.4361600000000001</v>
      </c>
    </row>
    <row r="33" spans="1:22">
      <c r="A33" s="125" t="s">
        <v>13</v>
      </c>
      <c r="B33" s="126" t="s">
        <v>32</v>
      </c>
      <c r="C33" s="127">
        <v>11.8</v>
      </c>
      <c r="D33" s="128">
        <v>11.6</v>
      </c>
      <c r="E33" s="129">
        <v>17</v>
      </c>
      <c r="F33" s="61">
        <f t="shared" si="76"/>
        <v>2.3269600000000001</v>
      </c>
      <c r="G33" s="130"/>
      <c r="H33" s="131"/>
      <c r="I33" s="61">
        <f t="shared" si="77"/>
        <v>0</v>
      </c>
      <c r="J33" s="61"/>
      <c r="K33" s="131"/>
      <c r="L33" s="61">
        <f t="shared" si="78"/>
        <v>0</v>
      </c>
      <c r="M33" s="61"/>
      <c r="N33" s="131"/>
      <c r="O33" s="61">
        <f t="shared" si="79"/>
        <v>0</v>
      </c>
      <c r="P33" s="61"/>
      <c r="Q33" s="131"/>
      <c r="R33" s="61">
        <f t="shared" si="80"/>
        <v>0</v>
      </c>
      <c r="S33" s="65">
        <f t="shared" si="81"/>
        <v>0</v>
      </c>
      <c r="T33" s="61">
        <f t="shared" si="82"/>
        <v>0</v>
      </c>
      <c r="U33" s="82">
        <f t="shared" si="83"/>
        <v>17</v>
      </c>
      <c r="V33" s="61">
        <f t="shared" si="84"/>
        <v>2.3269600000000001</v>
      </c>
    </row>
    <row r="34" spans="1:22">
      <c r="A34" s="125" t="s">
        <v>13</v>
      </c>
      <c r="B34" s="126" t="s">
        <v>32</v>
      </c>
      <c r="C34" s="127">
        <v>11.8</v>
      </c>
      <c r="D34" s="128">
        <v>12</v>
      </c>
      <c r="E34" s="129">
        <v>43</v>
      </c>
      <c r="F34" s="61">
        <f t="shared" si="76"/>
        <v>6.0888000000000009</v>
      </c>
      <c r="G34" s="130"/>
      <c r="H34" s="131"/>
      <c r="I34" s="61">
        <f t="shared" si="77"/>
        <v>0</v>
      </c>
      <c r="J34" s="61"/>
      <c r="K34" s="131"/>
      <c r="L34" s="61">
        <f t="shared" si="78"/>
        <v>0</v>
      </c>
      <c r="M34" s="61"/>
      <c r="N34" s="131"/>
      <c r="O34" s="61">
        <f t="shared" si="79"/>
        <v>0</v>
      </c>
      <c r="P34" s="61"/>
      <c r="Q34" s="131"/>
      <c r="R34" s="61">
        <f t="shared" si="80"/>
        <v>0</v>
      </c>
      <c r="S34" s="65">
        <f t="shared" si="81"/>
        <v>0</v>
      </c>
      <c r="T34" s="61">
        <f t="shared" si="82"/>
        <v>0</v>
      </c>
      <c r="U34" s="82">
        <f t="shared" si="83"/>
        <v>43</v>
      </c>
      <c r="V34" s="61">
        <f t="shared" si="84"/>
        <v>6.0888000000000009</v>
      </c>
    </row>
    <row r="35" spans="1:22">
      <c r="A35" s="125"/>
      <c r="B35" s="126"/>
      <c r="C35" s="127"/>
      <c r="D35" s="128"/>
      <c r="E35" s="132">
        <f t="shared" ref="E35:F35" si="85">SUM(E28:E34)</f>
        <v>279</v>
      </c>
      <c r="F35" s="133">
        <f t="shared" si="85"/>
        <v>29.05986</v>
      </c>
      <c r="G35" s="130"/>
      <c r="H35" s="132">
        <f t="shared" ref="H35" si="86">SUM(H28:H34)</f>
        <v>0</v>
      </c>
      <c r="I35" s="133">
        <f t="shared" ref="I35" si="87">SUM(I28:I34)</f>
        <v>0</v>
      </c>
      <c r="J35" s="61"/>
      <c r="K35" s="132">
        <f t="shared" ref="K35" si="88">SUM(K28:K34)</f>
        <v>0</v>
      </c>
      <c r="L35" s="133">
        <f t="shared" ref="L35" si="89">SUM(L28:L34)</f>
        <v>0</v>
      </c>
      <c r="M35" s="61"/>
      <c r="N35" s="132">
        <f t="shared" ref="N35" si="90">SUM(N28:N34)</f>
        <v>0</v>
      </c>
      <c r="O35" s="133">
        <f t="shared" ref="O35" si="91">SUM(O28:O34)</f>
        <v>0</v>
      </c>
      <c r="P35" s="61"/>
      <c r="Q35" s="132">
        <f t="shared" ref="Q35" si="92">SUM(Q28:Q34)</f>
        <v>0</v>
      </c>
      <c r="R35" s="133">
        <f t="shared" ref="R35" si="93">SUM(R28:R34)</f>
        <v>0</v>
      </c>
      <c r="S35" s="132">
        <f t="shared" ref="S35" si="94">SUM(S28:S34)</f>
        <v>0</v>
      </c>
      <c r="T35" s="133">
        <f t="shared" ref="T35" si="95">SUM(T28:T34)</f>
        <v>0</v>
      </c>
      <c r="U35" s="132">
        <f t="shared" ref="U35" si="96">SUM(U28:U34)</f>
        <v>279</v>
      </c>
      <c r="V35" s="133">
        <f t="shared" ref="V35" si="97">SUM(V28:V34)</f>
        <v>29.05986</v>
      </c>
    </row>
    <row r="36" spans="1:22">
      <c r="A36" s="125" t="s">
        <v>13</v>
      </c>
      <c r="B36" s="126" t="s">
        <v>25</v>
      </c>
      <c r="C36" s="127">
        <v>13.4</v>
      </c>
      <c r="D36" s="128">
        <v>7.5</v>
      </c>
      <c r="E36" s="129">
        <v>24</v>
      </c>
      <c r="F36" s="61">
        <f t="shared" ref="F36:F38" si="98">(C36*D36*E36/1000)</f>
        <v>2.4119999999999999</v>
      </c>
      <c r="G36" s="130"/>
      <c r="H36" s="131"/>
      <c r="I36" s="61">
        <f t="shared" ref="I36:I38" si="99">(C36*D36*H36/1000)</f>
        <v>0</v>
      </c>
      <c r="J36" s="61"/>
      <c r="K36" s="131"/>
      <c r="L36" s="61">
        <f t="shared" ref="L36:L38" si="100">(C36*D36*K36/1000)</f>
        <v>0</v>
      </c>
      <c r="M36" s="61"/>
      <c r="N36" s="131"/>
      <c r="O36" s="61">
        <f t="shared" ref="O36:O38" si="101">(C36*D36*N36/1000)</f>
        <v>0</v>
      </c>
      <c r="P36" s="61"/>
      <c r="Q36" s="131"/>
      <c r="R36" s="61">
        <f t="shared" ref="R36:R38" si="102">(C36*D36*Q36/1000)</f>
        <v>0</v>
      </c>
      <c r="S36" s="65">
        <f t="shared" ref="S36:S38" si="103">+H36+K36+Q36+N36</f>
        <v>0</v>
      </c>
      <c r="T36" s="61">
        <f t="shared" ref="T36:T38" si="104">+I36+L36+R36+O36</f>
        <v>0</v>
      </c>
      <c r="U36" s="82">
        <f t="shared" ref="U36:U38" si="105">E36-S36</f>
        <v>24</v>
      </c>
      <c r="V36" s="61">
        <f t="shared" ref="V36:V38" si="106">F36-T36</f>
        <v>2.4119999999999999</v>
      </c>
    </row>
    <row r="37" spans="1:22">
      <c r="A37" s="125" t="s">
        <v>13</v>
      </c>
      <c r="B37" s="126" t="s">
        <v>25</v>
      </c>
      <c r="C37" s="127">
        <v>13.4</v>
      </c>
      <c r="D37" s="128">
        <v>10.3</v>
      </c>
      <c r="E37" s="129">
        <v>28</v>
      </c>
      <c r="F37" s="61">
        <f t="shared" si="98"/>
        <v>3.8645600000000004</v>
      </c>
      <c r="G37" s="130"/>
      <c r="H37" s="131"/>
      <c r="I37" s="61">
        <f t="shared" si="99"/>
        <v>0</v>
      </c>
      <c r="J37" s="61"/>
      <c r="K37" s="131"/>
      <c r="L37" s="61">
        <f t="shared" si="100"/>
        <v>0</v>
      </c>
      <c r="M37" s="61"/>
      <c r="N37" s="131"/>
      <c r="O37" s="61">
        <f t="shared" si="101"/>
        <v>0</v>
      </c>
      <c r="P37" s="61"/>
      <c r="Q37" s="131"/>
      <c r="R37" s="61">
        <f t="shared" si="102"/>
        <v>0</v>
      </c>
      <c r="S37" s="65">
        <f t="shared" si="103"/>
        <v>0</v>
      </c>
      <c r="T37" s="61">
        <f t="shared" si="104"/>
        <v>0</v>
      </c>
      <c r="U37" s="82">
        <f t="shared" si="105"/>
        <v>28</v>
      </c>
      <c r="V37" s="61">
        <f t="shared" si="106"/>
        <v>3.8645600000000004</v>
      </c>
    </row>
    <row r="38" spans="1:22">
      <c r="A38" s="125" t="s">
        <v>13</v>
      </c>
      <c r="B38" s="126" t="s">
        <v>25</v>
      </c>
      <c r="C38" s="127">
        <v>13.4</v>
      </c>
      <c r="D38" s="128">
        <v>10.5</v>
      </c>
      <c r="E38" s="129">
        <v>28</v>
      </c>
      <c r="F38" s="61">
        <f t="shared" si="98"/>
        <v>3.9396000000000004</v>
      </c>
      <c r="G38" s="130"/>
      <c r="H38" s="131"/>
      <c r="I38" s="61">
        <f t="shared" si="99"/>
        <v>0</v>
      </c>
      <c r="J38" s="61"/>
      <c r="K38" s="131"/>
      <c r="L38" s="61">
        <f t="shared" si="100"/>
        <v>0</v>
      </c>
      <c r="M38" s="61"/>
      <c r="N38" s="131"/>
      <c r="O38" s="61">
        <f t="shared" si="101"/>
        <v>0</v>
      </c>
      <c r="P38" s="61"/>
      <c r="Q38" s="131"/>
      <c r="R38" s="61">
        <f t="shared" si="102"/>
        <v>0</v>
      </c>
      <c r="S38" s="65">
        <f t="shared" si="103"/>
        <v>0</v>
      </c>
      <c r="T38" s="61">
        <f t="shared" si="104"/>
        <v>0</v>
      </c>
      <c r="U38" s="82">
        <f t="shared" si="105"/>
        <v>28</v>
      </c>
      <c r="V38" s="61">
        <f t="shared" si="106"/>
        <v>3.9396000000000004</v>
      </c>
    </row>
    <row r="39" spans="1:22">
      <c r="A39" s="125"/>
      <c r="B39" s="126"/>
      <c r="C39" s="127"/>
      <c r="D39" s="128"/>
      <c r="E39" s="132">
        <f t="shared" ref="E39:F39" si="107">SUM(E36:E38)</f>
        <v>80</v>
      </c>
      <c r="F39" s="133">
        <f t="shared" si="107"/>
        <v>10.21616</v>
      </c>
      <c r="G39" s="130"/>
      <c r="H39" s="132">
        <f t="shared" ref="H39" si="108">SUM(H36:H38)</f>
        <v>0</v>
      </c>
      <c r="I39" s="133">
        <f t="shared" ref="I39" si="109">SUM(I36:I38)</f>
        <v>0</v>
      </c>
      <c r="J39" s="61"/>
      <c r="K39" s="132">
        <f t="shared" ref="K39" si="110">SUM(K36:K38)</f>
        <v>0</v>
      </c>
      <c r="L39" s="133">
        <f t="shared" ref="L39" si="111">SUM(L36:L38)</f>
        <v>0</v>
      </c>
      <c r="M39" s="61"/>
      <c r="N39" s="132">
        <f t="shared" ref="N39" si="112">SUM(N36:N38)</f>
        <v>0</v>
      </c>
      <c r="O39" s="133">
        <f t="shared" ref="O39" si="113">SUM(O36:O38)</f>
        <v>0</v>
      </c>
      <c r="P39" s="61"/>
      <c r="Q39" s="132">
        <f t="shared" ref="Q39" si="114">SUM(Q36:Q38)</f>
        <v>0</v>
      </c>
      <c r="R39" s="133">
        <f t="shared" ref="R39" si="115">SUM(R36:R38)</f>
        <v>0</v>
      </c>
      <c r="S39" s="132">
        <f t="shared" ref="S39" si="116">SUM(S36:S38)</f>
        <v>0</v>
      </c>
      <c r="T39" s="133">
        <f t="shared" ref="T39" si="117">SUM(T36:T38)</f>
        <v>0</v>
      </c>
      <c r="U39" s="132">
        <f t="shared" ref="U39" si="118">SUM(U36:U38)</f>
        <v>80</v>
      </c>
      <c r="V39" s="133">
        <f t="shared" ref="V39" si="119">SUM(V36:V38)</f>
        <v>10.21616</v>
      </c>
    </row>
    <row r="40" spans="1:22">
      <c r="A40" s="125" t="s">
        <v>13</v>
      </c>
      <c r="B40" s="126" t="s">
        <v>48</v>
      </c>
      <c r="C40" s="127">
        <v>12.9</v>
      </c>
      <c r="D40" s="128">
        <v>6.5</v>
      </c>
      <c r="E40" s="129">
        <v>10</v>
      </c>
      <c r="F40" s="61">
        <f t="shared" ref="F40:F48" si="120">(C40*D40*E40/1000)</f>
        <v>0.83850000000000013</v>
      </c>
      <c r="G40" s="130"/>
      <c r="H40" s="131"/>
      <c r="I40" s="61">
        <f t="shared" ref="I40:I48" si="121">(C40*D40*H40/1000)</f>
        <v>0</v>
      </c>
      <c r="J40" s="61"/>
      <c r="K40" s="131"/>
      <c r="L40" s="61">
        <f t="shared" ref="L40:L48" si="122">(C40*D40*K40/1000)</f>
        <v>0</v>
      </c>
      <c r="M40" s="61"/>
      <c r="N40" s="131"/>
      <c r="O40" s="61">
        <f t="shared" ref="O40:O48" si="123">(C40*D40*N40/1000)</f>
        <v>0</v>
      </c>
      <c r="P40" s="61"/>
      <c r="Q40" s="131"/>
      <c r="R40" s="61">
        <f t="shared" ref="R40:R48" si="124">(C40*D40*Q40/1000)</f>
        <v>0</v>
      </c>
      <c r="S40" s="65">
        <f t="shared" ref="S40:S48" si="125">+H40+K40+Q40+N40</f>
        <v>0</v>
      </c>
      <c r="T40" s="61">
        <f t="shared" ref="T40:T48" si="126">+I40+L40+R40+O40</f>
        <v>0</v>
      </c>
      <c r="U40" s="82">
        <f t="shared" ref="U40:U48" si="127">E40-S40</f>
        <v>10</v>
      </c>
      <c r="V40" s="61">
        <f t="shared" ref="V40:V48" si="128">F40-T40</f>
        <v>0.83850000000000013</v>
      </c>
    </row>
    <row r="41" spans="1:22">
      <c r="A41" s="125" t="s">
        <v>13</v>
      </c>
      <c r="B41" s="126" t="s">
        <v>48</v>
      </c>
      <c r="C41" s="127">
        <v>12.9</v>
      </c>
      <c r="D41" s="128">
        <v>7.25</v>
      </c>
      <c r="E41" s="129">
        <v>8</v>
      </c>
      <c r="F41" s="61">
        <f t="shared" si="120"/>
        <v>0.74820000000000009</v>
      </c>
      <c r="G41" s="130"/>
      <c r="H41" s="131"/>
      <c r="I41" s="61">
        <f t="shared" si="121"/>
        <v>0</v>
      </c>
      <c r="J41" s="61"/>
      <c r="K41" s="131"/>
      <c r="L41" s="61">
        <f t="shared" si="122"/>
        <v>0</v>
      </c>
      <c r="M41" s="61"/>
      <c r="N41" s="131"/>
      <c r="O41" s="61">
        <f t="shared" si="123"/>
        <v>0</v>
      </c>
      <c r="P41" s="61"/>
      <c r="Q41" s="131"/>
      <c r="R41" s="61">
        <f t="shared" si="124"/>
        <v>0</v>
      </c>
      <c r="S41" s="65">
        <f t="shared" si="125"/>
        <v>0</v>
      </c>
      <c r="T41" s="61">
        <f t="shared" si="126"/>
        <v>0</v>
      </c>
      <c r="U41" s="82">
        <f t="shared" si="127"/>
        <v>8</v>
      </c>
      <c r="V41" s="61">
        <f t="shared" si="128"/>
        <v>0.74820000000000009</v>
      </c>
    </row>
    <row r="42" spans="1:22">
      <c r="A42" s="125" t="s">
        <v>13</v>
      </c>
      <c r="B42" s="126" t="s">
        <v>48</v>
      </c>
      <c r="C42" s="127">
        <v>12.9</v>
      </c>
      <c r="D42" s="128">
        <v>8.1</v>
      </c>
      <c r="E42" s="129">
        <v>16</v>
      </c>
      <c r="F42" s="61">
        <f t="shared" si="120"/>
        <v>1.67184</v>
      </c>
      <c r="G42" s="130"/>
      <c r="H42" s="131"/>
      <c r="I42" s="61">
        <f t="shared" si="121"/>
        <v>0</v>
      </c>
      <c r="J42" s="61"/>
      <c r="K42" s="131"/>
      <c r="L42" s="61">
        <f t="shared" si="122"/>
        <v>0</v>
      </c>
      <c r="M42" s="61"/>
      <c r="N42" s="131"/>
      <c r="O42" s="61">
        <f t="shared" si="123"/>
        <v>0</v>
      </c>
      <c r="P42" s="61"/>
      <c r="Q42" s="131"/>
      <c r="R42" s="61">
        <f t="shared" si="124"/>
        <v>0</v>
      </c>
      <c r="S42" s="65">
        <f t="shared" si="125"/>
        <v>0</v>
      </c>
      <c r="T42" s="61">
        <f t="shared" si="126"/>
        <v>0</v>
      </c>
      <c r="U42" s="82">
        <f t="shared" si="127"/>
        <v>16</v>
      </c>
      <c r="V42" s="61">
        <f t="shared" si="128"/>
        <v>1.67184</v>
      </c>
    </row>
    <row r="43" spans="1:22">
      <c r="A43" s="125" t="s">
        <v>13</v>
      </c>
      <c r="B43" s="126" t="s">
        <v>48</v>
      </c>
      <c r="C43" s="127">
        <v>12.9</v>
      </c>
      <c r="D43" s="128">
        <v>8.1</v>
      </c>
      <c r="E43" s="129">
        <v>28</v>
      </c>
      <c r="F43" s="61">
        <f t="shared" si="120"/>
        <v>2.9257199999999997</v>
      </c>
      <c r="G43" s="130"/>
      <c r="H43" s="131"/>
      <c r="I43" s="61">
        <f t="shared" si="121"/>
        <v>0</v>
      </c>
      <c r="J43" s="61"/>
      <c r="K43" s="131"/>
      <c r="L43" s="61">
        <f t="shared" si="122"/>
        <v>0</v>
      </c>
      <c r="M43" s="61"/>
      <c r="N43" s="131"/>
      <c r="O43" s="61">
        <f t="shared" si="123"/>
        <v>0</v>
      </c>
      <c r="P43" s="61"/>
      <c r="Q43" s="131"/>
      <c r="R43" s="61">
        <f t="shared" si="124"/>
        <v>0</v>
      </c>
      <c r="S43" s="65">
        <f t="shared" si="125"/>
        <v>0</v>
      </c>
      <c r="T43" s="61">
        <f t="shared" si="126"/>
        <v>0</v>
      </c>
      <c r="U43" s="82">
        <f t="shared" si="127"/>
        <v>28</v>
      </c>
      <c r="V43" s="61">
        <f t="shared" si="128"/>
        <v>2.9257199999999997</v>
      </c>
    </row>
    <row r="44" spans="1:22">
      <c r="A44" s="125" t="s">
        <v>13</v>
      </c>
      <c r="B44" s="126" t="s">
        <v>48</v>
      </c>
      <c r="C44" s="127">
        <v>12.9</v>
      </c>
      <c r="D44" s="128">
        <v>10</v>
      </c>
      <c r="E44" s="129">
        <v>7</v>
      </c>
      <c r="F44" s="61">
        <f t="shared" si="120"/>
        <v>0.90300000000000002</v>
      </c>
      <c r="G44" s="130"/>
      <c r="H44" s="131"/>
      <c r="I44" s="61">
        <f t="shared" si="121"/>
        <v>0</v>
      </c>
      <c r="J44" s="61"/>
      <c r="K44" s="131"/>
      <c r="L44" s="61">
        <f t="shared" si="122"/>
        <v>0</v>
      </c>
      <c r="M44" s="61"/>
      <c r="N44" s="131"/>
      <c r="O44" s="61">
        <f t="shared" si="123"/>
        <v>0</v>
      </c>
      <c r="P44" s="61"/>
      <c r="Q44" s="131"/>
      <c r="R44" s="61">
        <f t="shared" si="124"/>
        <v>0</v>
      </c>
      <c r="S44" s="65">
        <f t="shared" si="125"/>
        <v>0</v>
      </c>
      <c r="T44" s="61">
        <f t="shared" si="126"/>
        <v>0</v>
      </c>
      <c r="U44" s="82">
        <f t="shared" si="127"/>
        <v>7</v>
      </c>
      <c r="V44" s="61">
        <f t="shared" si="128"/>
        <v>0.90300000000000002</v>
      </c>
    </row>
    <row r="45" spans="1:22">
      <c r="A45" s="125" t="s">
        <v>13</v>
      </c>
      <c r="B45" s="126" t="s">
        <v>48</v>
      </c>
      <c r="C45" s="127">
        <v>12.9</v>
      </c>
      <c r="D45" s="128">
        <v>10.3</v>
      </c>
      <c r="E45" s="129">
        <v>14</v>
      </c>
      <c r="F45" s="61">
        <f t="shared" si="120"/>
        <v>1.8601800000000002</v>
      </c>
      <c r="G45" s="130"/>
      <c r="H45" s="131"/>
      <c r="I45" s="61">
        <f t="shared" si="121"/>
        <v>0</v>
      </c>
      <c r="J45" s="61"/>
      <c r="K45" s="131"/>
      <c r="L45" s="61">
        <f t="shared" si="122"/>
        <v>0</v>
      </c>
      <c r="M45" s="61"/>
      <c r="N45" s="131"/>
      <c r="O45" s="61">
        <f t="shared" si="123"/>
        <v>0</v>
      </c>
      <c r="P45" s="61"/>
      <c r="Q45" s="131"/>
      <c r="R45" s="61">
        <f t="shared" si="124"/>
        <v>0</v>
      </c>
      <c r="S45" s="65">
        <f t="shared" si="125"/>
        <v>0</v>
      </c>
      <c r="T45" s="61">
        <f t="shared" si="126"/>
        <v>0</v>
      </c>
      <c r="U45" s="82">
        <f t="shared" si="127"/>
        <v>14</v>
      </c>
      <c r="V45" s="61">
        <f t="shared" si="128"/>
        <v>1.8601800000000002</v>
      </c>
    </row>
    <row r="46" spans="1:22">
      <c r="A46" s="125" t="s">
        <v>13</v>
      </c>
      <c r="B46" s="126" t="s">
        <v>48</v>
      </c>
      <c r="C46" s="127">
        <v>12.9</v>
      </c>
      <c r="D46" s="128">
        <v>11</v>
      </c>
      <c r="E46" s="129">
        <v>35</v>
      </c>
      <c r="F46" s="61">
        <f t="shared" si="120"/>
        <v>4.9664999999999999</v>
      </c>
      <c r="G46" s="130"/>
      <c r="H46" s="131"/>
      <c r="I46" s="61">
        <f t="shared" si="121"/>
        <v>0</v>
      </c>
      <c r="J46" s="61"/>
      <c r="K46" s="131"/>
      <c r="L46" s="61">
        <f t="shared" si="122"/>
        <v>0</v>
      </c>
      <c r="M46" s="61"/>
      <c r="N46" s="131"/>
      <c r="O46" s="61">
        <f t="shared" si="123"/>
        <v>0</v>
      </c>
      <c r="P46" s="61"/>
      <c r="Q46" s="131"/>
      <c r="R46" s="61">
        <f t="shared" si="124"/>
        <v>0</v>
      </c>
      <c r="S46" s="65">
        <f t="shared" si="125"/>
        <v>0</v>
      </c>
      <c r="T46" s="61">
        <f t="shared" si="126"/>
        <v>0</v>
      </c>
      <c r="U46" s="82">
        <f t="shared" si="127"/>
        <v>35</v>
      </c>
      <c r="V46" s="61">
        <f t="shared" si="128"/>
        <v>4.9664999999999999</v>
      </c>
    </row>
    <row r="47" spans="1:22">
      <c r="A47" s="125" t="s">
        <v>13</v>
      </c>
      <c r="B47" s="126" t="s">
        <v>48</v>
      </c>
      <c r="C47" s="127">
        <v>12.9</v>
      </c>
      <c r="D47" s="128">
        <v>11.5</v>
      </c>
      <c r="E47" s="129">
        <v>16</v>
      </c>
      <c r="F47" s="61">
        <f t="shared" si="120"/>
        <v>2.3735999999999997</v>
      </c>
      <c r="G47" s="130"/>
      <c r="H47" s="131"/>
      <c r="I47" s="61">
        <f t="shared" si="121"/>
        <v>0</v>
      </c>
      <c r="J47" s="61"/>
      <c r="K47" s="131"/>
      <c r="L47" s="61">
        <f t="shared" si="122"/>
        <v>0</v>
      </c>
      <c r="M47" s="61"/>
      <c r="N47" s="131"/>
      <c r="O47" s="61">
        <f t="shared" si="123"/>
        <v>0</v>
      </c>
      <c r="P47" s="61"/>
      <c r="Q47" s="131"/>
      <c r="R47" s="61">
        <f t="shared" si="124"/>
        <v>0</v>
      </c>
      <c r="S47" s="65">
        <f t="shared" si="125"/>
        <v>0</v>
      </c>
      <c r="T47" s="61">
        <f t="shared" si="126"/>
        <v>0</v>
      </c>
      <c r="U47" s="82">
        <f t="shared" si="127"/>
        <v>16</v>
      </c>
      <c r="V47" s="61">
        <f t="shared" si="128"/>
        <v>2.3735999999999997</v>
      </c>
    </row>
    <row r="48" spans="1:22">
      <c r="A48" s="125" t="s">
        <v>13</v>
      </c>
      <c r="B48" s="126" t="s">
        <v>48</v>
      </c>
      <c r="C48" s="127">
        <v>12.9</v>
      </c>
      <c r="D48" s="128">
        <v>11.9</v>
      </c>
      <c r="E48" s="129">
        <v>27</v>
      </c>
      <c r="F48" s="61">
        <f t="shared" si="120"/>
        <v>4.1447700000000003</v>
      </c>
      <c r="G48" s="130"/>
      <c r="H48" s="131"/>
      <c r="I48" s="61">
        <f t="shared" si="121"/>
        <v>0</v>
      </c>
      <c r="J48" s="61"/>
      <c r="K48" s="131"/>
      <c r="L48" s="61">
        <f t="shared" si="122"/>
        <v>0</v>
      </c>
      <c r="M48" s="61"/>
      <c r="N48" s="131"/>
      <c r="O48" s="61">
        <f t="shared" si="123"/>
        <v>0</v>
      </c>
      <c r="P48" s="61"/>
      <c r="Q48" s="131"/>
      <c r="R48" s="61">
        <f t="shared" si="124"/>
        <v>0</v>
      </c>
      <c r="S48" s="65">
        <f t="shared" si="125"/>
        <v>0</v>
      </c>
      <c r="T48" s="61">
        <f t="shared" si="126"/>
        <v>0</v>
      </c>
      <c r="U48" s="82">
        <f t="shared" si="127"/>
        <v>27</v>
      </c>
      <c r="V48" s="61">
        <f t="shared" si="128"/>
        <v>4.1447700000000003</v>
      </c>
    </row>
    <row r="49" spans="1:22">
      <c r="A49" s="125"/>
      <c r="B49" s="126"/>
      <c r="C49" s="127"/>
      <c r="D49" s="128"/>
      <c r="E49" s="132">
        <f t="shared" ref="E49:F49" si="129">SUM(E40:E48)</f>
        <v>161</v>
      </c>
      <c r="F49" s="133">
        <f t="shared" si="129"/>
        <v>20.432310000000001</v>
      </c>
      <c r="G49" s="130"/>
      <c r="H49" s="132">
        <f t="shared" ref="H49" si="130">SUM(H40:H48)</f>
        <v>0</v>
      </c>
      <c r="I49" s="133">
        <f t="shared" ref="I49" si="131">SUM(I40:I48)</f>
        <v>0</v>
      </c>
      <c r="J49" s="61"/>
      <c r="K49" s="132">
        <f t="shared" ref="K49" si="132">SUM(K40:K48)</f>
        <v>0</v>
      </c>
      <c r="L49" s="133">
        <f t="shared" ref="L49" si="133">SUM(L40:L48)</f>
        <v>0</v>
      </c>
      <c r="M49" s="61"/>
      <c r="N49" s="132">
        <f t="shared" ref="N49" si="134">SUM(N40:N48)</f>
        <v>0</v>
      </c>
      <c r="O49" s="133">
        <f t="shared" ref="O49" si="135">SUM(O40:O48)</f>
        <v>0</v>
      </c>
      <c r="P49" s="61"/>
      <c r="Q49" s="132">
        <f t="shared" ref="Q49" si="136">SUM(Q40:Q48)</f>
        <v>0</v>
      </c>
      <c r="R49" s="133">
        <f t="shared" ref="R49" si="137">SUM(R40:R48)</f>
        <v>0</v>
      </c>
      <c r="S49" s="132">
        <f t="shared" ref="S49" si="138">SUM(S40:S48)</f>
        <v>0</v>
      </c>
      <c r="T49" s="133">
        <f t="shared" ref="T49" si="139">SUM(T40:T48)</f>
        <v>0</v>
      </c>
      <c r="U49" s="132">
        <f t="shared" ref="U49" si="140">SUM(U40:U48)</f>
        <v>161</v>
      </c>
      <c r="V49" s="133">
        <f t="shared" ref="V49" si="141">SUM(V40:V48)</f>
        <v>20.432310000000001</v>
      </c>
    </row>
    <row r="50" spans="1:22">
      <c r="A50" s="125" t="s">
        <v>13</v>
      </c>
      <c r="B50" s="126" t="s">
        <v>49</v>
      </c>
      <c r="C50" s="127">
        <v>14.66</v>
      </c>
      <c r="D50" s="128">
        <v>6.1</v>
      </c>
      <c r="E50" s="129">
        <v>14</v>
      </c>
      <c r="F50" s="61">
        <f t="shared" ref="F50:F53" si="142">(C50*D50*E50/1000)</f>
        <v>1.2519639999999999</v>
      </c>
      <c r="G50" s="130"/>
      <c r="H50" s="131"/>
      <c r="I50" s="61">
        <f t="shared" ref="I50:I53" si="143">(C50*D50*H50/1000)</f>
        <v>0</v>
      </c>
      <c r="J50" s="61"/>
      <c r="K50" s="131"/>
      <c r="L50" s="61">
        <f t="shared" ref="L50:L53" si="144">(C50*D50*K50/1000)</f>
        <v>0</v>
      </c>
      <c r="M50" s="61"/>
      <c r="N50" s="131"/>
      <c r="O50" s="61">
        <f t="shared" ref="O50:O53" si="145">(C50*D50*N50/1000)</f>
        <v>0</v>
      </c>
      <c r="P50" s="61"/>
      <c r="Q50" s="131"/>
      <c r="R50" s="61">
        <f t="shared" ref="R50:R53" si="146">(C50*D50*Q50/1000)</f>
        <v>0</v>
      </c>
      <c r="S50" s="65">
        <f t="shared" ref="S50:S53" si="147">+H50+K50+Q50+N50</f>
        <v>0</v>
      </c>
      <c r="T50" s="61">
        <f t="shared" ref="T50:T53" si="148">+I50+L50+R50+O50</f>
        <v>0</v>
      </c>
      <c r="U50" s="82">
        <f t="shared" ref="U50:U53" si="149">E50-S50</f>
        <v>14</v>
      </c>
      <c r="V50" s="61">
        <f t="shared" ref="V50:V53" si="150">F50-T50</f>
        <v>1.2519639999999999</v>
      </c>
    </row>
    <row r="51" spans="1:22">
      <c r="A51" s="125" t="s">
        <v>13</v>
      </c>
      <c r="B51" s="126" t="s">
        <v>49</v>
      </c>
      <c r="C51" s="127">
        <v>14.66</v>
      </c>
      <c r="D51" s="128">
        <v>7.5</v>
      </c>
      <c r="E51" s="129">
        <v>42</v>
      </c>
      <c r="F51" s="61">
        <f t="shared" si="142"/>
        <v>4.6179000000000006</v>
      </c>
      <c r="G51" s="130"/>
      <c r="H51" s="131"/>
      <c r="I51" s="61">
        <f t="shared" si="143"/>
        <v>0</v>
      </c>
      <c r="J51" s="61"/>
      <c r="K51" s="131"/>
      <c r="L51" s="61">
        <f t="shared" si="144"/>
        <v>0</v>
      </c>
      <c r="M51" s="61"/>
      <c r="N51" s="131"/>
      <c r="O51" s="61">
        <f t="shared" si="145"/>
        <v>0</v>
      </c>
      <c r="P51" s="61"/>
      <c r="Q51" s="131"/>
      <c r="R51" s="61">
        <f t="shared" si="146"/>
        <v>0</v>
      </c>
      <c r="S51" s="65">
        <f t="shared" si="147"/>
        <v>0</v>
      </c>
      <c r="T51" s="61">
        <f t="shared" si="148"/>
        <v>0</v>
      </c>
      <c r="U51" s="82">
        <f t="shared" si="149"/>
        <v>42</v>
      </c>
      <c r="V51" s="61">
        <f t="shared" si="150"/>
        <v>4.6179000000000006</v>
      </c>
    </row>
    <row r="52" spans="1:22">
      <c r="A52" s="125" t="s">
        <v>13</v>
      </c>
      <c r="B52" s="126" t="s">
        <v>49</v>
      </c>
      <c r="C52" s="127">
        <v>14.66</v>
      </c>
      <c r="D52" s="128">
        <v>11</v>
      </c>
      <c r="E52" s="129">
        <v>28</v>
      </c>
      <c r="F52" s="61">
        <f t="shared" si="142"/>
        <v>4.5152799999999997</v>
      </c>
      <c r="G52" s="130"/>
      <c r="H52" s="131"/>
      <c r="I52" s="61">
        <f t="shared" si="143"/>
        <v>0</v>
      </c>
      <c r="J52" s="61"/>
      <c r="K52" s="131"/>
      <c r="L52" s="61">
        <f t="shared" si="144"/>
        <v>0</v>
      </c>
      <c r="M52" s="61"/>
      <c r="N52" s="131"/>
      <c r="O52" s="61">
        <f t="shared" si="145"/>
        <v>0</v>
      </c>
      <c r="P52" s="61"/>
      <c r="Q52" s="131"/>
      <c r="R52" s="61">
        <f t="shared" si="146"/>
        <v>0</v>
      </c>
      <c r="S52" s="65">
        <f t="shared" si="147"/>
        <v>0</v>
      </c>
      <c r="T52" s="61">
        <f t="shared" si="148"/>
        <v>0</v>
      </c>
      <c r="U52" s="82">
        <f t="shared" si="149"/>
        <v>28</v>
      </c>
      <c r="V52" s="61">
        <f t="shared" si="150"/>
        <v>4.5152799999999997</v>
      </c>
    </row>
    <row r="53" spans="1:22">
      <c r="A53" s="125" t="s">
        <v>13</v>
      </c>
      <c r="B53" s="126" t="s">
        <v>49</v>
      </c>
      <c r="C53" s="127">
        <v>14.66</v>
      </c>
      <c r="D53" s="128">
        <v>12</v>
      </c>
      <c r="E53" s="129">
        <v>31</v>
      </c>
      <c r="F53" s="61">
        <f t="shared" si="142"/>
        <v>5.4535200000000001</v>
      </c>
      <c r="G53" s="130"/>
      <c r="H53" s="131"/>
      <c r="I53" s="61">
        <f t="shared" si="143"/>
        <v>0</v>
      </c>
      <c r="J53" s="61"/>
      <c r="K53" s="131"/>
      <c r="L53" s="61">
        <f t="shared" si="144"/>
        <v>0</v>
      </c>
      <c r="M53" s="61"/>
      <c r="N53" s="131"/>
      <c r="O53" s="61">
        <f t="shared" si="145"/>
        <v>0</v>
      </c>
      <c r="P53" s="61"/>
      <c r="Q53" s="131"/>
      <c r="R53" s="61">
        <f t="shared" si="146"/>
        <v>0</v>
      </c>
      <c r="S53" s="65">
        <f t="shared" si="147"/>
        <v>0</v>
      </c>
      <c r="T53" s="61">
        <f t="shared" si="148"/>
        <v>0</v>
      </c>
      <c r="U53" s="82">
        <f t="shared" si="149"/>
        <v>31</v>
      </c>
      <c r="V53" s="61">
        <f t="shared" si="150"/>
        <v>5.4535200000000001</v>
      </c>
    </row>
    <row r="54" spans="1:22">
      <c r="A54" s="125"/>
      <c r="B54" s="126"/>
      <c r="C54" s="127"/>
      <c r="D54" s="128"/>
      <c r="E54" s="132">
        <f t="shared" ref="E54:F54" si="151">SUM(E50:E53)</f>
        <v>115</v>
      </c>
      <c r="F54" s="133">
        <f t="shared" si="151"/>
        <v>15.838664000000001</v>
      </c>
      <c r="G54" s="130"/>
      <c r="H54" s="132">
        <f t="shared" ref="H54" si="152">SUM(H50:H53)</f>
        <v>0</v>
      </c>
      <c r="I54" s="133">
        <f t="shared" ref="I54" si="153">SUM(I50:I53)</f>
        <v>0</v>
      </c>
      <c r="J54" s="61"/>
      <c r="K54" s="132">
        <f t="shared" ref="K54" si="154">SUM(K50:K53)</f>
        <v>0</v>
      </c>
      <c r="L54" s="133">
        <f t="shared" ref="L54" si="155">SUM(L50:L53)</f>
        <v>0</v>
      </c>
      <c r="M54" s="61"/>
      <c r="N54" s="132">
        <f t="shared" ref="N54" si="156">SUM(N50:N53)</f>
        <v>0</v>
      </c>
      <c r="O54" s="133">
        <f t="shared" ref="O54" si="157">SUM(O50:O53)</f>
        <v>0</v>
      </c>
      <c r="P54" s="61"/>
      <c r="Q54" s="132">
        <f t="shared" ref="Q54" si="158">SUM(Q50:Q53)</f>
        <v>0</v>
      </c>
      <c r="R54" s="133">
        <f t="shared" ref="R54" si="159">SUM(R50:R53)</f>
        <v>0</v>
      </c>
      <c r="S54" s="132">
        <f t="shared" ref="S54" si="160">SUM(S50:S53)</f>
        <v>0</v>
      </c>
      <c r="T54" s="133">
        <f t="shared" ref="T54" si="161">SUM(T50:T53)</f>
        <v>0</v>
      </c>
      <c r="U54" s="132">
        <f t="shared" ref="U54" si="162">SUM(U50:U53)</f>
        <v>115</v>
      </c>
      <c r="V54" s="133">
        <f t="shared" ref="V54" si="163">SUM(V50:V53)</f>
        <v>15.838664000000001</v>
      </c>
    </row>
    <row r="55" spans="1:22">
      <c r="A55" s="125" t="s">
        <v>13</v>
      </c>
      <c r="B55" s="126" t="s">
        <v>50</v>
      </c>
      <c r="C55" s="127">
        <v>16.5</v>
      </c>
      <c r="D55" s="128">
        <v>10.4</v>
      </c>
      <c r="E55" s="129">
        <v>7</v>
      </c>
      <c r="F55" s="61">
        <f>(C55*D55*E55/1000)</f>
        <v>1.2012</v>
      </c>
      <c r="G55" s="130"/>
      <c r="H55" s="131"/>
      <c r="I55" s="61">
        <f>(C55*D55*H55/1000)</f>
        <v>0</v>
      </c>
      <c r="J55" s="61"/>
      <c r="K55" s="131"/>
      <c r="L55" s="61">
        <f>(C55*D55*K55/1000)</f>
        <v>0</v>
      </c>
      <c r="M55" s="61"/>
      <c r="N55" s="131"/>
      <c r="O55" s="61">
        <f>(C55*D55*N55/1000)</f>
        <v>0</v>
      </c>
      <c r="P55" s="61"/>
      <c r="Q55" s="131"/>
      <c r="R55" s="61">
        <f>(C55*D55*Q55/1000)</f>
        <v>0</v>
      </c>
      <c r="S55" s="65">
        <f>+H55+K55+Q55+N55</f>
        <v>0</v>
      </c>
      <c r="T55" s="61">
        <f>+I55+L55+R55+O55</f>
        <v>0</v>
      </c>
      <c r="U55" s="82">
        <f>E55-S55</f>
        <v>7</v>
      </c>
      <c r="V55" s="61">
        <f>F55-T55</f>
        <v>1.2012</v>
      </c>
    </row>
    <row r="56" spans="1:22">
      <c r="A56" s="125"/>
      <c r="B56" s="126"/>
      <c r="C56" s="127"/>
      <c r="D56" s="128"/>
      <c r="E56" s="132">
        <f t="shared" ref="E56:F56" si="164">SUM(E55)</f>
        <v>7</v>
      </c>
      <c r="F56" s="133">
        <f t="shared" si="164"/>
        <v>1.2012</v>
      </c>
      <c r="G56" s="130"/>
      <c r="H56" s="132">
        <f t="shared" ref="H56" si="165">SUM(H55)</f>
        <v>0</v>
      </c>
      <c r="I56" s="133">
        <f t="shared" ref="I56" si="166">SUM(I55)</f>
        <v>0</v>
      </c>
      <c r="J56" s="61"/>
      <c r="K56" s="132">
        <f t="shared" ref="K56" si="167">SUM(K55)</f>
        <v>0</v>
      </c>
      <c r="L56" s="133">
        <f t="shared" ref="L56" si="168">SUM(L55)</f>
        <v>0</v>
      </c>
      <c r="M56" s="61"/>
      <c r="N56" s="132">
        <f t="shared" ref="N56" si="169">SUM(N55)</f>
        <v>0</v>
      </c>
      <c r="O56" s="133">
        <f t="shared" ref="O56" si="170">SUM(O55)</f>
        <v>0</v>
      </c>
      <c r="P56" s="61"/>
      <c r="Q56" s="132">
        <f t="shared" ref="Q56" si="171">SUM(Q55)</f>
        <v>0</v>
      </c>
      <c r="R56" s="133">
        <f t="shared" ref="R56" si="172">SUM(R55)</f>
        <v>0</v>
      </c>
      <c r="S56" s="132">
        <f t="shared" ref="S56" si="173">SUM(S55)</f>
        <v>0</v>
      </c>
      <c r="T56" s="133">
        <f t="shared" ref="T56" si="174">SUM(T55)</f>
        <v>0</v>
      </c>
      <c r="U56" s="132">
        <f t="shared" ref="U56" si="175">SUM(U55)</f>
        <v>7</v>
      </c>
      <c r="V56" s="133">
        <f t="shared" ref="V56" si="176">SUM(V55)</f>
        <v>1.2012</v>
      </c>
    </row>
    <row r="57" spans="1:22">
      <c r="A57" s="125" t="s">
        <v>13</v>
      </c>
      <c r="B57" s="126" t="s">
        <v>52</v>
      </c>
      <c r="C57" s="127">
        <v>21.7</v>
      </c>
      <c r="D57" s="128">
        <v>8.9</v>
      </c>
      <c r="E57" s="129">
        <v>2</v>
      </c>
      <c r="F57" s="61">
        <f>(C57*D57*E57/1000)</f>
        <v>0.38625999999999999</v>
      </c>
      <c r="G57" s="130"/>
      <c r="H57" s="131"/>
      <c r="I57" s="61">
        <f>(C57*D57*H57/1000)</f>
        <v>0</v>
      </c>
      <c r="J57" s="61"/>
      <c r="K57" s="131"/>
      <c r="L57" s="61">
        <f>(C57*D57*K57/1000)</f>
        <v>0</v>
      </c>
      <c r="M57" s="61"/>
      <c r="N57" s="131"/>
      <c r="O57" s="61">
        <f>(C57*D57*N57/1000)</f>
        <v>0</v>
      </c>
      <c r="P57" s="61"/>
      <c r="Q57" s="131"/>
      <c r="R57" s="61">
        <f>(C57*D57*Q57/1000)</f>
        <v>0</v>
      </c>
      <c r="S57" s="65">
        <f>+H57+K57+Q57+N57</f>
        <v>0</v>
      </c>
      <c r="T57" s="61">
        <f>+I57+L57+R57+O57</f>
        <v>0</v>
      </c>
      <c r="U57" s="82">
        <f>E57-S57</f>
        <v>2</v>
      </c>
      <c r="V57" s="61">
        <f>F57-T57</f>
        <v>0.38625999999999999</v>
      </c>
    </row>
    <row r="58" spans="1:22">
      <c r="A58" s="125"/>
      <c r="B58" s="126"/>
      <c r="C58" s="127"/>
      <c r="D58" s="128"/>
      <c r="E58" s="132">
        <f t="shared" ref="E58:F58" si="177">SUM(E57)</f>
        <v>2</v>
      </c>
      <c r="F58" s="133">
        <f t="shared" si="177"/>
        <v>0.38625999999999999</v>
      </c>
      <c r="G58" s="130"/>
      <c r="H58" s="132">
        <f t="shared" ref="H58" si="178">SUM(H57)</f>
        <v>0</v>
      </c>
      <c r="I58" s="133">
        <f t="shared" ref="I58" si="179">SUM(I57)</f>
        <v>0</v>
      </c>
      <c r="J58" s="61"/>
      <c r="K58" s="132">
        <f t="shared" ref="K58" si="180">SUM(K57)</f>
        <v>0</v>
      </c>
      <c r="L58" s="133">
        <f t="shared" ref="L58" si="181">SUM(L57)</f>
        <v>0</v>
      </c>
      <c r="M58" s="61"/>
      <c r="N58" s="132">
        <f t="shared" ref="N58" si="182">SUM(N57)</f>
        <v>0</v>
      </c>
      <c r="O58" s="133">
        <f t="shared" ref="O58" si="183">SUM(O57)</f>
        <v>0</v>
      </c>
      <c r="P58" s="61"/>
      <c r="Q58" s="132">
        <f t="shared" ref="Q58" si="184">SUM(Q57)</f>
        <v>0</v>
      </c>
      <c r="R58" s="133">
        <f t="shared" ref="R58" si="185">SUM(R57)</f>
        <v>0</v>
      </c>
      <c r="S58" s="132">
        <f t="shared" ref="S58" si="186">SUM(S57)</f>
        <v>0</v>
      </c>
      <c r="T58" s="133">
        <f t="shared" ref="T58" si="187">SUM(T57)</f>
        <v>0</v>
      </c>
      <c r="U58" s="132">
        <f t="shared" ref="U58" si="188">SUM(U57)</f>
        <v>2</v>
      </c>
      <c r="V58" s="133">
        <f t="shared" ref="V58" si="189">SUM(V57)</f>
        <v>0.38625999999999999</v>
      </c>
    </row>
    <row r="59" spans="1:22">
      <c r="A59" s="125" t="s">
        <v>13</v>
      </c>
      <c r="B59" s="126" t="s">
        <v>55</v>
      </c>
      <c r="C59" s="127">
        <v>15.92</v>
      </c>
      <c r="D59" s="128">
        <v>6.5</v>
      </c>
      <c r="E59" s="129">
        <v>28</v>
      </c>
      <c r="F59" s="61">
        <f t="shared" ref="F59:F62" si="190">(C59*D59*E59/1000)</f>
        <v>2.89744</v>
      </c>
      <c r="G59" s="130"/>
      <c r="H59" s="131"/>
      <c r="I59" s="61">
        <f t="shared" ref="I59:I62" si="191">(C59*D59*H59/1000)</f>
        <v>0</v>
      </c>
      <c r="J59" s="61"/>
      <c r="K59" s="131"/>
      <c r="L59" s="61">
        <f t="shared" ref="L59:L62" si="192">(C59*D59*K59/1000)</f>
        <v>0</v>
      </c>
      <c r="M59" s="61"/>
      <c r="N59" s="131"/>
      <c r="O59" s="61">
        <f t="shared" ref="O59:O62" si="193">(C59*D59*N59/1000)</f>
        <v>0</v>
      </c>
      <c r="P59" s="61"/>
      <c r="Q59" s="131"/>
      <c r="R59" s="61">
        <f t="shared" ref="R59:R62" si="194">(C59*D59*Q59/1000)</f>
        <v>0</v>
      </c>
      <c r="S59" s="65">
        <f t="shared" ref="S59:S62" si="195">+H59+K59+Q59+N59</f>
        <v>0</v>
      </c>
      <c r="T59" s="61">
        <f t="shared" ref="T59:T62" si="196">+I59+L59+R59+O59</f>
        <v>0</v>
      </c>
      <c r="U59" s="82">
        <f t="shared" ref="U59:U62" si="197">E59-S59</f>
        <v>28</v>
      </c>
      <c r="V59" s="61">
        <f t="shared" ref="V59:V62" si="198">F59-T59</f>
        <v>2.89744</v>
      </c>
    </row>
    <row r="60" spans="1:22">
      <c r="A60" s="125" t="s">
        <v>13</v>
      </c>
      <c r="B60" s="126" t="s">
        <v>55</v>
      </c>
      <c r="C60" s="127">
        <v>15.92</v>
      </c>
      <c r="D60" s="128">
        <v>7</v>
      </c>
      <c r="E60" s="129">
        <v>10</v>
      </c>
      <c r="F60" s="61">
        <f t="shared" si="190"/>
        <v>1.1144000000000001</v>
      </c>
      <c r="G60" s="130"/>
      <c r="H60" s="131"/>
      <c r="I60" s="61">
        <f t="shared" si="191"/>
        <v>0</v>
      </c>
      <c r="J60" s="61"/>
      <c r="K60" s="131"/>
      <c r="L60" s="61">
        <f t="shared" si="192"/>
        <v>0</v>
      </c>
      <c r="M60" s="61"/>
      <c r="N60" s="131"/>
      <c r="O60" s="61">
        <f t="shared" si="193"/>
        <v>0</v>
      </c>
      <c r="P60" s="61"/>
      <c r="Q60" s="131"/>
      <c r="R60" s="61">
        <f t="shared" si="194"/>
        <v>0</v>
      </c>
      <c r="S60" s="65">
        <f t="shared" si="195"/>
        <v>0</v>
      </c>
      <c r="T60" s="61">
        <f t="shared" si="196"/>
        <v>0</v>
      </c>
      <c r="U60" s="82">
        <f t="shared" si="197"/>
        <v>10</v>
      </c>
      <c r="V60" s="61">
        <f t="shared" si="198"/>
        <v>1.1144000000000001</v>
      </c>
    </row>
    <row r="61" spans="1:22">
      <c r="A61" s="125" t="s">
        <v>13</v>
      </c>
      <c r="B61" s="126" t="s">
        <v>55</v>
      </c>
      <c r="C61" s="127">
        <v>15.92</v>
      </c>
      <c r="D61" s="128">
        <v>11.4</v>
      </c>
      <c r="E61" s="129">
        <v>19</v>
      </c>
      <c r="F61" s="61">
        <f t="shared" si="190"/>
        <v>3.4482719999999998</v>
      </c>
      <c r="G61" s="130"/>
      <c r="H61" s="131"/>
      <c r="I61" s="61">
        <f t="shared" si="191"/>
        <v>0</v>
      </c>
      <c r="J61" s="61"/>
      <c r="K61" s="131"/>
      <c r="L61" s="61">
        <f t="shared" si="192"/>
        <v>0</v>
      </c>
      <c r="M61" s="61"/>
      <c r="N61" s="131"/>
      <c r="O61" s="61">
        <f t="shared" si="193"/>
        <v>0</v>
      </c>
      <c r="P61" s="61"/>
      <c r="Q61" s="131"/>
      <c r="R61" s="61">
        <f t="shared" si="194"/>
        <v>0</v>
      </c>
      <c r="S61" s="65">
        <f t="shared" si="195"/>
        <v>0</v>
      </c>
      <c r="T61" s="61">
        <f t="shared" si="196"/>
        <v>0</v>
      </c>
      <c r="U61" s="82">
        <f t="shared" si="197"/>
        <v>19</v>
      </c>
      <c r="V61" s="61">
        <f t="shared" si="198"/>
        <v>3.4482719999999998</v>
      </c>
    </row>
    <row r="62" spans="1:22">
      <c r="A62" s="125" t="s">
        <v>13</v>
      </c>
      <c r="B62" s="126" t="s">
        <v>55</v>
      </c>
      <c r="C62" s="127">
        <v>15.92</v>
      </c>
      <c r="D62" s="128">
        <v>11.9</v>
      </c>
      <c r="E62" s="129">
        <v>20</v>
      </c>
      <c r="F62" s="61">
        <f t="shared" si="190"/>
        <v>3.7889599999999999</v>
      </c>
      <c r="G62" s="130"/>
      <c r="H62" s="131"/>
      <c r="I62" s="61">
        <f t="shared" si="191"/>
        <v>0</v>
      </c>
      <c r="J62" s="61"/>
      <c r="K62" s="131"/>
      <c r="L62" s="61">
        <f t="shared" si="192"/>
        <v>0</v>
      </c>
      <c r="M62" s="61"/>
      <c r="N62" s="131"/>
      <c r="O62" s="61">
        <f t="shared" si="193"/>
        <v>0</v>
      </c>
      <c r="P62" s="61"/>
      <c r="Q62" s="131"/>
      <c r="R62" s="61">
        <f t="shared" si="194"/>
        <v>0</v>
      </c>
      <c r="S62" s="65">
        <f t="shared" si="195"/>
        <v>0</v>
      </c>
      <c r="T62" s="61">
        <f t="shared" si="196"/>
        <v>0</v>
      </c>
      <c r="U62" s="82">
        <f t="shared" si="197"/>
        <v>20</v>
      </c>
      <c r="V62" s="61">
        <f t="shared" si="198"/>
        <v>3.7889599999999999</v>
      </c>
    </row>
    <row r="63" spans="1:22">
      <c r="A63" s="125"/>
      <c r="B63" s="126"/>
      <c r="C63" s="127"/>
      <c r="D63" s="128"/>
      <c r="E63" s="132">
        <f t="shared" ref="E63:F63" si="199">SUM(E59:E62)</f>
        <v>77</v>
      </c>
      <c r="F63" s="133">
        <f t="shared" si="199"/>
        <v>11.249072</v>
      </c>
      <c r="G63" s="130"/>
      <c r="H63" s="132">
        <f t="shared" ref="H63" si="200">SUM(H59:H62)</f>
        <v>0</v>
      </c>
      <c r="I63" s="133">
        <f t="shared" ref="I63" si="201">SUM(I59:I62)</f>
        <v>0</v>
      </c>
      <c r="J63" s="61"/>
      <c r="K63" s="132">
        <f t="shared" ref="K63" si="202">SUM(K59:K62)</f>
        <v>0</v>
      </c>
      <c r="L63" s="133">
        <f t="shared" ref="L63" si="203">SUM(L59:L62)</f>
        <v>0</v>
      </c>
      <c r="M63" s="61"/>
      <c r="N63" s="132">
        <f t="shared" ref="N63" si="204">SUM(N59:N62)</f>
        <v>0</v>
      </c>
      <c r="O63" s="133">
        <f t="shared" ref="O63" si="205">SUM(O59:O62)</f>
        <v>0</v>
      </c>
      <c r="P63" s="61"/>
      <c r="Q63" s="132">
        <f t="shared" ref="Q63" si="206">SUM(Q59:Q62)</f>
        <v>0</v>
      </c>
      <c r="R63" s="133">
        <f t="shared" ref="R63" si="207">SUM(R59:R62)</f>
        <v>0</v>
      </c>
      <c r="S63" s="132">
        <f t="shared" ref="S63" si="208">SUM(S59:S62)</f>
        <v>0</v>
      </c>
      <c r="T63" s="133">
        <f t="shared" ref="T63" si="209">SUM(T59:T62)</f>
        <v>0</v>
      </c>
      <c r="U63" s="132">
        <f t="shared" ref="U63" si="210">SUM(U59:U62)</f>
        <v>77</v>
      </c>
      <c r="V63" s="133">
        <f t="shared" ref="V63" si="211">SUM(V59:V62)</f>
        <v>11.249072</v>
      </c>
    </row>
    <row r="64" spans="1:22">
      <c r="A64" s="125" t="s">
        <v>13</v>
      </c>
      <c r="B64" s="126" t="s">
        <v>56</v>
      </c>
      <c r="C64" s="127">
        <v>17.82</v>
      </c>
      <c r="D64" s="128">
        <v>11</v>
      </c>
      <c r="E64" s="129">
        <v>14</v>
      </c>
      <c r="F64" s="61">
        <f t="shared" ref="F64:F66" si="212">(C64*D64*E64/1000)</f>
        <v>2.7442800000000003</v>
      </c>
      <c r="G64" s="130"/>
      <c r="H64" s="131"/>
      <c r="I64" s="61">
        <f t="shared" ref="I64:I66" si="213">(C64*D64*H64/1000)</f>
        <v>0</v>
      </c>
      <c r="J64" s="61"/>
      <c r="K64" s="131"/>
      <c r="L64" s="61">
        <f t="shared" ref="L64:L66" si="214">(C64*D64*K64/1000)</f>
        <v>0</v>
      </c>
      <c r="M64" s="61"/>
      <c r="N64" s="131"/>
      <c r="O64" s="61">
        <f t="shared" ref="O64:O66" si="215">(C64*D64*N64/1000)</f>
        <v>0</v>
      </c>
      <c r="P64" s="61"/>
      <c r="Q64" s="131"/>
      <c r="R64" s="61">
        <f t="shared" ref="R64:R66" si="216">(C64*D64*Q64/1000)</f>
        <v>0</v>
      </c>
      <c r="S64" s="65">
        <f t="shared" ref="S64:S66" si="217">+H64+K64+Q64+N64</f>
        <v>0</v>
      </c>
      <c r="T64" s="61">
        <f t="shared" ref="T64:T66" si="218">+I64+L64+R64+O64</f>
        <v>0</v>
      </c>
      <c r="U64" s="82">
        <f t="shared" ref="U64:U66" si="219">E64-S64</f>
        <v>14</v>
      </c>
      <c r="V64" s="61">
        <f t="shared" ref="V64:V66" si="220">F64-T64</f>
        <v>2.7442800000000003</v>
      </c>
    </row>
    <row r="65" spans="1:22">
      <c r="A65" s="125" t="s">
        <v>13</v>
      </c>
      <c r="B65" s="126" t="s">
        <v>56</v>
      </c>
      <c r="C65" s="127">
        <v>17.82</v>
      </c>
      <c r="D65" s="128">
        <v>11.3</v>
      </c>
      <c r="E65" s="129">
        <v>28</v>
      </c>
      <c r="F65" s="61">
        <f t="shared" si="212"/>
        <v>5.6382480000000008</v>
      </c>
      <c r="G65" s="130"/>
      <c r="H65" s="131"/>
      <c r="I65" s="61">
        <f t="shared" si="213"/>
        <v>0</v>
      </c>
      <c r="J65" s="61"/>
      <c r="K65" s="131"/>
      <c r="L65" s="61">
        <f t="shared" si="214"/>
        <v>0</v>
      </c>
      <c r="M65" s="61"/>
      <c r="N65" s="131"/>
      <c r="O65" s="61">
        <f t="shared" si="215"/>
        <v>0</v>
      </c>
      <c r="P65" s="61"/>
      <c r="Q65" s="131"/>
      <c r="R65" s="61">
        <f t="shared" si="216"/>
        <v>0</v>
      </c>
      <c r="S65" s="65">
        <f t="shared" si="217"/>
        <v>0</v>
      </c>
      <c r="T65" s="61">
        <f t="shared" si="218"/>
        <v>0</v>
      </c>
      <c r="U65" s="82">
        <f t="shared" si="219"/>
        <v>28</v>
      </c>
      <c r="V65" s="61">
        <f t="shared" si="220"/>
        <v>5.6382480000000008</v>
      </c>
    </row>
    <row r="66" spans="1:22">
      <c r="A66" s="125" t="s">
        <v>13</v>
      </c>
      <c r="B66" s="126" t="s">
        <v>56</v>
      </c>
      <c r="C66" s="127">
        <v>17.82</v>
      </c>
      <c r="D66" s="128">
        <v>12</v>
      </c>
      <c r="E66" s="129">
        <v>30</v>
      </c>
      <c r="F66" s="61">
        <f t="shared" si="212"/>
        <v>6.4151999999999996</v>
      </c>
      <c r="G66" s="130"/>
      <c r="H66" s="131"/>
      <c r="I66" s="61">
        <f t="shared" si="213"/>
        <v>0</v>
      </c>
      <c r="J66" s="61"/>
      <c r="K66" s="131"/>
      <c r="L66" s="61">
        <f t="shared" si="214"/>
        <v>0</v>
      </c>
      <c r="M66" s="61"/>
      <c r="N66" s="131"/>
      <c r="O66" s="61">
        <f t="shared" si="215"/>
        <v>0</v>
      </c>
      <c r="P66" s="61"/>
      <c r="Q66" s="131"/>
      <c r="R66" s="61">
        <f t="shared" si="216"/>
        <v>0</v>
      </c>
      <c r="S66" s="65">
        <f t="shared" si="217"/>
        <v>0</v>
      </c>
      <c r="T66" s="61">
        <f t="shared" si="218"/>
        <v>0</v>
      </c>
      <c r="U66" s="82">
        <f t="shared" si="219"/>
        <v>30</v>
      </c>
      <c r="V66" s="61">
        <f t="shared" si="220"/>
        <v>6.4151999999999996</v>
      </c>
    </row>
    <row r="67" spans="1:22">
      <c r="A67" s="125"/>
      <c r="B67" s="126"/>
      <c r="C67" s="127"/>
      <c r="D67" s="128"/>
      <c r="E67" s="132">
        <f t="shared" ref="E67:F67" si="221">SUM(E64:E66)</f>
        <v>72</v>
      </c>
      <c r="F67" s="133">
        <f t="shared" si="221"/>
        <v>14.797727999999999</v>
      </c>
      <c r="G67" s="130"/>
      <c r="H67" s="132">
        <f t="shared" ref="H67" si="222">SUM(H64:H66)</f>
        <v>0</v>
      </c>
      <c r="I67" s="133">
        <f t="shared" ref="I67" si="223">SUM(I64:I66)</f>
        <v>0</v>
      </c>
      <c r="J67" s="61"/>
      <c r="K67" s="132">
        <f t="shared" ref="K67" si="224">SUM(K64:K66)</f>
        <v>0</v>
      </c>
      <c r="L67" s="133">
        <f t="shared" ref="L67" si="225">SUM(L64:L66)</f>
        <v>0</v>
      </c>
      <c r="M67" s="61"/>
      <c r="N67" s="132">
        <f t="shared" ref="N67" si="226">SUM(N64:N66)</f>
        <v>0</v>
      </c>
      <c r="O67" s="133">
        <f t="shared" ref="O67" si="227">SUM(O64:O66)</f>
        <v>0</v>
      </c>
      <c r="P67" s="61"/>
      <c r="Q67" s="132">
        <f t="shared" ref="Q67" si="228">SUM(Q64:Q66)</f>
        <v>0</v>
      </c>
      <c r="R67" s="133">
        <f t="shared" ref="R67" si="229">SUM(R64:R66)</f>
        <v>0</v>
      </c>
      <c r="S67" s="132">
        <f t="shared" ref="S67" si="230">SUM(S64:S66)</f>
        <v>0</v>
      </c>
      <c r="T67" s="133">
        <f t="shared" ref="T67" si="231">SUM(T64:T66)</f>
        <v>0</v>
      </c>
      <c r="U67" s="132">
        <f t="shared" ref="U67" si="232">SUM(U64:U66)</f>
        <v>72</v>
      </c>
      <c r="V67" s="133">
        <f t="shared" ref="V67" si="233">SUM(V64:V66)</f>
        <v>14.797727999999999</v>
      </c>
    </row>
    <row r="68" spans="1:22">
      <c r="A68" s="125" t="s">
        <v>13</v>
      </c>
      <c r="B68" s="126" t="s">
        <v>75</v>
      </c>
      <c r="C68" s="127">
        <v>31.6</v>
      </c>
      <c r="D68" s="128">
        <v>9.9</v>
      </c>
      <c r="E68" s="129">
        <v>14</v>
      </c>
      <c r="F68" s="61">
        <f>(C68*D68*E68/1000)</f>
        <v>4.3797600000000001</v>
      </c>
      <c r="G68" s="130"/>
      <c r="H68" s="131"/>
      <c r="I68" s="61">
        <f>(C68*D68*H68/1000)</f>
        <v>0</v>
      </c>
      <c r="J68" s="61"/>
      <c r="K68" s="131"/>
      <c r="L68" s="61">
        <f>(C68*D68*K68/1000)</f>
        <v>0</v>
      </c>
      <c r="M68" s="61"/>
      <c r="N68" s="131"/>
      <c r="O68" s="61">
        <f>(C68*D68*N68/1000)</f>
        <v>0</v>
      </c>
      <c r="P68" s="61"/>
      <c r="Q68" s="131"/>
      <c r="R68" s="61">
        <f>(C68*D68*Q68/1000)</f>
        <v>0</v>
      </c>
      <c r="S68" s="65">
        <f>+H68+K68+Q68+N68</f>
        <v>0</v>
      </c>
      <c r="T68" s="61">
        <f>+I68+L68+R68+O68</f>
        <v>0</v>
      </c>
      <c r="U68" s="82">
        <f>E68-S68</f>
        <v>14</v>
      </c>
      <c r="V68" s="61">
        <f>F68-T68</f>
        <v>4.3797600000000001</v>
      </c>
    </row>
    <row r="69" spans="1:22">
      <c r="A69" s="125"/>
      <c r="B69" s="126"/>
      <c r="C69" s="127"/>
      <c r="D69" s="128"/>
      <c r="E69" s="132">
        <f t="shared" ref="E69:F69" si="234">SUM(E68)</f>
        <v>14</v>
      </c>
      <c r="F69" s="133">
        <f t="shared" si="234"/>
        <v>4.3797600000000001</v>
      </c>
      <c r="G69" s="130"/>
      <c r="H69" s="132">
        <f t="shared" ref="H69" si="235">SUM(H68)</f>
        <v>0</v>
      </c>
      <c r="I69" s="133">
        <f t="shared" ref="I69" si="236">SUM(I68)</f>
        <v>0</v>
      </c>
      <c r="J69" s="61"/>
      <c r="K69" s="132">
        <f t="shared" ref="K69" si="237">SUM(K68)</f>
        <v>0</v>
      </c>
      <c r="L69" s="133">
        <f t="shared" ref="L69" si="238">SUM(L68)</f>
        <v>0</v>
      </c>
      <c r="M69" s="61"/>
      <c r="N69" s="132">
        <f t="shared" ref="N69" si="239">SUM(N68)</f>
        <v>0</v>
      </c>
      <c r="O69" s="133">
        <f t="shared" ref="O69" si="240">SUM(O68)</f>
        <v>0</v>
      </c>
      <c r="P69" s="61"/>
      <c r="Q69" s="132">
        <f t="shared" ref="Q69" si="241">SUM(Q68)</f>
        <v>0</v>
      </c>
      <c r="R69" s="133">
        <f t="shared" ref="R69" si="242">SUM(R68)</f>
        <v>0</v>
      </c>
      <c r="S69" s="132">
        <f t="shared" ref="S69" si="243">SUM(S68)</f>
        <v>0</v>
      </c>
      <c r="T69" s="133">
        <f t="shared" ref="T69" si="244">SUM(T68)</f>
        <v>0</v>
      </c>
      <c r="U69" s="132">
        <f t="shared" ref="U69" si="245">SUM(U68)</f>
        <v>14</v>
      </c>
      <c r="V69" s="133">
        <f t="shared" ref="V69" si="246">SUM(V68)</f>
        <v>4.3797600000000001</v>
      </c>
    </row>
    <row r="70" spans="1:22">
      <c r="A70" s="125" t="s">
        <v>13</v>
      </c>
      <c r="B70" s="126" t="s">
        <v>126</v>
      </c>
      <c r="C70" s="127">
        <v>33.72</v>
      </c>
      <c r="D70" s="128">
        <v>12</v>
      </c>
      <c r="E70" s="129">
        <v>6</v>
      </c>
      <c r="F70" s="61">
        <f>(C70*D70*E70/1000)</f>
        <v>2.4278400000000002</v>
      </c>
      <c r="G70" s="130"/>
      <c r="H70" s="131"/>
      <c r="I70" s="61">
        <f>(C70*D70*H70/1000)</f>
        <v>0</v>
      </c>
      <c r="J70" s="61"/>
      <c r="K70" s="131"/>
      <c r="L70" s="61">
        <f>(C70*D70*K70/1000)</f>
        <v>0</v>
      </c>
      <c r="M70" s="61"/>
      <c r="N70" s="131"/>
      <c r="O70" s="61">
        <f>(C70*D70*N70/1000)</f>
        <v>0</v>
      </c>
      <c r="P70" s="61"/>
      <c r="Q70" s="131"/>
      <c r="R70" s="61">
        <f>(C70*D70*Q70/1000)</f>
        <v>0</v>
      </c>
      <c r="S70" s="65">
        <f>+H70+K70+Q70+N70</f>
        <v>0</v>
      </c>
      <c r="T70" s="61">
        <f>+I70+L70+R70+O70</f>
        <v>0</v>
      </c>
      <c r="U70" s="82">
        <f>E70-S70</f>
        <v>6</v>
      </c>
      <c r="V70" s="61">
        <f>F70-T70</f>
        <v>2.4278400000000002</v>
      </c>
    </row>
    <row r="71" spans="1:22">
      <c r="A71" s="125"/>
      <c r="B71" s="126"/>
      <c r="C71" s="127"/>
      <c r="D71" s="128"/>
      <c r="E71" s="132">
        <f t="shared" ref="E71:F71" si="247">SUM(E70)</f>
        <v>6</v>
      </c>
      <c r="F71" s="133">
        <f t="shared" si="247"/>
        <v>2.4278400000000002</v>
      </c>
      <c r="G71" s="130"/>
      <c r="H71" s="132">
        <f t="shared" ref="H71" si="248">SUM(H70)</f>
        <v>0</v>
      </c>
      <c r="I71" s="133">
        <f t="shared" ref="I71" si="249">SUM(I70)</f>
        <v>0</v>
      </c>
      <c r="J71" s="61"/>
      <c r="K71" s="132">
        <f t="shared" ref="K71" si="250">SUM(K70)</f>
        <v>0</v>
      </c>
      <c r="L71" s="133">
        <f t="shared" ref="L71" si="251">SUM(L70)</f>
        <v>0</v>
      </c>
      <c r="M71" s="61"/>
      <c r="N71" s="132">
        <f t="shared" ref="N71" si="252">SUM(N70)</f>
        <v>0</v>
      </c>
      <c r="O71" s="133">
        <f t="shared" ref="O71" si="253">SUM(O70)</f>
        <v>0</v>
      </c>
      <c r="P71" s="61"/>
      <c r="Q71" s="132">
        <f t="shared" ref="Q71" si="254">SUM(Q70)</f>
        <v>0</v>
      </c>
      <c r="R71" s="133">
        <f t="shared" ref="R71" si="255">SUM(R70)</f>
        <v>0</v>
      </c>
      <c r="S71" s="132">
        <f t="shared" ref="S71" si="256">SUM(S70)</f>
        <v>0</v>
      </c>
      <c r="T71" s="133">
        <f t="shared" ref="T71" si="257">SUM(T70)</f>
        <v>0</v>
      </c>
      <c r="U71" s="132">
        <f t="shared" ref="U71" si="258">SUM(U70)</f>
        <v>6</v>
      </c>
      <c r="V71" s="133">
        <f t="shared" ref="V71" si="259">SUM(V70)</f>
        <v>2.4278400000000002</v>
      </c>
    </row>
    <row r="72" spans="1:22">
      <c r="A72" s="125" t="s">
        <v>13</v>
      </c>
      <c r="B72" s="126" t="s">
        <v>146</v>
      </c>
      <c r="C72" s="127">
        <v>38</v>
      </c>
      <c r="D72" s="128">
        <v>10.050000000000001</v>
      </c>
      <c r="E72" s="129">
        <v>14</v>
      </c>
      <c r="F72" s="61">
        <f>(C72*D72*E72/1000)</f>
        <v>5.3466000000000005</v>
      </c>
      <c r="G72" s="130"/>
      <c r="H72" s="131"/>
      <c r="I72" s="61">
        <f>(C72*D72*H72/1000)</f>
        <v>0</v>
      </c>
      <c r="J72" s="61"/>
      <c r="K72" s="131"/>
      <c r="L72" s="61">
        <f>(C72*D72*K72/1000)</f>
        <v>0</v>
      </c>
      <c r="M72" s="61"/>
      <c r="N72" s="131"/>
      <c r="O72" s="61">
        <f>(C72*D72*N72/1000)</f>
        <v>0</v>
      </c>
      <c r="P72" s="61"/>
      <c r="Q72" s="131"/>
      <c r="R72" s="61">
        <f>(C72*D72*Q72/1000)</f>
        <v>0</v>
      </c>
      <c r="S72" s="65">
        <f>+H72+K72+Q72+N72</f>
        <v>0</v>
      </c>
      <c r="T72" s="61">
        <f>+I72+L72+R72+O72</f>
        <v>0</v>
      </c>
      <c r="U72" s="82">
        <f>E72-S72</f>
        <v>14</v>
      </c>
      <c r="V72" s="61">
        <f>F72-T72</f>
        <v>5.3466000000000005</v>
      </c>
    </row>
    <row r="73" spans="1:22">
      <c r="A73" s="125"/>
      <c r="B73" s="126"/>
      <c r="C73" s="127"/>
      <c r="D73" s="128"/>
      <c r="E73" s="132">
        <f t="shared" ref="E73:F73" si="260">SUM(E72)</f>
        <v>14</v>
      </c>
      <c r="F73" s="133">
        <f t="shared" si="260"/>
        <v>5.3466000000000005</v>
      </c>
      <c r="G73" s="130"/>
      <c r="H73" s="132">
        <f t="shared" ref="H73" si="261">SUM(H72)</f>
        <v>0</v>
      </c>
      <c r="I73" s="133">
        <f t="shared" ref="I73" si="262">SUM(I72)</f>
        <v>0</v>
      </c>
      <c r="J73" s="61"/>
      <c r="K73" s="132">
        <f t="shared" ref="K73" si="263">SUM(K72)</f>
        <v>0</v>
      </c>
      <c r="L73" s="133">
        <f t="shared" ref="L73" si="264">SUM(L72)</f>
        <v>0</v>
      </c>
      <c r="M73" s="61"/>
      <c r="N73" s="132">
        <f t="shared" ref="N73" si="265">SUM(N72)</f>
        <v>0</v>
      </c>
      <c r="O73" s="133">
        <f t="shared" ref="O73" si="266">SUM(O72)</f>
        <v>0</v>
      </c>
      <c r="P73" s="61"/>
      <c r="Q73" s="132">
        <f t="shared" ref="Q73" si="267">SUM(Q72)</f>
        <v>0</v>
      </c>
      <c r="R73" s="133">
        <f t="shared" ref="R73" si="268">SUM(R72)</f>
        <v>0</v>
      </c>
      <c r="S73" s="132">
        <f t="shared" ref="S73" si="269">SUM(S72)</f>
        <v>0</v>
      </c>
      <c r="T73" s="133">
        <f t="shared" ref="T73" si="270">SUM(T72)</f>
        <v>0</v>
      </c>
      <c r="U73" s="132">
        <f t="shared" ref="U73" si="271">SUM(U72)</f>
        <v>14</v>
      </c>
      <c r="V73" s="133">
        <f t="shared" ref="V73" si="272">SUM(V72)</f>
        <v>5.3466000000000005</v>
      </c>
    </row>
    <row r="74" spans="1:22">
      <c r="A74" s="125" t="s">
        <v>13</v>
      </c>
      <c r="B74" s="126" t="s">
        <v>34</v>
      </c>
      <c r="C74" s="127">
        <v>5.77</v>
      </c>
      <c r="D74" s="128">
        <v>7.4</v>
      </c>
      <c r="E74" s="129">
        <v>48</v>
      </c>
      <c r="F74" s="61">
        <f t="shared" ref="F74:F76" si="273">(C74*D74*E74/1000)</f>
        <v>2.0495039999999998</v>
      </c>
      <c r="G74" s="130"/>
      <c r="H74" s="131"/>
      <c r="I74" s="61">
        <f t="shared" ref="I74:I76" si="274">(C74*D74*H74/1000)</f>
        <v>0</v>
      </c>
      <c r="J74" s="61"/>
      <c r="K74" s="131"/>
      <c r="L74" s="61">
        <f t="shared" ref="L74:L76" si="275">(C74*D74*K74/1000)</f>
        <v>0</v>
      </c>
      <c r="M74" s="61"/>
      <c r="N74" s="131"/>
      <c r="O74" s="61">
        <f t="shared" ref="O74:O76" si="276">(C74*D74*N74/1000)</f>
        <v>0</v>
      </c>
      <c r="P74" s="61"/>
      <c r="Q74" s="131"/>
      <c r="R74" s="61">
        <f t="shared" ref="R74:R76" si="277">(C74*D74*Q74/1000)</f>
        <v>0</v>
      </c>
      <c r="S74" s="65">
        <f t="shared" ref="S74:S76" si="278">+H74+K74+Q74+N74</f>
        <v>0</v>
      </c>
      <c r="T74" s="61">
        <f t="shared" ref="T74:T76" si="279">+I74+L74+R74+O74</f>
        <v>0</v>
      </c>
      <c r="U74" s="82">
        <f t="shared" ref="U74:U76" si="280">E74-S74</f>
        <v>48</v>
      </c>
      <c r="V74" s="61">
        <f t="shared" ref="V74:V76" si="281">F74-T74</f>
        <v>2.0495039999999998</v>
      </c>
    </row>
    <row r="75" spans="1:22">
      <c r="A75" s="125" t="s">
        <v>13</v>
      </c>
      <c r="B75" s="126" t="s">
        <v>34</v>
      </c>
      <c r="C75" s="127">
        <v>5.77</v>
      </c>
      <c r="D75" s="128">
        <v>10.25</v>
      </c>
      <c r="E75" s="129">
        <v>6</v>
      </c>
      <c r="F75" s="61">
        <f t="shared" si="273"/>
        <v>0.35485500000000003</v>
      </c>
      <c r="G75" s="130"/>
      <c r="H75" s="131"/>
      <c r="I75" s="61">
        <f t="shared" si="274"/>
        <v>0</v>
      </c>
      <c r="J75" s="61"/>
      <c r="K75" s="131"/>
      <c r="L75" s="61">
        <f t="shared" si="275"/>
        <v>0</v>
      </c>
      <c r="M75" s="61"/>
      <c r="N75" s="131"/>
      <c r="O75" s="61">
        <f t="shared" si="276"/>
        <v>0</v>
      </c>
      <c r="P75" s="61"/>
      <c r="Q75" s="131"/>
      <c r="R75" s="61">
        <f t="shared" si="277"/>
        <v>0</v>
      </c>
      <c r="S75" s="65">
        <f t="shared" si="278"/>
        <v>0</v>
      </c>
      <c r="T75" s="61">
        <f t="shared" si="279"/>
        <v>0</v>
      </c>
      <c r="U75" s="82">
        <f t="shared" si="280"/>
        <v>6</v>
      </c>
      <c r="V75" s="61">
        <f t="shared" si="281"/>
        <v>0.35485500000000003</v>
      </c>
    </row>
    <row r="76" spans="1:22">
      <c r="A76" s="125" t="s">
        <v>13</v>
      </c>
      <c r="B76" s="126" t="s">
        <v>34</v>
      </c>
      <c r="C76" s="127">
        <v>5.77</v>
      </c>
      <c r="D76" s="128">
        <v>11</v>
      </c>
      <c r="E76" s="129">
        <f>12+9</f>
        <v>21</v>
      </c>
      <c r="F76" s="61">
        <f t="shared" si="273"/>
        <v>1.33287</v>
      </c>
      <c r="G76" s="130"/>
      <c r="H76" s="131"/>
      <c r="I76" s="61">
        <f t="shared" si="274"/>
        <v>0</v>
      </c>
      <c r="J76" s="61"/>
      <c r="K76" s="131"/>
      <c r="L76" s="61">
        <f t="shared" si="275"/>
        <v>0</v>
      </c>
      <c r="M76" s="61"/>
      <c r="N76" s="131"/>
      <c r="O76" s="61">
        <f t="shared" si="276"/>
        <v>0</v>
      </c>
      <c r="P76" s="61"/>
      <c r="Q76" s="131"/>
      <c r="R76" s="61">
        <f t="shared" si="277"/>
        <v>0</v>
      </c>
      <c r="S76" s="65">
        <f t="shared" si="278"/>
        <v>0</v>
      </c>
      <c r="T76" s="61">
        <f t="shared" si="279"/>
        <v>0</v>
      </c>
      <c r="U76" s="82">
        <f t="shared" si="280"/>
        <v>21</v>
      </c>
      <c r="V76" s="61">
        <f t="shared" si="281"/>
        <v>1.33287</v>
      </c>
    </row>
    <row r="77" spans="1:22">
      <c r="A77" s="125"/>
      <c r="B77" s="126"/>
      <c r="C77" s="127"/>
      <c r="D77" s="128"/>
      <c r="E77" s="132">
        <f t="shared" ref="E77:F77" si="282">SUM(E74:E76)</f>
        <v>75</v>
      </c>
      <c r="F77" s="133">
        <f t="shared" si="282"/>
        <v>3.7372290000000001</v>
      </c>
      <c r="G77" s="134"/>
      <c r="H77" s="132">
        <f t="shared" ref="H77" si="283">SUM(H74:H76)</f>
        <v>0</v>
      </c>
      <c r="I77" s="133">
        <f t="shared" ref="I77" si="284">SUM(I74:I76)</f>
        <v>0</v>
      </c>
      <c r="J77" s="134"/>
      <c r="K77" s="132">
        <f t="shared" ref="K77" si="285">SUM(K74:K76)</f>
        <v>0</v>
      </c>
      <c r="L77" s="133">
        <f t="shared" ref="L77" si="286">SUM(L74:L76)</f>
        <v>0</v>
      </c>
      <c r="M77" s="134"/>
      <c r="N77" s="132">
        <f t="shared" ref="N77" si="287">SUM(N74:N76)</f>
        <v>0</v>
      </c>
      <c r="O77" s="133">
        <f t="shared" ref="O77" si="288">SUM(O74:O76)</f>
        <v>0</v>
      </c>
      <c r="P77" s="134"/>
      <c r="Q77" s="132">
        <f t="shared" ref="Q77" si="289">SUM(Q74:Q76)</f>
        <v>0</v>
      </c>
      <c r="R77" s="133">
        <f t="shared" ref="R77" si="290">SUM(R74:R76)</f>
        <v>0</v>
      </c>
      <c r="S77" s="132">
        <f t="shared" ref="S77" si="291">SUM(S74:S76)</f>
        <v>0</v>
      </c>
      <c r="T77" s="133">
        <f t="shared" ref="T77" si="292">SUM(T74:T76)</f>
        <v>0</v>
      </c>
      <c r="U77" s="132">
        <f t="shared" ref="U77" si="293">SUM(U74:U76)</f>
        <v>75</v>
      </c>
      <c r="V77" s="133">
        <f t="shared" ref="V77" si="294">SUM(V74:V76)</f>
        <v>3.7372290000000001</v>
      </c>
    </row>
    <row r="78" spans="1:22">
      <c r="A78" s="125" t="s">
        <v>13</v>
      </c>
      <c r="B78" s="126" t="s">
        <v>35</v>
      </c>
      <c r="C78" s="127">
        <v>6.85</v>
      </c>
      <c r="D78" s="128">
        <v>11</v>
      </c>
      <c r="E78" s="129">
        <v>16</v>
      </c>
      <c r="F78" s="61">
        <f t="shared" ref="F78:F79" si="295">(C78*D78*E78/1000)</f>
        <v>1.2056</v>
      </c>
      <c r="G78" s="130"/>
      <c r="H78" s="131"/>
      <c r="I78" s="61">
        <f t="shared" ref="I78:I79" si="296">(C78*D78*H78/1000)</f>
        <v>0</v>
      </c>
      <c r="J78" s="61"/>
      <c r="K78" s="131"/>
      <c r="L78" s="61">
        <f t="shared" ref="L78:L79" si="297">(C78*D78*K78/1000)</f>
        <v>0</v>
      </c>
      <c r="M78" s="61"/>
      <c r="N78" s="131"/>
      <c r="O78" s="61">
        <f t="shared" ref="O78:O79" si="298">(C78*D78*N78/1000)</f>
        <v>0</v>
      </c>
      <c r="P78" s="61"/>
      <c r="Q78" s="131"/>
      <c r="R78" s="61">
        <f t="shared" ref="R78:R79" si="299">(C78*D78*Q78/1000)</f>
        <v>0</v>
      </c>
      <c r="S78" s="65">
        <f t="shared" ref="S78:S79" si="300">+H78+K78+Q78+N78</f>
        <v>0</v>
      </c>
      <c r="T78" s="61">
        <f t="shared" ref="T78:T79" si="301">+I78+L78+R78+O78</f>
        <v>0</v>
      </c>
      <c r="U78" s="82">
        <f t="shared" ref="U78:U79" si="302">E78-S78</f>
        <v>16</v>
      </c>
      <c r="V78" s="61">
        <f t="shared" ref="V78:V79" si="303">F78-T78</f>
        <v>1.2056</v>
      </c>
    </row>
    <row r="79" spans="1:22">
      <c r="A79" s="125" t="s">
        <v>13</v>
      </c>
      <c r="B79" s="126" t="s">
        <v>35</v>
      </c>
      <c r="C79" s="127">
        <v>6.85</v>
      </c>
      <c r="D79" s="128">
        <v>11.8</v>
      </c>
      <c r="E79" s="129">
        <v>48</v>
      </c>
      <c r="F79" s="61">
        <f t="shared" si="295"/>
        <v>3.8798400000000002</v>
      </c>
      <c r="G79" s="130"/>
      <c r="H79" s="131"/>
      <c r="I79" s="61">
        <f t="shared" si="296"/>
        <v>0</v>
      </c>
      <c r="J79" s="61"/>
      <c r="K79" s="131"/>
      <c r="L79" s="61">
        <f t="shared" si="297"/>
        <v>0</v>
      </c>
      <c r="M79" s="61"/>
      <c r="N79" s="131"/>
      <c r="O79" s="61">
        <f t="shared" si="298"/>
        <v>0</v>
      </c>
      <c r="P79" s="61"/>
      <c r="Q79" s="131"/>
      <c r="R79" s="61">
        <f t="shared" si="299"/>
        <v>0</v>
      </c>
      <c r="S79" s="65">
        <f t="shared" si="300"/>
        <v>0</v>
      </c>
      <c r="T79" s="61">
        <f t="shared" si="301"/>
        <v>0</v>
      </c>
      <c r="U79" s="82">
        <f t="shared" si="302"/>
        <v>48</v>
      </c>
      <c r="V79" s="61">
        <f t="shared" si="303"/>
        <v>3.8798400000000002</v>
      </c>
    </row>
    <row r="80" spans="1:22">
      <c r="A80" s="125"/>
      <c r="B80" s="126"/>
      <c r="C80" s="127"/>
      <c r="D80" s="128"/>
      <c r="E80" s="132">
        <f t="shared" ref="E80:F80" si="304">SUM(E78:E79)</f>
        <v>64</v>
      </c>
      <c r="F80" s="133">
        <f t="shared" si="304"/>
        <v>5.0854400000000002</v>
      </c>
      <c r="G80" s="130"/>
      <c r="H80" s="132">
        <f t="shared" ref="H80" si="305">SUM(H78:H79)</f>
        <v>0</v>
      </c>
      <c r="I80" s="133">
        <f t="shared" ref="I80" si="306">SUM(I78:I79)</f>
        <v>0</v>
      </c>
      <c r="J80" s="61"/>
      <c r="K80" s="132">
        <f t="shared" ref="K80" si="307">SUM(K78:K79)</f>
        <v>0</v>
      </c>
      <c r="L80" s="133">
        <f t="shared" ref="L80" si="308">SUM(L78:L79)</f>
        <v>0</v>
      </c>
      <c r="M80" s="61"/>
      <c r="N80" s="132">
        <f t="shared" ref="N80" si="309">SUM(N78:N79)</f>
        <v>0</v>
      </c>
      <c r="O80" s="133">
        <f t="shared" ref="O80" si="310">SUM(O78:O79)</f>
        <v>0</v>
      </c>
      <c r="P80" s="61"/>
      <c r="Q80" s="132">
        <f t="shared" ref="Q80" si="311">SUM(Q78:Q79)</f>
        <v>0</v>
      </c>
      <c r="R80" s="133">
        <f t="shared" ref="R80" si="312">SUM(R78:R79)</f>
        <v>0</v>
      </c>
      <c r="S80" s="132">
        <f t="shared" ref="S80" si="313">SUM(S78:S79)</f>
        <v>0</v>
      </c>
      <c r="T80" s="133">
        <f t="shared" ref="T80" si="314">SUM(T78:T79)</f>
        <v>0</v>
      </c>
      <c r="U80" s="132">
        <f t="shared" ref="U80" si="315">SUM(U78:U79)</f>
        <v>64</v>
      </c>
      <c r="V80" s="133">
        <f t="shared" ref="V80" si="316">SUM(V78:V79)</f>
        <v>5.0854400000000002</v>
      </c>
    </row>
    <row r="81" spans="1:22">
      <c r="A81" s="125" t="s">
        <v>13</v>
      </c>
      <c r="B81" s="126" t="s">
        <v>57</v>
      </c>
      <c r="C81" s="127">
        <v>6.17</v>
      </c>
      <c r="D81" s="128">
        <v>10.3</v>
      </c>
      <c r="E81" s="129">
        <v>27</v>
      </c>
      <c r="F81" s="61">
        <f t="shared" ref="F81:F84" si="317">(C81*D81*E81/1000)</f>
        <v>1.7158769999999999</v>
      </c>
      <c r="G81" s="130"/>
      <c r="H81" s="131"/>
      <c r="I81" s="61">
        <f t="shared" ref="I81:I84" si="318">(C81*D81*H81/1000)</f>
        <v>0</v>
      </c>
      <c r="J81" s="61"/>
      <c r="K81" s="131"/>
      <c r="L81" s="61">
        <f t="shared" ref="L81:L84" si="319">(C81*D81*K81/1000)</f>
        <v>0</v>
      </c>
      <c r="M81" s="61"/>
      <c r="N81" s="131"/>
      <c r="O81" s="61">
        <f t="shared" ref="O81:O84" si="320">(C81*D81*N81/1000)</f>
        <v>0</v>
      </c>
      <c r="P81" s="61"/>
      <c r="Q81" s="131"/>
      <c r="R81" s="61">
        <f t="shared" ref="R81:R84" si="321">(C81*D81*Q81/1000)</f>
        <v>0</v>
      </c>
      <c r="S81" s="65">
        <f t="shared" ref="S81:S84" si="322">+H81+K81+Q81+N81</f>
        <v>0</v>
      </c>
      <c r="T81" s="61">
        <f t="shared" ref="T81:T84" si="323">+I81+L81+R81+O81</f>
        <v>0</v>
      </c>
      <c r="U81" s="82">
        <f t="shared" ref="U81:U84" si="324">E81-S81</f>
        <v>27</v>
      </c>
      <c r="V81" s="61">
        <f t="shared" ref="V81:V84" si="325">F81-T81</f>
        <v>1.7158769999999999</v>
      </c>
    </row>
    <row r="82" spans="1:22">
      <c r="A82" s="125" t="s">
        <v>13</v>
      </c>
      <c r="B82" s="126" t="s">
        <v>57</v>
      </c>
      <c r="C82" s="127">
        <v>6.17</v>
      </c>
      <c r="D82" s="128">
        <v>11</v>
      </c>
      <c r="E82" s="129">
        <v>37</v>
      </c>
      <c r="F82" s="61">
        <f t="shared" si="317"/>
        <v>2.51119</v>
      </c>
      <c r="G82" s="130"/>
      <c r="H82" s="131"/>
      <c r="I82" s="61">
        <f t="shared" si="318"/>
        <v>0</v>
      </c>
      <c r="J82" s="61"/>
      <c r="K82" s="131"/>
      <c r="L82" s="61">
        <f t="shared" si="319"/>
        <v>0</v>
      </c>
      <c r="M82" s="61"/>
      <c r="N82" s="131"/>
      <c r="O82" s="61">
        <f t="shared" si="320"/>
        <v>0</v>
      </c>
      <c r="P82" s="61"/>
      <c r="Q82" s="131"/>
      <c r="R82" s="61">
        <f t="shared" si="321"/>
        <v>0</v>
      </c>
      <c r="S82" s="65">
        <f t="shared" si="322"/>
        <v>0</v>
      </c>
      <c r="T82" s="61">
        <f t="shared" si="323"/>
        <v>0</v>
      </c>
      <c r="U82" s="82">
        <f t="shared" si="324"/>
        <v>37</v>
      </c>
      <c r="V82" s="61">
        <f t="shared" si="325"/>
        <v>2.51119</v>
      </c>
    </row>
    <row r="83" spans="1:22">
      <c r="A83" s="125" t="s">
        <v>13</v>
      </c>
      <c r="B83" s="126" t="s">
        <v>57</v>
      </c>
      <c r="C83" s="127">
        <v>6.17</v>
      </c>
      <c r="D83" s="128">
        <v>11.3</v>
      </c>
      <c r="E83" s="129">
        <v>6</v>
      </c>
      <c r="F83" s="61">
        <f t="shared" si="317"/>
        <v>0.41832600000000003</v>
      </c>
      <c r="G83" s="130"/>
      <c r="H83" s="131"/>
      <c r="I83" s="61">
        <f t="shared" si="318"/>
        <v>0</v>
      </c>
      <c r="J83" s="61"/>
      <c r="K83" s="131"/>
      <c r="L83" s="61">
        <f t="shared" si="319"/>
        <v>0</v>
      </c>
      <c r="M83" s="61"/>
      <c r="N83" s="131"/>
      <c r="O83" s="61">
        <f t="shared" si="320"/>
        <v>0</v>
      </c>
      <c r="P83" s="61"/>
      <c r="Q83" s="131"/>
      <c r="R83" s="61">
        <f t="shared" si="321"/>
        <v>0</v>
      </c>
      <c r="S83" s="65">
        <f t="shared" si="322"/>
        <v>0</v>
      </c>
      <c r="T83" s="61">
        <f t="shared" si="323"/>
        <v>0</v>
      </c>
      <c r="U83" s="82">
        <f t="shared" si="324"/>
        <v>6</v>
      </c>
      <c r="V83" s="61">
        <f t="shared" si="325"/>
        <v>0.41832600000000003</v>
      </c>
    </row>
    <row r="84" spans="1:22">
      <c r="A84" s="125" t="s">
        <v>13</v>
      </c>
      <c r="B84" s="126" t="s">
        <v>57</v>
      </c>
      <c r="C84" s="127">
        <v>6.17</v>
      </c>
      <c r="D84" s="128">
        <v>11.8</v>
      </c>
      <c r="E84" s="129">
        <v>33</v>
      </c>
      <c r="F84" s="61">
        <f t="shared" si="317"/>
        <v>2.4025979999999998</v>
      </c>
      <c r="G84" s="130"/>
      <c r="H84" s="131"/>
      <c r="I84" s="61">
        <f t="shared" si="318"/>
        <v>0</v>
      </c>
      <c r="J84" s="61"/>
      <c r="K84" s="131"/>
      <c r="L84" s="61">
        <f t="shared" si="319"/>
        <v>0</v>
      </c>
      <c r="M84" s="61"/>
      <c r="N84" s="131"/>
      <c r="O84" s="61">
        <f t="shared" si="320"/>
        <v>0</v>
      </c>
      <c r="P84" s="61"/>
      <c r="Q84" s="131"/>
      <c r="R84" s="61">
        <f t="shared" si="321"/>
        <v>0</v>
      </c>
      <c r="S84" s="65">
        <f t="shared" si="322"/>
        <v>0</v>
      </c>
      <c r="T84" s="61">
        <f t="shared" si="323"/>
        <v>0</v>
      </c>
      <c r="U84" s="82">
        <f t="shared" si="324"/>
        <v>33</v>
      </c>
      <c r="V84" s="61">
        <f t="shared" si="325"/>
        <v>2.4025979999999998</v>
      </c>
    </row>
    <row r="85" spans="1:22">
      <c r="A85" s="125"/>
      <c r="B85" s="126"/>
      <c r="C85" s="127"/>
      <c r="D85" s="128"/>
      <c r="E85" s="132">
        <f t="shared" ref="E85:F85" si="326">SUM(E81:E84)</f>
        <v>103</v>
      </c>
      <c r="F85" s="133">
        <f t="shared" si="326"/>
        <v>7.0479909999999997</v>
      </c>
      <c r="G85" s="130"/>
      <c r="H85" s="132">
        <f t="shared" ref="H85" si="327">SUM(H81:H84)</f>
        <v>0</v>
      </c>
      <c r="I85" s="133">
        <f t="shared" ref="I85" si="328">SUM(I81:I84)</f>
        <v>0</v>
      </c>
      <c r="J85" s="61"/>
      <c r="K85" s="132">
        <f t="shared" ref="K85" si="329">SUM(K81:K84)</f>
        <v>0</v>
      </c>
      <c r="L85" s="133">
        <f t="shared" ref="L85" si="330">SUM(L81:L84)</f>
        <v>0</v>
      </c>
      <c r="M85" s="61"/>
      <c r="N85" s="132">
        <f t="shared" ref="N85" si="331">SUM(N81:N84)</f>
        <v>0</v>
      </c>
      <c r="O85" s="133">
        <f t="shared" ref="O85" si="332">SUM(O81:O84)</f>
        <v>0</v>
      </c>
      <c r="P85" s="61"/>
      <c r="Q85" s="132">
        <f t="shared" ref="Q85" si="333">SUM(Q81:Q84)</f>
        <v>0</v>
      </c>
      <c r="R85" s="133">
        <f t="shared" ref="R85" si="334">SUM(R81:R84)</f>
        <v>0</v>
      </c>
      <c r="S85" s="132">
        <f t="shared" ref="S85" si="335">SUM(S81:S84)</f>
        <v>0</v>
      </c>
      <c r="T85" s="133">
        <f t="shared" ref="T85" si="336">SUM(T81:T84)</f>
        <v>0</v>
      </c>
      <c r="U85" s="132">
        <f t="shared" ref="U85" si="337">SUM(U81:U84)</f>
        <v>103</v>
      </c>
      <c r="V85" s="133">
        <f t="shared" ref="V85" si="338">SUM(V81:V84)</f>
        <v>7.0479909999999997</v>
      </c>
    </row>
    <row r="86" spans="1:22">
      <c r="A86" s="125" t="s">
        <v>13</v>
      </c>
      <c r="B86" s="126" t="s">
        <v>58</v>
      </c>
      <c r="C86" s="127">
        <v>7.36</v>
      </c>
      <c r="D86" s="128">
        <v>8</v>
      </c>
      <c r="E86" s="129">
        <v>29</v>
      </c>
      <c r="F86" s="61">
        <f t="shared" ref="F86:F90" si="339">(C86*D86*E86/1000)</f>
        <v>1.7075199999999999</v>
      </c>
      <c r="G86" s="130"/>
      <c r="H86" s="131"/>
      <c r="I86" s="61">
        <f t="shared" ref="I86:I90" si="340">(C86*D86*H86/1000)</f>
        <v>0</v>
      </c>
      <c r="J86" s="61"/>
      <c r="K86" s="131"/>
      <c r="L86" s="61">
        <f t="shared" ref="L86:L90" si="341">(C86*D86*K86/1000)</f>
        <v>0</v>
      </c>
      <c r="M86" s="61"/>
      <c r="N86" s="131"/>
      <c r="O86" s="61">
        <f t="shared" ref="O86:O90" si="342">(C86*D86*N86/1000)</f>
        <v>0</v>
      </c>
      <c r="P86" s="61"/>
      <c r="Q86" s="131"/>
      <c r="R86" s="61">
        <f t="shared" ref="R86:R90" si="343">(C86*D86*Q86/1000)</f>
        <v>0</v>
      </c>
      <c r="S86" s="65">
        <f t="shared" ref="S86:S90" si="344">+H86+K86+Q86+N86</f>
        <v>0</v>
      </c>
      <c r="T86" s="61">
        <f t="shared" ref="T86:T90" si="345">+I86+L86+R86+O86</f>
        <v>0</v>
      </c>
      <c r="U86" s="82">
        <f t="shared" ref="U86:U90" si="346">E86-S86</f>
        <v>29</v>
      </c>
      <c r="V86" s="61">
        <f t="shared" ref="V86:V90" si="347">F86-T86</f>
        <v>1.7075199999999999</v>
      </c>
    </row>
    <row r="87" spans="1:22">
      <c r="A87" s="125" t="s">
        <v>13</v>
      </c>
      <c r="B87" s="126" t="s">
        <v>58</v>
      </c>
      <c r="C87" s="127">
        <v>7.36</v>
      </c>
      <c r="D87" s="128">
        <v>9.4</v>
      </c>
      <c r="E87" s="129">
        <v>14</v>
      </c>
      <c r="F87" s="61">
        <f t="shared" si="339"/>
        <v>0.9685760000000001</v>
      </c>
      <c r="G87" s="130"/>
      <c r="H87" s="131"/>
      <c r="I87" s="61">
        <f t="shared" si="340"/>
        <v>0</v>
      </c>
      <c r="J87" s="61"/>
      <c r="K87" s="131"/>
      <c r="L87" s="61">
        <f t="shared" si="341"/>
        <v>0</v>
      </c>
      <c r="M87" s="61"/>
      <c r="N87" s="131"/>
      <c r="O87" s="61">
        <f t="shared" si="342"/>
        <v>0</v>
      </c>
      <c r="P87" s="61"/>
      <c r="Q87" s="131"/>
      <c r="R87" s="61">
        <f t="shared" si="343"/>
        <v>0</v>
      </c>
      <c r="S87" s="65">
        <f t="shared" si="344"/>
        <v>0</v>
      </c>
      <c r="T87" s="61">
        <f t="shared" si="345"/>
        <v>0</v>
      </c>
      <c r="U87" s="82">
        <f t="shared" si="346"/>
        <v>14</v>
      </c>
      <c r="V87" s="61">
        <f t="shared" si="347"/>
        <v>0.9685760000000001</v>
      </c>
    </row>
    <row r="88" spans="1:22">
      <c r="A88" s="125" t="s">
        <v>13</v>
      </c>
      <c r="B88" s="126" t="s">
        <v>58</v>
      </c>
      <c r="C88" s="127">
        <v>7.36</v>
      </c>
      <c r="D88" s="128">
        <v>10.5</v>
      </c>
      <c r="E88" s="129">
        <v>31</v>
      </c>
      <c r="F88" s="61">
        <f t="shared" si="339"/>
        <v>2.39568</v>
      </c>
      <c r="G88" s="130"/>
      <c r="H88" s="131"/>
      <c r="I88" s="61">
        <f t="shared" si="340"/>
        <v>0</v>
      </c>
      <c r="J88" s="61"/>
      <c r="K88" s="131"/>
      <c r="L88" s="61">
        <f t="shared" si="341"/>
        <v>0</v>
      </c>
      <c r="M88" s="61"/>
      <c r="N88" s="131"/>
      <c r="O88" s="61">
        <f t="shared" si="342"/>
        <v>0</v>
      </c>
      <c r="P88" s="61"/>
      <c r="Q88" s="131"/>
      <c r="R88" s="61">
        <f t="shared" si="343"/>
        <v>0</v>
      </c>
      <c r="S88" s="65">
        <f t="shared" si="344"/>
        <v>0</v>
      </c>
      <c r="T88" s="61">
        <f t="shared" si="345"/>
        <v>0</v>
      </c>
      <c r="U88" s="82">
        <f t="shared" si="346"/>
        <v>31</v>
      </c>
      <c r="V88" s="61">
        <f t="shared" si="347"/>
        <v>2.39568</v>
      </c>
    </row>
    <row r="89" spans="1:22">
      <c r="A89" s="125" t="s">
        <v>13</v>
      </c>
      <c r="B89" s="126" t="s">
        <v>58</v>
      </c>
      <c r="C89" s="127">
        <v>7.36</v>
      </c>
      <c r="D89" s="128">
        <v>11</v>
      </c>
      <c r="E89" s="129">
        <v>30</v>
      </c>
      <c r="F89" s="61">
        <f t="shared" si="339"/>
        <v>2.4288000000000003</v>
      </c>
      <c r="G89" s="130"/>
      <c r="H89" s="131"/>
      <c r="I89" s="61">
        <f t="shared" si="340"/>
        <v>0</v>
      </c>
      <c r="J89" s="61"/>
      <c r="K89" s="131"/>
      <c r="L89" s="61">
        <f t="shared" si="341"/>
        <v>0</v>
      </c>
      <c r="M89" s="61"/>
      <c r="N89" s="131"/>
      <c r="O89" s="61">
        <f t="shared" si="342"/>
        <v>0</v>
      </c>
      <c r="P89" s="61"/>
      <c r="Q89" s="131"/>
      <c r="R89" s="61">
        <f t="shared" si="343"/>
        <v>0</v>
      </c>
      <c r="S89" s="65">
        <f t="shared" si="344"/>
        <v>0</v>
      </c>
      <c r="T89" s="61">
        <f t="shared" si="345"/>
        <v>0</v>
      </c>
      <c r="U89" s="82">
        <f t="shared" si="346"/>
        <v>30</v>
      </c>
      <c r="V89" s="61">
        <f t="shared" si="347"/>
        <v>2.4288000000000003</v>
      </c>
    </row>
    <row r="90" spans="1:22">
      <c r="A90" s="125" t="s">
        <v>13</v>
      </c>
      <c r="B90" s="126" t="s">
        <v>58</v>
      </c>
      <c r="C90" s="127">
        <v>7.36</v>
      </c>
      <c r="D90" s="128">
        <v>12</v>
      </c>
      <c r="E90" s="129">
        <v>31</v>
      </c>
      <c r="F90" s="61">
        <f t="shared" si="339"/>
        <v>2.7379199999999999</v>
      </c>
      <c r="G90" s="130"/>
      <c r="H90" s="131"/>
      <c r="I90" s="61">
        <f t="shared" si="340"/>
        <v>0</v>
      </c>
      <c r="J90" s="61"/>
      <c r="K90" s="131"/>
      <c r="L90" s="61">
        <f t="shared" si="341"/>
        <v>0</v>
      </c>
      <c r="M90" s="61"/>
      <c r="N90" s="131"/>
      <c r="O90" s="61">
        <f t="shared" si="342"/>
        <v>0</v>
      </c>
      <c r="P90" s="61"/>
      <c r="Q90" s="131"/>
      <c r="R90" s="61">
        <f t="shared" si="343"/>
        <v>0</v>
      </c>
      <c r="S90" s="65">
        <f t="shared" si="344"/>
        <v>0</v>
      </c>
      <c r="T90" s="61">
        <f t="shared" si="345"/>
        <v>0</v>
      </c>
      <c r="U90" s="82">
        <f t="shared" si="346"/>
        <v>31</v>
      </c>
      <c r="V90" s="61">
        <f t="shared" si="347"/>
        <v>2.7379199999999999</v>
      </c>
    </row>
    <row r="91" spans="1:22">
      <c r="A91" s="125"/>
      <c r="B91" s="126"/>
      <c r="C91" s="127"/>
      <c r="D91" s="128"/>
      <c r="E91" s="132">
        <f t="shared" ref="E91:F91" si="348">SUM(E86:E90)</f>
        <v>135</v>
      </c>
      <c r="F91" s="133">
        <f t="shared" si="348"/>
        <v>10.238496000000001</v>
      </c>
      <c r="G91" s="130"/>
      <c r="H91" s="132">
        <f t="shared" ref="H91" si="349">SUM(H86:H90)</f>
        <v>0</v>
      </c>
      <c r="I91" s="133">
        <f t="shared" ref="I91" si="350">SUM(I86:I90)</f>
        <v>0</v>
      </c>
      <c r="J91" s="61"/>
      <c r="K91" s="132">
        <f t="shared" ref="K91" si="351">SUM(K86:K90)</f>
        <v>0</v>
      </c>
      <c r="L91" s="133">
        <f t="shared" ref="L91" si="352">SUM(L86:L90)</f>
        <v>0</v>
      </c>
      <c r="M91" s="61"/>
      <c r="N91" s="132">
        <f t="shared" ref="N91" si="353">SUM(N86:N90)</f>
        <v>0</v>
      </c>
      <c r="O91" s="133">
        <f t="shared" ref="O91" si="354">SUM(O86:O90)</f>
        <v>0</v>
      </c>
      <c r="P91" s="61"/>
      <c r="Q91" s="132">
        <f t="shared" ref="Q91" si="355">SUM(Q86:Q90)</f>
        <v>0</v>
      </c>
      <c r="R91" s="133">
        <f t="shared" ref="R91" si="356">SUM(R86:R90)</f>
        <v>0</v>
      </c>
      <c r="S91" s="132">
        <f t="shared" ref="S91" si="357">SUM(S86:S90)</f>
        <v>0</v>
      </c>
      <c r="T91" s="133">
        <f t="shared" ref="T91" si="358">SUM(T86:T90)</f>
        <v>0</v>
      </c>
      <c r="U91" s="132">
        <f t="shared" ref="U91" si="359">SUM(U86:U90)</f>
        <v>135</v>
      </c>
      <c r="V91" s="133">
        <f t="shared" ref="V91" si="360">SUM(V86:V90)</f>
        <v>10.238496000000001</v>
      </c>
    </row>
    <row r="92" spans="1:22">
      <c r="A92" s="125" t="s">
        <v>13</v>
      </c>
      <c r="B92" s="126" t="s">
        <v>36</v>
      </c>
      <c r="C92" s="127">
        <v>6.97</v>
      </c>
      <c r="D92" s="128">
        <v>9</v>
      </c>
      <c r="E92" s="129">
        <v>8</v>
      </c>
      <c r="F92" s="61">
        <f t="shared" ref="F92:F98" si="361">(C92*D92*E92/1000)</f>
        <v>0.50183999999999995</v>
      </c>
      <c r="G92" s="130"/>
      <c r="H92" s="131"/>
      <c r="I92" s="61">
        <f t="shared" ref="I92:I98" si="362">(C92*D92*H92/1000)</f>
        <v>0</v>
      </c>
      <c r="J92" s="61"/>
      <c r="K92" s="131"/>
      <c r="L92" s="61">
        <f t="shared" ref="L92:L98" si="363">(C92*D92*K92/1000)</f>
        <v>0</v>
      </c>
      <c r="M92" s="61"/>
      <c r="N92" s="131"/>
      <c r="O92" s="61">
        <f t="shared" ref="O92:O98" si="364">(C92*D92*N92/1000)</f>
        <v>0</v>
      </c>
      <c r="P92" s="61"/>
      <c r="Q92" s="131"/>
      <c r="R92" s="61">
        <f t="shared" ref="R92:R98" si="365">(C92*D92*Q92/1000)</f>
        <v>0</v>
      </c>
      <c r="S92" s="65">
        <f t="shared" ref="S92:S98" si="366">+H92+K92+Q92+N92</f>
        <v>0</v>
      </c>
      <c r="T92" s="61">
        <f t="shared" ref="T92:T98" si="367">+I92+L92+R92+O92</f>
        <v>0</v>
      </c>
      <c r="U92" s="82">
        <f t="shared" ref="U92:U98" si="368">E92-S92</f>
        <v>8</v>
      </c>
      <c r="V92" s="61">
        <f t="shared" ref="V92:V98" si="369">F92-T92</f>
        <v>0.50183999999999995</v>
      </c>
    </row>
    <row r="93" spans="1:22">
      <c r="A93" s="125" t="s">
        <v>13</v>
      </c>
      <c r="B93" s="126" t="s">
        <v>36</v>
      </c>
      <c r="C93" s="127">
        <v>6.97</v>
      </c>
      <c r="D93" s="128">
        <v>10</v>
      </c>
      <c r="E93" s="129">
        <v>6</v>
      </c>
      <c r="F93" s="61">
        <f t="shared" si="361"/>
        <v>0.41820000000000007</v>
      </c>
      <c r="G93" s="130"/>
      <c r="H93" s="131"/>
      <c r="I93" s="61">
        <f t="shared" si="362"/>
        <v>0</v>
      </c>
      <c r="J93" s="61"/>
      <c r="K93" s="131"/>
      <c r="L93" s="61">
        <f t="shared" si="363"/>
        <v>0</v>
      </c>
      <c r="M93" s="61"/>
      <c r="N93" s="131"/>
      <c r="O93" s="61">
        <f t="shared" si="364"/>
        <v>0</v>
      </c>
      <c r="P93" s="61"/>
      <c r="Q93" s="131"/>
      <c r="R93" s="61">
        <f t="shared" si="365"/>
        <v>0</v>
      </c>
      <c r="S93" s="65">
        <f t="shared" si="366"/>
        <v>0</v>
      </c>
      <c r="T93" s="61">
        <f t="shared" si="367"/>
        <v>0</v>
      </c>
      <c r="U93" s="82">
        <f t="shared" si="368"/>
        <v>6</v>
      </c>
      <c r="V93" s="61">
        <f t="shared" si="369"/>
        <v>0.41820000000000007</v>
      </c>
    </row>
    <row r="94" spans="1:22">
      <c r="A94" s="125" t="s">
        <v>13</v>
      </c>
      <c r="B94" s="126" t="s">
        <v>36</v>
      </c>
      <c r="C94" s="127">
        <v>6.97</v>
      </c>
      <c r="D94" s="128">
        <v>10.5</v>
      </c>
      <c r="E94" s="129">
        <v>16</v>
      </c>
      <c r="F94" s="61">
        <f t="shared" si="361"/>
        <v>1.17096</v>
      </c>
      <c r="G94" s="130"/>
      <c r="H94" s="131"/>
      <c r="I94" s="61">
        <f t="shared" si="362"/>
        <v>0</v>
      </c>
      <c r="J94" s="61"/>
      <c r="K94" s="131"/>
      <c r="L94" s="61">
        <f t="shared" si="363"/>
        <v>0</v>
      </c>
      <c r="M94" s="61"/>
      <c r="N94" s="131"/>
      <c r="O94" s="61">
        <f t="shared" si="364"/>
        <v>0</v>
      </c>
      <c r="P94" s="61"/>
      <c r="Q94" s="131"/>
      <c r="R94" s="61">
        <f t="shared" si="365"/>
        <v>0</v>
      </c>
      <c r="S94" s="65">
        <f t="shared" si="366"/>
        <v>0</v>
      </c>
      <c r="T94" s="61">
        <f t="shared" si="367"/>
        <v>0</v>
      </c>
      <c r="U94" s="82">
        <f t="shared" si="368"/>
        <v>16</v>
      </c>
      <c r="V94" s="61">
        <f t="shared" si="369"/>
        <v>1.17096</v>
      </c>
    </row>
    <row r="95" spans="1:22">
      <c r="A95" s="125" t="s">
        <v>13</v>
      </c>
      <c r="B95" s="126" t="s">
        <v>36</v>
      </c>
      <c r="C95" s="127">
        <v>6.97</v>
      </c>
      <c r="D95" s="128">
        <v>11.2</v>
      </c>
      <c r="E95" s="129">
        <v>17</v>
      </c>
      <c r="F95" s="61">
        <f t="shared" si="361"/>
        <v>1.327088</v>
      </c>
      <c r="G95" s="130"/>
      <c r="H95" s="131"/>
      <c r="I95" s="61">
        <f t="shared" si="362"/>
        <v>0</v>
      </c>
      <c r="J95" s="61"/>
      <c r="K95" s="131"/>
      <c r="L95" s="61">
        <f t="shared" si="363"/>
        <v>0</v>
      </c>
      <c r="M95" s="61"/>
      <c r="N95" s="131"/>
      <c r="O95" s="61">
        <f t="shared" si="364"/>
        <v>0</v>
      </c>
      <c r="P95" s="61"/>
      <c r="Q95" s="131"/>
      <c r="R95" s="61">
        <f t="shared" si="365"/>
        <v>0</v>
      </c>
      <c r="S95" s="65">
        <f t="shared" si="366"/>
        <v>0</v>
      </c>
      <c r="T95" s="61">
        <f t="shared" si="367"/>
        <v>0</v>
      </c>
      <c r="U95" s="82">
        <f t="shared" si="368"/>
        <v>17</v>
      </c>
      <c r="V95" s="61">
        <f t="shared" si="369"/>
        <v>1.327088</v>
      </c>
    </row>
    <row r="96" spans="1:22">
      <c r="A96" s="125" t="s">
        <v>13</v>
      </c>
      <c r="B96" s="126" t="s">
        <v>36</v>
      </c>
      <c r="C96" s="127">
        <v>6.97</v>
      </c>
      <c r="D96" s="128">
        <v>11.5</v>
      </c>
      <c r="E96" s="129">
        <v>7</v>
      </c>
      <c r="F96" s="61">
        <f t="shared" si="361"/>
        <v>0.56108500000000006</v>
      </c>
      <c r="G96" s="130"/>
      <c r="H96" s="131"/>
      <c r="I96" s="61">
        <f t="shared" si="362"/>
        <v>0</v>
      </c>
      <c r="J96" s="61"/>
      <c r="K96" s="131"/>
      <c r="L96" s="61">
        <f t="shared" si="363"/>
        <v>0</v>
      </c>
      <c r="M96" s="61"/>
      <c r="N96" s="131"/>
      <c r="O96" s="61">
        <f t="shared" si="364"/>
        <v>0</v>
      </c>
      <c r="P96" s="61"/>
      <c r="Q96" s="131"/>
      <c r="R96" s="61">
        <f t="shared" si="365"/>
        <v>0</v>
      </c>
      <c r="S96" s="65">
        <f t="shared" si="366"/>
        <v>0</v>
      </c>
      <c r="T96" s="61">
        <f t="shared" si="367"/>
        <v>0</v>
      </c>
      <c r="U96" s="82">
        <f t="shared" si="368"/>
        <v>7</v>
      </c>
      <c r="V96" s="61">
        <f t="shared" si="369"/>
        <v>0.56108500000000006</v>
      </c>
    </row>
    <row r="97" spans="1:22">
      <c r="A97" s="125" t="s">
        <v>13</v>
      </c>
      <c r="B97" s="126" t="s">
        <v>36</v>
      </c>
      <c r="C97" s="127">
        <v>6.97</v>
      </c>
      <c r="D97" s="128">
        <v>11.8</v>
      </c>
      <c r="E97" s="129">
        <v>18</v>
      </c>
      <c r="F97" s="61">
        <f t="shared" si="361"/>
        <v>1.4804279999999999</v>
      </c>
      <c r="G97" s="130"/>
      <c r="H97" s="131"/>
      <c r="I97" s="61">
        <f t="shared" si="362"/>
        <v>0</v>
      </c>
      <c r="J97" s="61"/>
      <c r="K97" s="131"/>
      <c r="L97" s="61">
        <f t="shared" si="363"/>
        <v>0</v>
      </c>
      <c r="M97" s="61"/>
      <c r="N97" s="131"/>
      <c r="O97" s="61">
        <f t="shared" si="364"/>
        <v>0</v>
      </c>
      <c r="P97" s="61"/>
      <c r="Q97" s="131"/>
      <c r="R97" s="61">
        <f t="shared" si="365"/>
        <v>0</v>
      </c>
      <c r="S97" s="65">
        <f t="shared" si="366"/>
        <v>0</v>
      </c>
      <c r="T97" s="61">
        <f t="shared" si="367"/>
        <v>0</v>
      </c>
      <c r="U97" s="82">
        <f t="shared" si="368"/>
        <v>18</v>
      </c>
      <c r="V97" s="61">
        <f t="shared" si="369"/>
        <v>1.4804279999999999</v>
      </c>
    </row>
    <row r="98" spans="1:22">
      <c r="A98" s="125" t="s">
        <v>13</v>
      </c>
      <c r="B98" s="126" t="s">
        <v>36</v>
      </c>
      <c r="C98" s="127">
        <v>6.97</v>
      </c>
      <c r="D98" s="128">
        <v>12</v>
      </c>
      <c r="E98" s="129">
        <v>11</v>
      </c>
      <c r="F98" s="61">
        <f t="shared" si="361"/>
        <v>0.92003999999999997</v>
      </c>
      <c r="G98" s="130"/>
      <c r="H98" s="131"/>
      <c r="I98" s="61">
        <f t="shared" si="362"/>
        <v>0</v>
      </c>
      <c r="J98" s="61"/>
      <c r="K98" s="131"/>
      <c r="L98" s="61">
        <f t="shared" si="363"/>
        <v>0</v>
      </c>
      <c r="M98" s="61"/>
      <c r="N98" s="131"/>
      <c r="O98" s="61">
        <f t="shared" si="364"/>
        <v>0</v>
      </c>
      <c r="P98" s="61"/>
      <c r="Q98" s="131"/>
      <c r="R98" s="61">
        <f t="shared" si="365"/>
        <v>0</v>
      </c>
      <c r="S98" s="65">
        <f t="shared" si="366"/>
        <v>0</v>
      </c>
      <c r="T98" s="61">
        <f t="shared" si="367"/>
        <v>0</v>
      </c>
      <c r="U98" s="82">
        <f t="shared" si="368"/>
        <v>11</v>
      </c>
      <c r="V98" s="61">
        <f t="shared" si="369"/>
        <v>0.92003999999999997</v>
      </c>
    </row>
    <row r="99" spans="1:22">
      <c r="A99" s="125"/>
      <c r="B99" s="126"/>
      <c r="C99" s="127"/>
      <c r="D99" s="128"/>
      <c r="E99" s="132">
        <f>SUM(E92:E98)</f>
        <v>83</v>
      </c>
      <c r="F99" s="133">
        <f t="shared" ref="F99" si="370">SUM(F92:F98)</f>
        <v>6.3796410000000003</v>
      </c>
      <c r="G99" s="130"/>
      <c r="H99" s="132">
        <f>SUM(H92:H98)</f>
        <v>0</v>
      </c>
      <c r="I99" s="133">
        <f t="shared" ref="I99" si="371">SUM(I92:I98)</f>
        <v>0</v>
      </c>
      <c r="J99" s="61"/>
      <c r="K99" s="132">
        <f>SUM(K92:K98)</f>
        <v>0</v>
      </c>
      <c r="L99" s="133">
        <f t="shared" ref="L99" si="372">SUM(L92:L98)</f>
        <v>0</v>
      </c>
      <c r="M99" s="61"/>
      <c r="N99" s="132">
        <f>SUM(N92:N98)</f>
        <v>0</v>
      </c>
      <c r="O99" s="133">
        <f t="shared" ref="O99" si="373">SUM(O92:O98)</f>
        <v>0</v>
      </c>
      <c r="P99" s="61"/>
      <c r="Q99" s="132">
        <f>SUM(Q92:Q98)</f>
        <v>0</v>
      </c>
      <c r="R99" s="133">
        <f t="shared" ref="R99" si="374">SUM(R92:R98)</f>
        <v>0</v>
      </c>
      <c r="S99" s="132">
        <f>SUM(S92:S98)</f>
        <v>0</v>
      </c>
      <c r="T99" s="133">
        <f t="shared" ref="T99" si="375">SUM(T92:T98)</f>
        <v>0</v>
      </c>
      <c r="U99" s="132">
        <f>SUM(U92:U98)</f>
        <v>83</v>
      </c>
      <c r="V99" s="133">
        <f t="shared" ref="V99" si="376">SUM(V92:V98)</f>
        <v>6.3796410000000003</v>
      </c>
    </row>
    <row r="100" spans="1:22">
      <c r="A100" s="125" t="s">
        <v>13</v>
      </c>
      <c r="B100" s="126" t="s">
        <v>26</v>
      </c>
      <c r="C100" s="127">
        <v>8.32</v>
      </c>
      <c r="D100" s="128">
        <v>8.25</v>
      </c>
      <c r="E100" s="129">
        <v>15</v>
      </c>
      <c r="F100" s="61">
        <f t="shared" ref="F100:F105" si="377">(C100*D100*E100/1000)</f>
        <v>1.0295999999999998</v>
      </c>
      <c r="G100" s="130"/>
      <c r="H100" s="131"/>
      <c r="I100" s="61">
        <f t="shared" ref="I100:I105" si="378">(C100*D100*H100/1000)</f>
        <v>0</v>
      </c>
      <c r="J100" s="61"/>
      <c r="K100" s="131"/>
      <c r="L100" s="61">
        <f t="shared" ref="L100:L105" si="379">(C100*D100*K100/1000)</f>
        <v>0</v>
      </c>
      <c r="M100" s="61"/>
      <c r="N100" s="131"/>
      <c r="O100" s="61">
        <f t="shared" ref="O100:O105" si="380">(C100*D100*N100/1000)</f>
        <v>0</v>
      </c>
      <c r="P100" s="61"/>
      <c r="Q100" s="131"/>
      <c r="R100" s="61">
        <f t="shared" ref="R100:R105" si="381">(C100*D100*Q100/1000)</f>
        <v>0</v>
      </c>
      <c r="S100" s="65">
        <f t="shared" ref="S100:S105" si="382">+H100+K100+Q100+N100</f>
        <v>0</v>
      </c>
      <c r="T100" s="61">
        <f t="shared" ref="T100:T105" si="383">+I100+L100+R100+O100</f>
        <v>0</v>
      </c>
      <c r="U100" s="82">
        <f t="shared" ref="U100:U105" si="384">E100-S100</f>
        <v>15</v>
      </c>
      <c r="V100" s="61">
        <f t="shared" ref="V100:V105" si="385">F100-T100</f>
        <v>1.0295999999999998</v>
      </c>
    </row>
    <row r="101" spans="1:22">
      <c r="A101" s="125" t="s">
        <v>13</v>
      </c>
      <c r="B101" s="126" t="s">
        <v>26</v>
      </c>
      <c r="C101" s="127">
        <v>8.32</v>
      </c>
      <c r="D101" s="128">
        <v>9</v>
      </c>
      <c r="E101" s="129">
        <v>2</v>
      </c>
      <c r="F101" s="61">
        <f t="shared" si="377"/>
        <v>0.14976</v>
      </c>
      <c r="G101" s="130"/>
      <c r="H101" s="131"/>
      <c r="I101" s="61">
        <f t="shared" si="378"/>
        <v>0</v>
      </c>
      <c r="J101" s="61"/>
      <c r="K101" s="131"/>
      <c r="L101" s="61">
        <f t="shared" si="379"/>
        <v>0</v>
      </c>
      <c r="M101" s="61"/>
      <c r="N101" s="131"/>
      <c r="O101" s="61">
        <f t="shared" si="380"/>
        <v>0</v>
      </c>
      <c r="P101" s="61"/>
      <c r="Q101" s="131"/>
      <c r="R101" s="61">
        <f t="shared" si="381"/>
        <v>0</v>
      </c>
      <c r="S101" s="65">
        <f t="shared" si="382"/>
        <v>0</v>
      </c>
      <c r="T101" s="61">
        <f t="shared" si="383"/>
        <v>0</v>
      </c>
      <c r="U101" s="82">
        <f t="shared" si="384"/>
        <v>2</v>
      </c>
      <c r="V101" s="61">
        <f t="shared" si="385"/>
        <v>0.14976</v>
      </c>
    </row>
    <row r="102" spans="1:22">
      <c r="A102" s="125" t="s">
        <v>13</v>
      </c>
      <c r="B102" s="126" t="s">
        <v>26</v>
      </c>
      <c r="C102" s="127">
        <v>8.32</v>
      </c>
      <c r="D102" s="128">
        <v>9.6</v>
      </c>
      <c r="E102" s="129">
        <v>22</v>
      </c>
      <c r="F102" s="61">
        <f t="shared" si="377"/>
        <v>1.7571840000000001</v>
      </c>
      <c r="G102" s="130"/>
      <c r="H102" s="131"/>
      <c r="I102" s="61">
        <f t="shared" si="378"/>
        <v>0</v>
      </c>
      <c r="J102" s="61"/>
      <c r="K102" s="131"/>
      <c r="L102" s="61">
        <f t="shared" si="379"/>
        <v>0</v>
      </c>
      <c r="M102" s="61"/>
      <c r="N102" s="131"/>
      <c r="O102" s="61">
        <f t="shared" si="380"/>
        <v>0</v>
      </c>
      <c r="P102" s="61"/>
      <c r="Q102" s="131"/>
      <c r="R102" s="61">
        <f t="shared" si="381"/>
        <v>0</v>
      </c>
      <c r="S102" s="65">
        <f t="shared" si="382"/>
        <v>0</v>
      </c>
      <c r="T102" s="61">
        <f t="shared" si="383"/>
        <v>0</v>
      </c>
      <c r="U102" s="82">
        <f t="shared" si="384"/>
        <v>22</v>
      </c>
      <c r="V102" s="61">
        <f t="shared" si="385"/>
        <v>1.7571840000000001</v>
      </c>
    </row>
    <row r="103" spans="1:22">
      <c r="A103" s="125" t="s">
        <v>13</v>
      </c>
      <c r="B103" s="126" t="s">
        <v>26</v>
      </c>
      <c r="C103" s="127">
        <v>8.32</v>
      </c>
      <c r="D103" s="128">
        <v>10.5</v>
      </c>
      <c r="E103" s="129">
        <v>17</v>
      </c>
      <c r="F103" s="61">
        <f t="shared" si="377"/>
        <v>1.48512</v>
      </c>
      <c r="G103" s="130"/>
      <c r="H103" s="131"/>
      <c r="I103" s="61">
        <f t="shared" si="378"/>
        <v>0</v>
      </c>
      <c r="J103" s="61"/>
      <c r="K103" s="131"/>
      <c r="L103" s="61">
        <f t="shared" si="379"/>
        <v>0</v>
      </c>
      <c r="M103" s="61"/>
      <c r="N103" s="131"/>
      <c r="O103" s="61">
        <f t="shared" si="380"/>
        <v>0</v>
      </c>
      <c r="P103" s="61"/>
      <c r="Q103" s="131"/>
      <c r="R103" s="61">
        <f t="shared" si="381"/>
        <v>0</v>
      </c>
      <c r="S103" s="65">
        <f t="shared" si="382"/>
        <v>0</v>
      </c>
      <c r="T103" s="61">
        <f t="shared" si="383"/>
        <v>0</v>
      </c>
      <c r="U103" s="82">
        <f t="shared" si="384"/>
        <v>17</v>
      </c>
      <c r="V103" s="61">
        <f t="shared" si="385"/>
        <v>1.48512</v>
      </c>
    </row>
    <row r="104" spans="1:22">
      <c r="A104" s="125" t="s">
        <v>13</v>
      </c>
      <c r="B104" s="126" t="s">
        <v>26</v>
      </c>
      <c r="C104" s="127">
        <v>8.32</v>
      </c>
      <c r="D104" s="128">
        <v>11</v>
      </c>
      <c r="E104" s="129">
        <v>38</v>
      </c>
      <c r="F104" s="61">
        <f t="shared" si="377"/>
        <v>3.4777600000000004</v>
      </c>
      <c r="G104" s="130"/>
      <c r="H104" s="131"/>
      <c r="I104" s="61">
        <f t="shared" si="378"/>
        <v>0</v>
      </c>
      <c r="J104" s="61"/>
      <c r="K104" s="131"/>
      <c r="L104" s="61">
        <f t="shared" si="379"/>
        <v>0</v>
      </c>
      <c r="M104" s="61"/>
      <c r="N104" s="131"/>
      <c r="O104" s="61">
        <f t="shared" si="380"/>
        <v>0</v>
      </c>
      <c r="P104" s="61"/>
      <c r="Q104" s="131"/>
      <c r="R104" s="61">
        <f t="shared" si="381"/>
        <v>0</v>
      </c>
      <c r="S104" s="65">
        <f t="shared" si="382"/>
        <v>0</v>
      </c>
      <c r="T104" s="61">
        <f t="shared" si="383"/>
        <v>0</v>
      </c>
      <c r="U104" s="82">
        <f t="shared" si="384"/>
        <v>38</v>
      </c>
      <c r="V104" s="61">
        <f t="shared" si="385"/>
        <v>3.4777600000000004</v>
      </c>
    </row>
    <row r="105" spans="1:22">
      <c r="A105" s="125" t="s">
        <v>13</v>
      </c>
      <c r="B105" s="126" t="s">
        <v>26</v>
      </c>
      <c r="C105" s="127">
        <v>8.32</v>
      </c>
      <c r="D105" s="128">
        <v>12</v>
      </c>
      <c r="E105" s="129">
        <v>26</v>
      </c>
      <c r="F105" s="61">
        <f t="shared" si="377"/>
        <v>2.5958399999999999</v>
      </c>
      <c r="G105" s="130"/>
      <c r="H105" s="131"/>
      <c r="I105" s="61">
        <f t="shared" si="378"/>
        <v>0</v>
      </c>
      <c r="J105" s="61"/>
      <c r="K105" s="131"/>
      <c r="L105" s="61">
        <f t="shared" si="379"/>
        <v>0</v>
      </c>
      <c r="M105" s="61"/>
      <c r="N105" s="131"/>
      <c r="O105" s="61">
        <f t="shared" si="380"/>
        <v>0</v>
      </c>
      <c r="P105" s="61"/>
      <c r="Q105" s="131"/>
      <c r="R105" s="61">
        <f t="shared" si="381"/>
        <v>0</v>
      </c>
      <c r="S105" s="65">
        <f t="shared" si="382"/>
        <v>0</v>
      </c>
      <c r="T105" s="61">
        <f t="shared" si="383"/>
        <v>0</v>
      </c>
      <c r="U105" s="82">
        <f t="shared" si="384"/>
        <v>26</v>
      </c>
      <c r="V105" s="61">
        <f t="shared" si="385"/>
        <v>2.5958399999999999</v>
      </c>
    </row>
    <row r="106" spans="1:22">
      <c r="A106" s="125"/>
      <c r="B106" s="126"/>
      <c r="C106" s="127"/>
      <c r="D106" s="128"/>
      <c r="E106" s="132">
        <f t="shared" ref="E106:F106" si="386">SUM(E100:E105)</f>
        <v>120</v>
      </c>
      <c r="F106" s="133">
        <f t="shared" si="386"/>
        <v>10.495263999999999</v>
      </c>
      <c r="G106" s="130"/>
      <c r="H106" s="132">
        <f t="shared" ref="H106" si="387">SUM(H100:H105)</f>
        <v>0</v>
      </c>
      <c r="I106" s="133">
        <f t="shared" ref="I106" si="388">SUM(I100:I105)</f>
        <v>0</v>
      </c>
      <c r="J106" s="61"/>
      <c r="K106" s="132">
        <f t="shared" ref="K106" si="389">SUM(K100:K105)</f>
        <v>0</v>
      </c>
      <c r="L106" s="133">
        <f t="shared" ref="L106" si="390">SUM(L100:L105)</f>
        <v>0</v>
      </c>
      <c r="M106" s="61"/>
      <c r="N106" s="132">
        <f t="shared" ref="N106" si="391">SUM(N100:N105)</f>
        <v>0</v>
      </c>
      <c r="O106" s="133">
        <f t="shared" ref="O106" si="392">SUM(O100:O105)</f>
        <v>0</v>
      </c>
      <c r="P106" s="61"/>
      <c r="Q106" s="132">
        <f t="shared" ref="Q106" si="393">SUM(Q100:Q105)</f>
        <v>0</v>
      </c>
      <c r="R106" s="133">
        <f t="shared" ref="R106" si="394">SUM(R100:R105)</f>
        <v>0</v>
      </c>
      <c r="S106" s="132">
        <f t="shared" ref="S106" si="395">SUM(S100:S105)</f>
        <v>0</v>
      </c>
      <c r="T106" s="133">
        <f t="shared" ref="T106" si="396">SUM(T100:T105)</f>
        <v>0</v>
      </c>
      <c r="U106" s="132">
        <f t="shared" ref="U106" si="397">SUM(U100:U105)</f>
        <v>120</v>
      </c>
      <c r="V106" s="133">
        <f t="shared" ref="V106" si="398">SUM(V100:V105)</f>
        <v>10.495263999999999</v>
      </c>
    </row>
    <row r="107" spans="1:22">
      <c r="A107" s="125" t="s">
        <v>14</v>
      </c>
      <c r="B107" s="126" t="s">
        <v>45</v>
      </c>
      <c r="C107" s="127">
        <v>9.26</v>
      </c>
      <c r="D107" s="128">
        <v>6.3</v>
      </c>
      <c r="E107" s="129">
        <v>40</v>
      </c>
      <c r="F107" s="61">
        <f t="shared" ref="F107:F112" si="399">(C107*D107*E107/1000)</f>
        <v>2.3335199999999996</v>
      </c>
      <c r="G107" s="130"/>
      <c r="H107" s="131"/>
      <c r="I107" s="61">
        <f t="shared" ref="I107:I112" si="400">(C107*D107*H107/1000)</f>
        <v>0</v>
      </c>
      <c r="J107" s="61"/>
      <c r="K107" s="131"/>
      <c r="L107" s="61">
        <f t="shared" ref="L107:L112" si="401">(C107*D107*K107/1000)</f>
        <v>0</v>
      </c>
      <c r="M107" s="61"/>
      <c r="N107" s="131"/>
      <c r="O107" s="61">
        <f t="shared" ref="O107:O112" si="402">(C107*D107*N107/1000)</f>
        <v>0</v>
      </c>
      <c r="P107" s="61"/>
      <c r="Q107" s="131"/>
      <c r="R107" s="61">
        <f t="shared" ref="R107:R112" si="403">(C107*D107*Q107/1000)</f>
        <v>0</v>
      </c>
      <c r="S107" s="65">
        <f t="shared" ref="S107:S112" si="404">+H107+K107+Q107+N107</f>
        <v>0</v>
      </c>
      <c r="T107" s="61">
        <f t="shared" ref="T107:T112" si="405">+I107+L107+R107+O107</f>
        <v>0</v>
      </c>
      <c r="U107" s="82">
        <f t="shared" ref="U107:U112" si="406">E107-S107</f>
        <v>40</v>
      </c>
      <c r="V107" s="61">
        <f t="shared" ref="V107:V112" si="407">F107-T107</f>
        <v>2.3335199999999996</v>
      </c>
    </row>
    <row r="108" spans="1:22">
      <c r="A108" s="125" t="s">
        <v>14</v>
      </c>
      <c r="B108" s="126" t="s">
        <v>45</v>
      </c>
      <c r="C108" s="127">
        <v>9.26</v>
      </c>
      <c r="D108" s="128">
        <v>7.6</v>
      </c>
      <c r="E108" s="129">
        <v>56</v>
      </c>
      <c r="F108" s="61">
        <f t="shared" si="399"/>
        <v>3.9410559999999997</v>
      </c>
      <c r="G108" s="130"/>
      <c r="H108" s="131"/>
      <c r="I108" s="61">
        <f t="shared" si="400"/>
        <v>0</v>
      </c>
      <c r="J108" s="61"/>
      <c r="K108" s="131"/>
      <c r="L108" s="61">
        <f t="shared" si="401"/>
        <v>0</v>
      </c>
      <c r="M108" s="61"/>
      <c r="N108" s="131"/>
      <c r="O108" s="61">
        <f t="shared" si="402"/>
        <v>0</v>
      </c>
      <c r="P108" s="61"/>
      <c r="Q108" s="131"/>
      <c r="R108" s="61">
        <f t="shared" si="403"/>
        <v>0</v>
      </c>
      <c r="S108" s="65">
        <f t="shared" si="404"/>
        <v>0</v>
      </c>
      <c r="T108" s="61">
        <f t="shared" si="405"/>
        <v>0</v>
      </c>
      <c r="U108" s="82">
        <f t="shared" si="406"/>
        <v>56</v>
      </c>
      <c r="V108" s="61">
        <f t="shared" si="407"/>
        <v>3.9410559999999997</v>
      </c>
    </row>
    <row r="109" spans="1:22">
      <c r="A109" s="125" t="s">
        <v>14</v>
      </c>
      <c r="B109" s="126" t="s">
        <v>45</v>
      </c>
      <c r="C109" s="127">
        <v>9.26</v>
      </c>
      <c r="D109" s="128">
        <v>9.75</v>
      </c>
      <c r="E109" s="129">
        <v>72</v>
      </c>
      <c r="F109" s="61">
        <f t="shared" si="399"/>
        <v>6.5005199999999999</v>
      </c>
      <c r="G109" s="130"/>
      <c r="H109" s="131"/>
      <c r="I109" s="61">
        <f t="shared" si="400"/>
        <v>0</v>
      </c>
      <c r="J109" s="61"/>
      <c r="K109" s="131"/>
      <c r="L109" s="61">
        <f t="shared" si="401"/>
        <v>0</v>
      </c>
      <c r="M109" s="61"/>
      <c r="N109" s="131"/>
      <c r="O109" s="61">
        <f t="shared" si="402"/>
        <v>0</v>
      </c>
      <c r="P109" s="61"/>
      <c r="Q109" s="131"/>
      <c r="R109" s="61">
        <f t="shared" si="403"/>
        <v>0</v>
      </c>
      <c r="S109" s="65">
        <f t="shared" si="404"/>
        <v>0</v>
      </c>
      <c r="T109" s="61">
        <f t="shared" si="405"/>
        <v>0</v>
      </c>
      <c r="U109" s="82">
        <f t="shared" si="406"/>
        <v>72</v>
      </c>
      <c r="V109" s="61">
        <f t="shared" si="407"/>
        <v>6.5005199999999999</v>
      </c>
    </row>
    <row r="110" spans="1:22">
      <c r="A110" s="125" t="s">
        <v>14</v>
      </c>
      <c r="B110" s="126" t="s">
        <v>45</v>
      </c>
      <c r="C110" s="127">
        <v>9.26</v>
      </c>
      <c r="D110" s="128">
        <v>11.5</v>
      </c>
      <c r="E110" s="129">
        <v>148</v>
      </c>
      <c r="F110" s="61">
        <f t="shared" si="399"/>
        <v>15.760519999999998</v>
      </c>
      <c r="G110" s="130"/>
      <c r="H110" s="131"/>
      <c r="I110" s="61">
        <f t="shared" si="400"/>
        <v>0</v>
      </c>
      <c r="J110" s="61"/>
      <c r="K110" s="131"/>
      <c r="L110" s="61">
        <f t="shared" si="401"/>
        <v>0</v>
      </c>
      <c r="M110" s="61"/>
      <c r="N110" s="131"/>
      <c r="O110" s="61">
        <f t="shared" si="402"/>
        <v>0</v>
      </c>
      <c r="P110" s="61"/>
      <c r="Q110" s="131"/>
      <c r="R110" s="61">
        <f t="shared" si="403"/>
        <v>0</v>
      </c>
      <c r="S110" s="65">
        <f t="shared" si="404"/>
        <v>0</v>
      </c>
      <c r="T110" s="61">
        <f t="shared" si="405"/>
        <v>0</v>
      </c>
      <c r="U110" s="82">
        <f t="shared" si="406"/>
        <v>148</v>
      </c>
      <c r="V110" s="61">
        <f t="shared" si="407"/>
        <v>15.760519999999998</v>
      </c>
    </row>
    <row r="111" spans="1:22">
      <c r="A111" s="125" t="s">
        <v>14</v>
      </c>
      <c r="B111" s="126" t="s">
        <v>45</v>
      </c>
      <c r="C111" s="127">
        <v>9.26</v>
      </c>
      <c r="D111" s="128">
        <v>11.7</v>
      </c>
      <c r="E111" s="129">
        <v>52</v>
      </c>
      <c r="F111" s="61">
        <f t="shared" si="399"/>
        <v>5.6337839999999995</v>
      </c>
      <c r="G111" s="130"/>
      <c r="H111" s="131"/>
      <c r="I111" s="61">
        <f t="shared" si="400"/>
        <v>0</v>
      </c>
      <c r="J111" s="61"/>
      <c r="K111" s="131"/>
      <c r="L111" s="61">
        <f t="shared" si="401"/>
        <v>0</v>
      </c>
      <c r="M111" s="61"/>
      <c r="N111" s="131"/>
      <c r="O111" s="61">
        <f t="shared" si="402"/>
        <v>0</v>
      </c>
      <c r="P111" s="61"/>
      <c r="Q111" s="131"/>
      <c r="R111" s="61">
        <f t="shared" si="403"/>
        <v>0</v>
      </c>
      <c r="S111" s="65">
        <f t="shared" si="404"/>
        <v>0</v>
      </c>
      <c r="T111" s="61">
        <f t="shared" si="405"/>
        <v>0</v>
      </c>
      <c r="U111" s="82">
        <f t="shared" si="406"/>
        <v>52</v>
      </c>
      <c r="V111" s="61">
        <f t="shared" si="407"/>
        <v>5.6337839999999995</v>
      </c>
    </row>
    <row r="112" spans="1:22">
      <c r="A112" s="125" t="s">
        <v>14</v>
      </c>
      <c r="B112" s="126" t="s">
        <v>45</v>
      </c>
      <c r="C112" s="127">
        <v>9.26</v>
      </c>
      <c r="D112" s="128">
        <v>12</v>
      </c>
      <c r="E112" s="129">
        <v>58</v>
      </c>
      <c r="F112" s="61">
        <f t="shared" si="399"/>
        <v>6.44496</v>
      </c>
      <c r="G112" s="130"/>
      <c r="H112" s="131"/>
      <c r="I112" s="61">
        <f t="shared" si="400"/>
        <v>0</v>
      </c>
      <c r="J112" s="61"/>
      <c r="K112" s="131"/>
      <c r="L112" s="61">
        <f t="shared" si="401"/>
        <v>0</v>
      </c>
      <c r="M112" s="61"/>
      <c r="N112" s="131"/>
      <c r="O112" s="61">
        <f t="shared" si="402"/>
        <v>0</v>
      </c>
      <c r="P112" s="61"/>
      <c r="Q112" s="131"/>
      <c r="R112" s="61">
        <f t="shared" si="403"/>
        <v>0</v>
      </c>
      <c r="S112" s="65">
        <f t="shared" si="404"/>
        <v>0</v>
      </c>
      <c r="T112" s="61">
        <f t="shared" si="405"/>
        <v>0</v>
      </c>
      <c r="U112" s="82">
        <f t="shared" si="406"/>
        <v>58</v>
      </c>
      <c r="V112" s="61">
        <f t="shared" si="407"/>
        <v>6.44496</v>
      </c>
    </row>
    <row r="113" spans="1:22">
      <c r="A113" s="125"/>
      <c r="B113" s="126"/>
      <c r="C113" s="127"/>
      <c r="D113" s="128"/>
      <c r="E113" s="132">
        <f t="shared" ref="E113:F113" si="408">SUM(E107:E112)</f>
        <v>426</v>
      </c>
      <c r="F113" s="133">
        <f t="shared" si="408"/>
        <v>40.614359999999998</v>
      </c>
      <c r="G113" s="134"/>
      <c r="H113" s="132">
        <f t="shared" ref="H113" si="409">SUM(H107:H112)</f>
        <v>0</v>
      </c>
      <c r="I113" s="133">
        <f t="shared" ref="I113" si="410">SUM(I107:I112)</f>
        <v>0</v>
      </c>
      <c r="J113" s="134"/>
      <c r="K113" s="132">
        <f t="shared" ref="K113" si="411">SUM(K107:K112)</f>
        <v>0</v>
      </c>
      <c r="L113" s="133">
        <f t="shared" ref="L113" si="412">SUM(L107:L112)</f>
        <v>0</v>
      </c>
      <c r="M113" s="134"/>
      <c r="N113" s="132">
        <f t="shared" ref="N113" si="413">SUM(N107:N112)</f>
        <v>0</v>
      </c>
      <c r="O113" s="133">
        <f t="shared" ref="O113" si="414">SUM(O107:O112)</f>
        <v>0</v>
      </c>
      <c r="P113" s="134"/>
      <c r="Q113" s="132">
        <f t="shared" ref="Q113" si="415">SUM(Q107:Q112)</f>
        <v>0</v>
      </c>
      <c r="R113" s="133">
        <f t="shared" ref="R113" si="416">SUM(R107:R112)</f>
        <v>0</v>
      </c>
      <c r="S113" s="132">
        <f t="shared" ref="S113" si="417">SUM(S107:S112)</f>
        <v>0</v>
      </c>
      <c r="T113" s="133">
        <f t="shared" ref="T113" si="418">SUM(T107:T112)</f>
        <v>0</v>
      </c>
      <c r="U113" s="132">
        <f t="shared" ref="U113" si="419">SUM(U107:U112)</f>
        <v>426</v>
      </c>
      <c r="V113" s="133">
        <f t="shared" ref="V113" si="420">SUM(V107:V112)</f>
        <v>40.614359999999998</v>
      </c>
    </row>
    <row r="114" spans="1:22">
      <c r="A114" s="125" t="s">
        <v>14</v>
      </c>
      <c r="B114" s="126" t="s">
        <v>31</v>
      </c>
      <c r="C114" s="127">
        <v>10.199999999999999</v>
      </c>
      <c r="D114" s="128">
        <v>9.6</v>
      </c>
      <c r="E114" s="129">
        <v>16</v>
      </c>
      <c r="F114" s="61">
        <f t="shared" ref="F114:F116" si="421">(C114*D114*E114/1000)</f>
        <v>1.5667199999999999</v>
      </c>
      <c r="G114" s="130"/>
      <c r="H114" s="131"/>
      <c r="I114" s="61">
        <f t="shared" ref="I114:I116" si="422">(C114*D114*H114/1000)</f>
        <v>0</v>
      </c>
      <c r="J114" s="61"/>
      <c r="K114" s="131"/>
      <c r="L114" s="61">
        <f t="shared" ref="L114:L116" si="423">(C114*D114*K114/1000)</f>
        <v>0</v>
      </c>
      <c r="M114" s="61"/>
      <c r="N114" s="131"/>
      <c r="O114" s="61">
        <f t="shared" ref="O114:O116" si="424">(C114*D114*N114/1000)</f>
        <v>0</v>
      </c>
      <c r="P114" s="61"/>
      <c r="Q114" s="131"/>
      <c r="R114" s="61">
        <f t="shared" ref="R114:R116" si="425">(C114*D114*Q114/1000)</f>
        <v>0</v>
      </c>
      <c r="S114" s="65">
        <f t="shared" ref="S114:S116" si="426">+H114+K114+Q114+N114</f>
        <v>0</v>
      </c>
      <c r="T114" s="61">
        <f t="shared" ref="T114:T116" si="427">+I114+L114+R114+O114</f>
        <v>0</v>
      </c>
      <c r="U114" s="82">
        <f t="shared" ref="U114:U116" si="428">E114-S114</f>
        <v>16</v>
      </c>
      <c r="V114" s="61">
        <f t="shared" ref="V114:V116" si="429">F114-T114</f>
        <v>1.5667199999999999</v>
      </c>
    </row>
    <row r="115" spans="1:22">
      <c r="A115" s="125" t="s">
        <v>14</v>
      </c>
      <c r="B115" s="126" t="s">
        <v>31</v>
      </c>
      <c r="C115" s="127">
        <v>10.199999999999999</v>
      </c>
      <c r="D115" s="128">
        <v>11</v>
      </c>
      <c r="E115" s="129">
        <v>32</v>
      </c>
      <c r="F115" s="61">
        <f t="shared" si="421"/>
        <v>3.5903999999999998</v>
      </c>
      <c r="G115" s="130"/>
      <c r="H115" s="131"/>
      <c r="I115" s="61">
        <f t="shared" si="422"/>
        <v>0</v>
      </c>
      <c r="J115" s="61"/>
      <c r="K115" s="131"/>
      <c r="L115" s="61">
        <f t="shared" si="423"/>
        <v>0</v>
      </c>
      <c r="M115" s="61"/>
      <c r="N115" s="131"/>
      <c r="O115" s="61">
        <f t="shared" si="424"/>
        <v>0</v>
      </c>
      <c r="P115" s="61"/>
      <c r="Q115" s="131"/>
      <c r="R115" s="61">
        <f t="shared" si="425"/>
        <v>0</v>
      </c>
      <c r="S115" s="65">
        <f t="shared" si="426"/>
        <v>0</v>
      </c>
      <c r="T115" s="61">
        <f t="shared" si="427"/>
        <v>0</v>
      </c>
      <c r="U115" s="82">
        <f t="shared" si="428"/>
        <v>32</v>
      </c>
      <c r="V115" s="61">
        <f t="shared" si="429"/>
        <v>3.5903999999999998</v>
      </c>
    </row>
    <row r="116" spans="1:22">
      <c r="A116" s="125" t="s">
        <v>14</v>
      </c>
      <c r="B116" s="126" t="s">
        <v>31</v>
      </c>
      <c r="C116" s="127">
        <v>10.199999999999999</v>
      </c>
      <c r="D116" s="128">
        <v>11.6</v>
      </c>
      <c r="E116" s="129">
        <v>32</v>
      </c>
      <c r="F116" s="61">
        <f t="shared" si="421"/>
        <v>3.7862399999999998</v>
      </c>
      <c r="G116" s="130"/>
      <c r="H116" s="131"/>
      <c r="I116" s="61">
        <f t="shared" si="422"/>
        <v>0</v>
      </c>
      <c r="J116" s="61"/>
      <c r="K116" s="131"/>
      <c r="L116" s="61">
        <f t="shared" si="423"/>
        <v>0</v>
      </c>
      <c r="M116" s="61"/>
      <c r="N116" s="131"/>
      <c r="O116" s="61">
        <f t="shared" si="424"/>
        <v>0</v>
      </c>
      <c r="P116" s="61"/>
      <c r="Q116" s="131"/>
      <c r="R116" s="61">
        <f t="shared" si="425"/>
        <v>0</v>
      </c>
      <c r="S116" s="65">
        <f t="shared" si="426"/>
        <v>0</v>
      </c>
      <c r="T116" s="61">
        <f t="shared" si="427"/>
        <v>0</v>
      </c>
      <c r="U116" s="82">
        <f t="shared" si="428"/>
        <v>32</v>
      </c>
      <c r="V116" s="61">
        <f t="shared" si="429"/>
        <v>3.7862399999999998</v>
      </c>
    </row>
    <row r="117" spans="1:22">
      <c r="A117" s="125"/>
      <c r="B117" s="126"/>
      <c r="C117" s="127"/>
      <c r="D117" s="128"/>
      <c r="E117" s="132">
        <f>SUM(E114:E116)</f>
        <v>80</v>
      </c>
      <c r="F117" s="133">
        <f>SUM(F114:F116)</f>
        <v>8.9433600000000002</v>
      </c>
      <c r="G117" s="130"/>
      <c r="H117" s="132">
        <f>SUM(H114:H116)</f>
        <v>0</v>
      </c>
      <c r="I117" s="133">
        <f>SUM(I114:I116)</f>
        <v>0</v>
      </c>
      <c r="J117" s="61"/>
      <c r="K117" s="132">
        <f>SUM(K114:K116)</f>
        <v>0</v>
      </c>
      <c r="L117" s="133">
        <f>SUM(L114:L116)</f>
        <v>0</v>
      </c>
      <c r="M117" s="61"/>
      <c r="N117" s="132">
        <f>SUM(N114:N116)</f>
        <v>0</v>
      </c>
      <c r="O117" s="133">
        <f>SUM(O114:O116)</f>
        <v>0</v>
      </c>
      <c r="P117" s="61"/>
      <c r="Q117" s="132">
        <f t="shared" ref="Q117:V117" si="430">SUM(Q114:Q116)</f>
        <v>0</v>
      </c>
      <c r="R117" s="133">
        <f t="shared" si="430"/>
        <v>0</v>
      </c>
      <c r="S117" s="132">
        <f t="shared" si="430"/>
        <v>0</v>
      </c>
      <c r="T117" s="133">
        <f t="shared" si="430"/>
        <v>0</v>
      </c>
      <c r="U117" s="132">
        <f t="shared" si="430"/>
        <v>80</v>
      </c>
      <c r="V117" s="133">
        <f t="shared" si="430"/>
        <v>8.9433600000000002</v>
      </c>
    </row>
    <row r="118" spans="1:22">
      <c r="A118" s="125" t="s">
        <v>14</v>
      </c>
      <c r="B118" s="126" t="s">
        <v>34</v>
      </c>
      <c r="C118" s="127">
        <v>5.77</v>
      </c>
      <c r="D118" s="128">
        <v>10</v>
      </c>
      <c r="E118" s="129">
        <v>10</v>
      </c>
      <c r="F118" s="61">
        <f t="shared" ref="F118:F123" si="431">(C118*D118*E118/1000)</f>
        <v>0.57699999999999996</v>
      </c>
      <c r="G118" s="130"/>
      <c r="H118" s="131"/>
      <c r="I118" s="61">
        <f t="shared" ref="I118:I123" si="432">(C118*D118*H118/1000)</f>
        <v>0</v>
      </c>
      <c r="J118" s="61"/>
      <c r="K118" s="131"/>
      <c r="L118" s="61">
        <f t="shared" ref="L118:L123" si="433">(C118*D118*K118/1000)</f>
        <v>0</v>
      </c>
      <c r="M118" s="61"/>
      <c r="N118" s="131"/>
      <c r="O118" s="61">
        <f t="shared" ref="O118:O123" si="434">(C118*D118*N118/1000)</f>
        <v>0</v>
      </c>
      <c r="P118" s="61"/>
      <c r="Q118" s="131"/>
      <c r="R118" s="61">
        <f t="shared" ref="R118:R123" si="435">(C118*D118*Q118/1000)</f>
        <v>0</v>
      </c>
      <c r="S118" s="65">
        <f t="shared" ref="S118:S123" si="436">+H118+K118+Q118+N118</f>
        <v>0</v>
      </c>
      <c r="T118" s="61">
        <f t="shared" ref="T118:T123" si="437">+I118+L118+R118+O118</f>
        <v>0</v>
      </c>
      <c r="U118" s="82">
        <f t="shared" ref="U118:U123" si="438">E118-S118</f>
        <v>10</v>
      </c>
      <c r="V118" s="61">
        <f t="shared" ref="V118:V123" si="439">F118-T118</f>
        <v>0.57699999999999996</v>
      </c>
    </row>
    <row r="119" spans="1:22">
      <c r="A119" s="125" t="s">
        <v>14</v>
      </c>
      <c r="B119" s="126" t="s">
        <v>34</v>
      </c>
      <c r="C119" s="127">
        <v>5.77</v>
      </c>
      <c r="D119" s="128">
        <v>10.5</v>
      </c>
      <c r="E119" s="129">
        <v>24</v>
      </c>
      <c r="F119" s="61">
        <f t="shared" si="431"/>
        <v>1.45404</v>
      </c>
      <c r="G119" s="130"/>
      <c r="H119" s="131"/>
      <c r="I119" s="61">
        <f t="shared" si="432"/>
        <v>0</v>
      </c>
      <c r="J119" s="61"/>
      <c r="K119" s="131"/>
      <c r="L119" s="61">
        <f t="shared" si="433"/>
        <v>0</v>
      </c>
      <c r="M119" s="61"/>
      <c r="N119" s="131"/>
      <c r="O119" s="61">
        <f t="shared" si="434"/>
        <v>0</v>
      </c>
      <c r="P119" s="61"/>
      <c r="Q119" s="131"/>
      <c r="R119" s="61">
        <f t="shared" si="435"/>
        <v>0</v>
      </c>
      <c r="S119" s="65">
        <f t="shared" si="436"/>
        <v>0</v>
      </c>
      <c r="T119" s="61">
        <f t="shared" si="437"/>
        <v>0</v>
      </c>
      <c r="U119" s="82">
        <f t="shared" si="438"/>
        <v>24</v>
      </c>
      <c r="V119" s="61">
        <f t="shared" si="439"/>
        <v>1.45404</v>
      </c>
    </row>
    <row r="120" spans="1:22">
      <c r="A120" s="125" t="s">
        <v>14</v>
      </c>
      <c r="B120" s="126" t="s">
        <v>34</v>
      </c>
      <c r="C120" s="127">
        <v>5.77</v>
      </c>
      <c r="D120" s="128">
        <v>10.8</v>
      </c>
      <c r="E120" s="129">
        <f>96+29</f>
        <v>125</v>
      </c>
      <c r="F120" s="61">
        <f t="shared" si="431"/>
        <v>7.7895000000000003</v>
      </c>
      <c r="G120" s="130"/>
      <c r="H120" s="131"/>
      <c r="I120" s="61">
        <f t="shared" si="432"/>
        <v>0</v>
      </c>
      <c r="J120" s="61"/>
      <c r="K120" s="131"/>
      <c r="L120" s="61">
        <f t="shared" si="433"/>
        <v>0</v>
      </c>
      <c r="M120" s="61"/>
      <c r="N120" s="131"/>
      <c r="O120" s="61">
        <f t="shared" si="434"/>
        <v>0</v>
      </c>
      <c r="P120" s="61"/>
      <c r="Q120" s="131"/>
      <c r="R120" s="61">
        <f t="shared" si="435"/>
        <v>0</v>
      </c>
      <c r="S120" s="65">
        <f t="shared" si="436"/>
        <v>0</v>
      </c>
      <c r="T120" s="61">
        <f t="shared" si="437"/>
        <v>0</v>
      </c>
      <c r="U120" s="82">
        <f t="shared" si="438"/>
        <v>125</v>
      </c>
      <c r="V120" s="61">
        <f t="shared" si="439"/>
        <v>7.7895000000000003</v>
      </c>
    </row>
    <row r="121" spans="1:22">
      <c r="A121" s="125" t="s">
        <v>14</v>
      </c>
      <c r="B121" s="126" t="s">
        <v>34</v>
      </c>
      <c r="C121" s="127">
        <v>5.77</v>
      </c>
      <c r="D121" s="128">
        <v>11.2</v>
      </c>
      <c r="E121" s="129">
        <v>48</v>
      </c>
      <c r="F121" s="61">
        <f t="shared" si="431"/>
        <v>3.1019519999999998</v>
      </c>
      <c r="G121" s="130"/>
      <c r="H121" s="131"/>
      <c r="I121" s="61">
        <f t="shared" si="432"/>
        <v>0</v>
      </c>
      <c r="J121" s="61"/>
      <c r="K121" s="131"/>
      <c r="L121" s="61">
        <f t="shared" si="433"/>
        <v>0</v>
      </c>
      <c r="M121" s="61"/>
      <c r="N121" s="131"/>
      <c r="O121" s="61">
        <f t="shared" si="434"/>
        <v>0</v>
      </c>
      <c r="P121" s="61"/>
      <c r="Q121" s="131"/>
      <c r="R121" s="61">
        <f t="shared" si="435"/>
        <v>0</v>
      </c>
      <c r="S121" s="65">
        <f t="shared" si="436"/>
        <v>0</v>
      </c>
      <c r="T121" s="61">
        <f t="shared" si="437"/>
        <v>0</v>
      </c>
      <c r="U121" s="82">
        <f t="shared" si="438"/>
        <v>48</v>
      </c>
      <c r="V121" s="61">
        <f t="shared" si="439"/>
        <v>3.1019519999999998</v>
      </c>
    </row>
    <row r="122" spans="1:22">
      <c r="A122" s="125" t="s">
        <v>14</v>
      </c>
      <c r="B122" s="126" t="s">
        <v>34</v>
      </c>
      <c r="C122" s="127">
        <v>5.77</v>
      </c>
      <c r="D122" s="128">
        <v>11.5</v>
      </c>
      <c r="E122" s="129">
        <v>33</v>
      </c>
      <c r="F122" s="61">
        <f t="shared" si="431"/>
        <v>2.1897149999999996</v>
      </c>
      <c r="G122" s="130"/>
      <c r="H122" s="131"/>
      <c r="I122" s="61">
        <f t="shared" si="432"/>
        <v>0</v>
      </c>
      <c r="J122" s="61"/>
      <c r="K122" s="131"/>
      <c r="L122" s="61">
        <f t="shared" si="433"/>
        <v>0</v>
      </c>
      <c r="M122" s="61"/>
      <c r="N122" s="131"/>
      <c r="O122" s="61">
        <f t="shared" si="434"/>
        <v>0</v>
      </c>
      <c r="P122" s="61"/>
      <c r="Q122" s="131"/>
      <c r="R122" s="61">
        <f t="shared" si="435"/>
        <v>0</v>
      </c>
      <c r="S122" s="65">
        <f t="shared" si="436"/>
        <v>0</v>
      </c>
      <c r="T122" s="61">
        <f t="shared" si="437"/>
        <v>0</v>
      </c>
      <c r="U122" s="82">
        <f t="shared" si="438"/>
        <v>33</v>
      </c>
      <c r="V122" s="61">
        <f t="shared" si="439"/>
        <v>2.1897149999999996</v>
      </c>
    </row>
    <row r="123" spans="1:22">
      <c r="A123" s="125" t="s">
        <v>14</v>
      </c>
      <c r="B123" s="126" t="s">
        <v>34</v>
      </c>
      <c r="C123" s="127">
        <v>5.77</v>
      </c>
      <c r="D123" s="128">
        <v>12</v>
      </c>
      <c r="E123" s="129">
        <v>26</v>
      </c>
      <c r="F123" s="61">
        <f t="shared" si="431"/>
        <v>1.8002399999999998</v>
      </c>
      <c r="G123" s="130"/>
      <c r="H123" s="131"/>
      <c r="I123" s="61">
        <f t="shared" si="432"/>
        <v>0</v>
      </c>
      <c r="J123" s="61"/>
      <c r="K123" s="131"/>
      <c r="L123" s="61">
        <f t="shared" si="433"/>
        <v>0</v>
      </c>
      <c r="M123" s="61"/>
      <c r="N123" s="131"/>
      <c r="O123" s="61">
        <f t="shared" si="434"/>
        <v>0</v>
      </c>
      <c r="P123" s="61"/>
      <c r="Q123" s="131"/>
      <c r="R123" s="61">
        <f t="shared" si="435"/>
        <v>0</v>
      </c>
      <c r="S123" s="65">
        <f t="shared" si="436"/>
        <v>0</v>
      </c>
      <c r="T123" s="61">
        <f t="shared" si="437"/>
        <v>0</v>
      </c>
      <c r="U123" s="82">
        <f t="shared" si="438"/>
        <v>26</v>
      </c>
      <c r="V123" s="61">
        <f t="shared" si="439"/>
        <v>1.8002399999999998</v>
      </c>
    </row>
    <row r="124" spans="1:22">
      <c r="A124" s="125"/>
      <c r="B124" s="126"/>
      <c r="C124" s="127"/>
      <c r="D124" s="128"/>
      <c r="E124" s="132">
        <f>SUM(E118:E123)</f>
        <v>266</v>
      </c>
      <c r="F124" s="133">
        <f>SUM(F118:F123)</f>
        <v>16.912447</v>
      </c>
      <c r="G124" s="130"/>
      <c r="H124" s="132">
        <f>SUM(H118:H123)</f>
        <v>0</v>
      </c>
      <c r="I124" s="133">
        <f>SUM(I118:I123)</f>
        <v>0</v>
      </c>
      <c r="J124" s="61"/>
      <c r="K124" s="132">
        <f>SUM(K118:K123)</f>
        <v>0</v>
      </c>
      <c r="L124" s="133">
        <f>SUM(L118:L123)</f>
        <v>0</v>
      </c>
      <c r="M124" s="61"/>
      <c r="N124" s="132">
        <f>SUM(N118:N123)</f>
        <v>0</v>
      </c>
      <c r="O124" s="133">
        <f>SUM(O118:O123)</f>
        <v>0</v>
      </c>
      <c r="P124" s="61"/>
      <c r="Q124" s="132">
        <f t="shared" ref="Q124:V124" si="440">SUM(Q118:Q123)</f>
        <v>0</v>
      </c>
      <c r="R124" s="133">
        <f t="shared" si="440"/>
        <v>0</v>
      </c>
      <c r="S124" s="132">
        <f t="shared" si="440"/>
        <v>0</v>
      </c>
      <c r="T124" s="133">
        <f t="shared" si="440"/>
        <v>0</v>
      </c>
      <c r="U124" s="132">
        <f t="shared" si="440"/>
        <v>266</v>
      </c>
      <c r="V124" s="133">
        <f t="shared" si="440"/>
        <v>16.912447</v>
      </c>
    </row>
    <row r="125" spans="1:22">
      <c r="A125" s="125" t="s">
        <v>14</v>
      </c>
      <c r="B125" s="126" t="s">
        <v>57</v>
      </c>
      <c r="C125" s="127">
        <v>6.17</v>
      </c>
      <c r="D125" s="128">
        <v>8.6</v>
      </c>
      <c r="E125" s="129">
        <v>48</v>
      </c>
      <c r="F125" s="61">
        <f t="shared" ref="F125:F130" si="441">(C125*D125*E125/1000)</f>
        <v>2.5469759999999995</v>
      </c>
      <c r="G125" s="130"/>
      <c r="H125" s="131"/>
      <c r="I125" s="61">
        <f t="shared" ref="I125:I130" si="442">(C125*D125*H125/1000)</f>
        <v>0</v>
      </c>
      <c r="J125" s="61"/>
      <c r="K125" s="131"/>
      <c r="L125" s="61">
        <f t="shared" ref="L125:L130" si="443">(C125*D125*K125/1000)</f>
        <v>0</v>
      </c>
      <c r="M125" s="61"/>
      <c r="N125" s="131"/>
      <c r="O125" s="61">
        <f t="shared" ref="O125:O130" si="444">(C125*D125*N125/1000)</f>
        <v>0</v>
      </c>
      <c r="P125" s="61"/>
      <c r="Q125" s="131"/>
      <c r="R125" s="61">
        <f t="shared" ref="R125:R130" si="445">(C125*D125*Q125/1000)</f>
        <v>0</v>
      </c>
      <c r="S125" s="65">
        <f t="shared" ref="S125:S130" si="446">+H125+K125+Q125+N125</f>
        <v>0</v>
      </c>
      <c r="T125" s="61">
        <f t="shared" ref="T125:T130" si="447">+I125+L125+R125+O125</f>
        <v>0</v>
      </c>
      <c r="U125" s="82">
        <f t="shared" ref="U125:U130" si="448">E125-S125</f>
        <v>48</v>
      </c>
      <c r="V125" s="61">
        <f t="shared" ref="V125:V130" si="449">F125-T125</f>
        <v>2.5469759999999995</v>
      </c>
    </row>
    <row r="126" spans="1:22">
      <c r="A126" s="125" t="s">
        <v>14</v>
      </c>
      <c r="B126" s="126" t="s">
        <v>57</v>
      </c>
      <c r="C126" s="127">
        <v>6.17</v>
      </c>
      <c r="D126" s="128">
        <v>9.5</v>
      </c>
      <c r="E126" s="129">
        <v>46</v>
      </c>
      <c r="F126" s="61">
        <f t="shared" si="441"/>
        <v>2.6962899999999999</v>
      </c>
      <c r="G126" s="130"/>
      <c r="H126" s="131"/>
      <c r="I126" s="61">
        <f t="shared" si="442"/>
        <v>0</v>
      </c>
      <c r="J126" s="61"/>
      <c r="K126" s="131"/>
      <c r="L126" s="61">
        <f t="shared" si="443"/>
        <v>0</v>
      </c>
      <c r="M126" s="61"/>
      <c r="N126" s="131"/>
      <c r="O126" s="61">
        <f t="shared" si="444"/>
        <v>0</v>
      </c>
      <c r="P126" s="61"/>
      <c r="Q126" s="131"/>
      <c r="R126" s="61">
        <f t="shared" si="445"/>
        <v>0</v>
      </c>
      <c r="S126" s="65">
        <f t="shared" si="446"/>
        <v>0</v>
      </c>
      <c r="T126" s="61">
        <f t="shared" si="447"/>
        <v>0</v>
      </c>
      <c r="U126" s="82">
        <f t="shared" si="448"/>
        <v>46</v>
      </c>
      <c r="V126" s="61">
        <f t="shared" si="449"/>
        <v>2.6962899999999999</v>
      </c>
    </row>
    <row r="127" spans="1:22">
      <c r="A127" s="125" t="s">
        <v>14</v>
      </c>
      <c r="B127" s="126" t="s">
        <v>57</v>
      </c>
      <c r="C127" s="127">
        <v>6.17</v>
      </c>
      <c r="D127" s="128">
        <v>10</v>
      </c>
      <c r="E127" s="129">
        <v>24</v>
      </c>
      <c r="F127" s="61">
        <f t="shared" si="441"/>
        <v>1.4808000000000001</v>
      </c>
      <c r="G127" s="130"/>
      <c r="H127" s="131"/>
      <c r="I127" s="61">
        <f t="shared" si="442"/>
        <v>0</v>
      </c>
      <c r="J127" s="61"/>
      <c r="K127" s="131"/>
      <c r="L127" s="61">
        <f t="shared" si="443"/>
        <v>0</v>
      </c>
      <c r="M127" s="61"/>
      <c r="N127" s="131"/>
      <c r="O127" s="61">
        <f t="shared" si="444"/>
        <v>0</v>
      </c>
      <c r="P127" s="61"/>
      <c r="Q127" s="131"/>
      <c r="R127" s="61">
        <f t="shared" si="445"/>
        <v>0</v>
      </c>
      <c r="S127" s="65">
        <f t="shared" si="446"/>
        <v>0</v>
      </c>
      <c r="T127" s="61">
        <f t="shared" si="447"/>
        <v>0</v>
      </c>
      <c r="U127" s="82">
        <f t="shared" si="448"/>
        <v>24</v>
      </c>
      <c r="V127" s="61">
        <f t="shared" si="449"/>
        <v>1.4808000000000001</v>
      </c>
    </row>
    <row r="128" spans="1:22">
      <c r="A128" s="125" t="s">
        <v>14</v>
      </c>
      <c r="B128" s="126" t="s">
        <v>57</v>
      </c>
      <c r="C128" s="127">
        <v>6.17</v>
      </c>
      <c r="D128" s="128">
        <v>10.5</v>
      </c>
      <c r="E128" s="129">
        <v>96</v>
      </c>
      <c r="F128" s="61">
        <f t="shared" si="441"/>
        <v>6.21936</v>
      </c>
      <c r="G128" s="130"/>
      <c r="H128" s="131"/>
      <c r="I128" s="61">
        <f t="shared" si="442"/>
        <v>0</v>
      </c>
      <c r="J128" s="61"/>
      <c r="K128" s="131"/>
      <c r="L128" s="61">
        <f t="shared" si="443"/>
        <v>0</v>
      </c>
      <c r="M128" s="61"/>
      <c r="N128" s="131"/>
      <c r="O128" s="61">
        <f t="shared" si="444"/>
        <v>0</v>
      </c>
      <c r="P128" s="61"/>
      <c r="Q128" s="131"/>
      <c r="R128" s="61">
        <f t="shared" si="445"/>
        <v>0</v>
      </c>
      <c r="S128" s="65">
        <f t="shared" si="446"/>
        <v>0</v>
      </c>
      <c r="T128" s="61">
        <f t="shared" si="447"/>
        <v>0</v>
      </c>
      <c r="U128" s="82">
        <f t="shared" si="448"/>
        <v>96</v>
      </c>
      <c r="V128" s="61">
        <f t="shared" si="449"/>
        <v>6.21936</v>
      </c>
    </row>
    <row r="129" spans="1:22">
      <c r="A129" s="125" t="s">
        <v>14</v>
      </c>
      <c r="B129" s="126" t="s">
        <v>57</v>
      </c>
      <c r="C129" s="127">
        <v>6.17</v>
      </c>
      <c r="D129" s="128">
        <v>11</v>
      </c>
      <c r="E129" s="129">
        <v>39</v>
      </c>
      <c r="F129" s="61">
        <f t="shared" si="441"/>
        <v>2.6469300000000002</v>
      </c>
      <c r="G129" s="130"/>
      <c r="H129" s="131"/>
      <c r="I129" s="61">
        <f t="shared" si="442"/>
        <v>0</v>
      </c>
      <c r="J129" s="61"/>
      <c r="K129" s="131"/>
      <c r="L129" s="61">
        <f t="shared" si="443"/>
        <v>0</v>
      </c>
      <c r="M129" s="61"/>
      <c r="N129" s="131"/>
      <c r="O129" s="61">
        <f t="shared" si="444"/>
        <v>0</v>
      </c>
      <c r="P129" s="61"/>
      <c r="Q129" s="131"/>
      <c r="R129" s="61">
        <f t="shared" si="445"/>
        <v>0</v>
      </c>
      <c r="S129" s="65">
        <f t="shared" si="446"/>
        <v>0</v>
      </c>
      <c r="T129" s="61">
        <f t="shared" si="447"/>
        <v>0</v>
      </c>
      <c r="U129" s="82">
        <f t="shared" si="448"/>
        <v>39</v>
      </c>
      <c r="V129" s="61">
        <f t="shared" si="449"/>
        <v>2.6469300000000002</v>
      </c>
    </row>
    <row r="130" spans="1:22">
      <c r="A130" s="125" t="s">
        <v>14</v>
      </c>
      <c r="B130" s="126" t="s">
        <v>57</v>
      </c>
      <c r="C130" s="127">
        <v>6.17</v>
      </c>
      <c r="D130" s="128">
        <v>11.5</v>
      </c>
      <c r="E130" s="129">
        <v>31</v>
      </c>
      <c r="F130" s="61">
        <f t="shared" si="441"/>
        <v>2.199605</v>
      </c>
      <c r="G130" s="130"/>
      <c r="H130" s="131"/>
      <c r="I130" s="61">
        <f t="shared" si="442"/>
        <v>0</v>
      </c>
      <c r="J130" s="61"/>
      <c r="K130" s="131"/>
      <c r="L130" s="61">
        <f t="shared" si="443"/>
        <v>0</v>
      </c>
      <c r="M130" s="61"/>
      <c r="N130" s="131"/>
      <c r="O130" s="61">
        <f t="shared" si="444"/>
        <v>0</v>
      </c>
      <c r="P130" s="61"/>
      <c r="Q130" s="131"/>
      <c r="R130" s="61">
        <f t="shared" si="445"/>
        <v>0</v>
      </c>
      <c r="S130" s="65">
        <f t="shared" si="446"/>
        <v>0</v>
      </c>
      <c r="T130" s="61">
        <f t="shared" si="447"/>
        <v>0</v>
      </c>
      <c r="U130" s="82">
        <f t="shared" si="448"/>
        <v>31</v>
      </c>
      <c r="V130" s="61">
        <f t="shared" si="449"/>
        <v>2.199605</v>
      </c>
    </row>
    <row r="131" spans="1:22">
      <c r="A131" s="125"/>
      <c r="B131" s="126"/>
      <c r="C131" s="127"/>
      <c r="D131" s="128"/>
      <c r="E131" s="132">
        <f t="shared" ref="E131:F131" si="450">SUM(E125:E130)</f>
        <v>284</v>
      </c>
      <c r="F131" s="133">
        <f t="shared" si="450"/>
        <v>17.789960999999998</v>
      </c>
      <c r="G131" s="130"/>
      <c r="H131" s="132">
        <f t="shared" ref="H131" si="451">SUM(H125:H130)</f>
        <v>0</v>
      </c>
      <c r="I131" s="133">
        <f t="shared" ref="I131" si="452">SUM(I125:I130)</f>
        <v>0</v>
      </c>
      <c r="J131" s="61"/>
      <c r="K131" s="132">
        <f t="shared" ref="K131" si="453">SUM(K125:K130)</f>
        <v>0</v>
      </c>
      <c r="L131" s="133">
        <f t="shared" ref="L131" si="454">SUM(L125:L130)</f>
        <v>0</v>
      </c>
      <c r="M131" s="61"/>
      <c r="N131" s="132">
        <f t="shared" ref="N131" si="455">SUM(N125:N130)</f>
        <v>0</v>
      </c>
      <c r="O131" s="133">
        <f t="shared" ref="O131" si="456">SUM(O125:O130)</f>
        <v>0</v>
      </c>
      <c r="P131" s="61"/>
      <c r="Q131" s="132">
        <f t="shared" ref="Q131" si="457">SUM(Q125:Q130)</f>
        <v>0</v>
      </c>
      <c r="R131" s="133">
        <f t="shared" ref="R131" si="458">SUM(R125:R130)</f>
        <v>0</v>
      </c>
      <c r="S131" s="132">
        <f t="shared" ref="S131" si="459">SUM(S125:S130)</f>
        <v>0</v>
      </c>
      <c r="T131" s="133">
        <f t="shared" ref="T131" si="460">SUM(T125:T130)</f>
        <v>0</v>
      </c>
      <c r="U131" s="132">
        <f t="shared" ref="U131" si="461">SUM(U125:U130)</f>
        <v>284</v>
      </c>
      <c r="V131" s="133">
        <f t="shared" ref="V131" si="462">SUM(V125:V130)</f>
        <v>17.789960999999998</v>
      </c>
    </row>
    <row r="132" spans="1:22">
      <c r="A132" s="125" t="s">
        <v>14</v>
      </c>
      <c r="B132" s="126" t="s">
        <v>58</v>
      </c>
      <c r="C132" s="127">
        <v>7.36</v>
      </c>
      <c r="D132" s="128">
        <v>10</v>
      </c>
      <c r="E132" s="129">
        <v>5</v>
      </c>
      <c r="F132" s="61">
        <f>(C132*D132*E132/1000)</f>
        <v>0.36800000000000005</v>
      </c>
      <c r="G132" s="130"/>
      <c r="H132" s="131"/>
      <c r="I132" s="61">
        <f>(C132*D132*H132/1000)</f>
        <v>0</v>
      </c>
      <c r="J132" s="61"/>
      <c r="K132" s="131"/>
      <c r="L132" s="61">
        <f>(C132*D132*K132/1000)</f>
        <v>0</v>
      </c>
      <c r="M132" s="61"/>
      <c r="N132" s="131"/>
      <c r="O132" s="61">
        <f>(C132*D132*N132/1000)</f>
        <v>0</v>
      </c>
      <c r="P132" s="61"/>
      <c r="Q132" s="131"/>
      <c r="R132" s="61">
        <f>(C132*D132*Q132/1000)</f>
        <v>0</v>
      </c>
      <c r="S132" s="65">
        <f>+H132+K132+Q132+N132</f>
        <v>0</v>
      </c>
      <c r="T132" s="61">
        <f>+I132+L132+R132+O132</f>
        <v>0</v>
      </c>
      <c r="U132" s="82">
        <f>E132-S132</f>
        <v>5</v>
      </c>
      <c r="V132" s="61">
        <f>F132-T132</f>
        <v>0.36800000000000005</v>
      </c>
    </row>
    <row r="133" spans="1:22">
      <c r="A133" s="125"/>
      <c r="B133" s="126"/>
      <c r="C133" s="127"/>
      <c r="D133" s="128"/>
      <c r="E133" s="132">
        <f t="shared" ref="E133:F133" si="463">SUM(E132)</f>
        <v>5</v>
      </c>
      <c r="F133" s="133">
        <f t="shared" si="463"/>
        <v>0.36800000000000005</v>
      </c>
      <c r="G133" s="130"/>
      <c r="H133" s="132">
        <f t="shared" ref="H133" si="464">SUM(H132)</f>
        <v>0</v>
      </c>
      <c r="I133" s="133">
        <f t="shared" ref="I133" si="465">SUM(I132)</f>
        <v>0</v>
      </c>
      <c r="J133" s="61"/>
      <c r="K133" s="132">
        <f t="shared" ref="K133" si="466">SUM(K132)</f>
        <v>0</v>
      </c>
      <c r="L133" s="133">
        <f t="shared" ref="L133" si="467">SUM(L132)</f>
        <v>0</v>
      </c>
      <c r="M133" s="61"/>
      <c r="N133" s="132">
        <f t="shared" ref="N133" si="468">SUM(N132)</f>
        <v>0</v>
      </c>
      <c r="O133" s="133">
        <f t="shared" ref="O133" si="469">SUM(O132)</f>
        <v>0</v>
      </c>
      <c r="P133" s="61"/>
      <c r="Q133" s="132">
        <f t="shared" ref="Q133" si="470">SUM(Q132)</f>
        <v>0</v>
      </c>
      <c r="R133" s="133">
        <f t="shared" ref="R133" si="471">SUM(R132)</f>
        <v>0</v>
      </c>
      <c r="S133" s="132">
        <f t="shared" ref="S133" si="472">SUM(S132)</f>
        <v>0</v>
      </c>
      <c r="T133" s="133">
        <f t="shared" ref="T133" si="473">SUM(T132)</f>
        <v>0</v>
      </c>
      <c r="U133" s="132">
        <f t="shared" ref="U133" si="474">SUM(U132)</f>
        <v>5</v>
      </c>
      <c r="V133" s="133">
        <f t="shared" ref="V133" si="475">SUM(V132)</f>
        <v>0.36800000000000005</v>
      </c>
    </row>
    <row r="134" spans="1:22">
      <c r="A134" s="125" t="s">
        <v>14</v>
      </c>
      <c r="B134" s="126" t="s">
        <v>36</v>
      </c>
      <c r="C134" s="127">
        <v>6.97</v>
      </c>
      <c r="D134" s="128">
        <v>10</v>
      </c>
      <c r="E134" s="129">
        <v>13</v>
      </c>
      <c r="F134" s="61">
        <f t="shared" ref="F134:F139" si="476">(C134*D134*E134/1000)</f>
        <v>0.90610000000000002</v>
      </c>
      <c r="G134" s="130"/>
      <c r="H134" s="131"/>
      <c r="I134" s="61">
        <f t="shared" ref="I134:I139" si="477">(C134*D134*H134/1000)</f>
        <v>0</v>
      </c>
      <c r="J134" s="61"/>
      <c r="K134" s="131"/>
      <c r="L134" s="61">
        <f t="shared" ref="L134:L139" si="478">(C134*D134*K134/1000)</f>
        <v>0</v>
      </c>
      <c r="M134" s="61"/>
      <c r="N134" s="131"/>
      <c r="O134" s="61">
        <f t="shared" ref="O134:O139" si="479">(C134*D134*N134/1000)</f>
        <v>0</v>
      </c>
      <c r="P134" s="61"/>
      <c r="Q134" s="131"/>
      <c r="R134" s="61">
        <f t="shared" ref="R134:R139" si="480">(C134*D134*Q134/1000)</f>
        <v>0</v>
      </c>
      <c r="S134" s="65">
        <f t="shared" ref="S134:S139" si="481">+H134+K134+Q134+N134</f>
        <v>0</v>
      </c>
      <c r="T134" s="61">
        <f t="shared" ref="T134:T139" si="482">+I134+L134+R134+O134</f>
        <v>0</v>
      </c>
      <c r="U134" s="82">
        <f t="shared" ref="U134:U139" si="483">E134-S134</f>
        <v>13</v>
      </c>
      <c r="V134" s="61">
        <f t="shared" ref="V134:V139" si="484">F134-T134</f>
        <v>0.90610000000000002</v>
      </c>
    </row>
    <row r="135" spans="1:22">
      <c r="A135" s="125" t="s">
        <v>14</v>
      </c>
      <c r="B135" s="126" t="s">
        <v>36</v>
      </c>
      <c r="C135" s="127">
        <v>6.97</v>
      </c>
      <c r="D135" s="128">
        <v>10.199999999999999</v>
      </c>
      <c r="E135" s="129">
        <v>52</v>
      </c>
      <c r="F135" s="61">
        <f t="shared" si="476"/>
        <v>3.696888</v>
      </c>
      <c r="G135" s="130"/>
      <c r="H135" s="131"/>
      <c r="I135" s="61">
        <f t="shared" si="477"/>
        <v>0</v>
      </c>
      <c r="J135" s="61"/>
      <c r="K135" s="131"/>
      <c r="L135" s="61">
        <f t="shared" si="478"/>
        <v>0</v>
      </c>
      <c r="M135" s="61"/>
      <c r="N135" s="131"/>
      <c r="O135" s="61">
        <f t="shared" si="479"/>
        <v>0</v>
      </c>
      <c r="P135" s="61"/>
      <c r="Q135" s="131"/>
      <c r="R135" s="61">
        <f t="shared" si="480"/>
        <v>0</v>
      </c>
      <c r="S135" s="65">
        <f t="shared" si="481"/>
        <v>0</v>
      </c>
      <c r="T135" s="61">
        <f t="shared" si="482"/>
        <v>0</v>
      </c>
      <c r="U135" s="82">
        <f t="shared" si="483"/>
        <v>52</v>
      </c>
      <c r="V135" s="61">
        <f t="shared" si="484"/>
        <v>3.696888</v>
      </c>
    </row>
    <row r="136" spans="1:22">
      <c r="A136" s="125" t="s">
        <v>14</v>
      </c>
      <c r="B136" s="126" t="s">
        <v>36</v>
      </c>
      <c r="C136" s="127">
        <v>6.97</v>
      </c>
      <c r="D136" s="128">
        <v>11.5</v>
      </c>
      <c r="E136" s="129">
        <v>56</v>
      </c>
      <c r="F136" s="61">
        <f t="shared" si="476"/>
        <v>4.4886800000000004</v>
      </c>
      <c r="G136" s="130"/>
      <c r="H136" s="131"/>
      <c r="I136" s="61">
        <f t="shared" si="477"/>
        <v>0</v>
      </c>
      <c r="J136" s="61"/>
      <c r="K136" s="131"/>
      <c r="L136" s="61">
        <f t="shared" si="478"/>
        <v>0</v>
      </c>
      <c r="M136" s="61"/>
      <c r="N136" s="131"/>
      <c r="O136" s="61">
        <f t="shared" si="479"/>
        <v>0</v>
      </c>
      <c r="P136" s="61"/>
      <c r="Q136" s="131"/>
      <c r="R136" s="61">
        <f t="shared" si="480"/>
        <v>0</v>
      </c>
      <c r="S136" s="65">
        <f t="shared" si="481"/>
        <v>0</v>
      </c>
      <c r="T136" s="61">
        <f t="shared" si="482"/>
        <v>0</v>
      </c>
      <c r="U136" s="82">
        <f t="shared" si="483"/>
        <v>56</v>
      </c>
      <c r="V136" s="61">
        <f t="shared" si="484"/>
        <v>4.4886800000000004</v>
      </c>
    </row>
    <row r="137" spans="1:22">
      <c r="A137" s="125" t="s">
        <v>14</v>
      </c>
      <c r="B137" s="126" t="s">
        <v>36</v>
      </c>
      <c r="C137" s="127">
        <v>6.97</v>
      </c>
      <c r="D137" s="128">
        <v>11.5</v>
      </c>
      <c r="E137" s="129">
        <v>26</v>
      </c>
      <c r="F137" s="61">
        <f t="shared" si="476"/>
        <v>2.0840300000000003</v>
      </c>
      <c r="G137" s="130"/>
      <c r="H137" s="131"/>
      <c r="I137" s="61">
        <f t="shared" si="477"/>
        <v>0</v>
      </c>
      <c r="J137" s="61"/>
      <c r="K137" s="131"/>
      <c r="L137" s="61">
        <f t="shared" si="478"/>
        <v>0</v>
      </c>
      <c r="M137" s="61"/>
      <c r="N137" s="131"/>
      <c r="O137" s="61">
        <f t="shared" si="479"/>
        <v>0</v>
      </c>
      <c r="P137" s="61"/>
      <c r="Q137" s="131"/>
      <c r="R137" s="61">
        <f t="shared" si="480"/>
        <v>0</v>
      </c>
      <c r="S137" s="65">
        <f t="shared" si="481"/>
        <v>0</v>
      </c>
      <c r="T137" s="61">
        <f t="shared" si="482"/>
        <v>0</v>
      </c>
      <c r="U137" s="82">
        <f t="shared" si="483"/>
        <v>26</v>
      </c>
      <c r="V137" s="61">
        <f t="shared" si="484"/>
        <v>2.0840300000000003</v>
      </c>
    </row>
    <row r="138" spans="1:22">
      <c r="A138" s="125" t="s">
        <v>14</v>
      </c>
      <c r="B138" s="126" t="s">
        <v>36</v>
      </c>
      <c r="C138" s="127">
        <v>6.97</v>
      </c>
      <c r="D138" s="128">
        <v>12</v>
      </c>
      <c r="E138" s="129">
        <v>20</v>
      </c>
      <c r="F138" s="61">
        <f t="shared" si="476"/>
        <v>1.6728000000000001</v>
      </c>
      <c r="G138" s="130"/>
      <c r="H138" s="131"/>
      <c r="I138" s="61">
        <f t="shared" si="477"/>
        <v>0</v>
      </c>
      <c r="J138" s="61"/>
      <c r="K138" s="131"/>
      <c r="L138" s="61">
        <f t="shared" si="478"/>
        <v>0</v>
      </c>
      <c r="M138" s="61"/>
      <c r="N138" s="131"/>
      <c r="O138" s="61">
        <f t="shared" si="479"/>
        <v>0</v>
      </c>
      <c r="P138" s="61"/>
      <c r="Q138" s="131"/>
      <c r="R138" s="61">
        <f t="shared" si="480"/>
        <v>0</v>
      </c>
      <c r="S138" s="65">
        <f t="shared" si="481"/>
        <v>0</v>
      </c>
      <c r="T138" s="61">
        <f t="shared" si="482"/>
        <v>0</v>
      </c>
      <c r="U138" s="82">
        <f t="shared" si="483"/>
        <v>20</v>
      </c>
      <c r="V138" s="61">
        <f t="shared" si="484"/>
        <v>1.6728000000000001</v>
      </c>
    </row>
    <row r="139" spans="1:22">
      <c r="A139" s="125" t="s">
        <v>14</v>
      </c>
      <c r="B139" s="126" t="s">
        <v>36</v>
      </c>
      <c r="C139" s="127">
        <v>6.97</v>
      </c>
      <c r="D139" s="128">
        <v>12</v>
      </c>
      <c r="E139" s="129">
        <v>40</v>
      </c>
      <c r="F139" s="61">
        <f t="shared" si="476"/>
        <v>3.3456000000000001</v>
      </c>
      <c r="G139" s="130"/>
      <c r="H139" s="131"/>
      <c r="I139" s="61">
        <f t="shared" si="477"/>
        <v>0</v>
      </c>
      <c r="J139" s="61"/>
      <c r="K139" s="131"/>
      <c r="L139" s="61">
        <f t="shared" si="478"/>
        <v>0</v>
      </c>
      <c r="M139" s="61"/>
      <c r="N139" s="131"/>
      <c r="O139" s="61">
        <f t="shared" si="479"/>
        <v>0</v>
      </c>
      <c r="P139" s="61"/>
      <c r="Q139" s="131"/>
      <c r="R139" s="61">
        <f t="shared" si="480"/>
        <v>0</v>
      </c>
      <c r="S139" s="65">
        <f t="shared" si="481"/>
        <v>0</v>
      </c>
      <c r="T139" s="61">
        <f t="shared" si="482"/>
        <v>0</v>
      </c>
      <c r="U139" s="82">
        <f t="shared" si="483"/>
        <v>40</v>
      </c>
      <c r="V139" s="61">
        <f t="shared" si="484"/>
        <v>3.3456000000000001</v>
      </c>
    </row>
    <row r="140" spans="1:22">
      <c r="A140" s="125"/>
      <c r="B140" s="126"/>
      <c r="C140" s="127"/>
      <c r="D140" s="128"/>
      <c r="E140" s="132">
        <f t="shared" ref="E140:F140" si="485">SUM(E134:E139)</f>
        <v>207</v>
      </c>
      <c r="F140" s="133">
        <f t="shared" si="485"/>
        <v>16.194098</v>
      </c>
      <c r="G140" s="130"/>
      <c r="H140" s="132">
        <f t="shared" ref="H140" si="486">SUM(H134:H139)</f>
        <v>0</v>
      </c>
      <c r="I140" s="133">
        <f t="shared" ref="I140" si="487">SUM(I134:I139)</f>
        <v>0</v>
      </c>
      <c r="J140" s="61"/>
      <c r="K140" s="132">
        <f t="shared" ref="K140" si="488">SUM(K134:K139)</f>
        <v>0</v>
      </c>
      <c r="L140" s="133">
        <f t="shared" ref="L140" si="489">SUM(L134:L139)</f>
        <v>0</v>
      </c>
      <c r="M140" s="61"/>
      <c r="N140" s="132">
        <f t="shared" ref="N140" si="490">SUM(N134:N139)</f>
        <v>0</v>
      </c>
      <c r="O140" s="133">
        <f t="shared" ref="O140" si="491">SUM(O134:O139)</f>
        <v>0</v>
      </c>
      <c r="P140" s="61"/>
      <c r="Q140" s="132">
        <f t="shared" ref="Q140" si="492">SUM(Q134:Q139)</f>
        <v>0</v>
      </c>
      <c r="R140" s="133">
        <f t="shared" ref="R140" si="493">SUM(R134:R139)</f>
        <v>0</v>
      </c>
      <c r="S140" s="132">
        <f t="shared" ref="S140" si="494">SUM(S134:S139)</f>
        <v>0</v>
      </c>
      <c r="T140" s="133">
        <f t="shared" ref="T140" si="495">SUM(T134:T139)</f>
        <v>0</v>
      </c>
      <c r="U140" s="132">
        <f t="shared" ref="U140" si="496">SUM(U134:U139)</f>
        <v>207</v>
      </c>
      <c r="V140" s="133">
        <f t="shared" ref="V140" si="497">SUM(V134:V139)</f>
        <v>16.194098</v>
      </c>
    </row>
    <row r="141" spans="1:22">
      <c r="A141" s="125" t="s">
        <v>14</v>
      </c>
      <c r="B141" s="126" t="s">
        <v>26</v>
      </c>
      <c r="C141" s="127">
        <v>8.32</v>
      </c>
      <c r="D141" s="128">
        <v>8.1</v>
      </c>
      <c r="E141" s="129">
        <v>124</v>
      </c>
      <c r="F141" s="61">
        <f t="shared" ref="F141:F144" si="498">(C141*D141*E141/1000)</f>
        <v>8.3566079999999996</v>
      </c>
      <c r="G141" s="130"/>
      <c r="H141" s="131"/>
      <c r="I141" s="61">
        <f t="shared" ref="I141:I144" si="499">(C141*D141*H141/1000)</f>
        <v>0</v>
      </c>
      <c r="J141" s="61"/>
      <c r="K141" s="131"/>
      <c r="L141" s="61">
        <f t="shared" ref="L141:L144" si="500">(C141*D141*K141/1000)</f>
        <v>0</v>
      </c>
      <c r="M141" s="61"/>
      <c r="N141" s="131"/>
      <c r="O141" s="61">
        <f t="shared" ref="O141:O144" si="501">(C141*D141*N141/1000)</f>
        <v>0</v>
      </c>
      <c r="P141" s="61"/>
      <c r="Q141" s="131"/>
      <c r="R141" s="61">
        <f t="shared" ref="R141:R144" si="502">(C141*D141*Q141/1000)</f>
        <v>0</v>
      </c>
      <c r="S141" s="65">
        <f t="shared" ref="S141:S144" si="503">+H141+K141+Q141+N141</f>
        <v>0</v>
      </c>
      <c r="T141" s="61">
        <f t="shared" ref="T141:T144" si="504">+I141+L141+R141+O141</f>
        <v>0</v>
      </c>
      <c r="U141" s="82">
        <f t="shared" ref="U141:U144" si="505">E141-S141</f>
        <v>124</v>
      </c>
      <c r="V141" s="61">
        <f t="shared" ref="V141:V144" si="506">F141-T141</f>
        <v>8.3566079999999996</v>
      </c>
    </row>
    <row r="142" spans="1:22">
      <c r="A142" s="125" t="s">
        <v>14</v>
      </c>
      <c r="B142" s="126" t="s">
        <v>26</v>
      </c>
      <c r="C142" s="127">
        <v>8.32</v>
      </c>
      <c r="D142" s="128">
        <v>10.7</v>
      </c>
      <c r="E142" s="129">
        <v>47</v>
      </c>
      <c r="F142" s="61">
        <f t="shared" si="498"/>
        <v>4.1841279999999994</v>
      </c>
      <c r="G142" s="130"/>
      <c r="H142" s="131"/>
      <c r="I142" s="61">
        <f t="shared" si="499"/>
        <v>0</v>
      </c>
      <c r="J142" s="61"/>
      <c r="K142" s="131"/>
      <c r="L142" s="61">
        <f t="shared" si="500"/>
        <v>0</v>
      </c>
      <c r="M142" s="61"/>
      <c r="N142" s="131"/>
      <c r="O142" s="61">
        <f t="shared" si="501"/>
        <v>0</v>
      </c>
      <c r="P142" s="61"/>
      <c r="Q142" s="131"/>
      <c r="R142" s="61">
        <f t="shared" si="502"/>
        <v>0</v>
      </c>
      <c r="S142" s="65">
        <f t="shared" si="503"/>
        <v>0</v>
      </c>
      <c r="T142" s="61">
        <f t="shared" si="504"/>
        <v>0</v>
      </c>
      <c r="U142" s="82">
        <f t="shared" si="505"/>
        <v>47</v>
      </c>
      <c r="V142" s="61">
        <f t="shared" si="506"/>
        <v>4.1841279999999994</v>
      </c>
    </row>
    <row r="143" spans="1:22">
      <c r="A143" s="125" t="s">
        <v>14</v>
      </c>
      <c r="B143" s="126" t="s">
        <v>26</v>
      </c>
      <c r="C143" s="127">
        <v>8.32</v>
      </c>
      <c r="D143" s="128">
        <v>11</v>
      </c>
      <c r="E143" s="129">
        <v>4</v>
      </c>
      <c r="F143" s="61">
        <f t="shared" si="498"/>
        <v>0.36608000000000002</v>
      </c>
      <c r="G143" s="130"/>
      <c r="H143" s="131"/>
      <c r="I143" s="61">
        <f t="shared" si="499"/>
        <v>0</v>
      </c>
      <c r="J143" s="61"/>
      <c r="K143" s="131"/>
      <c r="L143" s="61">
        <f t="shared" si="500"/>
        <v>0</v>
      </c>
      <c r="M143" s="61"/>
      <c r="N143" s="131"/>
      <c r="O143" s="61">
        <f t="shared" si="501"/>
        <v>0</v>
      </c>
      <c r="P143" s="61"/>
      <c r="Q143" s="131"/>
      <c r="R143" s="61">
        <f t="shared" si="502"/>
        <v>0</v>
      </c>
      <c r="S143" s="65">
        <f t="shared" si="503"/>
        <v>0</v>
      </c>
      <c r="T143" s="61">
        <f t="shared" si="504"/>
        <v>0</v>
      </c>
      <c r="U143" s="82">
        <f t="shared" si="505"/>
        <v>4</v>
      </c>
      <c r="V143" s="61">
        <f t="shared" si="506"/>
        <v>0.36608000000000002</v>
      </c>
    </row>
    <row r="144" spans="1:22">
      <c r="A144" s="125" t="s">
        <v>14</v>
      </c>
      <c r="B144" s="126" t="s">
        <v>26</v>
      </c>
      <c r="C144" s="127">
        <v>8.32</v>
      </c>
      <c r="D144" s="128">
        <v>11.5</v>
      </c>
      <c r="E144" s="129">
        <v>8</v>
      </c>
      <c r="F144" s="61">
        <f t="shared" si="498"/>
        <v>0.76544000000000001</v>
      </c>
      <c r="G144" s="130"/>
      <c r="H144" s="131"/>
      <c r="I144" s="61">
        <f t="shared" si="499"/>
        <v>0</v>
      </c>
      <c r="J144" s="61"/>
      <c r="K144" s="131"/>
      <c r="L144" s="61">
        <f t="shared" si="500"/>
        <v>0</v>
      </c>
      <c r="M144" s="61"/>
      <c r="N144" s="131"/>
      <c r="O144" s="61">
        <f t="shared" si="501"/>
        <v>0</v>
      </c>
      <c r="P144" s="61"/>
      <c r="Q144" s="131"/>
      <c r="R144" s="61">
        <f t="shared" si="502"/>
        <v>0</v>
      </c>
      <c r="S144" s="65">
        <f t="shared" si="503"/>
        <v>0</v>
      </c>
      <c r="T144" s="61">
        <f t="shared" si="504"/>
        <v>0</v>
      </c>
      <c r="U144" s="82">
        <f t="shared" si="505"/>
        <v>8</v>
      </c>
      <c r="V144" s="61">
        <f t="shared" si="506"/>
        <v>0.76544000000000001</v>
      </c>
    </row>
    <row r="145" spans="1:22">
      <c r="A145" s="135"/>
      <c r="B145" s="135"/>
      <c r="C145" s="135"/>
      <c r="D145" s="135"/>
      <c r="E145" s="132">
        <f>SUM(E141:E144)</f>
        <v>183</v>
      </c>
      <c r="F145" s="133">
        <f>SUM(F141:F144)</f>
        <v>13.672255999999999</v>
      </c>
      <c r="G145" s="130"/>
      <c r="H145" s="132">
        <f t="shared" ref="H145" si="507">SUM(H141:H144)</f>
        <v>0</v>
      </c>
      <c r="I145" s="133">
        <f t="shared" ref="I145" si="508">SUM(I141:I144)</f>
        <v>0</v>
      </c>
      <c r="J145" s="61"/>
      <c r="K145" s="132">
        <f t="shared" ref="K145" si="509">SUM(K141:K144)</f>
        <v>0</v>
      </c>
      <c r="L145" s="133">
        <f t="shared" ref="L145" si="510">SUM(L141:L144)</f>
        <v>0</v>
      </c>
      <c r="M145" s="61"/>
      <c r="N145" s="132">
        <f t="shared" ref="N145" si="511">SUM(N141:N144)</f>
        <v>0</v>
      </c>
      <c r="O145" s="133">
        <f t="shared" ref="O145" si="512">SUM(O141:O144)</f>
        <v>0</v>
      </c>
      <c r="P145" s="61"/>
      <c r="Q145" s="132">
        <f t="shared" ref="Q145" si="513">SUM(Q141:Q144)</f>
        <v>0</v>
      </c>
      <c r="R145" s="133">
        <f t="shared" ref="R145" si="514">SUM(R141:R144)</f>
        <v>0</v>
      </c>
      <c r="S145" s="132">
        <f t="shared" ref="S145" si="515">SUM(S141:S144)</f>
        <v>0</v>
      </c>
      <c r="T145" s="133">
        <f t="shared" ref="T145" si="516">SUM(T141:T144)</f>
        <v>0</v>
      </c>
      <c r="U145" s="132">
        <f t="shared" ref="U145" si="517">SUM(U141:U144)</f>
        <v>183</v>
      </c>
      <c r="V145" s="133">
        <f t="shared" ref="V145" si="518">SUM(V141:V144)</f>
        <v>13.672255999999999</v>
      </c>
    </row>
    <row r="146" spans="1:22">
      <c r="A146" s="79"/>
      <c r="B146" s="79"/>
      <c r="C146" s="80"/>
      <c r="D146" s="80"/>
      <c r="E146" s="136">
        <f>SUM(E6:E145)/2</f>
        <v>3273</v>
      </c>
      <c r="F146" s="137">
        <f>SUM(F6:F145)/2</f>
        <v>319.16158800000017</v>
      </c>
      <c r="G146" s="138"/>
      <c r="H146" s="136">
        <f>SUM(H6:H145)/2</f>
        <v>0</v>
      </c>
      <c r="I146" s="137">
        <f>SUM(I6:I145)/2</f>
        <v>0</v>
      </c>
      <c r="J146" s="138"/>
      <c r="K146" s="136">
        <f>SUM(K6:K145)/2</f>
        <v>0</v>
      </c>
      <c r="L146" s="137">
        <f>SUM(L6:L145)/2</f>
        <v>0</v>
      </c>
      <c r="M146" s="138"/>
      <c r="N146" s="136">
        <f>SUM(N6:N145)/2</f>
        <v>0</v>
      </c>
      <c r="O146" s="137">
        <f>SUM(O6:O145)/2</f>
        <v>0</v>
      </c>
      <c r="P146" s="138"/>
      <c r="Q146" s="136">
        <f t="shared" ref="Q146:V146" si="519">SUM(Q6:Q145)/2</f>
        <v>0</v>
      </c>
      <c r="R146" s="137">
        <f t="shared" si="519"/>
        <v>0</v>
      </c>
      <c r="S146" s="136">
        <f t="shared" si="519"/>
        <v>0</v>
      </c>
      <c r="T146" s="137">
        <f t="shared" si="519"/>
        <v>0</v>
      </c>
      <c r="U146" s="136">
        <f t="shared" si="519"/>
        <v>3273</v>
      </c>
      <c r="V146" s="137">
        <f t="shared" si="519"/>
        <v>319.16158800000017</v>
      </c>
    </row>
    <row r="149" spans="1:22" ht="17.25" customHeight="1"/>
    <row r="150" spans="1:22">
      <c r="A150" s="57" t="s">
        <v>14</v>
      </c>
      <c r="B150" s="57" t="s">
        <v>315</v>
      </c>
      <c r="C150" s="58">
        <v>4.6500000000000004</v>
      </c>
      <c r="D150" s="59">
        <v>9.8000000000000007</v>
      </c>
      <c r="E150" s="60">
        <v>114</v>
      </c>
      <c r="F150" s="61">
        <f t="shared" ref="F150:F153" si="520">(C150*D150*E150/1000)</f>
        <v>5.1949800000000002</v>
      </c>
      <c r="G150" s="62"/>
      <c r="H150" s="63"/>
      <c r="I150" s="64">
        <f t="shared" ref="I150:I153" si="521">(C150*D150*H150/1000)</f>
        <v>0</v>
      </c>
      <c r="J150" s="61"/>
      <c r="K150" s="63"/>
      <c r="L150" s="64">
        <f t="shared" ref="L150:L153" si="522">(C150*D150*K150/1000)</f>
        <v>0</v>
      </c>
      <c r="M150" s="61"/>
      <c r="N150" s="63"/>
      <c r="O150" s="64">
        <f t="shared" ref="O150:O153" si="523">(C150*D150*N150/1000)</f>
        <v>0</v>
      </c>
      <c r="P150" s="61"/>
      <c r="Q150" s="63"/>
      <c r="R150" s="64">
        <f t="shared" ref="R150:R153" si="524">(C150*D150*Q150/1000)</f>
        <v>0</v>
      </c>
      <c r="S150" s="65">
        <f t="shared" ref="S150:S153" si="525">+H150+K150+Q150+N150</f>
        <v>0</v>
      </c>
      <c r="T150" s="64">
        <f t="shared" ref="T150:T153" si="526">+I150+L150+R150+O150</f>
        <v>0</v>
      </c>
      <c r="U150" s="42">
        <f t="shared" ref="U150:U153" si="527">E150-S150</f>
        <v>114</v>
      </c>
      <c r="V150" s="64">
        <f t="shared" ref="V150:V153" si="528">F150-T150</f>
        <v>5.1949800000000002</v>
      </c>
    </row>
    <row r="151" spans="1:22">
      <c r="A151" s="57" t="s">
        <v>14</v>
      </c>
      <c r="B151" s="57" t="s">
        <v>315</v>
      </c>
      <c r="C151" s="58">
        <v>4.6500000000000004</v>
      </c>
      <c r="D151" s="59">
        <v>10</v>
      </c>
      <c r="E151" s="60">
        <v>128</v>
      </c>
      <c r="F151" s="61">
        <f t="shared" si="520"/>
        <v>5.952</v>
      </c>
      <c r="G151" s="62"/>
      <c r="H151" s="63"/>
      <c r="I151" s="64">
        <f t="shared" si="521"/>
        <v>0</v>
      </c>
      <c r="J151" s="61"/>
      <c r="K151" s="63"/>
      <c r="L151" s="64">
        <f t="shared" si="522"/>
        <v>0</v>
      </c>
      <c r="M151" s="61"/>
      <c r="N151" s="63"/>
      <c r="O151" s="64">
        <f t="shared" si="523"/>
        <v>0</v>
      </c>
      <c r="P151" s="61"/>
      <c r="Q151" s="63"/>
      <c r="R151" s="64">
        <f t="shared" si="524"/>
        <v>0</v>
      </c>
      <c r="S151" s="65">
        <f t="shared" si="525"/>
        <v>0</v>
      </c>
      <c r="T151" s="64">
        <f t="shared" si="526"/>
        <v>0</v>
      </c>
      <c r="U151" s="42">
        <f t="shared" si="527"/>
        <v>128</v>
      </c>
      <c r="V151" s="64">
        <f t="shared" si="528"/>
        <v>5.952</v>
      </c>
    </row>
    <row r="152" spans="1:22">
      <c r="A152" s="57" t="s">
        <v>14</v>
      </c>
      <c r="B152" s="57" t="s">
        <v>315</v>
      </c>
      <c r="C152" s="58">
        <v>4.6500000000000004</v>
      </c>
      <c r="D152" s="59">
        <v>11.5</v>
      </c>
      <c r="E152" s="60">
        <v>28</v>
      </c>
      <c r="F152" s="61">
        <f t="shared" si="520"/>
        <v>1.4972999999999999</v>
      </c>
      <c r="G152" s="62"/>
      <c r="H152" s="63"/>
      <c r="I152" s="64">
        <f t="shared" si="521"/>
        <v>0</v>
      </c>
      <c r="J152" s="61"/>
      <c r="K152" s="63"/>
      <c r="L152" s="64">
        <f t="shared" si="522"/>
        <v>0</v>
      </c>
      <c r="M152" s="61"/>
      <c r="N152" s="63"/>
      <c r="O152" s="64">
        <f t="shared" si="523"/>
        <v>0</v>
      </c>
      <c r="P152" s="61"/>
      <c r="Q152" s="63"/>
      <c r="R152" s="64">
        <f t="shared" si="524"/>
        <v>0</v>
      </c>
      <c r="S152" s="65">
        <f t="shared" si="525"/>
        <v>0</v>
      </c>
      <c r="T152" s="64">
        <f t="shared" si="526"/>
        <v>0</v>
      </c>
      <c r="U152" s="42">
        <f t="shared" si="527"/>
        <v>28</v>
      </c>
      <c r="V152" s="64">
        <f t="shared" si="528"/>
        <v>1.4972999999999999</v>
      </c>
    </row>
    <row r="153" spans="1:22">
      <c r="A153" s="57" t="s">
        <v>14</v>
      </c>
      <c r="B153" s="57" t="s">
        <v>315</v>
      </c>
      <c r="C153" s="58">
        <v>4.6500000000000004</v>
      </c>
      <c r="D153" s="59">
        <v>12</v>
      </c>
      <c r="E153" s="60">
        <v>22</v>
      </c>
      <c r="F153" s="61">
        <f t="shared" si="520"/>
        <v>1.2276000000000002</v>
      </c>
      <c r="G153" s="62"/>
      <c r="H153" s="63"/>
      <c r="I153" s="64">
        <f t="shared" si="521"/>
        <v>0</v>
      </c>
      <c r="J153" s="61"/>
      <c r="K153" s="63"/>
      <c r="L153" s="64">
        <f t="shared" si="522"/>
        <v>0</v>
      </c>
      <c r="M153" s="61"/>
      <c r="N153" s="63"/>
      <c r="O153" s="64">
        <f t="shared" si="523"/>
        <v>0</v>
      </c>
      <c r="P153" s="61"/>
      <c r="Q153" s="63"/>
      <c r="R153" s="64">
        <f t="shared" si="524"/>
        <v>0</v>
      </c>
      <c r="S153" s="65">
        <f t="shared" si="525"/>
        <v>0</v>
      </c>
      <c r="T153" s="64">
        <f t="shared" si="526"/>
        <v>0</v>
      </c>
      <c r="U153" s="42">
        <f t="shared" si="527"/>
        <v>22</v>
      </c>
      <c r="V153" s="64">
        <f t="shared" si="528"/>
        <v>1.2276000000000002</v>
      </c>
    </row>
    <row r="154" spans="1:22">
      <c r="A154" s="41"/>
      <c r="B154" s="41"/>
      <c r="C154" s="58"/>
      <c r="D154" s="67"/>
      <c r="E154" s="68">
        <f t="shared" ref="E154:F154" si="529">SUM(E150:E153)</f>
        <v>292</v>
      </c>
      <c r="F154" s="67">
        <f t="shared" si="529"/>
        <v>13.871879999999999</v>
      </c>
      <c r="H154" s="68">
        <f t="shared" ref="H154" si="530">SUM(H150:H153)</f>
        <v>0</v>
      </c>
      <c r="I154" s="67">
        <f t="shared" ref="I154" si="531">SUM(I150:I153)</f>
        <v>0</v>
      </c>
      <c r="K154" s="68">
        <f t="shared" ref="K154" si="532">SUM(K150:K153)</f>
        <v>0</v>
      </c>
      <c r="L154" s="67">
        <f t="shared" ref="L154" si="533">SUM(L150:L153)</f>
        <v>0</v>
      </c>
      <c r="N154" s="68">
        <f t="shared" ref="N154" si="534">SUM(N150:N153)</f>
        <v>0</v>
      </c>
      <c r="O154" s="67">
        <f t="shared" ref="O154" si="535">SUM(O150:O153)</f>
        <v>0</v>
      </c>
      <c r="Q154" s="68">
        <f t="shared" ref="Q154" si="536">SUM(Q150:Q153)</f>
        <v>0</v>
      </c>
      <c r="R154" s="67">
        <f t="shared" ref="R154" si="537">SUM(R150:R153)</f>
        <v>0</v>
      </c>
      <c r="S154" s="68">
        <f t="shared" ref="S154" si="538">SUM(S150:S153)</f>
        <v>0</v>
      </c>
      <c r="T154" s="67">
        <f t="shared" ref="T154" si="539">SUM(T150:T153)</f>
        <v>0</v>
      </c>
      <c r="U154" s="68">
        <f t="shared" ref="U154" si="540">SUM(U150:U153)</f>
        <v>292</v>
      </c>
      <c r="V154" s="67">
        <f t="shared" ref="V154" si="541">SUM(V150:V153)</f>
        <v>13.871879999999999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63"/>
  <dimension ref="A1:X88"/>
  <sheetViews>
    <sheetView zoomScale="75" zoomScaleNormal="75" workbookViewId="0">
      <pane ySplit="5" topLeftCell="A6" activePane="bottomLeft" state="frozen"/>
      <selection pane="bottomLeft" activeCell="H30" sqref="H3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LOI-619  28.07.23</v>
      </c>
      <c r="D1" s="1"/>
      <c r="E1" s="2"/>
      <c r="F1" s="2"/>
      <c r="G1" s="143" t="s">
        <v>334</v>
      </c>
      <c r="H1" s="144"/>
      <c r="I1" s="145" t="s">
        <v>310</v>
      </c>
      <c r="J1" s="144"/>
      <c r="K1" s="3"/>
      <c r="L1" s="4"/>
      <c r="M1" s="4"/>
      <c r="N1" s="3"/>
      <c r="O1" s="4"/>
      <c r="P1" s="146" t="str">
        <f>+F2</f>
        <v>LOI-619  28.07.23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242</v>
      </c>
      <c r="B2" s="8"/>
      <c r="C2" s="9"/>
      <c r="D2" s="9"/>
      <c r="E2" s="10"/>
      <c r="F2" s="146" t="s">
        <v>335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LOI-619  28.07.23</v>
      </c>
      <c r="V2" s="146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9.1</v>
      </c>
      <c r="E6" s="28">
        <v>14</v>
      </c>
      <c r="F6" s="16">
        <f t="shared" ref="F6:F8" si="0">(C6*D6*E6/1000)</f>
        <v>1.911</v>
      </c>
      <c r="G6" s="17" t="s">
        <v>89</v>
      </c>
      <c r="H6" s="18"/>
      <c r="I6" s="19">
        <f t="shared" ref="I6:I8" si="1">(C6*D6*H6/1000)</f>
        <v>0</v>
      </c>
      <c r="J6" s="17" t="s">
        <v>150</v>
      </c>
      <c r="K6" s="18">
        <v>5</v>
      </c>
      <c r="L6" s="19">
        <f t="shared" ref="L6:L8" si="2">(C6*D6*K6/1000)</f>
        <v>0.6825</v>
      </c>
      <c r="M6" s="17" t="s">
        <v>150</v>
      </c>
      <c r="N6" s="18">
        <v>9</v>
      </c>
      <c r="O6" s="19">
        <f t="shared" ref="O6:O8" si="3">(C6*D6*N6/1000)</f>
        <v>1.2284999999999999</v>
      </c>
      <c r="P6" s="16"/>
      <c r="Q6" s="18"/>
      <c r="R6" s="19">
        <f t="shared" ref="R6:R8" si="4">(C6*D6*Q6/1000)</f>
        <v>0</v>
      </c>
      <c r="S6" s="20">
        <f t="shared" ref="S6:S8" si="5">+H6+K6+Q6+N6</f>
        <v>14</v>
      </c>
      <c r="T6" s="19">
        <f t="shared" ref="T6:T8" si="6">+I6+L6+R6+O6</f>
        <v>1.911</v>
      </c>
      <c r="U6" s="21">
        <f t="shared" ref="U6:U8" si="7">E6-S6</f>
        <v>0</v>
      </c>
      <c r="V6" s="19">
        <f t="shared" ref="V6:V8" si="8">F6-T6</f>
        <v>0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10.3</v>
      </c>
      <c r="E7" s="28">
        <v>30</v>
      </c>
      <c r="F7" s="16">
        <f t="shared" si="0"/>
        <v>4.6349999999999998</v>
      </c>
      <c r="G7" s="17" t="s">
        <v>409</v>
      </c>
      <c r="H7" s="18">
        <v>18</v>
      </c>
      <c r="I7" s="19">
        <f t="shared" si="1"/>
        <v>2.7810000000000001</v>
      </c>
      <c r="J7" s="17" t="s">
        <v>415</v>
      </c>
      <c r="K7" s="18">
        <v>12</v>
      </c>
      <c r="L7" s="19">
        <f t="shared" si="2"/>
        <v>1.8540000000000001</v>
      </c>
      <c r="M7" s="17" t="s">
        <v>417</v>
      </c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30</v>
      </c>
      <c r="T7" s="19">
        <f t="shared" si="6"/>
        <v>4.6349999999999998</v>
      </c>
      <c r="U7" s="21">
        <f t="shared" si="7"/>
        <v>0</v>
      </c>
      <c r="V7" s="19">
        <f t="shared" si="8"/>
        <v>0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10.6</v>
      </c>
      <c r="E8" s="28">
        <v>13</v>
      </c>
      <c r="F8" s="16">
        <f t="shared" si="0"/>
        <v>2.0670000000000002</v>
      </c>
      <c r="G8" s="17"/>
      <c r="H8" s="18">
        <v>6</v>
      </c>
      <c r="I8" s="19">
        <f t="shared" si="1"/>
        <v>0.95399999999999996</v>
      </c>
      <c r="J8" s="16"/>
      <c r="K8" s="18">
        <v>7</v>
      </c>
      <c r="L8" s="19">
        <f t="shared" si="2"/>
        <v>1.113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13</v>
      </c>
      <c r="T8" s="19">
        <f t="shared" si="6"/>
        <v>2.0670000000000002</v>
      </c>
      <c r="U8" s="21">
        <f t="shared" si="7"/>
        <v>0</v>
      </c>
      <c r="V8" s="19">
        <f t="shared" si="8"/>
        <v>0</v>
      </c>
      <c r="X8" s="29"/>
    </row>
    <row r="9" spans="1:24">
      <c r="A9" s="36"/>
      <c r="B9" s="36"/>
      <c r="C9" s="30"/>
      <c r="D9" s="38"/>
      <c r="E9" s="31">
        <f t="shared" ref="E9" si="9">SUM(E6:E8)</f>
        <v>57</v>
      </c>
      <c r="F9" s="38">
        <f>SUM(F6:F8)</f>
        <v>8.6129999999999995</v>
      </c>
      <c r="G9" s="17"/>
      <c r="H9" s="31">
        <f t="shared" ref="H9" si="10">SUM(H6:H8)</f>
        <v>24</v>
      </c>
      <c r="I9" s="38">
        <f t="shared" ref="I9" si="11">SUM(I6:I8)</f>
        <v>3.7350000000000003</v>
      </c>
      <c r="J9" s="16"/>
      <c r="K9" s="31">
        <f t="shared" ref="K9" si="12">SUM(K6:K8)</f>
        <v>24</v>
      </c>
      <c r="L9" s="38">
        <f t="shared" ref="L9" si="13">SUM(L6:L8)</f>
        <v>3.6495000000000002</v>
      </c>
      <c r="M9" s="16"/>
      <c r="N9" s="31">
        <f t="shared" ref="N9" si="14">SUM(N6:N8)</f>
        <v>9</v>
      </c>
      <c r="O9" s="38">
        <f t="shared" ref="O9" si="15">SUM(O6:O8)</f>
        <v>1.2284999999999999</v>
      </c>
      <c r="P9" s="16"/>
      <c r="Q9" s="31">
        <f t="shared" ref="Q9" si="16">SUM(Q6:Q8)</f>
        <v>0</v>
      </c>
      <c r="R9" s="38">
        <f t="shared" ref="R9" si="17">SUM(R6:R8)</f>
        <v>0</v>
      </c>
      <c r="S9" s="31">
        <f t="shared" ref="S9" si="18">SUM(S6:S8)</f>
        <v>57</v>
      </c>
      <c r="T9" s="38">
        <f t="shared" ref="T9" si="19">SUM(T6:T8)</f>
        <v>8.6129999999999995</v>
      </c>
      <c r="U9" s="31">
        <f t="shared" ref="U9" si="20">SUM(U6:U8)</f>
        <v>0</v>
      </c>
      <c r="V9" s="38">
        <f t="shared" ref="V9" si="21">SUM(V6:V8)</f>
        <v>0</v>
      </c>
    </row>
    <row r="10" spans="1:24">
      <c r="A10" s="26" t="s">
        <v>13</v>
      </c>
      <c r="B10" s="26" t="s">
        <v>61</v>
      </c>
      <c r="C10" s="30">
        <v>12.2</v>
      </c>
      <c r="D10" s="27">
        <v>7.5</v>
      </c>
      <c r="E10" s="28">
        <v>61</v>
      </c>
      <c r="F10" s="16">
        <f t="shared" ref="F10:F20" si="22">(C10*D10*E10/1000)</f>
        <v>5.5815000000000001</v>
      </c>
      <c r="G10" s="16" t="s">
        <v>111</v>
      </c>
      <c r="H10" s="18">
        <v>28</v>
      </c>
      <c r="I10" s="19">
        <f t="shared" ref="I10:I20" si="23">(C10*D10*H10/1000)</f>
        <v>2.5619999999999998</v>
      </c>
      <c r="J10" s="17" t="s">
        <v>93</v>
      </c>
      <c r="K10" s="18">
        <v>9</v>
      </c>
      <c r="L10" s="19">
        <f t="shared" ref="L10:L20" si="24">(C10*D10*K10/1000)</f>
        <v>0.82350000000000001</v>
      </c>
      <c r="M10" s="17" t="s">
        <v>89</v>
      </c>
      <c r="N10" s="18">
        <v>18</v>
      </c>
      <c r="O10" s="19">
        <f t="shared" ref="O10:O20" si="25">(C10*D10*N10/1000)</f>
        <v>1.647</v>
      </c>
      <c r="P10" s="17" t="s">
        <v>150</v>
      </c>
      <c r="Q10" s="18"/>
      <c r="R10" s="19">
        <f t="shared" ref="R10:R20" si="26">(C10*D10*Q10/1000)</f>
        <v>0</v>
      </c>
      <c r="S10" s="20">
        <f t="shared" ref="S10:S20" si="27">+H10+K10+Q10+N10</f>
        <v>55</v>
      </c>
      <c r="T10" s="19">
        <f t="shared" ref="T10:T20" si="28">+I10+L10+R10+O10</f>
        <v>5.0324999999999998</v>
      </c>
      <c r="U10" s="21">
        <f t="shared" ref="U10:U20" si="29">E10-S10</f>
        <v>6</v>
      </c>
      <c r="V10" s="19">
        <f t="shared" ref="V10:V20" si="30">F10-T10</f>
        <v>0.54900000000000038</v>
      </c>
    </row>
    <row r="11" spans="1:24">
      <c r="A11" s="26" t="s">
        <v>13</v>
      </c>
      <c r="B11" s="26" t="s">
        <v>61</v>
      </c>
      <c r="C11" s="30">
        <v>12.2</v>
      </c>
      <c r="D11" s="27">
        <v>7.6</v>
      </c>
      <c r="E11" s="28">
        <v>126</v>
      </c>
      <c r="F11" s="16">
        <f t="shared" si="22"/>
        <v>11.682719999999998</v>
      </c>
      <c r="G11" s="16" t="s">
        <v>399</v>
      </c>
      <c r="H11" s="18">
        <v>38</v>
      </c>
      <c r="I11" s="19">
        <f t="shared" si="23"/>
        <v>3.5233599999999994</v>
      </c>
      <c r="J11" s="17" t="s">
        <v>401</v>
      </c>
      <c r="K11" s="18">
        <f>5+54</f>
        <v>59</v>
      </c>
      <c r="L11" s="19">
        <f t="shared" si="24"/>
        <v>5.4704799999999985</v>
      </c>
      <c r="M11" s="17" t="s">
        <v>409</v>
      </c>
      <c r="N11" s="18"/>
      <c r="O11" s="19">
        <f t="shared" si="25"/>
        <v>0</v>
      </c>
      <c r="P11" s="17" t="s">
        <v>417</v>
      </c>
      <c r="Q11" s="18">
        <v>27</v>
      </c>
      <c r="R11" s="19">
        <f t="shared" si="26"/>
        <v>2.5034399999999994</v>
      </c>
      <c r="S11" s="20">
        <f t="shared" si="27"/>
        <v>124</v>
      </c>
      <c r="T11" s="19">
        <f t="shared" si="28"/>
        <v>11.497279999999998</v>
      </c>
      <c r="U11" s="21">
        <f t="shared" si="29"/>
        <v>2</v>
      </c>
      <c r="V11" s="19">
        <f t="shared" si="30"/>
        <v>0.18543999999999983</v>
      </c>
    </row>
    <row r="12" spans="1:24">
      <c r="A12" s="26" t="s">
        <v>13</v>
      </c>
      <c r="B12" s="26" t="s">
        <v>61</v>
      </c>
      <c r="C12" s="30">
        <v>12.2</v>
      </c>
      <c r="D12" s="27">
        <v>9</v>
      </c>
      <c r="E12" s="28">
        <v>28</v>
      </c>
      <c r="F12" s="16">
        <f t="shared" si="22"/>
        <v>3.0744000000000002</v>
      </c>
      <c r="G12" s="17"/>
      <c r="H12" s="18">
        <v>18</v>
      </c>
      <c r="I12" s="19">
        <f t="shared" si="23"/>
        <v>1.9763999999999999</v>
      </c>
      <c r="J12" s="16"/>
      <c r="K12" s="18"/>
      <c r="L12" s="19">
        <f t="shared" si="24"/>
        <v>0</v>
      </c>
      <c r="M12" s="16"/>
      <c r="N12" s="18">
        <v>5</v>
      </c>
      <c r="O12" s="19">
        <f t="shared" si="25"/>
        <v>0.54900000000000004</v>
      </c>
      <c r="P12" s="16"/>
      <c r="Q12" s="18"/>
      <c r="R12" s="19">
        <f t="shared" si="26"/>
        <v>0</v>
      </c>
      <c r="S12" s="20">
        <f t="shared" si="27"/>
        <v>23</v>
      </c>
      <c r="T12" s="19">
        <f t="shared" si="28"/>
        <v>2.5253999999999999</v>
      </c>
      <c r="U12" s="21">
        <f t="shared" si="29"/>
        <v>5</v>
      </c>
      <c r="V12" s="19">
        <f t="shared" si="30"/>
        <v>0.54900000000000038</v>
      </c>
    </row>
    <row r="13" spans="1:24">
      <c r="A13" s="26" t="s">
        <v>13</v>
      </c>
      <c r="B13" s="26" t="s">
        <v>61</v>
      </c>
      <c r="C13" s="30">
        <v>12.2</v>
      </c>
      <c r="D13" s="27">
        <v>10.3</v>
      </c>
      <c r="E13" s="28">
        <v>24</v>
      </c>
      <c r="F13" s="16">
        <f t="shared" si="22"/>
        <v>3.0158400000000003</v>
      </c>
      <c r="G13" s="17"/>
      <c r="H13" s="18">
        <v>16</v>
      </c>
      <c r="I13" s="19">
        <f t="shared" si="23"/>
        <v>2.0105599999999999</v>
      </c>
      <c r="J13" s="16"/>
      <c r="K13" s="18"/>
      <c r="L13" s="19">
        <f t="shared" si="24"/>
        <v>0</v>
      </c>
      <c r="M13" s="16"/>
      <c r="N13" s="18">
        <v>2</v>
      </c>
      <c r="O13" s="19">
        <f t="shared" si="25"/>
        <v>0.25131999999999999</v>
      </c>
      <c r="P13" s="16"/>
      <c r="Q13" s="18"/>
      <c r="R13" s="19">
        <f t="shared" si="26"/>
        <v>0</v>
      </c>
      <c r="S13" s="20">
        <f t="shared" si="27"/>
        <v>18</v>
      </c>
      <c r="T13" s="19">
        <f t="shared" si="28"/>
        <v>2.2618799999999997</v>
      </c>
      <c r="U13" s="21">
        <f t="shared" si="29"/>
        <v>6</v>
      </c>
      <c r="V13" s="19">
        <f t="shared" si="30"/>
        <v>0.75396000000000063</v>
      </c>
    </row>
    <row r="14" spans="1:24">
      <c r="A14" s="26" t="s">
        <v>13</v>
      </c>
      <c r="B14" s="26" t="s">
        <v>61</v>
      </c>
      <c r="C14" s="30">
        <v>12.2</v>
      </c>
      <c r="D14" s="27">
        <v>10.4</v>
      </c>
      <c r="E14" s="28">
        <v>55</v>
      </c>
      <c r="F14" s="16">
        <f t="shared" si="22"/>
        <v>6.9783999999999997</v>
      </c>
      <c r="G14" s="17"/>
      <c r="H14" s="18">
        <v>33</v>
      </c>
      <c r="I14" s="19">
        <f t="shared" si="23"/>
        <v>4.1870399999999997</v>
      </c>
      <c r="J14" s="16"/>
      <c r="K14" s="18"/>
      <c r="L14" s="19">
        <f t="shared" si="24"/>
        <v>0</v>
      </c>
      <c r="M14" s="16"/>
      <c r="N14" s="18">
        <v>22</v>
      </c>
      <c r="O14" s="19">
        <f t="shared" si="25"/>
        <v>2.7913599999999996</v>
      </c>
      <c r="P14" s="16"/>
      <c r="Q14" s="18">
        <v>3</v>
      </c>
      <c r="R14" s="19">
        <f t="shared" si="26"/>
        <v>0.38063999999999998</v>
      </c>
      <c r="S14" s="20">
        <f t="shared" si="27"/>
        <v>58</v>
      </c>
      <c r="T14" s="19">
        <f t="shared" si="28"/>
        <v>7.3590399999999985</v>
      </c>
      <c r="U14" s="21">
        <f t="shared" si="29"/>
        <v>-3</v>
      </c>
      <c r="V14" s="19">
        <f t="shared" si="30"/>
        <v>-0.38063999999999876</v>
      </c>
    </row>
    <row r="15" spans="1:24">
      <c r="A15" s="26" t="s">
        <v>13</v>
      </c>
      <c r="B15" s="26" t="s">
        <v>61</v>
      </c>
      <c r="C15" s="30">
        <v>12.2</v>
      </c>
      <c r="D15" s="27">
        <v>11.2</v>
      </c>
      <c r="E15" s="28">
        <v>13</v>
      </c>
      <c r="F15" s="16">
        <f t="shared" ref="F15:F19" si="31">(C15*D15*E15/1000)</f>
        <v>1.7763199999999997</v>
      </c>
      <c r="G15" s="17"/>
      <c r="H15" s="18"/>
      <c r="I15" s="19">
        <f t="shared" ref="I15:I19" si="32">(C15*D15*H15/1000)</f>
        <v>0</v>
      </c>
      <c r="J15" s="16"/>
      <c r="K15" s="18"/>
      <c r="L15" s="19">
        <f t="shared" ref="L15:L19" si="33">(C15*D15*K15/1000)</f>
        <v>0</v>
      </c>
      <c r="M15" s="16"/>
      <c r="N15" s="18">
        <v>7</v>
      </c>
      <c r="O15" s="19">
        <f t="shared" ref="O15:O19" si="34">(C15*D15*N15/1000)</f>
        <v>0.95647999999999989</v>
      </c>
      <c r="P15" s="16"/>
      <c r="Q15" s="18">
        <f>3+7</f>
        <v>10</v>
      </c>
      <c r="R15" s="19">
        <f t="shared" ref="R15:R19" si="35">(C15*D15*Q15/1000)</f>
        <v>1.3663999999999998</v>
      </c>
      <c r="S15" s="20">
        <f t="shared" ref="S15:S19" si="36">+H15+K15+Q15+N15</f>
        <v>17</v>
      </c>
      <c r="T15" s="19">
        <f t="shared" ref="T15:T19" si="37">+I15+L15+R15+O15</f>
        <v>2.3228799999999996</v>
      </c>
      <c r="U15" s="21">
        <f t="shared" ref="U15:U19" si="38">E15-S15</f>
        <v>-4</v>
      </c>
      <c r="V15" s="19">
        <f t="shared" ref="V15:V19" si="39">F15-T15</f>
        <v>-0.54655999999999993</v>
      </c>
    </row>
    <row r="16" spans="1:24">
      <c r="A16" s="26" t="s">
        <v>13</v>
      </c>
      <c r="B16" s="26" t="s">
        <v>61</v>
      </c>
      <c r="C16" s="30">
        <v>12.2</v>
      </c>
      <c r="D16" s="27">
        <v>9.6999999999999993</v>
      </c>
      <c r="E16" s="28"/>
      <c r="F16" s="16">
        <f t="shared" si="31"/>
        <v>0</v>
      </c>
      <c r="G16" s="17"/>
      <c r="H16" s="18"/>
      <c r="I16" s="19">
        <f t="shared" si="32"/>
        <v>0</v>
      </c>
      <c r="J16" s="16"/>
      <c r="K16" s="18"/>
      <c r="L16" s="19">
        <f t="shared" si="33"/>
        <v>0</v>
      </c>
      <c r="M16" s="16"/>
      <c r="N16" s="18"/>
      <c r="O16" s="19">
        <f t="shared" si="34"/>
        <v>0</v>
      </c>
      <c r="P16" s="16"/>
      <c r="Q16" s="18">
        <v>4</v>
      </c>
      <c r="R16" s="19">
        <f t="shared" si="35"/>
        <v>0.47335999999999995</v>
      </c>
      <c r="S16" s="20">
        <f t="shared" si="36"/>
        <v>4</v>
      </c>
      <c r="T16" s="19">
        <f t="shared" si="37"/>
        <v>0.47335999999999995</v>
      </c>
      <c r="U16" s="21">
        <f t="shared" si="38"/>
        <v>-4</v>
      </c>
      <c r="V16" s="19">
        <f t="shared" si="39"/>
        <v>-0.47335999999999995</v>
      </c>
    </row>
    <row r="17" spans="1:22">
      <c r="A17" s="26" t="s">
        <v>13</v>
      </c>
      <c r="B17" s="26" t="s">
        <v>61</v>
      </c>
      <c r="C17" s="30">
        <v>12.2</v>
      </c>
      <c r="D17" s="27">
        <v>9.4</v>
      </c>
      <c r="E17" s="28"/>
      <c r="F17" s="16">
        <f t="shared" si="31"/>
        <v>0</v>
      </c>
      <c r="G17" s="17"/>
      <c r="H17" s="18"/>
      <c r="I17" s="19">
        <f t="shared" si="32"/>
        <v>0</v>
      </c>
      <c r="J17" s="16"/>
      <c r="K17" s="18"/>
      <c r="L17" s="19">
        <f t="shared" si="33"/>
        <v>0</v>
      </c>
      <c r="M17" s="16"/>
      <c r="N17" s="18"/>
      <c r="O17" s="19">
        <f t="shared" si="34"/>
        <v>0</v>
      </c>
      <c r="P17" s="16"/>
      <c r="Q17" s="18">
        <v>1</v>
      </c>
      <c r="R17" s="19">
        <f t="shared" si="35"/>
        <v>0.11467999999999999</v>
      </c>
      <c r="S17" s="20">
        <f t="shared" si="36"/>
        <v>1</v>
      </c>
      <c r="T17" s="19">
        <f t="shared" si="37"/>
        <v>0.11467999999999999</v>
      </c>
      <c r="U17" s="21">
        <f t="shared" si="38"/>
        <v>-1</v>
      </c>
      <c r="V17" s="19">
        <f t="shared" si="39"/>
        <v>-0.11467999999999999</v>
      </c>
    </row>
    <row r="18" spans="1:22">
      <c r="A18" s="26" t="s">
        <v>13</v>
      </c>
      <c r="B18" s="26" t="s">
        <v>61</v>
      </c>
      <c r="C18" s="30">
        <v>12.2</v>
      </c>
      <c r="D18" s="27">
        <v>7.3</v>
      </c>
      <c r="E18" s="28"/>
      <c r="F18" s="16">
        <f t="shared" si="31"/>
        <v>0</v>
      </c>
      <c r="G18" s="17"/>
      <c r="H18" s="18"/>
      <c r="I18" s="19">
        <f t="shared" si="32"/>
        <v>0</v>
      </c>
      <c r="J18" s="16"/>
      <c r="K18" s="18"/>
      <c r="L18" s="19">
        <f t="shared" si="33"/>
        <v>0</v>
      </c>
      <c r="M18" s="16"/>
      <c r="N18" s="18"/>
      <c r="O18" s="19">
        <f t="shared" si="34"/>
        <v>0</v>
      </c>
      <c r="P18" s="16"/>
      <c r="Q18" s="18">
        <v>1</v>
      </c>
      <c r="R18" s="19">
        <f t="shared" si="35"/>
        <v>8.9059999999999986E-2</v>
      </c>
      <c r="S18" s="20">
        <f t="shared" si="36"/>
        <v>1</v>
      </c>
      <c r="T18" s="19">
        <f t="shared" si="37"/>
        <v>8.9059999999999986E-2</v>
      </c>
      <c r="U18" s="21">
        <f t="shared" si="38"/>
        <v>-1</v>
      </c>
      <c r="V18" s="19">
        <f t="shared" si="39"/>
        <v>-8.9059999999999986E-2</v>
      </c>
    </row>
    <row r="19" spans="1:22">
      <c r="A19" s="26" t="s">
        <v>13</v>
      </c>
      <c r="B19" s="26" t="s">
        <v>61</v>
      </c>
      <c r="C19" s="30">
        <v>12.2</v>
      </c>
      <c r="D19" s="27">
        <v>8.5</v>
      </c>
      <c r="E19" s="28"/>
      <c r="F19" s="16">
        <f t="shared" si="31"/>
        <v>0</v>
      </c>
      <c r="G19" s="17"/>
      <c r="H19" s="18"/>
      <c r="I19" s="19">
        <f t="shared" si="32"/>
        <v>0</v>
      </c>
      <c r="J19" s="16"/>
      <c r="K19" s="18"/>
      <c r="L19" s="19">
        <f t="shared" si="33"/>
        <v>0</v>
      </c>
      <c r="M19" s="16"/>
      <c r="N19" s="18"/>
      <c r="O19" s="19">
        <f t="shared" si="34"/>
        <v>0</v>
      </c>
      <c r="P19" s="16"/>
      <c r="Q19" s="18">
        <v>4</v>
      </c>
      <c r="R19" s="19">
        <f t="shared" si="35"/>
        <v>0.41479999999999995</v>
      </c>
      <c r="S19" s="20">
        <f t="shared" si="36"/>
        <v>4</v>
      </c>
      <c r="T19" s="19">
        <f t="shared" si="37"/>
        <v>0.41479999999999995</v>
      </c>
      <c r="U19" s="21">
        <f t="shared" si="38"/>
        <v>-4</v>
      </c>
      <c r="V19" s="19">
        <f t="shared" si="39"/>
        <v>-0.41479999999999995</v>
      </c>
    </row>
    <row r="20" spans="1:22">
      <c r="A20" s="26" t="s">
        <v>13</v>
      </c>
      <c r="B20" s="26" t="s">
        <v>61</v>
      </c>
      <c r="C20" s="30">
        <v>12.2</v>
      </c>
      <c r="D20" s="27">
        <v>8.4</v>
      </c>
      <c r="E20" s="28"/>
      <c r="F20" s="16">
        <f t="shared" si="22"/>
        <v>0</v>
      </c>
      <c r="G20" s="17"/>
      <c r="H20" s="18"/>
      <c r="I20" s="19">
        <f t="shared" si="23"/>
        <v>0</v>
      </c>
      <c r="J20" s="16"/>
      <c r="K20" s="18"/>
      <c r="L20" s="19">
        <f t="shared" si="24"/>
        <v>0</v>
      </c>
      <c r="M20" s="16"/>
      <c r="N20" s="18"/>
      <c r="O20" s="19">
        <f t="shared" si="25"/>
        <v>0</v>
      </c>
      <c r="P20" s="16"/>
      <c r="Q20" s="18">
        <v>2</v>
      </c>
      <c r="R20" s="19">
        <f t="shared" si="26"/>
        <v>0.20496</v>
      </c>
      <c r="S20" s="20">
        <f t="shared" si="27"/>
        <v>2</v>
      </c>
      <c r="T20" s="19">
        <f t="shared" si="28"/>
        <v>0.20496</v>
      </c>
      <c r="U20" s="21">
        <f t="shared" si="29"/>
        <v>-2</v>
      </c>
      <c r="V20" s="19">
        <f t="shared" si="30"/>
        <v>-0.20496</v>
      </c>
    </row>
    <row r="21" spans="1:22">
      <c r="A21" s="36"/>
      <c r="B21" s="36"/>
      <c r="C21" s="30"/>
      <c r="D21" s="38"/>
      <c r="E21" s="31">
        <f t="shared" ref="E21" si="40">SUM(E10:E20)</f>
        <v>307</v>
      </c>
      <c r="F21" s="38">
        <f>SUM(F10:F20)</f>
        <v>32.109180000000002</v>
      </c>
      <c r="G21" s="17"/>
      <c r="H21" s="31">
        <f t="shared" ref="H21" si="41">SUM(H10:H20)</f>
        <v>133</v>
      </c>
      <c r="I21" s="38">
        <f t="shared" ref="I21" si="42">SUM(I10:I20)</f>
        <v>14.259359999999999</v>
      </c>
      <c r="J21" s="16"/>
      <c r="K21" s="31">
        <f t="shared" ref="K21" si="43">SUM(K10:K20)</f>
        <v>68</v>
      </c>
      <c r="L21" s="38">
        <f t="shared" ref="L21" si="44">SUM(L10:L20)</f>
        <v>6.2939799999999986</v>
      </c>
      <c r="M21" s="16"/>
      <c r="N21" s="31">
        <f t="shared" ref="N21" si="45">SUM(N10:N20)</f>
        <v>54</v>
      </c>
      <c r="O21" s="38">
        <f t="shared" ref="O21" si="46">SUM(O10:O20)</f>
        <v>6.1951600000000004</v>
      </c>
      <c r="P21" s="16"/>
      <c r="Q21" s="31">
        <f t="shared" ref="Q21" si="47">SUM(Q10:Q20)</f>
        <v>52</v>
      </c>
      <c r="R21" s="38">
        <f t="shared" ref="R21" si="48">SUM(R10:R20)</f>
        <v>5.5473399999999984</v>
      </c>
      <c r="S21" s="31">
        <f t="shared" ref="S21" si="49">SUM(S10:S20)</f>
        <v>307</v>
      </c>
      <c r="T21" s="38">
        <f t="shared" ref="T21" si="50">SUM(T10:T20)</f>
        <v>32.295839999999998</v>
      </c>
      <c r="U21" s="31">
        <f t="shared" ref="U21" si="51">SUM(U10:U20)</f>
        <v>0</v>
      </c>
      <c r="V21" s="38">
        <f>SUM(V10:V20)</f>
        <v>-0.18665999999999741</v>
      </c>
    </row>
    <row r="22" spans="1:22">
      <c r="A22" s="26" t="s">
        <v>13</v>
      </c>
      <c r="B22" s="26" t="s">
        <v>180</v>
      </c>
      <c r="C22" s="30">
        <v>13.6</v>
      </c>
      <c r="D22" s="27">
        <v>7.6</v>
      </c>
      <c r="E22" s="28">
        <v>18</v>
      </c>
      <c r="F22" s="16">
        <f>(C22*D22*E22/1000)</f>
        <v>1.8604799999999999</v>
      </c>
      <c r="G22" s="17" t="s">
        <v>93</v>
      </c>
      <c r="H22" s="18">
        <v>16</v>
      </c>
      <c r="I22" s="19">
        <f>(C22*D22*H22/1000)</f>
        <v>1.6537599999999999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16</v>
      </c>
      <c r="T22" s="19">
        <f>+I22+L22+R22+O22</f>
        <v>1.6537599999999999</v>
      </c>
      <c r="U22" s="21">
        <f>E22-S22</f>
        <v>2</v>
      </c>
      <c r="V22" s="19">
        <f>F22-T22</f>
        <v>0.20672000000000001</v>
      </c>
    </row>
    <row r="23" spans="1:22">
      <c r="A23" s="26" t="s">
        <v>13</v>
      </c>
      <c r="B23" s="26" t="s">
        <v>180</v>
      </c>
      <c r="C23" s="30">
        <v>13.6</v>
      </c>
      <c r="D23" s="27">
        <v>7.55</v>
      </c>
      <c r="E23" s="28"/>
      <c r="F23" s="16">
        <f t="shared" ref="F23:F24" si="52">(C23*D23*E23/1000)</f>
        <v>0</v>
      </c>
      <c r="G23" t="s">
        <v>419</v>
      </c>
      <c r="H23" s="18">
        <v>1</v>
      </c>
      <c r="I23" s="19">
        <f t="shared" ref="I23:I24" si="53">(C23*D23*H23/1000)</f>
        <v>0.10267999999999999</v>
      </c>
      <c r="J23" s="16"/>
      <c r="K23" s="18"/>
      <c r="L23" s="19">
        <f t="shared" ref="L23:L24" si="54">(C23*D23*K23/1000)</f>
        <v>0</v>
      </c>
      <c r="M23" s="16"/>
      <c r="N23" s="18"/>
      <c r="O23" s="19">
        <f t="shared" ref="O23:O24" si="55">(C23*D23*N23/1000)</f>
        <v>0</v>
      </c>
      <c r="P23" s="16"/>
      <c r="Q23" s="18"/>
      <c r="R23" s="19">
        <f t="shared" ref="R23:R24" si="56">(C23*D23*Q23/1000)</f>
        <v>0</v>
      </c>
      <c r="S23" s="20">
        <f t="shared" ref="S23:S24" si="57">+H23+K23+Q23+N23</f>
        <v>1</v>
      </c>
      <c r="T23" s="19">
        <f t="shared" ref="T23:T24" si="58">+I23+L23+R23+O23</f>
        <v>0.10267999999999999</v>
      </c>
      <c r="U23" s="21">
        <f t="shared" ref="U23:U24" si="59">E23-S23</f>
        <v>-1</v>
      </c>
      <c r="V23" s="19">
        <f t="shared" ref="V23:V24" si="60">F23-T23</f>
        <v>-0.10267999999999999</v>
      </c>
    </row>
    <row r="24" spans="1:22">
      <c r="A24" s="26" t="s">
        <v>13</v>
      </c>
      <c r="B24" s="26" t="s">
        <v>180</v>
      </c>
      <c r="C24" s="30">
        <v>13.6</v>
      </c>
      <c r="D24" s="27">
        <v>6.3</v>
      </c>
      <c r="E24" s="28"/>
      <c r="F24" s="16">
        <f t="shared" si="52"/>
        <v>0</v>
      </c>
      <c r="G24" s="17"/>
      <c r="H24" s="18">
        <v>2</v>
      </c>
      <c r="I24" s="19">
        <f t="shared" si="53"/>
        <v>0.17135999999999998</v>
      </c>
      <c r="J24" s="16"/>
      <c r="K24" s="18"/>
      <c r="L24" s="19">
        <f t="shared" si="54"/>
        <v>0</v>
      </c>
      <c r="M24" s="16"/>
      <c r="N24" s="18"/>
      <c r="O24" s="19">
        <f t="shared" si="55"/>
        <v>0</v>
      </c>
      <c r="P24" s="16"/>
      <c r="Q24" s="18"/>
      <c r="R24" s="19">
        <f t="shared" si="56"/>
        <v>0</v>
      </c>
      <c r="S24" s="20">
        <f t="shared" si="57"/>
        <v>2</v>
      </c>
      <c r="T24" s="19">
        <f t="shared" si="58"/>
        <v>0.17135999999999998</v>
      </c>
      <c r="U24" s="21">
        <f t="shared" si="59"/>
        <v>-2</v>
      </c>
      <c r="V24" s="19">
        <f t="shared" si="60"/>
        <v>-0.17135999999999998</v>
      </c>
    </row>
    <row r="25" spans="1:22">
      <c r="A25" s="36"/>
      <c r="B25" s="36"/>
      <c r="C25" s="30"/>
      <c r="D25" s="38"/>
      <c r="E25" s="31">
        <f t="shared" ref="E25:F25" si="61">SUM(E22:E24)</f>
        <v>18</v>
      </c>
      <c r="F25" s="38">
        <f t="shared" si="61"/>
        <v>1.8604799999999999</v>
      </c>
      <c r="H25" s="31">
        <f t="shared" ref="H25" si="62">SUM(H22:H24)</f>
        <v>19</v>
      </c>
      <c r="I25" s="38">
        <f t="shared" ref="I25" si="63">SUM(I22:I24)</f>
        <v>1.9278</v>
      </c>
      <c r="J25" s="16"/>
      <c r="K25" s="31">
        <f t="shared" ref="K25" si="64">SUM(K22:K24)</f>
        <v>0</v>
      </c>
      <c r="L25" s="38">
        <f t="shared" ref="L25" si="65">SUM(L22:L24)</f>
        <v>0</v>
      </c>
      <c r="M25" s="16"/>
      <c r="N25" s="31">
        <f t="shared" ref="N25" si="66">SUM(N22:N24)</f>
        <v>0</v>
      </c>
      <c r="O25" s="38">
        <f t="shared" ref="O25" si="67">SUM(O22:O24)</f>
        <v>0</v>
      </c>
      <c r="P25" s="16"/>
      <c r="Q25" s="31">
        <f t="shared" ref="Q25" si="68">SUM(Q22:Q24)</f>
        <v>0</v>
      </c>
      <c r="R25" s="38">
        <f t="shared" ref="R25" si="69">SUM(R22:R24)</f>
        <v>0</v>
      </c>
      <c r="S25" s="31">
        <f t="shared" ref="S25" si="70">SUM(S22:S24)</f>
        <v>19</v>
      </c>
      <c r="T25" s="38">
        <f t="shared" ref="T25" si="71">SUM(T22:T24)</f>
        <v>1.9278</v>
      </c>
      <c r="U25" s="31">
        <f t="shared" ref="U25" si="72">SUM(U22:U24)</f>
        <v>-1</v>
      </c>
      <c r="V25" s="38">
        <f t="shared" ref="V25" si="73">SUM(V22:V24)</f>
        <v>-6.7319999999999963E-2</v>
      </c>
    </row>
    <row r="26" spans="1:22">
      <c r="A26" s="26" t="s">
        <v>13</v>
      </c>
      <c r="B26" s="26" t="s">
        <v>18</v>
      </c>
      <c r="C26" s="30">
        <v>16.600000000000001</v>
      </c>
      <c r="D26" s="27">
        <v>7.25</v>
      </c>
      <c r="E26" s="28">
        <v>8</v>
      </c>
      <c r="F26" s="16">
        <f t="shared" ref="F26:F28" si="74">(C26*D26*E26/1000)</f>
        <v>0.9628000000000001</v>
      </c>
      <c r="G26" s="17" t="s">
        <v>325</v>
      </c>
      <c r="H26" s="18"/>
      <c r="I26" s="19">
        <f t="shared" ref="I26:I28" si="75">(C26*D26*H26/1000)</f>
        <v>0</v>
      </c>
      <c r="J26" s="17" t="s">
        <v>295</v>
      </c>
      <c r="K26" s="18"/>
      <c r="L26" s="19">
        <f t="shared" ref="L26:L28" si="76">(C26*D26*K26/1000)</f>
        <v>0</v>
      </c>
      <c r="M26" s="17" t="s">
        <v>295</v>
      </c>
      <c r="N26" s="18"/>
      <c r="O26" s="19">
        <f t="shared" ref="O26:O28" si="77">(C26*D26*N26/1000)</f>
        <v>0</v>
      </c>
      <c r="P26" s="17" t="s">
        <v>114</v>
      </c>
      <c r="Q26" s="18"/>
      <c r="R26" s="19">
        <f t="shared" ref="R26:R28" si="78">(C26*D26*Q26/1000)</f>
        <v>0</v>
      </c>
      <c r="S26" s="20">
        <f t="shared" ref="S26:S28" si="79">+H26+K26+Q26+N26</f>
        <v>0</v>
      </c>
      <c r="T26" s="19">
        <f t="shared" ref="T26:T28" si="80">+I26+L26+R26+O26</f>
        <v>0</v>
      </c>
      <c r="U26" s="21">
        <f t="shared" ref="U26:U28" si="81">E26-S26</f>
        <v>8</v>
      </c>
      <c r="V26" s="19">
        <f t="shared" ref="V26:V28" si="82">F26-T26</f>
        <v>0.9628000000000001</v>
      </c>
    </row>
    <row r="27" spans="1:22">
      <c r="A27" s="26" t="s">
        <v>13</v>
      </c>
      <c r="B27" s="26" t="s">
        <v>18</v>
      </c>
      <c r="C27" s="30">
        <v>16.600000000000001</v>
      </c>
      <c r="D27" s="27">
        <v>7.3</v>
      </c>
      <c r="E27" s="28">
        <v>72</v>
      </c>
      <c r="F27" s="16">
        <f t="shared" si="74"/>
        <v>8.7249600000000012</v>
      </c>
      <c r="G27" s="17" t="s">
        <v>399</v>
      </c>
      <c r="H27" s="18">
        <v>34</v>
      </c>
      <c r="I27" s="19">
        <f t="shared" si="75"/>
        <v>4.12012</v>
      </c>
      <c r="J27" s="17" t="s">
        <v>399</v>
      </c>
      <c r="K27" s="18">
        <v>27</v>
      </c>
      <c r="L27" s="19">
        <f t="shared" si="76"/>
        <v>3.2718600000000002</v>
      </c>
      <c r="M27" s="17" t="s">
        <v>401</v>
      </c>
      <c r="N27" s="18"/>
      <c r="O27" s="19">
        <f t="shared" si="77"/>
        <v>0</v>
      </c>
      <c r="P27" s="17" t="s">
        <v>409</v>
      </c>
      <c r="Q27" s="18">
        <v>19</v>
      </c>
      <c r="R27" s="19">
        <f t="shared" si="78"/>
        <v>2.3024200000000001</v>
      </c>
      <c r="S27" s="20">
        <f t="shared" si="79"/>
        <v>80</v>
      </c>
      <c r="T27" s="19">
        <f t="shared" si="80"/>
        <v>9.6943999999999999</v>
      </c>
      <c r="U27" s="21">
        <f t="shared" si="81"/>
        <v>-8</v>
      </c>
      <c r="V27" s="19">
        <f t="shared" si="82"/>
        <v>-0.96943999999999875</v>
      </c>
    </row>
    <row r="28" spans="1:22">
      <c r="A28" s="26" t="s">
        <v>13</v>
      </c>
      <c r="B28" s="26" t="s">
        <v>18</v>
      </c>
      <c r="C28" s="30">
        <v>16.600000000000001</v>
      </c>
      <c r="D28" s="27">
        <v>9.6</v>
      </c>
      <c r="E28" s="28">
        <v>342</v>
      </c>
      <c r="F28" s="16">
        <f t="shared" si="74"/>
        <v>54.50112</v>
      </c>
      <c r="G28" s="17"/>
      <c r="H28" s="18">
        <v>52</v>
      </c>
      <c r="I28" s="19">
        <f t="shared" si="75"/>
        <v>8.2867200000000008</v>
      </c>
      <c r="J28" s="16"/>
      <c r="K28" s="18">
        <v>54</v>
      </c>
      <c r="L28" s="19">
        <f t="shared" si="76"/>
        <v>8.6054399999999998</v>
      </c>
      <c r="M28" s="16" t="s">
        <v>114</v>
      </c>
      <c r="N28" s="18">
        <f>58+143</f>
        <v>201</v>
      </c>
      <c r="O28" s="19">
        <f t="shared" si="77"/>
        <v>32.031360000000006</v>
      </c>
      <c r="P28" s="16"/>
      <c r="Q28" s="18">
        <f>18+17</f>
        <v>35</v>
      </c>
      <c r="R28" s="19">
        <f t="shared" si="78"/>
        <v>5.5776000000000003</v>
      </c>
      <c r="S28" s="20">
        <f t="shared" si="79"/>
        <v>342</v>
      </c>
      <c r="T28" s="19">
        <f t="shared" si="80"/>
        <v>54.501120000000007</v>
      </c>
      <c r="U28" s="21">
        <f t="shared" si="81"/>
        <v>0</v>
      </c>
      <c r="V28" s="19">
        <f t="shared" si="82"/>
        <v>0</v>
      </c>
    </row>
    <row r="29" spans="1:22">
      <c r="A29" s="36"/>
      <c r="B29" s="36"/>
      <c r="C29" s="30"/>
      <c r="D29" s="38"/>
      <c r="E29" s="31">
        <f>SUM(E26:E28)</f>
        <v>422</v>
      </c>
      <c r="F29" s="38">
        <f>SUM(F26:F28)</f>
        <v>64.188879999999997</v>
      </c>
      <c r="G29" s="17"/>
      <c r="H29" s="31">
        <f>SUM(H26:H28)</f>
        <v>86</v>
      </c>
      <c r="I29" s="38">
        <f t="shared" ref="I29" si="83">SUM(I26:I28)</f>
        <v>12.406840000000001</v>
      </c>
      <c r="J29" s="16"/>
      <c r="K29" s="31">
        <f>SUM(K26:K28)</f>
        <v>81</v>
      </c>
      <c r="L29" s="38">
        <f t="shared" ref="L29" si="84">SUM(L26:L28)</f>
        <v>11.8773</v>
      </c>
      <c r="M29" s="16" t="s">
        <v>401</v>
      </c>
      <c r="N29" s="31">
        <f>SUM(N26:N28)</f>
        <v>201</v>
      </c>
      <c r="O29" s="38">
        <f t="shared" ref="O29" si="85">SUM(O26:O28)</f>
        <v>32.031360000000006</v>
      </c>
      <c r="P29" s="16"/>
      <c r="Q29" s="31">
        <f>SUM(Q26:Q28)</f>
        <v>54</v>
      </c>
      <c r="R29" s="38">
        <f>SUM(R26:R28)</f>
        <v>7.88002</v>
      </c>
      <c r="S29" s="31">
        <f>SUM(S26:S28)</f>
        <v>422</v>
      </c>
      <c r="T29" s="38">
        <f t="shared" ref="T29" si="86">SUM(T26:T28)</f>
        <v>64.195520000000002</v>
      </c>
      <c r="U29" s="31">
        <f>SUM(U26:U28)</f>
        <v>0</v>
      </c>
      <c r="V29" s="38">
        <f t="shared" ref="V29" si="87">SUM(V26:V28)</f>
        <v>-6.639999999998647E-3</v>
      </c>
    </row>
    <row r="30" spans="1:22">
      <c r="A30" s="26" t="s">
        <v>13</v>
      </c>
      <c r="B30" s="26" t="s">
        <v>25</v>
      </c>
      <c r="C30" s="30">
        <v>13.4</v>
      </c>
      <c r="D30" s="27">
        <v>9.1999999999999993</v>
      </c>
      <c r="E30" s="28">
        <v>18</v>
      </c>
      <c r="F30" s="16">
        <f>(C30*D30*E30/1000)</f>
        <v>2.2190400000000001</v>
      </c>
      <c r="G30" s="17" t="s">
        <v>150</v>
      </c>
      <c r="H30" s="18">
        <v>18</v>
      </c>
      <c r="I30" s="19">
        <f>(C30*D30*H30/1000)</f>
        <v>2.2190400000000001</v>
      </c>
      <c r="J30" s="16"/>
      <c r="K30" s="18"/>
      <c r="L30" s="19">
        <f>(C30*D30*K30/1000)</f>
        <v>0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18</v>
      </c>
      <c r="T30" s="19">
        <f>+I30+L30+R30+O30</f>
        <v>2.2190400000000001</v>
      </c>
      <c r="U30" s="21">
        <f>E30-S30</f>
        <v>0</v>
      </c>
      <c r="V30" s="19">
        <f>F30-T30</f>
        <v>0</v>
      </c>
    </row>
    <row r="31" spans="1:22">
      <c r="A31" s="26" t="s">
        <v>13</v>
      </c>
      <c r="B31" s="26" t="s">
        <v>25</v>
      </c>
      <c r="C31" s="30">
        <v>13.4</v>
      </c>
      <c r="D31" s="27"/>
      <c r="E31" s="28"/>
      <c r="F31" s="16">
        <f t="shared" ref="F31:F32" si="88">(C31*D31*E31/1000)</f>
        <v>0</v>
      </c>
      <c r="G31" s="17" t="s">
        <v>417</v>
      </c>
      <c r="H31" s="18"/>
      <c r="I31" s="19">
        <f t="shared" ref="I31:I32" si="89">(C31*D31*H31/1000)</f>
        <v>0</v>
      </c>
      <c r="J31" s="16"/>
      <c r="K31" s="18"/>
      <c r="L31" s="19">
        <f t="shared" ref="L31:L32" si="90">(C31*D31*K31/1000)</f>
        <v>0</v>
      </c>
      <c r="M31" s="16"/>
      <c r="N31" s="18"/>
      <c r="O31" s="19">
        <f t="shared" ref="O31:O32" si="91">(C31*D31*N31/1000)</f>
        <v>0</v>
      </c>
      <c r="P31" s="16"/>
      <c r="Q31" s="18"/>
      <c r="R31" s="19">
        <f t="shared" ref="R31:R32" si="92">(C31*D31*Q31/1000)</f>
        <v>0</v>
      </c>
      <c r="S31" s="20">
        <f t="shared" ref="S31:S32" si="93">+H31+K31+Q31+N31</f>
        <v>0</v>
      </c>
      <c r="T31" s="19">
        <f t="shared" ref="T31:T32" si="94">+I31+L31+R31+O31</f>
        <v>0</v>
      </c>
      <c r="U31" s="21">
        <f t="shared" ref="U31:U32" si="95">E31-S31</f>
        <v>0</v>
      </c>
      <c r="V31" s="19">
        <f t="shared" ref="V31:V32" si="96">F31-T31</f>
        <v>0</v>
      </c>
    </row>
    <row r="32" spans="1:22">
      <c r="A32" s="26" t="s">
        <v>13</v>
      </c>
      <c r="B32" s="26" t="s">
        <v>25</v>
      </c>
      <c r="C32" s="30">
        <v>13.4</v>
      </c>
      <c r="D32" s="27"/>
      <c r="E32" s="28"/>
      <c r="F32" s="16">
        <f t="shared" si="88"/>
        <v>0</v>
      </c>
      <c r="G32" s="17"/>
      <c r="H32" s="18"/>
      <c r="I32" s="19">
        <f t="shared" si="89"/>
        <v>0</v>
      </c>
      <c r="J32" s="16"/>
      <c r="K32" s="18"/>
      <c r="L32" s="19">
        <f t="shared" si="90"/>
        <v>0</v>
      </c>
      <c r="M32" s="16"/>
      <c r="N32" s="18"/>
      <c r="O32" s="19">
        <f t="shared" si="91"/>
        <v>0</v>
      </c>
      <c r="P32" s="16"/>
      <c r="Q32" s="18"/>
      <c r="R32" s="19">
        <f t="shared" si="92"/>
        <v>0</v>
      </c>
      <c r="S32" s="20">
        <f t="shared" si="93"/>
        <v>0</v>
      </c>
      <c r="T32" s="19">
        <f t="shared" si="94"/>
        <v>0</v>
      </c>
      <c r="U32" s="21">
        <f t="shared" si="95"/>
        <v>0</v>
      </c>
      <c r="V32" s="19">
        <f t="shared" si="96"/>
        <v>0</v>
      </c>
    </row>
    <row r="33" spans="1:22">
      <c r="A33" s="36"/>
      <c r="B33" s="36"/>
      <c r="C33" s="30"/>
      <c r="D33" s="38"/>
      <c r="E33" s="31">
        <f t="shared" ref="E33" si="97">SUM(E30)</f>
        <v>18</v>
      </c>
      <c r="F33" s="38">
        <f>SUM(F30)</f>
        <v>2.2190400000000001</v>
      </c>
      <c r="G33" s="17"/>
      <c r="H33" s="31">
        <f t="shared" ref="H33" si="98">SUM(H30)</f>
        <v>18</v>
      </c>
      <c r="I33" s="38">
        <f t="shared" ref="I33" si="99">SUM(I30)</f>
        <v>2.2190400000000001</v>
      </c>
      <c r="J33" s="16"/>
      <c r="K33" s="31">
        <f t="shared" ref="K33" si="100">SUM(K30)</f>
        <v>0</v>
      </c>
      <c r="L33" s="38">
        <f t="shared" ref="L33" si="101">SUM(L30)</f>
        <v>0</v>
      </c>
      <c r="M33" s="16"/>
      <c r="N33" s="31">
        <f t="shared" ref="N33" si="102">SUM(N30)</f>
        <v>0</v>
      </c>
      <c r="O33" s="38">
        <f t="shared" ref="O33" si="103">SUM(O30)</f>
        <v>0</v>
      </c>
      <c r="P33" s="16"/>
      <c r="Q33" s="31">
        <f t="shared" ref="Q33" si="104">SUM(Q30)</f>
        <v>0</v>
      </c>
      <c r="R33" s="38">
        <f t="shared" ref="R33" si="105">SUM(R30)</f>
        <v>0</v>
      </c>
      <c r="S33" s="31">
        <f t="shared" ref="S33" si="106">SUM(S30)</f>
        <v>18</v>
      </c>
      <c r="T33" s="38">
        <f t="shared" ref="T33" si="107">SUM(T30)</f>
        <v>2.2190400000000001</v>
      </c>
      <c r="U33" s="31">
        <f t="shared" ref="U33" si="108">SUM(U30)</f>
        <v>0</v>
      </c>
      <c r="V33" s="38">
        <f t="shared" ref="V33" si="109">SUM(V30)</f>
        <v>0</v>
      </c>
    </row>
    <row r="34" spans="1:22">
      <c r="A34" s="26" t="s">
        <v>13</v>
      </c>
      <c r="B34" s="26" t="s">
        <v>47</v>
      </c>
      <c r="C34" s="30">
        <v>18.2</v>
      </c>
      <c r="D34" s="27">
        <v>6.7</v>
      </c>
      <c r="E34" s="28">
        <v>12</v>
      </c>
      <c r="F34" s="16">
        <f>(C34*D34*E34/1000)</f>
        <v>1.4632799999999999</v>
      </c>
      <c r="G34" s="17" t="s">
        <v>318</v>
      </c>
      <c r="H34" s="18"/>
      <c r="I34" s="19">
        <f t="shared" ref="I34:I35" si="110">(C34*D34*H34/1000)</f>
        <v>0</v>
      </c>
      <c r="J34" s="17" t="s">
        <v>93</v>
      </c>
      <c r="K34" s="18">
        <v>4</v>
      </c>
      <c r="L34" s="19">
        <f t="shared" ref="L34:L35" si="111">(C34*D34*K34/1000)</f>
        <v>0.48775999999999997</v>
      </c>
      <c r="M34" s="16"/>
      <c r="N34" s="18"/>
      <c r="O34" s="19">
        <f t="shared" ref="O34:O35" si="112">(C34*D34*N34/1000)</f>
        <v>0</v>
      </c>
      <c r="P34" s="16"/>
      <c r="Q34" s="18"/>
      <c r="R34" s="19">
        <f t="shared" ref="R34:R35" si="113">(C34*D34*Q34/1000)</f>
        <v>0</v>
      </c>
      <c r="S34" s="20">
        <f t="shared" ref="S34:S35" si="114">+H34+K34+Q34+N34</f>
        <v>4</v>
      </c>
      <c r="T34" s="19">
        <f t="shared" ref="T34:T35" si="115">+I34+L34+R34+O34</f>
        <v>0.48775999999999997</v>
      </c>
      <c r="U34" s="21">
        <f t="shared" ref="U34:U35" si="116">E34-S34</f>
        <v>8</v>
      </c>
      <c r="V34" s="19">
        <f t="shared" ref="V34:V35" si="117">F34-T34</f>
        <v>0.97551999999999994</v>
      </c>
    </row>
    <row r="35" spans="1:22">
      <c r="A35" s="26" t="s">
        <v>13</v>
      </c>
      <c r="B35" s="26" t="s">
        <v>47</v>
      </c>
      <c r="C35" s="30">
        <v>18.2</v>
      </c>
      <c r="D35" s="27">
        <v>11.1</v>
      </c>
      <c r="E35" s="28">
        <v>22</v>
      </c>
      <c r="F35" s="16">
        <f t="shared" ref="F35" si="118">(C35*D35*E35/1000)</f>
        <v>4.4444399999999993</v>
      </c>
      <c r="G35" s="17" t="s">
        <v>344</v>
      </c>
      <c r="H35" s="18">
        <v>22</v>
      </c>
      <c r="I35" s="19">
        <f t="shared" si="110"/>
        <v>4.4444399999999993</v>
      </c>
      <c r="J35" t="s">
        <v>419</v>
      </c>
      <c r="K35" s="18"/>
      <c r="L35" s="19">
        <f t="shared" si="111"/>
        <v>0</v>
      </c>
      <c r="M35" s="16"/>
      <c r="N35" s="18"/>
      <c r="O35" s="19">
        <f t="shared" si="112"/>
        <v>0</v>
      </c>
      <c r="P35" s="16"/>
      <c r="Q35" s="18"/>
      <c r="R35" s="19">
        <f t="shared" si="113"/>
        <v>0</v>
      </c>
      <c r="S35" s="20">
        <f t="shared" si="114"/>
        <v>22</v>
      </c>
      <c r="T35" s="19">
        <f t="shared" si="115"/>
        <v>4.4444399999999993</v>
      </c>
      <c r="U35" s="21">
        <f t="shared" si="116"/>
        <v>0</v>
      </c>
      <c r="V35" s="19">
        <f t="shared" si="117"/>
        <v>0</v>
      </c>
    </row>
    <row r="36" spans="1:22">
      <c r="A36" s="36"/>
      <c r="B36" s="36"/>
      <c r="C36" s="30"/>
      <c r="D36" s="38"/>
      <c r="E36" s="31">
        <f t="shared" ref="E36" si="119">SUM(E34:E35)</f>
        <v>34</v>
      </c>
      <c r="F36" s="38">
        <f>SUM(F34:F35)</f>
        <v>5.9077199999999994</v>
      </c>
      <c r="H36" s="31">
        <f t="shared" ref="H36" si="120">SUM(H34:H35)</f>
        <v>22</v>
      </c>
      <c r="I36" s="38">
        <f t="shared" ref="I36" si="121">SUM(I34:I35)</f>
        <v>4.4444399999999993</v>
      </c>
      <c r="K36" s="31">
        <f t="shared" ref="K36" si="122">SUM(K34:K35)</f>
        <v>4</v>
      </c>
      <c r="L36" s="38">
        <f t="shared" ref="L36" si="123">SUM(L34:L35)</f>
        <v>0.48775999999999997</v>
      </c>
      <c r="N36" s="31">
        <f t="shared" ref="N36" si="124">SUM(N34:N35)</f>
        <v>0</v>
      </c>
      <c r="O36" s="38">
        <f t="shared" ref="O36" si="125">SUM(O34:O35)</f>
        <v>0</v>
      </c>
      <c r="Q36" s="31">
        <f t="shared" ref="Q36" si="126">SUM(Q34:Q35)</f>
        <v>0</v>
      </c>
      <c r="R36" s="38">
        <f t="shared" ref="R36" si="127">SUM(R34:R35)</f>
        <v>0</v>
      </c>
      <c r="S36" s="31">
        <f t="shared" ref="S36" si="128">SUM(S34:S35)</f>
        <v>26</v>
      </c>
      <c r="T36" s="38">
        <f t="shared" ref="T36" si="129">SUM(T34:T35)</f>
        <v>4.932199999999999</v>
      </c>
      <c r="U36" s="31">
        <f t="shared" ref="U36" si="130">SUM(U34:U35)</f>
        <v>8</v>
      </c>
      <c r="V36" s="38">
        <f t="shared" ref="V36" si="131">SUM(V34:V35)</f>
        <v>0.97551999999999994</v>
      </c>
    </row>
    <row r="37" spans="1:22">
      <c r="A37" s="26" t="s">
        <v>13</v>
      </c>
      <c r="B37" s="26" t="s">
        <v>49</v>
      </c>
      <c r="C37" s="30">
        <v>14.7</v>
      </c>
      <c r="D37" s="27">
        <v>9</v>
      </c>
      <c r="E37" s="28">
        <f>32-17</f>
        <v>15</v>
      </c>
      <c r="F37" s="16">
        <f t="shared" ref="F37:F49" si="132">(C37*D37*E37/1000)</f>
        <v>1.9844999999999997</v>
      </c>
      <c r="G37" s="17" t="s">
        <v>318</v>
      </c>
      <c r="H37" s="18">
        <v>14</v>
      </c>
      <c r="I37" s="19">
        <f t="shared" ref="I37:I49" si="133">(C37*D37*H37/1000)</f>
        <v>1.8521999999999998</v>
      </c>
      <c r="J37" s="16" t="s">
        <v>93</v>
      </c>
      <c r="K37" s="18"/>
      <c r="L37" s="19">
        <f t="shared" ref="L37:L49" si="134">(C37*D37*K37/1000)</f>
        <v>0</v>
      </c>
      <c r="M37" s="16" t="s">
        <v>89</v>
      </c>
      <c r="N37" s="18">
        <v>1</v>
      </c>
      <c r="O37" s="19">
        <f t="shared" ref="O37:O49" si="135">(C37*D37*N37/1000)</f>
        <v>0.13229999999999997</v>
      </c>
      <c r="P37" s="17" t="s">
        <v>111</v>
      </c>
      <c r="Q37" s="18"/>
      <c r="R37" s="19">
        <f t="shared" ref="R37:R49" si="136">(C37*D37*Q37/1000)</f>
        <v>0</v>
      </c>
      <c r="S37" s="20">
        <f>+H37+K37+Q37+N37</f>
        <v>15</v>
      </c>
      <c r="T37" s="19">
        <f t="shared" ref="T37:T49" si="137">+I37+L37+R37+O37</f>
        <v>1.9844999999999997</v>
      </c>
      <c r="U37" s="21">
        <f t="shared" ref="U37:U49" si="138">E37-S37</f>
        <v>0</v>
      </c>
      <c r="V37" s="19">
        <f t="shared" ref="V37:V49" si="139">F37-T37</f>
        <v>0</v>
      </c>
    </row>
    <row r="38" spans="1:22">
      <c r="A38" s="26" t="s">
        <v>13</v>
      </c>
      <c r="B38" s="26" t="s">
        <v>49</v>
      </c>
      <c r="C38" s="30">
        <v>14.7</v>
      </c>
      <c r="D38" s="27">
        <v>9.3000000000000007</v>
      </c>
      <c r="E38" s="28">
        <v>16</v>
      </c>
      <c r="F38" s="16">
        <f t="shared" si="132"/>
        <v>2.18736</v>
      </c>
      <c r="G38" s="17" t="s">
        <v>344</v>
      </c>
      <c r="H38" s="18"/>
      <c r="I38" s="19">
        <f t="shared" si="133"/>
        <v>0</v>
      </c>
      <c r="J38" s="16" t="s">
        <v>344</v>
      </c>
      <c r="K38" s="18"/>
      <c r="L38" s="19">
        <f t="shared" si="134"/>
        <v>0</v>
      </c>
      <c r="M38" s="16" t="s">
        <v>342</v>
      </c>
      <c r="N38" s="18"/>
      <c r="O38" s="19">
        <f t="shared" si="135"/>
        <v>0</v>
      </c>
      <c r="P38" s="17" t="s">
        <v>422</v>
      </c>
      <c r="Q38" s="18"/>
      <c r="R38" s="19">
        <f t="shared" si="136"/>
        <v>0</v>
      </c>
      <c r="S38" s="20">
        <f t="shared" ref="S38:S49" si="140">+H38+K38+Q38+N38</f>
        <v>0</v>
      </c>
      <c r="T38" s="19">
        <f t="shared" si="137"/>
        <v>0</v>
      </c>
      <c r="U38" s="21">
        <f t="shared" si="138"/>
        <v>16</v>
      </c>
      <c r="V38" s="19">
        <f t="shared" si="139"/>
        <v>2.18736</v>
      </c>
    </row>
    <row r="39" spans="1:22">
      <c r="A39" s="26" t="s">
        <v>13</v>
      </c>
      <c r="B39" s="26" t="s">
        <v>49</v>
      </c>
      <c r="C39" s="30">
        <v>14.7</v>
      </c>
      <c r="D39" s="27">
        <v>10.3</v>
      </c>
      <c r="E39" s="28"/>
      <c r="F39" s="16">
        <f t="shared" si="132"/>
        <v>0</v>
      </c>
      <c r="G39" s="62" t="s">
        <v>386</v>
      </c>
      <c r="H39" s="18"/>
      <c r="I39" s="19">
        <f t="shared" si="133"/>
        <v>0</v>
      </c>
      <c r="J39" s="16"/>
      <c r="K39" s="18"/>
      <c r="L39" s="19">
        <f t="shared" si="134"/>
        <v>0</v>
      </c>
      <c r="M39" s="16" t="s">
        <v>64</v>
      </c>
      <c r="N39" s="18"/>
      <c r="O39" s="19">
        <f t="shared" si="135"/>
        <v>0</v>
      </c>
      <c r="P39" s="16"/>
      <c r="Q39" s="18"/>
      <c r="R39" s="19">
        <f t="shared" si="136"/>
        <v>0</v>
      </c>
      <c r="S39" s="20">
        <f t="shared" si="140"/>
        <v>0</v>
      </c>
      <c r="T39" s="19">
        <f t="shared" si="137"/>
        <v>0</v>
      </c>
      <c r="U39" s="21">
        <f t="shared" si="138"/>
        <v>0</v>
      </c>
      <c r="V39" s="19">
        <f t="shared" si="139"/>
        <v>0</v>
      </c>
    </row>
    <row r="40" spans="1:22">
      <c r="A40" s="26" t="s">
        <v>13</v>
      </c>
      <c r="B40" s="26" t="s">
        <v>49</v>
      </c>
      <c r="C40" s="30">
        <v>14.7</v>
      </c>
      <c r="D40" s="27">
        <v>11</v>
      </c>
      <c r="E40" s="28">
        <f>8+28-22</f>
        <v>14</v>
      </c>
      <c r="F40" s="16">
        <f t="shared" si="132"/>
        <v>2.2637999999999998</v>
      </c>
      <c r="G40" s="62" t="s">
        <v>387</v>
      </c>
      <c r="H40" s="18">
        <v>3</v>
      </c>
      <c r="I40" s="19">
        <f t="shared" si="133"/>
        <v>0.48509999999999998</v>
      </c>
      <c r="J40" s="16"/>
      <c r="K40" s="18"/>
      <c r="L40" s="19">
        <f t="shared" si="134"/>
        <v>0</v>
      </c>
      <c r="M40" s="16" t="s">
        <v>425</v>
      </c>
      <c r="N40" s="18">
        <v>1</v>
      </c>
      <c r="O40" s="19">
        <f t="shared" si="135"/>
        <v>0.16169999999999998</v>
      </c>
      <c r="P40" s="16"/>
      <c r="Q40" s="18">
        <v>7</v>
      </c>
      <c r="R40" s="19">
        <f t="shared" si="136"/>
        <v>1.1318999999999999</v>
      </c>
      <c r="S40" s="20">
        <f t="shared" si="140"/>
        <v>11</v>
      </c>
      <c r="T40" s="19">
        <f t="shared" si="137"/>
        <v>1.7786999999999999</v>
      </c>
      <c r="U40" s="21">
        <f t="shared" si="138"/>
        <v>3</v>
      </c>
      <c r="V40" s="19">
        <f t="shared" si="139"/>
        <v>0.48509999999999986</v>
      </c>
    </row>
    <row r="41" spans="1:22">
      <c r="A41" s="26" t="s">
        <v>13</v>
      </c>
      <c r="B41" s="26" t="s">
        <v>49</v>
      </c>
      <c r="C41" s="30">
        <v>14.7</v>
      </c>
      <c r="D41" s="27">
        <v>11.35</v>
      </c>
      <c r="E41" s="28"/>
      <c r="F41" s="16">
        <f t="shared" si="132"/>
        <v>0</v>
      </c>
      <c r="G41" s="62"/>
      <c r="H41" s="18">
        <v>14</v>
      </c>
      <c r="I41" s="19">
        <f t="shared" si="133"/>
        <v>2.3358300000000001</v>
      </c>
      <c r="J41" s="16"/>
      <c r="K41" s="18"/>
      <c r="L41" s="19">
        <f t="shared" si="134"/>
        <v>0</v>
      </c>
      <c r="M41" s="16"/>
      <c r="N41" s="18"/>
      <c r="O41" s="19">
        <f t="shared" si="135"/>
        <v>0</v>
      </c>
      <c r="P41" s="16"/>
      <c r="Q41" s="18"/>
      <c r="R41" s="19">
        <f t="shared" si="136"/>
        <v>0</v>
      </c>
      <c r="S41" s="20">
        <f t="shared" si="140"/>
        <v>14</v>
      </c>
      <c r="T41" s="19">
        <f t="shared" si="137"/>
        <v>2.3358300000000001</v>
      </c>
      <c r="U41" s="21">
        <f t="shared" si="138"/>
        <v>-14</v>
      </c>
      <c r="V41" s="19">
        <f t="shared" si="139"/>
        <v>-2.3358300000000001</v>
      </c>
    </row>
    <row r="42" spans="1:22">
      <c r="A42" s="26" t="s">
        <v>13</v>
      </c>
      <c r="B42" s="26" t="s">
        <v>49</v>
      </c>
      <c r="C42" s="30">
        <v>14.7</v>
      </c>
      <c r="D42" s="27">
        <v>11.7</v>
      </c>
      <c r="E42" s="28">
        <f>56-5</f>
        <v>51</v>
      </c>
      <c r="F42" s="16">
        <f t="shared" ref="F42:F48" si="141">(C42*D42*E42/1000)</f>
        <v>8.77149</v>
      </c>
      <c r="G42" s="17"/>
      <c r="H42" s="18">
        <v>6</v>
      </c>
      <c r="I42" s="19">
        <f t="shared" ref="I42:I48" si="142">(C42*D42*H42/1000)</f>
        <v>1.0319399999999999</v>
      </c>
      <c r="J42" s="16"/>
      <c r="K42" s="18">
        <v>18</v>
      </c>
      <c r="L42" s="19">
        <f t="shared" ref="L42:L48" si="143">(C42*D42*K42/1000)</f>
        <v>3.0958199999999998</v>
      </c>
      <c r="M42" s="16"/>
      <c r="N42" s="18">
        <v>18</v>
      </c>
      <c r="O42" s="19">
        <f t="shared" ref="O42:O48" si="144">(C42*D42*N42/1000)</f>
        <v>3.0958199999999998</v>
      </c>
      <c r="P42" s="16"/>
      <c r="Q42" s="18">
        <v>1</v>
      </c>
      <c r="R42" s="19">
        <f t="shared" ref="R42:R48" si="145">(C42*D42*Q42/1000)</f>
        <v>0.17198999999999998</v>
      </c>
      <c r="S42" s="20">
        <f t="shared" ref="S42:S48" si="146">+H42+K42+Q42+N42</f>
        <v>43</v>
      </c>
      <c r="T42" s="19">
        <f t="shared" ref="T42:T48" si="147">+I42+L42+R42+O42</f>
        <v>7.3955699999999993</v>
      </c>
      <c r="U42" s="21">
        <f t="shared" ref="U42:U48" si="148">E42-S42</f>
        <v>8</v>
      </c>
      <c r="V42" s="19">
        <f t="shared" ref="V42:V48" si="149">F42-T42</f>
        <v>1.3759200000000007</v>
      </c>
    </row>
    <row r="43" spans="1:22">
      <c r="A43" s="26" t="s">
        <v>13</v>
      </c>
      <c r="B43" s="26" t="s">
        <v>49</v>
      </c>
      <c r="C43" s="30">
        <v>14.7</v>
      </c>
      <c r="D43" s="27">
        <v>11.4</v>
      </c>
      <c r="E43" s="28"/>
      <c r="F43" s="16">
        <f t="shared" si="141"/>
        <v>0</v>
      </c>
      <c r="G43" s="17"/>
      <c r="H43" s="18"/>
      <c r="I43" s="19">
        <f t="shared" si="142"/>
        <v>0</v>
      </c>
      <c r="J43" s="16"/>
      <c r="K43" s="18"/>
      <c r="L43" s="19">
        <f t="shared" si="143"/>
        <v>0</v>
      </c>
      <c r="M43" s="16"/>
      <c r="N43" s="18"/>
      <c r="O43" s="19">
        <f t="shared" si="144"/>
        <v>0</v>
      </c>
      <c r="P43" s="16"/>
      <c r="Q43" s="18">
        <v>1</v>
      </c>
      <c r="R43" s="19">
        <f t="shared" si="145"/>
        <v>0.16757999999999998</v>
      </c>
      <c r="S43" s="20">
        <f t="shared" si="146"/>
        <v>1</v>
      </c>
      <c r="T43" s="19">
        <f t="shared" si="147"/>
        <v>0.16757999999999998</v>
      </c>
      <c r="U43" s="21">
        <f t="shared" si="148"/>
        <v>-1</v>
      </c>
      <c r="V43" s="19">
        <f t="shared" si="149"/>
        <v>-0.16757999999999998</v>
      </c>
    </row>
    <row r="44" spans="1:22">
      <c r="A44" s="26" t="s">
        <v>13</v>
      </c>
      <c r="B44" s="26" t="s">
        <v>49</v>
      </c>
      <c r="C44" s="30">
        <v>14.7</v>
      </c>
      <c r="D44" s="27">
        <v>11.5</v>
      </c>
      <c r="E44" s="28"/>
      <c r="F44" s="16">
        <f t="shared" si="141"/>
        <v>0</v>
      </c>
      <c r="G44" s="17"/>
      <c r="H44" s="18"/>
      <c r="I44" s="19">
        <f t="shared" si="142"/>
        <v>0</v>
      </c>
      <c r="J44" s="16"/>
      <c r="K44" s="18"/>
      <c r="L44" s="19">
        <f t="shared" si="143"/>
        <v>0</v>
      </c>
      <c r="M44" s="16"/>
      <c r="N44" s="18">
        <v>1</v>
      </c>
      <c r="O44" s="19">
        <f t="shared" si="144"/>
        <v>0.16904999999999998</v>
      </c>
      <c r="P44" s="16"/>
      <c r="Q44" s="18">
        <v>1</v>
      </c>
      <c r="R44" s="19">
        <f t="shared" si="145"/>
        <v>0.16904999999999998</v>
      </c>
      <c r="S44" s="20">
        <f t="shared" si="146"/>
        <v>2</v>
      </c>
      <c r="T44" s="19">
        <f t="shared" si="147"/>
        <v>0.33809999999999996</v>
      </c>
      <c r="U44" s="21">
        <f t="shared" si="148"/>
        <v>-2</v>
      </c>
      <c r="V44" s="19">
        <f t="shared" si="149"/>
        <v>-0.33809999999999996</v>
      </c>
    </row>
    <row r="45" spans="1:22">
      <c r="A45" s="26" t="s">
        <v>13</v>
      </c>
      <c r="B45" s="26" t="s">
        <v>49</v>
      </c>
      <c r="C45" s="30">
        <v>14.7</v>
      </c>
      <c r="D45" s="27">
        <v>12</v>
      </c>
      <c r="E45" s="28"/>
      <c r="F45" s="16">
        <f t="shared" si="141"/>
        <v>0</v>
      </c>
      <c r="G45" s="17"/>
      <c r="H45" s="18"/>
      <c r="I45" s="19">
        <f t="shared" si="142"/>
        <v>0</v>
      </c>
      <c r="J45" s="16"/>
      <c r="K45" s="18"/>
      <c r="L45" s="19">
        <f t="shared" si="143"/>
        <v>0</v>
      </c>
      <c r="M45" s="16"/>
      <c r="N45" s="18">
        <v>1</v>
      </c>
      <c r="O45" s="19">
        <f t="shared" si="144"/>
        <v>0.17639999999999997</v>
      </c>
      <c r="P45" s="16"/>
      <c r="Q45" s="18">
        <v>6</v>
      </c>
      <c r="R45" s="19">
        <f t="shared" si="145"/>
        <v>1.0583999999999998</v>
      </c>
      <c r="S45" s="20">
        <f t="shared" si="146"/>
        <v>7</v>
      </c>
      <c r="T45" s="19">
        <f t="shared" si="147"/>
        <v>1.2347999999999997</v>
      </c>
      <c r="U45" s="21">
        <f t="shared" si="148"/>
        <v>-7</v>
      </c>
      <c r="V45" s="19">
        <f t="shared" si="149"/>
        <v>-1.2347999999999997</v>
      </c>
    </row>
    <row r="46" spans="1:22">
      <c r="A46" s="26" t="s">
        <v>13</v>
      </c>
      <c r="B46" s="26" t="s">
        <v>49</v>
      </c>
      <c r="C46" s="30">
        <v>14.7</v>
      </c>
      <c r="D46" s="27">
        <v>10.7</v>
      </c>
      <c r="E46" s="28"/>
      <c r="F46" s="16">
        <f t="shared" si="141"/>
        <v>0</v>
      </c>
      <c r="G46" s="17"/>
      <c r="H46" s="18"/>
      <c r="I46" s="19">
        <f t="shared" si="142"/>
        <v>0</v>
      </c>
      <c r="J46" s="16"/>
      <c r="K46" s="18"/>
      <c r="L46" s="19">
        <f t="shared" si="143"/>
        <v>0</v>
      </c>
      <c r="M46" s="16"/>
      <c r="N46" s="18">
        <v>1</v>
      </c>
      <c r="O46" s="19">
        <f t="shared" si="144"/>
        <v>0.15728999999999999</v>
      </c>
      <c r="P46" s="16"/>
      <c r="Q46" s="18"/>
      <c r="R46" s="19">
        <f t="shared" si="145"/>
        <v>0</v>
      </c>
      <c r="S46" s="20">
        <f t="shared" si="146"/>
        <v>1</v>
      </c>
      <c r="T46" s="19">
        <f t="shared" si="147"/>
        <v>0.15728999999999999</v>
      </c>
      <c r="U46" s="21">
        <f t="shared" si="148"/>
        <v>-1</v>
      </c>
      <c r="V46" s="19">
        <f t="shared" si="149"/>
        <v>-0.15728999999999999</v>
      </c>
    </row>
    <row r="47" spans="1:22">
      <c r="A47" s="26" t="s">
        <v>13</v>
      </c>
      <c r="B47" s="26" t="s">
        <v>49</v>
      </c>
      <c r="C47" s="30">
        <v>14.7</v>
      </c>
      <c r="D47" s="27">
        <v>7.8</v>
      </c>
      <c r="E47" s="28"/>
      <c r="F47" s="16">
        <f t="shared" si="141"/>
        <v>0</v>
      </c>
      <c r="G47" s="17"/>
      <c r="H47" s="18"/>
      <c r="I47" s="19">
        <f t="shared" si="142"/>
        <v>0</v>
      </c>
      <c r="J47" s="16"/>
      <c r="K47" s="18"/>
      <c r="L47" s="19">
        <f t="shared" si="143"/>
        <v>0</v>
      </c>
      <c r="M47" s="16"/>
      <c r="N47" s="18">
        <v>1</v>
      </c>
      <c r="O47" s="19">
        <f t="shared" si="144"/>
        <v>0.11466</v>
      </c>
      <c r="P47" s="16"/>
      <c r="Q47" s="18"/>
      <c r="R47" s="19">
        <f t="shared" si="145"/>
        <v>0</v>
      </c>
      <c r="S47" s="20">
        <f t="shared" si="146"/>
        <v>1</v>
      </c>
      <c r="T47" s="19">
        <f t="shared" si="147"/>
        <v>0.11466</v>
      </c>
      <c r="U47" s="21">
        <f t="shared" si="148"/>
        <v>-1</v>
      </c>
      <c r="V47" s="19">
        <f t="shared" si="149"/>
        <v>-0.11466</v>
      </c>
    </row>
    <row r="48" spans="1:22">
      <c r="A48" s="26" t="s">
        <v>13</v>
      </c>
      <c r="B48" s="26" t="s">
        <v>49</v>
      </c>
      <c r="C48" s="30">
        <v>14.7</v>
      </c>
      <c r="D48" s="27">
        <v>9</v>
      </c>
      <c r="E48" s="28"/>
      <c r="F48" s="16">
        <f t="shared" si="141"/>
        <v>0</v>
      </c>
      <c r="G48" s="17"/>
      <c r="H48" s="18"/>
      <c r="I48" s="19">
        <f t="shared" si="142"/>
        <v>0</v>
      </c>
      <c r="J48" s="16"/>
      <c r="K48" s="18"/>
      <c r="L48" s="19">
        <f t="shared" si="143"/>
        <v>0</v>
      </c>
      <c r="M48" s="16"/>
      <c r="N48" s="18"/>
      <c r="O48" s="19">
        <f t="shared" si="144"/>
        <v>0</v>
      </c>
      <c r="P48" s="16"/>
      <c r="Q48" s="18"/>
      <c r="R48" s="19">
        <f t="shared" si="145"/>
        <v>0</v>
      </c>
      <c r="S48" s="20">
        <f t="shared" si="146"/>
        <v>0</v>
      </c>
      <c r="T48" s="19">
        <f t="shared" si="147"/>
        <v>0</v>
      </c>
      <c r="U48" s="21">
        <f t="shared" si="148"/>
        <v>0</v>
      </c>
      <c r="V48" s="19">
        <f t="shared" si="149"/>
        <v>0</v>
      </c>
    </row>
    <row r="49" spans="1:22">
      <c r="A49" s="26" t="s">
        <v>13</v>
      </c>
      <c r="B49" s="26" t="s">
        <v>49</v>
      </c>
      <c r="C49" s="30">
        <v>14.7</v>
      </c>
      <c r="D49" s="27"/>
      <c r="E49" s="28"/>
      <c r="F49" s="16">
        <f t="shared" si="132"/>
        <v>0</v>
      </c>
      <c r="G49" s="17"/>
      <c r="H49" s="18"/>
      <c r="I49" s="19">
        <f t="shared" si="133"/>
        <v>0</v>
      </c>
      <c r="J49" s="16"/>
      <c r="K49" s="18"/>
      <c r="L49" s="19">
        <f t="shared" si="134"/>
        <v>0</v>
      </c>
      <c r="M49" s="16"/>
      <c r="N49" s="18"/>
      <c r="O49" s="19">
        <f t="shared" si="135"/>
        <v>0</v>
      </c>
      <c r="P49" s="16"/>
      <c r="Q49" s="18"/>
      <c r="R49" s="19">
        <f t="shared" si="136"/>
        <v>0</v>
      </c>
      <c r="S49" s="20">
        <f t="shared" si="140"/>
        <v>0</v>
      </c>
      <c r="T49" s="19">
        <f t="shared" si="137"/>
        <v>0</v>
      </c>
      <c r="U49" s="21">
        <f t="shared" si="138"/>
        <v>0</v>
      </c>
      <c r="V49" s="19">
        <f t="shared" si="139"/>
        <v>0</v>
      </c>
    </row>
    <row r="50" spans="1:22">
      <c r="A50" s="36"/>
      <c r="B50" s="36"/>
      <c r="C50" s="30"/>
      <c r="D50" s="38"/>
      <c r="E50" s="31">
        <f>SUM(E37:E49)</f>
        <v>96</v>
      </c>
      <c r="F50" s="38">
        <f>SUM(F37:F49)</f>
        <v>15.207149999999999</v>
      </c>
      <c r="G50" s="17"/>
      <c r="H50" s="31">
        <f>SUM(H37:H49)</f>
        <v>37</v>
      </c>
      <c r="I50" s="38">
        <f>SUM(I37:I49)</f>
        <v>5.7050700000000001</v>
      </c>
      <c r="J50" s="16"/>
      <c r="K50" s="31">
        <f>SUM(K37:K49)</f>
        <v>18</v>
      </c>
      <c r="L50" s="38">
        <f>SUM(L37:L49)</f>
        <v>3.0958199999999998</v>
      </c>
      <c r="M50" s="16"/>
      <c r="N50" s="31">
        <f>SUM(N37:N49)</f>
        <v>24</v>
      </c>
      <c r="O50" s="38">
        <f>SUM(O37:O49)</f>
        <v>4.0072200000000002</v>
      </c>
      <c r="P50" s="16"/>
      <c r="Q50" s="31">
        <f t="shared" ref="Q50" si="150">SUM(Q37:Q49)</f>
        <v>16</v>
      </c>
      <c r="R50" s="38">
        <f t="shared" ref="R50" si="151">SUM(R37:R49)</f>
        <v>2.6989199999999998</v>
      </c>
      <c r="S50" s="31">
        <f t="shared" ref="S50" si="152">SUM(S37:S49)</f>
        <v>95</v>
      </c>
      <c r="T50" s="38">
        <f t="shared" ref="T50" si="153">SUM(T37:T49)</f>
        <v>15.507029999999999</v>
      </c>
      <c r="U50" s="31">
        <f t="shared" ref="U50" si="154">SUM(U37:U49)</f>
        <v>1</v>
      </c>
      <c r="V50" s="38">
        <f t="shared" ref="V50" si="155">SUM(V37:V49)</f>
        <v>-0.29987999999999887</v>
      </c>
    </row>
    <row r="51" spans="1:22">
      <c r="A51" s="26" t="s">
        <v>13</v>
      </c>
      <c r="B51" s="26" t="s">
        <v>53</v>
      </c>
      <c r="C51" s="30">
        <v>23.6</v>
      </c>
      <c r="D51" s="27">
        <v>11.3</v>
      </c>
      <c r="E51" s="28">
        <v>55</v>
      </c>
      <c r="F51" s="16">
        <f t="shared" ref="F51:F52" si="156">(C51*D51*E51/1000)</f>
        <v>14.667399999999999</v>
      </c>
      <c r="G51" s="17" t="s">
        <v>89</v>
      </c>
      <c r="H51" s="18">
        <v>11</v>
      </c>
      <c r="I51" s="19">
        <f t="shared" ref="I51:I52" si="157">(C51*D51*H51/1000)</f>
        <v>2.9334799999999999</v>
      </c>
      <c r="J51" s="16" t="s">
        <v>205</v>
      </c>
      <c r="K51" s="18">
        <v>12</v>
      </c>
      <c r="L51" s="19">
        <f t="shared" ref="L51:L52" si="158">(C51*D51*K51/1000)</f>
        <v>3.2001599999999999</v>
      </c>
      <c r="M51" s="16" t="s">
        <v>89</v>
      </c>
      <c r="N51" s="18">
        <v>6</v>
      </c>
      <c r="O51" s="19">
        <f t="shared" ref="O51:O52" si="159">(C51*D51*N51/1000)</f>
        <v>1.6000799999999999</v>
      </c>
      <c r="P51" s="16" t="s">
        <v>86</v>
      </c>
      <c r="Q51" s="18">
        <v>26</v>
      </c>
      <c r="R51" s="19">
        <f t="shared" ref="R51:R52" si="160">(C51*D51*Q51/1000)</f>
        <v>6.9336800000000007</v>
      </c>
      <c r="S51" s="20">
        <f t="shared" ref="S51:S52" si="161">+H51+K51+Q51+N51</f>
        <v>55</v>
      </c>
      <c r="T51" s="19">
        <f t="shared" ref="T51:T52" si="162">+I51+L51+R51+O51</f>
        <v>14.667400000000001</v>
      </c>
      <c r="U51" s="21">
        <f t="shared" ref="U51:U52" si="163">E51-S51</f>
        <v>0</v>
      </c>
      <c r="V51" s="19">
        <f t="shared" ref="V51:V52" si="164">F51-T51</f>
        <v>0</v>
      </c>
    </row>
    <row r="52" spans="1:22">
      <c r="A52" s="26" t="s">
        <v>13</v>
      </c>
      <c r="B52" s="26" t="s">
        <v>53</v>
      </c>
      <c r="C52" s="30">
        <v>23.6</v>
      </c>
      <c r="D52" s="27">
        <v>11.65</v>
      </c>
      <c r="E52" s="28">
        <v>342</v>
      </c>
      <c r="F52" s="16">
        <f t="shared" si="156"/>
        <v>94.029479999999992</v>
      </c>
      <c r="G52" s="17" t="s">
        <v>341</v>
      </c>
      <c r="H52" s="18">
        <v>24</v>
      </c>
      <c r="I52" s="19">
        <f t="shared" si="157"/>
        <v>6.5985599999999991</v>
      </c>
      <c r="J52" s="16" t="s">
        <v>341</v>
      </c>
      <c r="K52" s="18">
        <f>108+1</f>
        <v>109</v>
      </c>
      <c r="L52" s="19">
        <f t="shared" si="158"/>
        <v>29.96846</v>
      </c>
      <c r="M52" s="16" t="s">
        <v>295</v>
      </c>
      <c r="N52" s="18">
        <f>120+84</f>
        <v>204</v>
      </c>
      <c r="O52" s="19">
        <f t="shared" si="159"/>
        <v>56.087760000000003</v>
      </c>
      <c r="P52" s="16" t="s">
        <v>388</v>
      </c>
      <c r="Q52" s="18">
        <v>5</v>
      </c>
      <c r="R52" s="19">
        <f t="shared" si="160"/>
        <v>1.3747</v>
      </c>
      <c r="S52" s="20">
        <f t="shared" si="161"/>
        <v>342</v>
      </c>
      <c r="T52" s="19">
        <f t="shared" si="162"/>
        <v>94.029480000000007</v>
      </c>
      <c r="U52" s="21">
        <f t="shared" si="163"/>
        <v>0</v>
      </c>
      <c r="V52" s="19">
        <f t="shared" si="164"/>
        <v>0</v>
      </c>
    </row>
    <row r="53" spans="1:22">
      <c r="A53" s="36"/>
      <c r="B53" s="36"/>
      <c r="C53" s="30"/>
      <c r="D53" s="38"/>
      <c r="E53" s="31">
        <f t="shared" ref="E53" si="165">SUM(E51:E52)</f>
        <v>397</v>
      </c>
      <c r="F53" s="38">
        <f>SUM(F51:F52)</f>
        <v>108.69687999999999</v>
      </c>
      <c r="G53" s="62"/>
      <c r="H53" s="31">
        <f t="shared" ref="H53" si="166">SUM(H51:H52)</f>
        <v>35</v>
      </c>
      <c r="I53" s="38">
        <f t="shared" ref="I53" si="167">SUM(I51:I52)</f>
        <v>9.5320399999999985</v>
      </c>
      <c r="J53" s="61"/>
      <c r="K53" s="31">
        <f t="shared" ref="K53" si="168">SUM(K51:K52)</f>
        <v>121</v>
      </c>
      <c r="L53" s="38">
        <f t="shared" ref="L53" si="169">SUM(L51:L52)</f>
        <v>33.168619999999997</v>
      </c>
      <c r="M53" s="16" t="s">
        <v>343</v>
      </c>
      <c r="N53" s="31">
        <f t="shared" ref="N53" si="170">SUM(N51:N52)</f>
        <v>210</v>
      </c>
      <c r="O53" s="38">
        <f t="shared" ref="O53" si="171">SUM(O51:O52)</f>
        <v>57.687840000000001</v>
      </c>
      <c r="P53" s="61"/>
      <c r="Q53" s="31">
        <f t="shared" ref="Q53" si="172">SUM(Q51:Q52)</f>
        <v>31</v>
      </c>
      <c r="R53" s="38">
        <f t="shared" ref="R53" si="173">SUM(R51:R52)</f>
        <v>8.3083800000000014</v>
      </c>
      <c r="S53" s="31">
        <f t="shared" ref="S53" si="174">SUM(S51:S52)</f>
        <v>397</v>
      </c>
      <c r="T53" s="38">
        <f t="shared" ref="T53" si="175">SUM(T51:T52)</f>
        <v>108.69688000000001</v>
      </c>
      <c r="U53" s="31">
        <f t="shared" ref="U53" si="176">SUM(U51:U52)</f>
        <v>0</v>
      </c>
      <c r="V53" s="38">
        <f t="shared" ref="V53" si="177">SUM(V51:V52)</f>
        <v>0</v>
      </c>
    </row>
    <row r="54" spans="1:22">
      <c r="A54" s="26" t="s">
        <v>13</v>
      </c>
      <c r="B54" s="26" t="s">
        <v>125</v>
      </c>
      <c r="C54" s="30">
        <v>27.3</v>
      </c>
      <c r="D54" s="27">
        <v>6.7</v>
      </c>
      <c r="E54" s="28">
        <v>2</v>
      </c>
      <c r="F54" s="16">
        <f t="shared" ref="F54:F61" si="178">(C54*D54*E54/1000)</f>
        <v>0.36581999999999998</v>
      </c>
      <c r="G54" s="17" t="s">
        <v>288</v>
      </c>
      <c r="H54" s="18">
        <v>2</v>
      </c>
      <c r="I54" s="19">
        <f t="shared" ref="I54:I61" si="179">(C54*D54*H54/1000)</f>
        <v>0.36581999999999998</v>
      </c>
      <c r="J54" s="16" t="s">
        <v>398</v>
      </c>
      <c r="K54" s="18"/>
      <c r="L54" s="19">
        <f t="shared" ref="L54:L61" si="180">(C54*D54*K54/1000)</f>
        <v>0</v>
      </c>
      <c r="M54" s="16" t="s">
        <v>86</v>
      </c>
      <c r="N54" s="18"/>
      <c r="O54" s="19">
        <f t="shared" ref="O54:O61" si="181">(C54*D54*N54/1000)</f>
        <v>0</v>
      </c>
      <c r="P54" s="16" t="s">
        <v>89</v>
      </c>
      <c r="Q54" s="18"/>
      <c r="R54" s="19">
        <f t="shared" ref="R54:R61" si="182">(C54*D54*Q54/1000)</f>
        <v>0</v>
      </c>
      <c r="S54" s="20">
        <f t="shared" ref="S54:S61" si="183">+H54+K54+Q54+N54</f>
        <v>2</v>
      </c>
      <c r="T54" s="19">
        <f t="shared" ref="T54:T61" si="184">+I54+L54+R54+O54</f>
        <v>0.36581999999999998</v>
      </c>
      <c r="U54" s="21">
        <f t="shared" ref="U54:U61" si="185">E54-S54</f>
        <v>0</v>
      </c>
      <c r="V54" s="19">
        <f t="shared" ref="V54:V61" si="186">F54-T54</f>
        <v>0</v>
      </c>
    </row>
    <row r="55" spans="1:22">
      <c r="A55" s="26" t="s">
        <v>13</v>
      </c>
      <c r="B55" s="26" t="s">
        <v>125</v>
      </c>
      <c r="C55" s="30">
        <v>27.3</v>
      </c>
      <c r="D55" s="27">
        <v>8.1</v>
      </c>
      <c r="E55" s="28">
        <v>194</v>
      </c>
      <c r="F55" s="16">
        <f t="shared" si="178"/>
        <v>42.89922</v>
      </c>
      <c r="G55" s="17" t="s">
        <v>395</v>
      </c>
      <c r="H55" s="18">
        <v>183</v>
      </c>
      <c r="I55" s="19">
        <f t="shared" si="179"/>
        <v>40.466790000000003</v>
      </c>
      <c r="J55" s="16" t="s">
        <v>88</v>
      </c>
      <c r="K55" s="18">
        <v>7</v>
      </c>
      <c r="L55" s="19">
        <f t="shared" si="180"/>
        <v>1.5479099999999999</v>
      </c>
      <c r="M55" s="16" t="s">
        <v>397</v>
      </c>
      <c r="N55" s="18"/>
      <c r="O55" s="19">
        <f t="shared" si="181"/>
        <v>0</v>
      </c>
      <c r="P55" s="16" t="s">
        <v>423</v>
      </c>
      <c r="Q55" s="18">
        <v>4</v>
      </c>
      <c r="R55" s="19">
        <f t="shared" si="182"/>
        <v>0.88451999999999997</v>
      </c>
      <c r="S55" s="20">
        <f t="shared" si="183"/>
        <v>194</v>
      </c>
      <c r="T55" s="19">
        <f t="shared" si="184"/>
        <v>42.899220000000007</v>
      </c>
      <c r="U55" s="21">
        <f t="shared" si="185"/>
        <v>0</v>
      </c>
      <c r="V55" s="19">
        <f t="shared" si="186"/>
        <v>0</v>
      </c>
    </row>
    <row r="56" spans="1:22">
      <c r="A56" s="26" t="s">
        <v>13</v>
      </c>
      <c r="B56" s="26" t="s">
        <v>125</v>
      </c>
      <c r="C56" s="30">
        <v>27.3</v>
      </c>
      <c r="D56" s="27">
        <v>8.9</v>
      </c>
      <c r="E56" s="28">
        <v>6</v>
      </c>
      <c r="F56" s="16">
        <f t="shared" si="178"/>
        <v>1.4578200000000001</v>
      </c>
      <c r="G56" s="16" t="s">
        <v>93</v>
      </c>
      <c r="H56" s="18">
        <v>4</v>
      </c>
      <c r="I56" s="19">
        <f t="shared" si="179"/>
        <v>0.97188000000000008</v>
      </c>
      <c r="J56" s="16" t="s">
        <v>397</v>
      </c>
      <c r="K56" s="18"/>
      <c r="L56" s="19">
        <f t="shared" si="180"/>
        <v>0</v>
      </c>
      <c r="M56" s="16" t="s">
        <v>111</v>
      </c>
      <c r="N56" s="18">
        <v>2</v>
      </c>
      <c r="O56" s="19">
        <f t="shared" si="181"/>
        <v>0.48594000000000004</v>
      </c>
      <c r="P56" s="16"/>
      <c r="Q56" s="18"/>
      <c r="R56" s="19">
        <f t="shared" si="182"/>
        <v>0</v>
      </c>
      <c r="S56" s="20">
        <f t="shared" si="183"/>
        <v>6</v>
      </c>
      <c r="T56" s="19">
        <f t="shared" si="184"/>
        <v>1.4578200000000001</v>
      </c>
      <c r="U56" s="21">
        <f t="shared" si="185"/>
        <v>0</v>
      </c>
      <c r="V56" s="19">
        <f t="shared" si="186"/>
        <v>0</v>
      </c>
    </row>
    <row r="57" spans="1:22">
      <c r="A57" s="26" t="s">
        <v>13</v>
      </c>
      <c r="B57" s="26" t="s">
        <v>125</v>
      </c>
      <c r="C57" s="30">
        <v>27.3</v>
      </c>
      <c r="D57" s="27">
        <v>11.1</v>
      </c>
      <c r="E57" s="28">
        <v>6</v>
      </c>
      <c r="F57" s="16">
        <f t="shared" si="178"/>
        <v>1.8181799999999999</v>
      </c>
      <c r="G57" s="16" t="s">
        <v>288</v>
      </c>
      <c r="H57" s="18">
        <v>0</v>
      </c>
      <c r="I57" s="19">
        <f t="shared" si="179"/>
        <v>0</v>
      </c>
      <c r="J57" s="16"/>
      <c r="K57" s="18">
        <v>5</v>
      </c>
      <c r="L57" s="19">
        <f t="shared" si="180"/>
        <v>1.5151499999999998</v>
      </c>
      <c r="M57" s="16" t="s">
        <v>399</v>
      </c>
      <c r="N57" s="18">
        <v>1</v>
      </c>
      <c r="O57" s="19">
        <f t="shared" si="181"/>
        <v>0.30302999999999997</v>
      </c>
      <c r="P57" s="16"/>
      <c r="Q57" s="18"/>
      <c r="R57" s="19">
        <f t="shared" si="182"/>
        <v>0</v>
      </c>
      <c r="S57" s="20">
        <f t="shared" si="183"/>
        <v>6</v>
      </c>
      <c r="T57" s="19">
        <f t="shared" si="184"/>
        <v>1.8181799999999997</v>
      </c>
      <c r="U57" s="21">
        <f t="shared" si="185"/>
        <v>0</v>
      </c>
      <c r="V57" s="19">
        <f t="shared" si="186"/>
        <v>0</v>
      </c>
    </row>
    <row r="58" spans="1:22">
      <c r="A58" s="26" t="s">
        <v>13</v>
      </c>
      <c r="B58" s="26" t="s">
        <v>125</v>
      </c>
      <c r="C58" s="30">
        <v>27.3</v>
      </c>
      <c r="D58" s="27">
        <v>12.15</v>
      </c>
      <c r="E58" s="28">
        <v>68</v>
      </c>
      <c r="F58" s="16">
        <f t="shared" si="178"/>
        <v>22.555259999999997</v>
      </c>
      <c r="G58" s="16" t="s">
        <v>396</v>
      </c>
      <c r="H58" s="18">
        <v>11</v>
      </c>
      <c r="I58" s="19">
        <f t="shared" si="179"/>
        <v>3.6486450000000001</v>
      </c>
      <c r="J58" s="16"/>
      <c r="K58" s="18">
        <f>26+9</f>
        <v>35</v>
      </c>
      <c r="L58" s="19">
        <f t="shared" si="180"/>
        <v>11.609324999999998</v>
      </c>
      <c r="M58" s="16"/>
      <c r="N58" s="18">
        <v>22</v>
      </c>
      <c r="O58" s="19">
        <f t="shared" si="181"/>
        <v>7.2972900000000003</v>
      </c>
      <c r="P58" s="16"/>
      <c r="Q58" s="18"/>
      <c r="R58" s="19">
        <f t="shared" si="182"/>
        <v>0</v>
      </c>
      <c r="S58" s="20">
        <f t="shared" si="183"/>
        <v>68</v>
      </c>
      <c r="T58" s="19">
        <f t="shared" si="184"/>
        <v>22.555259999999997</v>
      </c>
      <c r="U58" s="21">
        <f t="shared" si="185"/>
        <v>0</v>
      </c>
      <c r="V58" s="19">
        <f t="shared" si="186"/>
        <v>0</v>
      </c>
    </row>
    <row r="59" spans="1:22">
      <c r="A59" s="26" t="s">
        <v>13</v>
      </c>
      <c r="B59" s="26" t="s">
        <v>125</v>
      </c>
      <c r="C59" s="30">
        <v>27.3</v>
      </c>
      <c r="D59" s="27">
        <v>12.75</v>
      </c>
      <c r="E59" s="28">
        <v>342</v>
      </c>
      <c r="F59" s="16">
        <f t="shared" ref="F59:F60" si="187">(C59*D59*E59/1000)</f>
        <v>119.04164999999999</v>
      </c>
      <c r="G59" s="16" t="s">
        <v>93</v>
      </c>
      <c r="H59" s="18">
        <v>84</v>
      </c>
      <c r="I59" s="19">
        <f t="shared" ref="I59:I60" si="188">(C59*D59*H59/1000)</f>
        <v>29.238299999999999</v>
      </c>
      <c r="J59" s="16"/>
      <c r="K59" s="18">
        <f t="shared" ref="K59" si="189">58+5+81</f>
        <v>144</v>
      </c>
      <c r="L59" s="19">
        <f t="shared" ref="L59:L60" si="190">(C59*D59*K59/1000)</f>
        <v>50.122799999999998</v>
      </c>
      <c r="M59" s="16"/>
      <c r="N59" s="18">
        <f>51+14</f>
        <v>65</v>
      </c>
      <c r="O59" s="19">
        <f t="shared" ref="O59:O60" si="191">(C59*D59*N59/1000)</f>
        <v>22.624874999999999</v>
      </c>
      <c r="P59" s="16"/>
      <c r="Q59" s="18">
        <v>34</v>
      </c>
      <c r="R59" s="19">
        <f t="shared" ref="R59:R60" si="192">(C59*D59*Q59/1000)</f>
        <v>11.83455</v>
      </c>
      <c r="S59" s="20">
        <f t="shared" ref="S59:S60" si="193">+H59+K59+Q59+N59</f>
        <v>327</v>
      </c>
      <c r="T59" s="19">
        <f t="shared" ref="T59:T60" si="194">+I59+L59+R59+O59</f>
        <v>113.820525</v>
      </c>
      <c r="U59" s="21">
        <f t="shared" ref="U59:U60" si="195">E59-S59</f>
        <v>15</v>
      </c>
      <c r="V59" s="19">
        <f t="shared" ref="V59:V60" si="196">F59-T59</f>
        <v>5.2211249999999865</v>
      </c>
    </row>
    <row r="60" spans="1:22">
      <c r="A60" s="26" t="s">
        <v>13</v>
      </c>
      <c r="B60" s="26" t="s">
        <v>125</v>
      </c>
      <c r="C60" s="30">
        <v>27.3</v>
      </c>
      <c r="D60" s="27">
        <v>12.8</v>
      </c>
      <c r="E60" s="28"/>
      <c r="F60" s="16">
        <f t="shared" si="187"/>
        <v>0</v>
      </c>
      <c r="G60" s="16" t="s">
        <v>93</v>
      </c>
      <c r="H60" s="18"/>
      <c r="I60" s="19">
        <f t="shared" si="188"/>
        <v>0</v>
      </c>
      <c r="J60" s="16"/>
      <c r="K60" s="18"/>
      <c r="L60" s="19">
        <f t="shared" si="190"/>
        <v>0</v>
      </c>
      <c r="M60" s="16"/>
      <c r="N60" s="18">
        <f>8+6</f>
        <v>14</v>
      </c>
      <c r="O60" s="19">
        <f t="shared" si="191"/>
        <v>4.8921600000000005</v>
      </c>
      <c r="P60" s="16"/>
      <c r="Q60" s="18"/>
      <c r="R60" s="19">
        <f t="shared" si="192"/>
        <v>0</v>
      </c>
      <c r="S60" s="20">
        <f t="shared" si="193"/>
        <v>14</v>
      </c>
      <c r="T60" s="19">
        <f t="shared" si="194"/>
        <v>4.8921600000000005</v>
      </c>
      <c r="U60" s="21">
        <f t="shared" si="195"/>
        <v>-14</v>
      </c>
      <c r="V60" s="19">
        <f t="shared" si="196"/>
        <v>-4.8921600000000005</v>
      </c>
    </row>
    <row r="61" spans="1:22">
      <c r="A61" s="26" t="s">
        <v>13</v>
      </c>
      <c r="B61" s="26" t="s">
        <v>125</v>
      </c>
      <c r="C61" s="30">
        <v>27.3</v>
      </c>
      <c r="D61" s="27">
        <v>12.7</v>
      </c>
      <c r="E61" s="28"/>
      <c r="F61" s="16">
        <f t="shared" si="178"/>
        <v>0</v>
      </c>
      <c r="G61" s="16" t="s">
        <v>397</v>
      </c>
      <c r="H61" s="18"/>
      <c r="I61" s="19">
        <f t="shared" si="179"/>
        <v>0</v>
      </c>
      <c r="J61" s="16"/>
      <c r="K61" s="18"/>
      <c r="L61" s="19">
        <f t="shared" si="180"/>
        <v>0</v>
      </c>
      <c r="M61" s="16"/>
      <c r="N61" s="18">
        <v>1</v>
      </c>
      <c r="O61" s="19">
        <f t="shared" si="181"/>
        <v>0.34670999999999996</v>
      </c>
      <c r="P61" s="16"/>
      <c r="Q61" s="18"/>
      <c r="R61" s="19">
        <f t="shared" si="182"/>
        <v>0</v>
      </c>
      <c r="S61" s="20">
        <f t="shared" si="183"/>
        <v>1</v>
      </c>
      <c r="T61" s="19">
        <f t="shared" si="184"/>
        <v>0.34670999999999996</v>
      </c>
      <c r="U61" s="21">
        <f t="shared" si="185"/>
        <v>-1</v>
      </c>
      <c r="V61" s="19">
        <f t="shared" si="186"/>
        <v>-0.34670999999999996</v>
      </c>
    </row>
    <row r="62" spans="1:22">
      <c r="A62" s="36"/>
      <c r="B62" s="36"/>
      <c r="C62" s="30"/>
      <c r="D62" s="38"/>
      <c r="E62" s="31">
        <f>SUM(E54:E61)</f>
        <v>618</v>
      </c>
      <c r="F62" s="38">
        <f>SUM(F54:F61)</f>
        <v>188.13794999999999</v>
      </c>
      <c r="G62" s="16"/>
      <c r="H62" s="31">
        <f t="shared" ref="H62" si="197">SUM(H54:H61)</f>
        <v>284</v>
      </c>
      <c r="I62" s="38">
        <f>SUM(I54:I61)</f>
        <v>74.691434999999998</v>
      </c>
      <c r="J62" s="61"/>
      <c r="K62" s="31">
        <f t="shared" ref="K62" si="198">SUM(K54:K61)</f>
        <v>191</v>
      </c>
      <c r="L62" s="38">
        <f>SUM(L54:L61)</f>
        <v>64.795185000000004</v>
      </c>
      <c r="M62" s="61"/>
      <c r="N62" s="31">
        <f t="shared" ref="N62" si="199">SUM(N54:N61)</f>
        <v>105</v>
      </c>
      <c r="O62" s="38">
        <f>SUM(O54:O61)</f>
        <v>35.950005000000004</v>
      </c>
      <c r="P62" s="61"/>
      <c r="Q62" s="31">
        <f t="shared" ref="Q62" si="200">SUM(Q54:Q61)</f>
        <v>38</v>
      </c>
      <c r="R62" s="38">
        <f t="shared" ref="R62" si="201">SUM(R54:R61)</f>
        <v>12.71907</v>
      </c>
      <c r="S62" s="31">
        <f t="shared" ref="S62" si="202">SUM(S54:S61)</f>
        <v>618</v>
      </c>
      <c r="T62" s="38">
        <f t="shared" ref="T62" si="203">SUM(T54:T61)</f>
        <v>188.15569500000001</v>
      </c>
      <c r="U62" s="31">
        <f t="shared" ref="U62" si="204">SUM(U54:U61)</f>
        <v>0</v>
      </c>
      <c r="V62" s="38">
        <f>SUM(V54:V61)</f>
        <v>-1.7745000000014E-2</v>
      </c>
    </row>
    <row r="63" spans="1:22">
      <c r="A63" s="26" t="s">
        <v>13</v>
      </c>
      <c r="B63" s="26" t="s">
        <v>37</v>
      </c>
      <c r="C63" s="30">
        <v>9.61</v>
      </c>
      <c r="D63" s="27">
        <v>11</v>
      </c>
      <c r="E63" s="28">
        <v>18</v>
      </c>
      <c r="F63" s="16">
        <f t="shared" ref="F63:F65" si="205">(C63*D63*E63/1000)</f>
        <v>1.9027799999999999</v>
      </c>
      <c r="G63" s="16" t="s">
        <v>111</v>
      </c>
      <c r="H63" s="18">
        <v>18</v>
      </c>
      <c r="I63" s="19">
        <f t="shared" ref="I63:I65" si="206">(C63*D63*H63/1000)</f>
        <v>1.9027799999999999</v>
      </c>
      <c r="J63" s="16" t="s">
        <v>389</v>
      </c>
      <c r="K63" s="18"/>
      <c r="L63" s="19">
        <f t="shared" ref="L63:L65" si="207">(C63*D63*K63/1000)</f>
        <v>0</v>
      </c>
      <c r="M63" s="16"/>
      <c r="N63" s="18"/>
      <c r="O63" s="19">
        <f>(C63*D63*N63/1000)</f>
        <v>0</v>
      </c>
      <c r="P63" s="16"/>
      <c r="Q63" s="18"/>
      <c r="R63" s="19">
        <f t="shared" ref="R63:R65" si="208">(C63*D63*Q63/1000)</f>
        <v>0</v>
      </c>
      <c r="S63" s="20">
        <f t="shared" ref="S63:S65" si="209">+H63+K63+Q63+N63</f>
        <v>18</v>
      </c>
      <c r="T63" s="19">
        <f t="shared" ref="T63:T65" si="210">+I63+L63+R63+O63</f>
        <v>1.9027799999999999</v>
      </c>
      <c r="U63" s="21">
        <f t="shared" ref="U63:U65" si="211">E63-S63</f>
        <v>0</v>
      </c>
      <c r="V63" s="19">
        <f t="shared" ref="V63:V65" si="212">F63-T63</f>
        <v>0</v>
      </c>
    </row>
    <row r="64" spans="1:22">
      <c r="A64" s="26" t="s">
        <v>13</v>
      </c>
      <c r="B64" s="26" t="s">
        <v>37</v>
      </c>
      <c r="C64" s="30">
        <v>9.61</v>
      </c>
      <c r="D64" s="27">
        <v>11.5</v>
      </c>
      <c r="E64" s="28">
        <v>26</v>
      </c>
      <c r="F64" s="16">
        <f t="shared" si="205"/>
        <v>2.8733899999999992</v>
      </c>
      <c r="G64" s="16" t="s">
        <v>355</v>
      </c>
      <c r="H64" s="18">
        <v>26</v>
      </c>
      <c r="I64" s="19">
        <f t="shared" si="206"/>
        <v>2.8733899999999992</v>
      </c>
      <c r="J64" s="16" t="s">
        <v>390</v>
      </c>
      <c r="K64" s="18"/>
      <c r="L64" s="19">
        <f t="shared" si="207"/>
        <v>0</v>
      </c>
      <c r="M64" s="16"/>
      <c r="N64" s="18"/>
      <c r="O64" s="19">
        <f>(C64*D64*N64/1000)</f>
        <v>0</v>
      </c>
      <c r="P64" s="16"/>
      <c r="Q64" s="18"/>
      <c r="R64" s="19">
        <f t="shared" si="208"/>
        <v>0</v>
      </c>
      <c r="S64" s="20">
        <f t="shared" si="209"/>
        <v>26</v>
      </c>
      <c r="T64" s="19">
        <f t="shared" si="210"/>
        <v>2.8733899999999992</v>
      </c>
      <c r="U64" s="21">
        <f t="shared" si="211"/>
        <v>0</v>
      </c>
      <c r="V64" s="19">
        <f t="shared" si="212"/>
        <v>0</v>
      </c>
    </row>
    <row r="65" spans="1:22">
      <c r="A65" s="26" t="s">
        <v>13</v>
      </c>
      <c r="B65" s="26" t="s">
        <v>37</v>
      </c>
      <c r="C65" s="30">
        <v>9.61</v>
      </c>
      <c r="D65" s="27">
        <v>12</v>
      </c>
      <c r="E65" s="28">
        <v>19</v>
      </c>
      <c r="F65" s="16">
        <f t="shared" si="205"/>
        <v>2.1910799999999999</v>
      </c>
      <c r="G65" s="17"/>
      <c r="H65" s="18">
        <v>12</v>
      </c>
      <c r="I65" s="19">
        <f t="shared" si="206"/>
        <v>1.38384</v>
      </c>
      <c r="J65" s="16"/>
      <c r="K65" s="18">
        <v>7</v>
      </c>
      <c r="L65" s="19">
        <f t="shared" si="207"/>
        <v>0.80723999999999996</v>
      </c>
      <c r="M65" s="16"/>
      <c r="N65" s="18"/>
      <c r="O65" s="19">
        <f t="shared" ref="O65" si="213">(C65*D65*N65/1000)</f>
        <v>0</v>
      </c>
      <c r="P65" s="16"/>
      <c r="Q65" s="18"/>
      <c r="R65" s="19">
        <f t="shared" si="208"/>
        <v>0</v>
      </c>
      <c r="S65" s="20">
        <f t="shared" si="209"/>
        <v>19</v>
      </c>
      <c r="T65" s="19">
        <f t="shared" si="210"/>
        <v>2.1910799999999999</v>
      </c>
      <c r="U65" s="21">
        <f t="shared" si="211"/>
        <v>0</v>
      </c>
      <c r="V65" s="19">
        <f t="shared" si="212"/>
        <v>0</v>
      </c>
    </row>
    <row r="66" spans="1:22" s="50" customFormat="1">
      <c r="A66" s="36"/>
      <c r="B66" s="36"/>
      <c r="C66" s="30"/>
      <c r="D66" s="38"/>
      <c r="E66" s="31">
        <f t="shared" ref="E66:F66" si="214">SUM(E63:E65)</f>
        <v>63</v>
      </c>
      <c r="F66" s="38">
        <f t="shared" si="214"/>
        <v>6.9672499999999982</v>
      </c>
      <c r="H66" s="31">
        <f t="shared" ref="H66" si="215">SUM(H63:H65)</f>
        <v>56</v>
      </c>
      <c r="I66" s="38">
        <f t="shared" ref="I66" si="216">SUM(I63:I65)</f>
        <v>6.1600099999999989</v>
      </c>
      <c r="K66" s="31">
        <f t="shared" ref="K66" si="217">SUM(K63:K65)</f>
        <v>7</v>
      </c>
      <c r="L66" s="38">
        <f t="shared" ref="L66" si="218">SUM(L63:L65)</f>
        <v>0.80723999999999996</v>
      </c>
      <c r="N66" s="31">
        <f t="shared" ref="N66" si="219">SUM(N63:N65)</f>
        <v>0</v>
      </c>
      <c r="O66" s="38">
        <f>SUM(O63:O65)</f>
        <v>0</v>
      </c>
      <c r="Q66" s="31">
        <f t="shared" ref="Q66" si="220">SUM(Q63:Q65)</f>
        <v>0</v>
      </c>
      <c r="R66" s="38">
        <f t="shared" ref="R66" si="221">SUM(R63:R65)</f>
        <v>0</v>
      </c>
      <c r="S66" s="31">
        <f t="shared" ref="S66" si="222">SUM(S63:S65)</f>
        <v>63</v>
      </c>
      <c r="T66" s="38">
        <f t="shared" ref="T66" si="223">SUM(T63:T65)</f>
        <v>6.9672499999999982</v>
      </c>
      <c r="U66" s="31">
        <f t="shared" ref="U66" si="224">SUM(U63:U65)</f>
        <v>0</v>
      </c>
      <c r="V66" s="38">
        <f t="shared" ref="V66" si="225">SUM(V63:V65)</f>
        <v>0</v>
      </c>
    </row>
    <row r="67" spans="1:22">
      <c r="A67" s="26" t="s">
        <v>13</v>
      </c>
      <c r="B67" s="26" t="s">
        <v>244</v>
      </c>
      <c r="C67" s="30">
        <v>10.9</v>
      </c>
      <c r="D67" s="27">
        <v>9.1999999999999993</v>
      </c>
      <c r="E67" s="28">
        <v>86</v>
      </c>
      <c r="F67" s="16">
        <f t="shared" ref="F67:F75" si="226">(C67*D67*E67/1000)</f>
        <v>8.6240799999999993</v>
      </c>
      <c r="G67" s="17" t="s">
        <v>86</v>
      </c>
      <c r="H67" s="18">
        <v>62</v>
      </c>
      <c r="I67" s="19">
        <f t="shared" ref="I67:I75" si="227">(C67*D67*H67/1000)</f>
        <v>6.2173599999999993</v>
      </c>
      <c r="J67" s="16" t="s">
        <v>205</v>
      </c>
      <c r="K67" s="18">
        <v>24</v>
      </c>
      <c r="L67" s="19">
        <f t="shared" ref="L67:L75" si="228">(C67*D67*K67/1000)</f>
        <v>2.4067200000000004</v>
      </c>
      <c r="M67" s="16" t="s">
        <v>389</v>
      </c>
      <c r="N67" s="18"/>
      <c r="O67" s="19">
        <f t="shared" ref="O67:O75" si="229">(C67*D67*N67/1000)</f>
        <v>0</v>
      </c>
      <c r="P67" s="17"/>
      <c r="Q67" s="18"/>
      <c r="R67" s="19">
        <f t="shared" ref="R67:R75" si="230">(C67*D67*Q67/1000)</f>
        <v>0</v>
      </c>
      <c r="S67" s="20">
        <f t="shared" ref="S67:S75" si="231">+H67+K67+Q67+N67</f>
        <v>86</v>
      </c>
      <c r="T67" s="19">
        <f t="shared" ref="T67:T75" si="232">+I67+L67+R67+O67</f>
        <v>8.6240799999999993</v>
      </c>
      <c r="U67" s="21">
        <f t="shared" ref="U67:U75" si="233">E67-S67</f>
        <v>0</v>
      </c>
      <c r="V67" s="19">
        <f t="shared" ref="V67:V75" si="234">F67-T67</f>
        <v>0</v>
      </c>
    </row>
    <row r="68" spans="1:22">
      <c r="A68" s="26" t="s">
        <v>13</v>
      </c>
      <c r="B68" s="26" t="s">
        <v>244</v>
      </c>
      <c r="C68" s="30">
        <v>10.9</v>
      </c>
      <c r="D68" s="27">
        <v>9.5</v>
      </c>
      <c r="E68" s="28">
        <v>32</v>
      </c>
      <c r="F68" s="16">
        <f t="shared" si="226"/>
        <v>3.3136000000000001</v>
      </c>
      <c r="G68" s="17" t="s">
        <v>342</v>
      </c>
      <c r="H68" s="18">
        <v>9</v>
      </c>
      <c r="I68" s="19">
        <f t="shared" si="227"/>
        <v>0.93194999999999995</v>
      </c>
      <c r="J68" s="16" t="s">
        <v>356</v>
      </c>
      <c r="K68" s="18">
        <v>17</v>
      </c>
      <c r="L68" s="19">
        <f t="shared" si="228"/>
        <v>1.7603499999999999</v>
      </c>
      <c r="M68" s="16" t="s">
        <v>390</v>
      </c>
      <c r="N68" s="18">
        <f>4+2</f>
        <v>6</v>
      </c>
      <c r="O68" s="19">
        <f t="shared" si="229"/>
        <v>0.62129999999999996</v>
      </c>
      <c r="P68" s="17"/>
      <c r="Q68" s="18"/>
      <c r="R68" s="19">
        <f t="shared" si="230"/>
        <v>0</v>
      </c>
      <c r="S68" s="20">
        <f t="shared" si="231"/>
        <v>32</v>
      </c>
      <c r="T68" s="19">
        <f t="shared" si="232"/>
        <v>3.3136000000000001</v>
      </c>
      <c r="U68" s="21">
        <f t="shared" si="233"/>
        <v>0</v>
      </c>
      <c r="V68" s="19">
        <f t="shared" si="234"/>
        <v>0</v>
      </c>
    </row>
    <row r="69" spans="1:22">
      <c r="A69" s="26" t="s">
        <v>13</v>
      </c>
      <c r="B69" s="26" t="s">
        <v>244</v>
      </c>
      <c r="C69" s="30">
        <v>10.9</v>
      </c>
      <c r="D69" s="27">
        <v>10.5</v>
      </c>
      <c r="E69" s="28">
        <v>64</v>
      </c>
      <c r="F69" s="16">
        <f t="shared" si="226"/>
        <v>7.3247999999999998</v>
      </c>
      <c r="G69" s="16" t="s">
        <v>86</v>
      </c>
      <c r="H69" s="18">
        <v>38</v>
      </c>
      <c r="I69" s="19">
        <f t="shared" si="227"/>
        <v>4.3491</v>
      </c>
      <c r="J69" s="16"/>
      <c r="K69" s="18">
        <v>25</v>
      </c>
      <c r="L69" s="19">
        <f t="shared" si="228"/>
        <v>2.8612500000000001</v>
      </c>
      <c r="M69" s="17" t="s">
        <v>150</v>
      </c>
      <c r="N69" s="18">
        <f>1+1</f>
        <v>2</v>
      </c>
      <c r="O69" s="19">
        <f t="shared" si="229"/>
        <v>0.22889999999999999</v>
      </c>
      <c r="P69" s="16" t="s">
        <v>89</v>
      </c>
      <c r="Q69" s="18"/>
      <c r="R69" s="19">
        <f t="shared" si="230"/>
        <v>0</v>
      </c>
      <c r="S69" s="20">
        <f t="shared" si="231"/>
        <v>65</v>
      </c>
      <c r="T69" s="19">
        <f t="shared" si="232"/>
        <v>7.4392500000000004</v>
      </c>
      <c r="U69" s="21">
        <f t="shared" si="233"/>
        <v>-1</v>
      </c>
      <c r="V69" s="19">
        <f t="shared" si="234"/>
        <v>-0.11445000000000061</v>
      </c>
    </row>
    <row r="70" spans="1:22">
      <c r="A70" s="26" t="s">
        <v>13</v>
      </c>
      <c r="B70" s="26" t="s">
        <v>244</v>
      </c>
      <c r="C70" s="30">
        <v>10.9</v>
      </c>
      <c r="D70" s="27">
        <v>11</v>
      </c>
      <c r="E70" s="28">
        <v>28</v>
      </c>
      <c r="F70" s="16">
        <f t="shared" si="226"/>
        <v>3.3572000000000002</v>
      </c>
      <c r="G70" s="16" t="s">
        <v>355</v>
      </c>
      <c r="H70" s="18">
        <v>9</v>
      </c>
      <c r="I70" s="19">
        <f t="shared" si="227"/>
        <v>1.0791000000000002</v>
      </c>
      <c r="J70" s="16"/>
      <c r="K70" s="18">
        <v>9</v>
      </c>
      <c r="L70" s="19">
        <f t="shared" si="228"/>
        <v>1.0791000000000002</v>
      </c>
      <c r="M70" s="17" t="s">
        <v>417</v>
      </c>
      <c r="N70" s="18">
        <f>8+1</f>
        <v>9</v>
      </c>
      <c r="O70" s="19">
        <f t="shared" si="229"/>
        <v>1.0791000000000002</v>
      </c>
      <c r="P70" s="16" t="s">
        <v>423</v>
      </c>
      <c r="Q70" s="18"/>
      <c r="R70" s="19">
        <f t="shared" si="230"/>
        <v>0</v>
      </c>
      <c r="S70" s="20">
        <f t="shared" si="231"/>
        <v>27</v>
      </c>
      <c r="T70" s="19">
        <f t="shared" si="232"/>
        <v>3.2373000000000003</v>
      </c>
      <c r="U70" s="21">
        <f t="shared" si="233"/>
        <v>1</v>
      </c>
      <c r="V70" s="19">
        <f t="shared" si="234"/>
        <v>0.1198999999999999</v>
      </c>
    </row>
    <row r="71" spans="1:22">
      <c r="A71" s="26" t="s">
        <v>13</v>
      </c>
      <c r="B71" s="26" t="s">
        <v>244</v>
      </c>
      <c r="C71" s="30">
        <v>10.9</v>
      </c>
      <c r="D71" s="27">
        <v>11.4</v>
      </c>
      <c r="E71" s="28">
        <v>208</v>
      </c>
      <c r="F71" s="16">
        <f t="shared" si="226"/>
        <v>25.846080000000001</v>
      </c>
      <c r="G71" s="16" t="s">
        <v>111</v>
      </c>
      <c r="H71" s="18">
        <v>71</v>
      </c>
      <c r="I71" s="19">
        <f t="shared" si="227"/>
        <v>8.8224600000000013</v>
      </c>
      <c r="J71" s="16"/>
      <c r="K71" s="18">
        <f>8+97</f>
        <v>105</v>
      </c>
      <c r="L71" s="19">
        <f t="shared" si="228"/>
        <v>13.047300000000002</v>
      </c>
      <c r="M71" s="16"/>
      <c r="N71" s="18">
        <v>11</v>
      </c>
      <c r="O71" s="19">
        <f t="shared" si="229"/>
        <v>1.3668600000000002</v>
      </c>
      <c r="P71" s="16"/>
      <c r="Q71" s="18">
        <f>2+17</f>
        <v>19</v>
      </c>
      <c r="R71" s="19">
        <f t="shared" si="230"/>
        <v>2.3609400000000003</v>
      </c>
      <c r="S71" s="20">
        <f t="shared" si="231"/>
        <v>206</v>
      </c>
      <c r="T71" s="19">
        <f t="shared" si="232"/>
        <v>25.597560000000001</v>
      </c>
      <c r="U71" s="21">
        <f t="shared" si="233"/>
        <v>2</v>
      </c>
      <c r="V71" s="19">
        <f t="shared" si="234"/>
        <v>0.24851999999999919</v>
      </c>
    </row>
    <row r="72" spans="1:22">
      <c r="A72" s="26" t="s">
        <v>13</v>
      </c>
      <c r="B72" s="26" t="s">
        <v>244</v>
      </c>
      <c r="C72" s="30">
        <v>10.9</v>
      </c>
      <c r="D72" s="27">
        <v>11.5</v>
      </c>
      <c r="E72" s="28">
        <v>18</v>
      </c>
      <c r="F72" s="16">
        <f t="shared" si="226"/>
        <v>2.2563</v>
      </c>
      <c r="G72" s="16" t="s">
        <v>355</v>
      </c>
      <c r="H72" s="18">
        <v>3</v>
      </c>
      <c r="I72" s="19">
        <f t="shared" si="227"/>
        <v>0.37605</v>
      </c>
      <c r="J72" s="16"/>
      <c r="K72" s="18">
        <v>15</v>
      </c>
      <c r="L72" s="19">
        <f t="shared" si="228"/>
        <v>1.8802500000000002</v>
      </c>
      <c r="M72" s="16"/>
      <c r="N72" s="18"/>
      <c r="O72" s="19">
        <f t="shared" si="229"/>
        <v>0</v>
      </c>
      <c r="P72" s="16"/>
      <c r="Q72" s="18"/>
      <c r="R72" s="19">
        <f t="shared" si="230"/>
        <v>0</v>
      </c>
      <c r="S72" s="20">
        <f t="shared" si="231"/>
        <v>18</v>
      </c>
      <c r="T72" s="19">
        <f t="shared" si="232"/>
        <v>2.2563000000000004</v>
      </c>
      <c r="U72" s="21">
        <f t="shared" si="233"/>
        <v>0</v>
      </c>
      <c r="V72" s="19">
        <f t="shared" si="234"/>
        <v>0</v>
      </c>
    </row>
    <row r="73" spans="1:22">
      <c r="A73" s="26" t="s">
        <v>13</v>
      </c>
      <c r="B73" s="26" t="s">
        <v>244</v>
      </c>
      <c r="C73" s="30">
        <v>10.9</v>
      </c>
      <c r="D73" s="27">
        <v>11.7</v>
      </c>
      <c r="E73" s="28">
        <v>40</v>
      </c>
      <c r="F73" s="16">
        <f t="shared" si="226"/>
        <v>5.1011999999999995</v>
      </c>
      <c r="G73" s="17"/>
      <c r="H73" s="18">
        <v>3</v>
      </c>
      <c r="I73" s="19">
        <f t="shared" si="227"/>
        <v>0.38259000000000004</v>
      </c>
      <c r="J73" s="16"/>
      <c r="K73" s="18">
        <v>37</v>
      </c>
      <c r="L73" s="19">
        <f t="shared" si="228"/>
        <v>4.71861</v>
      </c>
      <c r="M73" s="16"/>
      <c r="N73" s="18"/>
      <c r="O73" s="19">
        <f t="shared" si="229"/>
        <v>0</v>
      </c>
      <c r="P73" s="16"/>
      <c r="Q73" s="18"/>
      <c r="R73" s="19">
        <f t="shared" si="230"/>
        <v>0</v>
      </c>
      <c r="S73" s="20">
        <f t="shared" si="231"/>
        <v>40</v>
      </c>
      <c r="T73" s="19">
        <f t="shared" si="232"/>
        <v>5.1012000000000004</v>
      </c>
      <c r="U73" s="21">
        <f t="shared" si="233"/>
        <v>0</v>
      </c>
      <c r="V73" s="19">
        <f t="shared" si="234"/>
        <v>0</v>
      </c>
    </row>
    <row r="74" spans="1:22">
      <c r="A74" s="26" t="s">
        <v>13</v>
      </c>
      <c r="B74" s="26" t="s">
        <v>244</v>
      </c>
      <c r="C74" s="30">
        <v>10.9</v>
      </c>
      <c r="D74" s="27">
        <v>12</v>
      </c>
      <c r="E74" s="28">
        <v>82</v>
      </c>
      <c r="F74" s="16">
        <f t="shared" ref="F74" si="235">(C74*D74*E74/1000)</f>
        <v>10.7256</v>
      </c>
      <c r="G74" s="17"/>
      <c r="H74" s="18">
        <v>37</v>
      </c>
      <c r="I74" s="19">
        <f t="shared" ref="I74" si="236">(C74*D74*H74/1000)</f>
        <v>4.8396000000000008</v>
      </c>
      <c r="J74" s="16"/>
      <c r="K74" s="18">
        <v>40</v>
      </c>
      <c r="L74" s="19">
        <f t="shared" ref="L74" si="237">(C74*D74*K74/1000)</f>
        <v>5.2320000000000002</v>
      </c>
      <c r="M74" s="16"/>
      <c r="N74" s="18">
        <f>4+1</f>
        <v>5</v>
      </c>
      <c r="O74" s="19">
        <f t="shared" ref="O74" si="238">(C74*D74*N74/1000)</f>
        <v>0.65400000000000003</v>
      </c>
      <c r="P74" s="16"/>
      <c r="Q74" s="18"/>
      <c r="R74" s="19">
        <f t="shared" ref="R74" si="239">(C74*D74*Q74/1000)</f>
        <v>0</v>
      </c>
      <c r="S74" s="20">
        <f t="shared" ref="S74" si="240">+H74+K74+Q74+N74</f>
        <v>82</v>
      </c>
      <c r="T74" s="19">
        <f t="shared" ref="T74" si="241">+I74+L74+R74+O74</f>
        <v>10.7256</v>
      </c>
      <c r="U74" s="21">
        <f t="shared" ref="U74" si="242">E74-S74</f>
        <v>0</v>
      </c>
      <c r="V74" s="19">
        <f t="shared" ref="V74" si="243">F74-T74</f>
        <v>0</v>
      </c>
    </row>
    <row r="75" spans="1:22">
      <c r="A75" s="26" t="s">
        <v>13</v>
      </c>
      <c r="B75" s="26" t="s">
        <v>244</v>
      </c>
      <c r="C75" s="30">
        <v>10.9</v>
      </c>
      <c r="D75" s="27">
        <v>10</v>
      </c>
      <c r="E75" s="28"/>
      <c r="F75" s="16">
        <f t="shared" si="226"/>
        <v>0</v>
      </c>
      <c r="G75" s="17"/>
      <c r="H75" s="18"/>
      <c r="I75" s="19">
        <f t="shared" si="227"/>
        <v>0</v>
      </c>
      <c r="J75" s="16"/>
      <c r="K75" s="18"/>
      <c r="L75" s="19">
        <f t="shared" si="228"/>
        <v>0</v>
      </c>
      <c r="M75" s="16"/>
      <c r="N75" s="18"/>
      <c r="O75" s="19">
        <f t="shared" si="229"/>
        <v>0</v>
      </c>
      <c r="P75" s="16"/>
      <c r="Q75" s="18">
        <v>4</v>
      </c>
      <c r="R75" s="19">
        <f t="shared" si="230"/>
        <v>0.436</v>
      </c>
      <c r="S75" s="20">
        <f t="shared" si="231"/>
        <v>4</v>
      </c>
      <c r="T75" s="19">
        <f t="shared" si="232"/>
        <v>0.436</v>
      </c>
      <c r="U75" s="21">
        <f t="shared" si="233"/>
        <v>-4</v>
      </c>
      <c r="V75" s="19">
        <f t="shared" si="234"/>
        <v>-0.436</v>
      </c>
    </row>
    <row r="76" spans="1:22">
      <c r="A76" s="36"/>
      <c r="B76" s="36"/>
      <c r="C76" s="30"/>
      <c r="D76" s="38"/>
      <c r="E76" s="31">
        <f t="shared" ref="E76:F76" si="244">SUM(E67:E75)</f>
        <v>558</v>
      </c>
      <c r="F76" s="38">
        <f t="shared" si="244"/>
        <v>66.548860000000005</v>
      </c>
      <c r="H76" s="31">
        <f t="shared" ref="H76" si="245">SUM(H67:H75)</f>
        <v>232</v>
      </c>
      <c r="I76" s="38">
        <f t="shared" ref="I76" si="246">SUM(I67:I75)</f>
        <v>26.998210000000004</v>
      </c>
      <c r="K76" s="31">
        <f t="shared" ref="K76" si="247">SUM(K67:K75)</f>
        <v>272</v>
      </c>
      <c r="L76" s="38">
        <f t="shared" ref="L76" si="248">SUM(L67:L75)</f>
        <v>32.985580000000006</v>
      </c>
      <c r="N76" s="31">
        <f t="shared" ref="N76" si="249">SUM(N67:N75)</f>
        <v>33</v>
      </c>
      <c r="O76" s="38">
        <f>SUM(O67:O75)</f>
        <v>3.9501600000000003</v>
      </c>
      <c r="Q76" s="31">
        <f>SUM(Q67:Q75)</f>
        <v>23</v>
      </c>
      <c r="R76" s="38">
        <f>SUM(R67:R75)</f>
        <v>2.7969400000000002</v>
      </c>
      <c r="S76" s="31">
        <f t="shared" ref="S76" si="250">SUM(S67:S75)</f>
        <v>560</v>
      </c>
      <c r="T76" s="38">
        <f t="shared" ref="T76" si="251">SUM(T67:T75)</f>
        <v>66.730890000000016</v>
      </c>
      <c r="U76" s="31">
        <f t="shared" ref="U76" si="252">SUM(U67:U75)</f>
        <v>-2</v>
      </c>
      <c r="V76" s="38">
        <f t="shared" ref="V76" si="253">SUM(V67:V75)</f>
        <v>-0.18203000000000152</v>
      </c>
    </row>
    <row r="77" spans="1:22">
      <c r="A77" s="33"/>
      <c r="B77" s="33"/>
      <c r="C77" s="34"/>
      <c r="D77" s="34"/>
      <c r="E77" s="34">
        <f>SUM(E6:E76)/2</f>
        <v>2588</v>
      </c>
      <c r="F77" s="35">
        <f>SUM(F6:F76)/2</f>
        <v>500.45638999999994</v>
      </c>
      <c r="H77" s="34">
        <f>SUM(H6:H76)/2</f>
        <v>946</v>
      </c>
      <c r="I77" s="35">
        <f>SUM(I6:I76)/2</f>
        <v>162.07924500000001</v>
      </c>
      <c r="K77" s="34">
        <f>SUM(K6:K76)/2</f>
        <v>786</v>
      </c>
      <c r="L77" s="35">
        <f>SUM(L6:L76)/2</f>
        <v>157.16098500000004</v>
      </c>
      <c r="N77" s="34">
        <f>SUM(N6:N76)/2</f>
        <v>636</v>
      </c>
      <c r="O77" s="35">
        <f>SUM(O6:O76)/2</f>
        <v>141.05024499999999</v>
      </c>
      <c r="Q77" s="34">
        <f t="shared" ref="Q77:V77" si="254">SUM(Q6:Q76)/2</f>
        <v>214</v>
      </c>
      <c r="R77" s="35">
        <f t="shared" si="254"/>
        <v>39.950670000000009</v>
      </c>
      <c r="S77" s="34">
        <f t="shared" si="254"/>
        <v>2582</v>
      </c>
      <c r="T77" s="35">
        <f t="shared" si="254"/>
        <v>500.24114500000002</v>
      </c>
      <c r="U77" s="34">
        <f t="shared" si="254"/>
        <v>6</v>
      </c>
      <c r="V77" s="35">
        <f t="shared" si="254"/>
        <v>0.21524499999998911</v>
      </c>
    </row>
    <row r="80" spans="1:22" s="56" customFormat="1">
      <c r="A80" s="57" t="s">
        <v>13</v>
      </c>
      <c r="B80" s="57" t="s">
        <v>47</v>
      </c>
      <c r="C80" s="58">
        <v>18.2</v>
      </c>
      <c r="D80" s="59">
        <v>6.7</v>
      </c>
      <c r="E80" s="60">
        <v>34</v>
      </c>
      <c r="F80" s="61">
        <f>(C80*D80*E80/1000)</f>
        <v>4.1459599999999996</v>
      </c>
      <c r="G80" s="62"/>
      <c r="H80" s="63"/>
      <c r="I80" s="64">
        <f t="shared" ref="I80" si="255">(C80*D80*H80/1000)</f>
        <v>0</v>
      </c>
      <c r="J80" s="61"/>
      <c r="K80" s="63"/>
      <c r="L80" s="64">
        <f t="shared" ref="L80" si="256">(C80*D80*K80/1000)</f>
        <v>0</v>
      </c>
      <c r="M80" s="61"/>
      <c r="N80" s="63"/>
      <c r="O80" s="64">
        <f t="shared" ref="O80" si="257">(C80*D80*N80/1000)</f>
        <v>0</v>
      </c>
      <c r="P80" s="61"/>
      <c r="Q80" s="63"/>
      <c r="R80" s="64">
        <f t="shared" ref="R80" si="258">(C80*D80*Q80/1000)</f>
        <v>0</v>
      </c>
      <c r="S80" s="65">
        <f t="shared" ref="S80" si="259">+H80+K80+Q80+N80</f>
        <v>0</v>
      </c>
      <c r="T80" s="64">
        <f t="shared" ref="T80" si="260">+I80+L80+R80+O80</f>
        <v>0</v>
      </c>
      <c r="U80" s="42">
        <f t="shared" ref="U80" si="261">E80-S80</f>
        <v>34</v>
      </c>
      <c r="V80" s="64">
        <f t="shared" ref="V80" si="262">F80-T80</f>
        <v>4.1459599999999996</v>
      </c>
    </row>
    <row r="82" spans="1:22">
      <c r="A82" s="26" t="s">
        <v>13</v>
      </c>
      <c r="B82" s="26" t="s">
        <v>49</v>
      </c>
      <c r="C82" s="30">
        <v>14.7</v>
      </c>
      <c r="D82" s="27">
        <v>9</v>
      </c>
      <c r="E82" s="28">
        <f>64-32</f>
        <v>32</v>
      </c>
      <c r="F82" s="16">
        <f t="shared" ref="F82:F87" si="263">(C82*D82*E82/1000)</f>
        <v>4.2335999999999991</v>
      </c>
      <c r="G82" s="17" t="s">
        <v>318</v>
      </c>
      <c r="H82" s="18">
        <v>14</v>
      </c>
      <c r="I82" s="19">
        <f t="shared" ref="I82:I87" si="264">(C82*D82*H82/1000)</f>
        <v>1.8521999999999998</v>
      </c>
      <c r="J82" s="16" t="s">
        <v>93</v>
      </c>
      <c r="K82" s="18"/>
      <c r="L82" s="19">
        <f t="shared" ref="L82:L87" si="265">(C82*D82*K82/1000)</f>
        <v>0</v>
      </c>
      <c r="M82" s="16" t="s">
        <v>89</v>
      </c>
      <c r="N82" s="18"/>
      <c r="O82" s="19">
        <f t="shared" ref="O82:O87" si="266">(C82*D82*N82/1000)</f>
        <v>0</v>
      </c>
      <c r="P82" s="16"/>
      <c r="Q82" s="18"/>
      <c r="R82" s="19">
        <f t="shared" ref="R82:R87" si="267">(C82*D82*Q82/1000)</f>
        <v>0</v>
      </c>
      <c r="S82" s="20">
        <f t="shared" ref="S82:S87" si="268">+H82+K82+Q82+N82</f>
        <v>14</v>
      </c>
      <c r="T82" s="19">
        <f t="shared" ref="T82:T87" si="269">+I82+L82+R82+O82</f>
        <v>1.8521999999999998</v>
      </c>
      <c r="U82" s="21">
        <f t="shared" ref="U82:U87" si="270">E82-S82</f>
        <v>18</v>
      </c>
      <c r="V82" s="19">
        <f t="shared" ref="V82:V87" si="271">F82-T82</f>
        <v>2.3813999999999993</v>
      </c>
    </row>
    <row r="83" spans="1:22">
      <c r="A83" s="26" t="s">
        <v>13</v>
      </c>
      <c r="B83" s="26" t="s">
        <v>49</v>
      </c>
      <c r="C83" s="30">
        <v>14.7</v>
      </c>
      <c r="D83" s="27">
        <v>9.3000000000000007</v>
      </c>
      <c r="E83" s="28">
        <f>24-16</f>
        <v>8</v>
      </c>
      <c r="F83" s="16">
        <f t="shared" si="263"/>
        <v>1.09368</v>
      </c>
      <c r="G83" s="17" t="s">
        <v>344</v>
      </c>
      <c r="H83" s="18"/>
      <c r="I83" s="19">
        <f t="shared" si="264"/>
        <v>0</v>
      </c>
      <c r="J83" s="16" t="s">
        <v>344</v>
      </c>
      <c r="K83" s="18"/>
      <c r="L83" s="19">
        <f t="shared" si="265"/>
        <v>0</v>
      </c>
      <c r="M83" s="16" t="s">
        <v>342</v>
      </c>
      <c r="N83" s="18"/>
      <c r="O83" s="19">
        <f t="shared" si="266"/>
        <v>0</v>
      </c>
      <c r="P83" s="16"/>
      <c r="Q83" s="18"/>
      <c r="R83" s="19">
        <f t="shared" si="267"/>
        <v>0</v>
      </c>
      <c r="S83" s="20">
        <f t="shared" si="268"/>
        <v>0</v>
      </c>
      <c r="T83" s="19">
        <f t="shared" si="269"/>
        <v>0</v>
      </c>
      <c r="U83" s="21">
        <f t="shared" si="270"/>
        <v>8</v>
      </c>
      <c r="V83" s="19">
        <f t="shared" si="271"/>
        <v>1.09368</v>
      </c>
    </row>
    <row r="84" spans="1:22">
      <c r="A84" s="26" t="s">
        <v>13</v>
      </c>
      <c r="B84" s="26" t="s">
        <v>49</v>
      </c>
      <c r="C84" s="30">
        <v>14.7</v>
      </c>
      <c r="D84" s="27">
        <v>10.3</v>
      </c>
      <c r="E84" s="28">
        <v>12</v>
      </c>
      <c r="F84" s="16">
        <f t="shared" si="263"/>
        <v>1.8169200000000001</v>
      </c>
      <c r="G84" s="62" t="s">
        <v>386</v>
      </c>
      <c r="H84" s="18"/>
      <c r="I84" s="19">
        <f t="shared" si="264"/>
        <v>0</v>
      </c>
      <c r="J84" s="16"/>
      <c r="K84" s="18"/>
      <c r="L84" s="19">
        <f t="shared" si="265"/>
        <v>0</v>
      </c>
      <c r="M84" s="16"/>
      <c r="N84" s="18"/>
      <c r="O84" s="19">
        <f t="shared" si="266"/>
        <v>0</v>
      </c>
      <c r="P84" s="16"/>
      <c r="Q84" s="18"/>
      <c r="R84" s="19">
        <f t="shared" si="267"/>
        <v>0</v>
      </c>
      <c r="S84" s="20">
        <f t="shared" si="268"/>
        <v>0</v>
      </c>
      <c r="T84" s="19">
        <f t="shared" si="269"/>
        <v>0</v>
      </c>
      <c r="U84" s="21">
        <f t="shared" si="270"/>
        <v>12</v>
      </c>
      <c r="V84" s="19">
        <f t="shared" si="271"/>
        <v>1.8169200000000001</v>
      </c>
    </row>
    <row r="85" spans="1:22">
      <c r="A85" s="26" t="s">
        <v>13</v>
      </c>
      <c r="B85" s="26" t="s">
        <v>49</v>
      </c>
      <c r="C85" s="30">
        <v>14.7</v>
      </c>
      <c r="D85" s="27">
        <v>11</v>
      </c>
      <c r="E85" s="28">
        <f>36-8-28</f>
        <v>0</v>
      </c>
      <c r="F85" s="16">
        <f t="shared" si="263"/>
        <v>0</v>
      </c>
      <c r="G85" s="62" t="s">
        <v>387</v>
      </c>
      <c r="H85" s="18">
        <v>3</v>
      </c>
      <c r="I85" s="19">
        <f t="shared" si="264"/>
        <v>0.48509999999999998</v>
      </c>
      <c r="J85" s="16"/>
      <c r="K85" s="18"/>
      <c r="L85" s="19">
        <f t="shared" si="265"/>
        <v>0</v>
      </c>
      <c r="M85" s="16"/>
      <c r="N85" s="18"/>
      <c r="O85" s="19">
        <f t="shared" si="266"/>
        <v>0</v>
      </c>
      <c r="P85" s="16"/>
      <c r="Q85" s="18"/>
      <c r="R85" s="19">
        <f t="shared" si="267"/>
        <v>0</v>
      </c>
      <c r="S85" s="20">
        <f t="shared" si="268"/>
        <v>3</v>
      </c>
      <c r="T85" s="19">
        <f t="shared" si="269"/>
        <v>0.48509999999999998</v>
      </c>
      <c r="U85" s="21">
        <f t="shared" si="270"/>
        <v>-3</v>
      </c>
      <c r="V85" s="19">
        <f t="shared" si="271"/>
        <v>-0.48509999999999998</v>
      </c>
    </row>
    <row r="86" spans="1:22">
      <c r="A86" s="26" t="s">
        <v>13</v>
      </c>
      <c r="B86" s="26" t="s">
        <v>49</v>
      </c>
      <c r="C86" s="30">
        <v>14.7</v>
      </c>
      <c r="D86" s="27">
        <v>11.35</v>
      </c>
      <c r="E86" s="28">
        <v>16</v>
      </c>
      <c r="F86" s="16">
        <f t="shared" si="263"/>
        <v>2.6695199999999999</v>
      </c>
      <c r="G86" s="62"/>
      <c r="H86" s="18">
        <v>14</v>
      </c>
      <c r="I86" s="19">
        <f t="shared" si="264"/>
        <v>2.3358300000000001</v>
      </c>
      <c r="J86" s="16"/>
      <c r="K86" s="18"/>
      <c r="L86" s="19">
        <f t="shared" si="265"/>
        <v>0</v>
      </c>
      <c r="M86" s="16"/>
      <c r="N86" s="18"/>
      <c r="O86" s="19">
        <f t="shared" si="266"/>
        <v>0</v>
      </c>
      <c r="P86" s="16"/>
      <c r="Q86" s="18"/>
      <c r="R86" s="19">
        <f t="shared" si="267"/>
        <v>0</v>
      </c>
      <c r="S86" s="20">
        <f t="shared" si="268"/>
        <v>14</v>
      </c>
      <c r="T86" s="19">
        <f t="shared" si="269"/>
        <v>2.3358300000000001</v>
      </c>
      <c r="U86" s="21">
        <f t="shared" si="270"/>
        <v>2</v>
      </c>
      <c r="V86" s="19">
        <f t="shared" si="271"/>
        <v>0.33368999999999982</v>
      </c>
    </row>
    <row r="87" spans="1:22">
      <c r="A87" s="26" t="s">
        <v>13</v>
      </c>
      <c r="B87" s="26" t="s">
        <v>49</v>
      </c>
      <c r="C87" s="30">
        <v>14.7</v>
      </c>
      <c r="D87" s="27">
        <v>11.7</v>
      </c>
      <c r="E87" s="28">
        <f>122-56</f>
        <v>66</v>
      </c>
      <c r="F87" s="16">
        <f t="shared" si="263"/>
        <v>11.351339999999999</v>
      </c>
      <c r="G87" s="17"/>
      <c r="H87" s="18">
        <v>6</v>
      </c>
      <c r="I87" s="19">
        <f t="shared" si="264"/>
        <v>1.0319399999999999</v>
      </c>
      <c r="J87" s="16"/>
      <c r="K87" s="18">
        <v>18</v>
      </c>
      <c r="L87" s="19">
        <f t="shared" si="265"/>
        <v>3.0958199999999998</v>
      </c>
      <c r="M87" s="16"/>
      <c r="N87" s="18">
        <v>18</v>
      </c>
      <c r="O87" s="19">
        <f t="shared" si="266"/>
        <v>3.0958199999999998</v>
      </c>
      <c r="P87" s="16"/>
      <c r="Q87" s="18"/>
      <c r="R87" s="19">
        <f t="shared" si="267"/>
        <v>0</v>
      </c>
      <c r="S87" s="20">
        <f t="shared" si="268"/>
        <v>42</v>
      </c>
      <c r="T87" s="19">
        <f t="shared" si="269"/>
        <v>7.2235799999999992</v>
      </c>
      <c r="U87" s="21">
        <f t="shared" si="270"/>
        <v>24</v>
      </c>
      <c r="V87" s="19">
        <f t="shared" si="271"/>
        <v>4.1277599999999994</v>
      </c>
    </row>
    <row r="88" spans="1:22">
      <c r="A88" s="36"/>
      <c r="B88" s="36"/>
      <c r="C88" s="30"/>
      <c r="D88" s="38"/>
      <c r="E88" s="31">
        <f>SUM(E82:E87)</f>
        <v>134</v>
      </c>
      <c r="F88" s="38">
        <f>SUM(F82:F87)</f>
        <v>21.165059999999997</v>
      </c>
      <c r="G88" s="17"/>
      <c r="H88" s="31">
        <f>SUM(H82:H87)</f>
        <v>37</v>
      </c>
      <c r="I88" s="38">
        <f>SUM(I82:I87)</f>
        <v>5.7050700000000001</v>
      </c>
      <c r="J88" s="16"/>
      <c r="K88" s="31">
        <f>SUM(K82:K87)</f>
        <v>18</v>
      </c>
      <c r="L88" s="38">
        <f>SUM(L82:L87)</f>
        <v>3.0958199999999998</v>
      </c>
      <c r="M88" s="16"/>
      <c r="N88" s="31">
        <f>SUM(N82:N87)</f>
        <v>18</v>
      </c>
      <c r="O88" s="38">
        <f>SUM(O82:O87)</f>
        <v>3.0958199999999998</v>
      </c>
      <c r="P88" s="16"/>
      <c r="Q88" s="31">
        <f t="shared" ref="Q88:V88" si="272">SUM(Q82:Q87)</f>
        <v>0</v>
      </c>
      <c r="R88" s="38">
        <f t="shared" si="272"/>
        <v>0</v>
      </c>
      <c r="S88" s="31">
        <f t="shared" si="272"/>
        <v>73</v>
      </c>
      <c r="T88" s="38">
        <f t="shared" si="272"/>
        <v>11.896709999999999</v>
      </c>
      <c r="U88" s="31">
        <f t="shared" si="272"/>
        <v>61</v>
      </c>
      <c r="V88" s="38">
        <f t="shared" si="272"/>
        <v>9.2683499999999981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64"/>
  <dimension ref="A1:X73"/>
  <sheetViews>
    <sheetView zoomScale="75" zoomScaleNormal="75" workbookViewId="0">
      <pane ySplit="5" topLeftCell="A37" activePane="bottomLeft" state="frozen"/>
      <selection pane="bottomLeft" activeCell="Q42" sqref="Q42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LOI-642  03.08.23</v>
      </c>
      <c r="D1" s="1"/>
      <c r="E1" s="2"/>
      <c r="F1" s="2"/>
      <c r="G1" s="143" t="s">
        <v>334</v>
      </c>
      <c r="H1" s="144"/>
      <c r="I1" s="145" t="s">
        <v>336</v>
      </c>
      <c r="J1" s="144"/>
      <c r="K1" s="3"/>
      <c r="L1" s="4"/>
      <c r="M1" s="4"/>
      <c r="N1" s="3"/>
      <c r="O1" s="4"/>
      <c r="P1" s="146" t="str">
        <f>+F2</f>
        <v>LOI-642  03.08.23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242</v>
      </c>
      <c r="B2" s="8"/>
      <c r="C2" s="9"/>
      <c r="D2" s="9"/>
      <c r="E2" s="10"/>
      <c r="F2" s="146" t="s">
        <v>337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LOI-642  03.08.23</v>
      </c>
      <c r="V2" s="146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6.2</v>
      </c>
      <c r="E6" s="28">
        <v>68</v>
      </c>
      <c r="F6" s="16">
        <f>(C6*D6*E6/1000)</f>
        <v>3.9040159999999999</v>
      </c>
      <c r="G6" s="17" t="s">
        <v>295</v>
      </c>
      <c r="H6" s="18">
        <v>68</v>
      </c>
      <c r="I6" s="19">
        <f>(C6*D6*H6/1000)</f>
        <v>3.9040159999999999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68</v>
      </c>
      <c r="T6" s="19">
        <f>+I6+L6+R6+O6</f>
        <v>3.9040159999999999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68</v>
      </c>
      <c r="F7" s="38">
        <f t="shared" si="0"/>
        <v>3.9040159999999999</v>
      </c>
      <c r="G7" s="17" t="s">
        <v>401</v>
      </c>
      <c r="H7" s="31">
        <f t="shared" ref="H7" si="1">SUM(H6)</f>
        <v>68</v>
      </c>
      <c r="I7" s="38">
        <f t="shared" ref="I7" si="2">SUM(I6)</f>
        <v>3.9040159999999999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68</v>
      </c>
      <c r="T7" s="38">
        <f t="shared" ref="T7" si="10">SUM(T6)</f>
        <v>3.9040159999999999</v>
      </c>
      <c r="U7" s="31">
        <f t="shared" ref="U7" si="11">SUM(U6)</f>
        <v>0</v>
      </c>
      <c r="V7" s="38">
        <f t="shared" ref="V7" si="12">SUM(V6)</f>
        <v>0</v>
      </c>
      <c r="X7" s="29"/>
    </row>
    <row r="8" spans="1:24">
      <c r="A8" s="26" t="s">
        <v>13</v>
      </c>
      <c r="B8" s="26" t="s">
        <v>174</v>
      </c>
      <c r="C8" s="30">
        <v>5.37</v>
      </c>
      <c r="D8" s="27">
        <v>10</v>
      </c>
      <c r="E8" s="28">
        <v>52</v>
      </c>
      <c r="F8" s="16">
        <f t="shared" ref="F8:F12" si="13">(C8*D8*E8/1000)</f>
        <v>2.7924000000000002</v>
      </c>
      <c r="G8" s="16" t="s">
        <v>89</v>
      </c>
      <c r="H8" s="18">
        <v>43</v>
      </c>
      <c r="I8" s="19">
        <f t="shared" ref="I8:I12" si="14">(C8*D8*H8/1000)</f>
        <v>2.3090999999999999</v>
      </c>
      <c r="J8" s="17" t="s">
        <v>93</v>
      </c>
      <c r="K8" s="18">
        <v>11</v>
      </c>
      <c r="L8" s="19">
        <f t="shared" ref="L8:L12" si="15">(C8*D8*K8/1000)</f>
        <v>0.5907</v>
      </c>
      <c r="M8" s="16"/>
      <c r="N8" s="18"/>
      <c r="O8" s="19">
        <f t="shared" ref="O8:O12" si="16">(C8*D8*N8/1000)</f>
        <v>0</v>
      </c>
      <c r="P8" s="16"/>
      <c r="Q8" s="18"/>
      <c r="R8" s="19">
        <f t="shared" ref="R8:R12" si="17">(C8*D8*Q8/1000)</f>
        <v>0</v>
      </c>
      <c r="S8" s="20">
        <f t="shared" ref="S8:S12" si="18">+H8+K8+Q8+N8</f>
        <v>54</v>
      </c>
      <c r="T8" s="19">
        <f t="shared" ref="T8:T12" si="19">+I8+L8+R8+O8</f>
        <v>2.8997999999999999</v>
      </c>
      <c r="U8" s="21">
        <f t="shared" ref="U8:U12" si="20">E8-S8</f>
        <v>-2</v>
      </c>
      <c r="V8" s="19">
        <f t="shared" ref="V8:V12" si="21">F8-T8</f>
        <v>-0.10739999999999972</v>
      </c>
      <c r="X8" s="29"/>
    </row>
    <row r="9" spans="1:24">
      <c r="A9" s="26" t="s">
        <v>13</v>
      </c>
      <c r="B9" s="26" t="s">
        <v>174</v>
      </c>
      <c r="C9" s="30">
        <v>5.37</v>
      </c>
      <c r="D9" s="27">
        <v>10.5</v>
      </c>
      <c r="E9" s="28">
        <v>8</v>
      </c>
      <c r="F9" s="16">
        <f t="shared" si="13"/>
        <v>0.45107999999999998</v>
      </c>
      <c r="G9" s="16" t="s">
        <v>418</v>
      </c>
      <c r="H9" s="18">
        <v>3</v>
      </c>
      <c r="I9" s="19">
        <f t="shared" si="14"/>
        <v>0.169155</v>
      </c>
      <c r="J9" t="s">
        <v>419</v>
      </c>
      <c r="K9" s="18">
        <v>4</v>
      </c>
      <c r="L9" s="19">
        <f t="shared" si="15"/>
        <v>0.22553999999999999</v>
      </c>
      <c r="M9" s="16"/>
      <c r="N9" s="18"/>
      <c r="O9" s="19">
        <f t="shared" si="16"/>
        <v>0</v>
      </c>
      <c r="P9" s="16"/>
      <c r="Q9" s="18"/>
      <c r="R9" s="19">
        <f t="shared" si="17"/>
        <v>0</v>
      </c>
      <c r="S9" s="20">
        <f t="shared" si="18"/>
        <v>7</v>
      </c>
      <c r="T9" s="19">
        <f t="shared" si="19"/>
        <v>0.39469500000000002</v>
      </c>
      <c r="U9" s="21">
        <f t="shared" si="20"/>
        <v>1</v>
      </c>
      <c r="V9" s="19">
        <f t="shared" si="21"/>
        <v>5.6384999999999963E-2</v>
      </c>
    </row>
    <row r="10" spans="1:24">
      <c r="A10" s="26" t="s">
        <v>13</v>
      </c>
      <c r="B10" s="26" t="s">
        <v>174</v>
      </c>
      <c r="C10" s="30">
        <v>5.37</v>
      </c>
      <c r="D10" s="27">
        <v>11</v>
      </c>
      <c r="E10" s="28">
        <v>105</v>
      </c>
      <c r="F10" s="16">
        <f t="shared" si="13"/>
        <v>6.20235</v>
      </c>
      <c r="G10" s="17"/>
      <c r="H10" s="18">
        <v>87</v>
      </c>
      <c r="I10" s="19">
        <f t="shared" si="14"/>
        <v>5.1390900000000004</v>
      </c>
      <c r="J10" s="16"/>
      <c r="K10" s="18">
        <v>18</v>
      </c>
      <c r="L10" s="19">
        <f t="shared" si="15"/>
        <v>1.0632600000000001</v>
      </c>
      <c r="M10" s="16"/>
      <c r="N10" s="18"/>
      <c r="O10" s="19">
        <f t="shared" si="16"/>
        <v>0</v>
      </c>
      <c r="P10" s="16"/>
      <c r="Q10" s="18"/>
      <c r="R10" s="19">
        <f t="shared" si="17"/>
        <v>0</v>
      </c>
      <c r="S10" s="20">
        <f t="shared" si="18"/>
        <v>105</v>
      </c>
      <c r="T10" s="19">
        <f t="shared" si="19"/>
        <v>6.2023500000000009</v>
      </c>
      <c r="U10" s="21">
        <f t="shared" si="20"/>
        <v>0</v>
      </c>
      <c r="V10" s="19">
        <f t="shared" si="21"/>
        <v>0</v>
      </c>
    </row>
    <row r="11" spans="1:24">
      <c r="A11" s="26" t="s">
        <v>13</v>
      </c>
      <c r="B11" s="26" t="s">
        <v>174</v>
      </c>
      <c r="C11" s="30">
        <v>5.37</v>
      </c>
      <c r="D11" s="27">
        <v>11.5</v>
      </c>
      <c r="E11" s="28">
        <v>54</v>
      </c>
      <c r="F11" s="16">
        <f t="shared" si="13"/>
        <v>3.3347699999999998</v>
      </c>
      <c r="G11" s="17"/>
      <c r="H11" s="18">
        <v>51</v>
      </c>
      <c r="I11" s="19">
        <f t="shared" si="14"/>
        <v>3.149505</v>
      </c>
      <c r="J11" s="16"/>
      <c r="K11" s="18">
        <v>3</v>
      </c>
      <c r="L11" s="19">
        <f t="shared" si="15"/>
        <v>0.18526500000000001</v>
      </c>
      <c r="M11" s="16"/>
      <c r="N11" s="18"/>
      <c r="O11" s="19">
        <f t="shared" si="16"/>
        <v>0</v>
      </c>
      <c r="P11" s="16"/>
      <c r="Q11" s="18"/>
      <c r="R11" s="19">
        <f t="shared" si="17"/>
        <v>0</v>
      </c>
      <c r="S11" s="20">
        <f t="shared" si="18"/>
        <v>54</v>
      </c>
      <c r="T11" s="19">
        <f t="shared" si="19"/>
        <v>3.3347699999999998</v>
      </c>
      <c r="U11" s="21">
        <f t="shared" si="20"/>
        <v>0</v>
      </c>
      <c r="V11" s="19">
        <f t="shared" si="21"/>
        <v>0</v>
      </c>
    </row>
    <row r="12" spans="1:24">
      <c r="A12" s="26" t="s">
        <v>13</v>
      </c>
      <c r="B12" s="26" t="s">
        <v>174</v>
      </c>
      <c r="C12" s="30">
        <v>5.37</v>
      </c>
      <c r="D12" s="27">
        <v>12</v>
      </c>
      <c r="E12" s="28">
        <v>124</v>
      </c>
      <c r="F12" s="16">
        <f t="shared" si="13"/>
        <v>7.9905599999999994</v>
      </c>
      <c r="G12" s="17"/>
      <c r="H12" s="18">
        <v>57</v>
      </c>
      <c r="I12" s="19">
        <f t="shared" si="14"/>
        <v>3.6730800000000001</v>
      </c>
      <c r="J12" s="16"/>
      <c r="K12" s="18">
        <v>67</v>
      </c>
      <c r="L12" s="19">
        <f t="shared" si="15"/>
        <v>4.3174799999999998</v>
      </c>
      <c r="M12" s="16"/>
      <c r="N12" s="18"/>
      <c r="O12" s="19">
        <f t="shared" si="16"/>
        <v>0</v>
      </c>
      <c r="P12" s="16"/>
      <c r="Q12" s="18"/>
      <c r="R12" s="19">
        <f t="shared" si="17"/>
        <v>0</v>
      </c>
      <c r="S12" s="20">
        <f t="shared" si="18"/>
        <v>124</v>
      </c>
      <c r="T12" s="19">
        <f t="shared" si="19"/>
        <v>7.9905600000000003</v>
      </c>
      <c r="U12" s="21">
        <f t="shared" si="20"/>
        <v>0</v>
      </c>
      <c r="V12" s="19">
        <f t="shared" si="21"/>
        <v>0</v>
      </c>
    </row>
    <row r="13" spans="1:24">
      <c r="A13" s="36"/>
      <c r="B13" s="36"/>
      <c r="C13" s="37"/>
      <c r="D13" s="38"/>
      <c r="E13" s="31">
        <f t="shared" ref="E13:F13" si="22">SUM(E8:E12)</f>
        <v>343</v>
      </c>
      <c r="F13" s="38">
        <f t="shared" si="22"/>
        <v>20.771159999999998</v>
      </c>
      <c r="G13" s="17"/>
      <c r="H13" s="31">
        <f t="shared" ref="H13" si="23">SUM(H8:H12)</f>
        <v>241</v>
      </c>
      <c r="I13" s="38">
        <f t="shared" ref="I13" si="24">SUM(I8:I12)</f>
        <v>14.43993</v>
      </c>
      <c r="J13" s="16"/>
      <c r="K13" s="31">
        <f t="shared" ref="K13" si="25">SUM(K8:K12)</f>
        <v>103</v>
      </c>
      <c r="L13" s="38">
        <f t="shared" ref="L13" si="26">SUM(L8:L12)</f>
        <v>6.3822450000000002</v>
      </c>
      <c r="M13" s="16"/>
      <c r="N13" s="31">
        <f t="shared" ref="N13" si="27">SUM(N8:N12)</f>
        <v>0</v>
      </c>
      <c r="O13" s="38">
        <f t="shared" ref="O13" si="28">SUM(O8:O12)</f>
        <v>0</v>
      </c>
      <c r="P13" s="16"/>
      <c r="Q13" s="31">
        <f t="shared" ref="Q13" si="29">SUM(Q8:Q12)</f>
        <v>0</v>
      </c>
      <c r="R13" s="38">
        <f t="shared" ref="R13" si="30">SUM(R8:R12)</f>
        <v>0</v>
      </c>
      <c r="S13" s="31">
        <f t="shared" ref="S13" si="31">SUM(S8:S12)</f>
        <v>344</v>
      </c>
      <c r="T13" s="38">
        <f t="shared" ref="T13" si="32">SUM(T8:T12)</f>
        <v>20.822175000000001</v>
      </c>
      <c r="U13" s="31">
        <f t="shared" ref="U13" si="33">SUM(U8:U12)</f>
        <v>-1</v>
      </c>
      <c r="V13" s="38">
        <f t="shared" ref="V13" si="34">SUM(V8:V12)</f>
        <v>-5.1014999999999755E-2</v>
      </c>
    </row>
    <row r="14" spans="1:24">
      <c r="A14" s="26" t="s">
        <v>13</v>
      </c>
      <c r="B14" s="26" t="s">
        <v>181</v>
      </c>
      <c r="C14" s="30">
        <v>6.38</v>
      </c>
      <c r="D14" s="27">
        <v>10</v>
      </c>
      <c r="E14" s="28">
        <v>164</v>
      </c>
      <c r="F14" s="16">
        <f t="shared" ref="F14:F27" si="35">(C14*D14*E14/1000)</f>
        <v>10.463199999999999</v>
      </c>
      <c r="G14" s="16" t="s">
        <v>295</v>
      </c>
      <c r="H14" s="18">
        <v>49</v>
      </c>
      <c r="I14" s="19">
        <f t="shared" ref="I14:I27" si="36">(C14*D14*H14/1000)</f>
        <v>3.1261999999999999</v>
      </c>
      <c r="J14" s="17" t="s">
        <v>111</v>
      </c>
      <c r="K14" s="18">
        <v>33</v>
      </c>
      <c r="L14" s="19">
        <f t="shared" ref="L14:L27" si="37">(C14*D14*K14/1000)</f>
        <v>2.1053999999999999</v>
      </c>
      <c r="M14" s="16" t="s">
        <v>89</v>
      </c>
      <c r="N14" s="18">
        <f>93+40</f>
        <v>133</v>
      </c>
      <c r="O14" s="19">
        <f t="shared" ref="O14:O27" si="38">(C14*D14*N14/1000)</f>
        <v>8.4854000000000003</v>
      </c>
      <c r="P14" s="16" t="s">
        <v>111</v>
      </c>
      <c r="Q14" s="18">
        <v>1</v>
      </c>
      <c r="R14" s="19">
        <f t="shared" ref="R14:R27" si="39">(C14*D14*Q14/1000)</f>
        <v>6.3799999999999996E-2</v>
      </c>
      <c r="S14" s="20">
        <f t="shared" ref="S14:S27" si="40">+H14+K14+Q14+N14</f>
        <v>216</v>
      </c>
      <c r="T14" s="19">
        <f t="shared" ref="T14:T27" si="41">+I14+L14+R14+O14</f>
        <v>13.780799999999999</v>
      </c>
      <c r="U14" s="21">
        <f t="shared" ref="U14:U27" si="42">E14-S14</f>
        <v>-52</v>
      </c>
      <c r="V14" s="19">
        <f t="shared" ref="V14:V27" si="43">F14-T14</f>
        <v>-3.3176000000000005</v>
      </c>
    </row>
    <row r="15" spans="1:24">
      <c r="A15" s="26" t="s">
        <v>13</v>
      </c>
      <c r="B15" s="26" t="s">
        <v>181</v>
      </c>
      <c r="C15" s="30">
        <v>6.38</v>
      </c>
      <c r="D15" s="27">
        <v>10.5</v>
      </c>
      <c r="E15" s="28">
        <v>283</v>
      </c>
      <c r="F15" s="16">
        <f t="shared" si="35"/>
        <v>18.958169999999999</v>
      </c>
      <c r="G15" s="16" t="s">
        <v>421</v>
      </c>
      <c r="H15" s="18"/>
      <c r="I15" s="19">
        <f t="shared" si="36"/>
        <v>0</v>
      </c>
      <c r="J15" s="17" t="s">
        <v>422</v>
      </c>
      <c r="K15" s="18"/>
      <c r="L15" s="19">
        <f t="shared" si="37"/>
        <v>0</v>
      </c>
      <c r="M15" s="16" t="s">
        <v>423</v>
      </c>
      <c r="N15" s="18">
        <f>40+121</f>
        <v>161</v>
      </c>
      <c r="O15" s="19">
        <f t="shared" si="38"/>
        <v>10.78539</v>
      </c>
      <c r="P15" s="16" t="s">
        <v>424</v>
      </c>
      <c r="Q15" s="18">
        <v>12</v>
      </c>
      <c r="R15" s="19">
        <f t="shared" si="39"/>
        <v>0.80387999999999993</v>
      </c>
      <c r="S15" s="20">
        <f t="shared" si="40"/>
        <v>173</v>
      </c>
      <c r="T15" s="19">
        <f t="shared" si="41"/>
        <v>11.589269999999999</v>
      </c>
      <c r="U15" s="21">
        <f t="shared" si="42"/>
        <v>110</v>
      </c>
      <c r="V15" s="19">
        <f t="shared" si="43"/>
        <v>7.3689</v>
      </c>
    </row>
    <row r="16" spans="1:24">
      <c r="A16" s="26" t="s">
        <v>13</v>
      </c>
      <c r="B16" s="26" t="s">
        <v>181</v>
      </c>
      <c r="C16" s="30">
        <v>6.38</v>
      </c>
      <c r="D16" s="27">
        <v>11</v>
      </c>
      <c r="E16" s="28">
        <v>317</v>
      </c>
      <c r="F16" s="16">
        <f t="shared" si="35"/>
        <v>22.247059999999998</v>
      </c>
      <c r="G16" s="17"/>
      <c r="H16" s="18">
        <v>44</v>
      </c>
      <c r="I16" s="19">
        <f t="shared" si="36"/>
        <v>3.0879199999999996</v>
      </c>
      <c r="J16" s="16"/>
      <c r="K16" s="18">
        <f>25+79</f>
        <v>104</v>
      </c>
      <c r="L16" s="19">
        <f t="shared" si="37"/>
        <v>7.2987199999999994</v>
      </c>
      <c r="M16" s="16" t="s">
        <v>295</v>
      </c>
      <c r="N16" s="18">
        <f>82+80</f>
        <v>162</v>
      </c>
      <c r="O16" s="19">
        <f t="shared" si="38"/>
        <v>11.369159999999997</v>
      </c>
      <c r="P16" s="16"/>
      <c r="Q16" s="18">
        <v>8</v>
      </c>
      <c r="R16" s="19">
        <f t="shared" si="39"/>
        <v>0.56143999999999994</v>
      </c>
      <c r="S16" s="20">
        <f t="shared" si="40"/>
        <v>318</v>
      </c>
      <c r="T16" s="19">
        <f t="shared" si="41"/>
        <v>22.317239999999998</v>
      </c>
      <c r="U16" s="21">
        <f t="shared" si="42"/>
        <v>-1</v>
      </c>
      <c r="V16" s="19">
        <f t="shared" si="43"/>
        <v>-7.0180000000000575E-2</v>
      </c>
    </row>
    <row r="17" spans="1:22">
      <c r="A17" s="26" t="s">
        <v>13</v>
      </c>
      <c r="B17" s="26" t="s">
        <v>181</v>
      </c>
      <c r="C17" s="30">
        <v>6.38</v>
      </c>
      <c r="D17" s="27">
        <v>11.5</v>
      </c>
      <c r="E17" s="28">
        <v>65</v>
      </c>
      <c r="F17" s="16">
        <f t="shared" si="35"/>
        <v>4.76905</v>
      </c>
      <c r="G17" s="17"/>
      <c r="H17" s="18"/>
      <c r="I17" s="19">
        <f t="shared" si="36"/>
        <v>0</v>
      </c>
      <c r="J17" s="16"/>
      <c r="K17" s="18">
        <v>32</v>
      </c>
      <c r="L17" s="19">
        <f t="shared" si="37"/>
        <v>2.3478400000000001</v>
      </c>
      <c r="M17" s="16" t="s">
        <v>420</v>
      </c>
      <c r="N17" s="18">
        <v>24</v>
      </c>
      <c r="O17" s="19">
        <f t="shared" si="38"/>
        <v>1.76088</v>
      </c>
      <c r="P17" s="16" t="s">
        <v>64</v>
      </c>
      <c r="Q17" s="18">
        <v>7</v>
      </c>
      <c r="R17" s="19">
        <f t="shared" si="39"/>
        <v>0.51358999999999999</v>
      </c>
      <c r="S17" s="20">
        <f t="shared" si="40"/>
        <v>63</v>
      </c>
      <c r="T17" s="19">
        <f t="shared" si="41"/>
        <v>4.6223100000000006</v>
      </c>
      <c r="U17" s="21">
        <f t="shared" si="42"/>
        <v>2</v>
      </c>
      <c r="V17" s="19">
        <f t="shared" si="43"/>
        <v>0.14673999999999943</v>
      </c>
    </row>
    <row r="18" spans="1:22">
      <c r="A18" s="26" t="s">
        <v>13</v>
      </c>
      <c r="B18" s="26" t="s">
        <v>181</v>
      </c>
      <c r="C18" s="30">
        <v>6.38</v>
      </c>
      <c r="D18" s="27">
        <v>12</v>
      </c>
      <c r="E18" s="28">
        <v>319</v>
      </c>
      <c r="F18" s="16">
        <f t="shared" ref="F18:F26" si="44">(C18*D18*E18/1000)</f>
        <v>24.422639999999998</v>
      </c>
      <c r="G18" s="17"/>
      <c r="H18" s="18"/>
      <c r="I18" s="19">
        <f t="shared" ref="I18:I26" si="45">(C18*D18*H18/1000)</f>
        <v>0</v>
      </c>
      <c r="J18" s="16"/>
      <c r="K18" s="18">
        <v>119</v>
      </c>
      <c r="L18" s="19">
        <f t="shared" ref="L18:L26" si="46">(C18*D18*K18/1000)</f>
        <v>9.1106400000000001</v>
      </c>
      <c r="M18" s="16"/>
      <c r="N18" s="18">
        <f t="shared" ref="N18" si="47">12+202</f>
        <v>214</v>
      </c>
      <c r="O18" s="19">
        <f t="shared" ref="O18:O26" si="48">(C18*D18*N18/1000)</f>
        <v>16.383839999999999</v>
      </c>
      <c r="P18" s="16" t="s">
        <v>425</v>
      </c>
      <c r="Q18" s="18">
        <v>12</v>
      </c>
      <c r="R18" s="19">
        <f t="shared" ref="R18:R26" si="49">(C18*D18*Q18/1000)</f>
        <v>0.91871999999999998</v>
      </c>
      <c r="S18" s="20">
        <f t="shared" ref="S18:S26" si="50">+H18+K18+Q18+N18</f>
        <v>345</v>
      </c>
      <c r="T18" s="19">
        <f t="shared" ref="T18:T26" si="51">+I18+L18+R18+O18</f>
        <v>26.4132</v>
      </c>
      <c r="U18" s="21">
        <f t="shared" ref="U18:U26" si="52">E18-S18</f>
        <v>-26</v>
      </c>
      <c r="V18" s="19">
        <f t="shared" ref="V18:V26" si="53">F18-T18</f>
        <v>-1.9905600000000021</v>
      </c>
    </row>
    <row r="19" spans="1:22">
      <c r="A19" s="26" t="s">
        <v>13</v>
      </c>
      <c r="B19" s="26" t="s">
        <v>181</v>
      </c>
      <c r="C19" s="30">
        <v>6.38</v>
      </c>
      <c r="D19" s="27">
        <v>7.8</v>
      </c>
      <c r="E19" s="28"/>
      <c r="F19" s="16">
        <f t="shared" si="44"/>
        <v>0</v>
      </c>
      <c r="G19" s="17"/>
      <c r="H19" s="18"/>
      <c r="I19" s="19">
        <f t="shared" si="45"/>
        <v>0</v>
      </c>
      <c r="J19" s="16"/>
      <c r="K19" s="18"/>
      <c r="L19" s="19">
        <f t="shared" si="46"/>
        <v>0</v>
      </c>
      <c r="M19" s="16"/>
      <c r="N19" s="18"/>
      <c r="O19" s="19">
        <f t="shared" si="48"/>
        <v>0</v>
      </c>
      <c r="P19" s="16"/>
      <c r="Q19" s="18">
        <v>1</v>
      </c>
      <c r="R19" s="19">
        <f t="shared" si="49"/>
        <v>4.9763999999999996E-2</v>
      </c>
      <c r="S19" s="20">
        <f t="shared" si="50"/>
        <v>1</v>
      </c>
      <c r="T19" s="19">
        <f t="shared" si="51"/>
        <v>4.9763999999999996E-2</v>
      </c>
      <c r="U19" s="21">
        <f t="shared" si="52"/>
        <v>-1</v>
      </c>
      <c r="V19" s="19">
        <f t="shared" si="53"/>
        <v>-4.9763999999999996E-2</v>
      </c>
    </row>
    <row r="20" spans="1:22">
      <c r="A20" s="26" t="s">
        <v>13</v>
      </c>
      <c r="B20" s="26" t="s">
        <v>181</v>
      </c>
      <c r="C20" s="30">
        <v>6.38</v>
      </c>
      <c r="D20" s="27">
        <v>8.1999999999999993</v>
      </c>
      <c r="E20" s="28"/>
      <c r="F20" s="16">
        <f t="shared" si="44"/>
        <v>0</v>
      </c>
      <c r="G20" s="17"/>
      <c r="H20" s="18"/>
      <c r="I20" s="19">
        <f t="shared" si="45"/>
        <v>0</v>
      </c>
      <c r="J20" s="16"/>
      <c r="K20" s="18"/>
      <c r="L20" s="19">
        <f t="shared" si="46"/>
        <v>0</v>
      </c>
      <c r="M20" s="16"/>
      <c r="N20" s="18"/>
      <c r="O20" s="19">
        <f t="shared" si="48"/>
        <v>0</v>
      </c>
      <c r="P20" s="16"/>
      <c r="Q20" s="18">
        <v>1</v>
      </c>
      <c r="R20" s="19">
        <f t="shared" si="49"/>
        <v>5.2315999999999994E-2</v>
      </c>
      <c r="S20" s="20">
        <f t="shared" si="50"/>
        <v>1</v>
      </c>
      <c r="T20" s="19">
        <f t="shared" si="51"/>
        <v>5.2315999999999994E-2</v>
      </c>
      <c r="U20" s="21">
        <f t="shared" si="52"/>
        <v>-1</v>
      </c>
      <c r="V20" s="19">
        <f t="shared" si="53"/>
        <v>-5.2315999999999994E-2</v>
      </c>
    </row>
    <row r="21" spans="1:22">
      <c r="A21" s="26" t="s">
        <v>13</v>
      </c>
      <c r="B21" s="26" t="s">
        <v>181</v>
      </c>
      <c r="C21" s="30">
        <v>6.38</v>
      </c>
      <c r="D21" s="27">
        <v>9</v>
      </c>
      <c r="E21" s="28"/>
      <c r="F21" s="16">
        <f t="shared" ref="F21:F23" si="54">(C21*D21*E21/1000)</f>
        <v>0</v>
      </c>
      <c r="G21" s="17"/>
      <c r="H21" s="18"/>
      <c r="I21" s="19">
        <f t="shared" ref="I21:I23" si="55">(C21*D21*H21/1000)</f>
        <v>0</v>
      </c>
      <c r="J21" s="16"/>
      <c r="K21" s="18"/>
      <c r="L21" s="19">
        <f t="shared" ref="L21:L23" si="56">(C21*D21*K21/1000)</f>
        <v>0</v>
      </c>
      <c r="M21" s="16"/>
      <c r="N21" s="18"/>
      <c r="O21" s="19">
        <f t="shared" ref="O21:O23" si="57">(C21*D21*N21/1000)</f>
        <v>0</v>
      </c>
      <c r="P21" s="16"/>
      <c r="Q21" s="18">
        <v>4</v>
      </c>
      <c r="R21" s="19">
        <f t="shared" ref="R21:R23" si="58">(C21*D21*Q21/1000)</f>
        <v>0.22968</v>
      </c>
      <c r="S21" s="20">
        <f t="shared" ref="S21:S23" si="59">+H21+K21+Q21+N21</f>
        <v>4</v>
      </c>
      <c r="T21" s="19">
        <f t="shared" ref="T21:T23" si="60">+I21+L21+R21+O21</f>
        <v>0.22968</v>
      </c>
      <c r="U21" s="21">
        <f t="shared" ref="U21:U23" si="61">E21-S21</f>
        <v>-4</v>
      </c>
      <c r="V21" s="19">
        <f t="shared" ref="V21:V23" si="62">F21-T21</f>
        <v>-0.22968</v>
      </c>
    </row>
    <row r="22" spans="1:22">
      <c r="A22" s="26" t="s">
        <v>13</v>
      </c>
      <c r="B22" s="26" t="s">
        <v>181</v>
      </c>
      <c r="C22" s="30">
        <v>6.38</v>
      </c>
      <c r="D22" s="27">
        <v>9.3000000000000007</v>
      </c>
      <c r="E22" s="28"/>
      <c r="F22" s="16">
        <f t="shared" si="54"/>
        <v>0</v>
      </c>
      <c r="G22" s="17"/>
      <c r="H22" s="18"/>
      <c r="I22" s="19">
        <f t="shared" si="55"/>
        <v>0</v>
      </c>
      <c r="J22" s="16"/>
      <c r="K22" s="18"/>
      <c r="L22" s="19">
        <f t="shared" si="56"/>
        <v>0</v>
      </c>
      <c r="M22" s="16"/>
      <c r="N22" s="18"/>
      <c r="O22" s="19">
        <f t="shared" si="57"/>
        <v>0</v>
      </c>
      <c r="P22" s="16"/>
      <c r="Q22" s="18">
        <v>3</v>
      </c>
      <c r="R22" s="19">
        <f t="shared" si="58"/>
        <v>0.17800200000000002</v>
      </c>
      <c r="S22" s="20">
        <f t="shared" si="59"/>
        <v>3</v>
      </c>
      <c r="T22" s="19">
        <f t="shared" si="60"/>
        <v>0.17800200000000002</v>
      </c>
      <c r="U22" s="21">
        <f t="shared" si="61"/>
        <v>-3</v>
      </c>
      <c r="V22" s="19">
        <f t="shared" si="62"/>
        <v>-0.17800200000000002</v>
      </c>
    </row>
    <row r="23" spans="1:22">
      <c r="A23" s="26" t="s">
        <v>13</v>
      </c>
      <c r="B23" s="26" t="s">
        <v>181</v>
      </c>
      <c r="C23" s="30">
        <v>6.38</v>
      </c>
      <c r="D23" s="27">
        <v>9.5</v>
      </c>
      <c r="E23" s="28"/>
      <c r="F23" s="16">
        <f t="shared" si="54"/>
        <v>0</v>
      </c>
      <c r="G23" s="17"/>
      <c r="H23" s="18"/>
      <c r="I23" s="19">
        <f t="shared" si="55"/>
        <v>0</v>
      </c>
      <c r="J23" s="16"/>
      <c r="K23" s="18"/>
      <c r="L23" s="19">
        <f t="shared" si="56"/>
        <v>0</v>
      </c>
      <c r="M23" s="16"/>
      <c r="N23" s="18"/>
      <c r="O23" s="19">
        <f t="shared" si="57"/>
        <v>0</v>
      </c>
      <c r="P23" s="16"/>
      <c r="Q23" s="18">
        <v>11</v>
      </c>
      <c r="R23" s="19">
        <f t="shared" si="58"/>
        <v>0.66671000000000002</v>
      </c>
      <c r="S23" s="20">
        <f t="shared" si="59"/>
        <v>11</v>
      </c>
      <c r="T23" s="19">
        <f t="shared" si="60"/>
        <v>0.66671000000000002</v>
      </c>
      <c r="U23" s="21">
        <f t="shared" si="61"/>
        <v>-11</v>
      </c>
      <c r="V23" s="19">
        <f t="shared" si="62"/>
        <v>-0.66671000000000002</v>
      </c>
    </row>
    <row r="24" spans="1:22">
      <c r="A24" s="26" t="s">
        <v>13</v>
      </c>
      <c r="B24" s="26" t="s">
        <v>181</v>
      </c>
      <c r="C24" s="30">
        <v>6.38</v>
      </c>
      <c r="D24" s="27">
        <v>9.8000000000000007</v>
      </c>
      <c r="E24" s="28"/>
      <c r="F24" s="16">
        <f t="shared" si="44"/>
        <v>0</v>
      </c>
      <c r="G24" s="17"/>
      <c r="H24" s="18"/>
      <c r="I24" s="19">
        <f t="shared" si="45"/>
        <v>0</v>
      </c>
      <c r="J24" s="16"/>
      <c r="K24" s="18"/>
      <c r="L24" s="19">
        <f t="shared" si="46"/>
        <v>0</v>
      </c>
      <c r="M24" s="16"/>
      <c r="N24" s="18"/>
      <c r="O24" s="19">
        <f t="shared" si="48"/>
        <v>0</v>
      </c>
      <c r="P24" s="16"/>
      <c r="Q24" s="18">
        <f>6+11</f>
        <v>17</v>
      </c>
      <c r="R24" s="19">
        <f t="shared" si="49"/>
        <v>1.062908</v>
      </c>
      <c r="S24" s="20">
        <f t="shared" si="50"/>
        <v>17</v>
      </c>
      <c r="T24" s="19">
        <f t="shared" si="51"/>
        <v>1.062908</v>
      </c>
      <c r="U24" s="21">
        <f t="shared" si="52"/>
        <v>-17</v>
      </c>
      <c r="V24" s="19">
        <f t="shared" si="53"/>
        <v>-1.062908</v>
      </c>
    </row>
    <row r="25" spans="1:22">
      <c r="A25" s="26" t="s">
        <v>13</v>
      </c>
      <c r="B25" s="26" t="s">
        <v>181</v>
      </c>
      <c r="C25" s="30">
        <v>6.38</v>
      </c>
      <c r="D25" s="27"/>
      <c r="E25" s="28"/>
      <c r="F25" s="16">
        <f t="shared" si="44"/>
        <v>0</v>
      </c>
      <c r="G25" s="17"/>
      <c r="H25" s="18"/>
      <c r="I25" s="19">
        <f t="shared" si="45"/>
        <v>0</v>
      </c>
      <c r="J25" s="16"/>
      <c r="K25" s="18"/>
      <c r="L25" s="19">
        <f t="shared" si="46"/>
        <v>0</v>
      </c>
      <c r="M25" s="16"/>
      <c r="N25" s="18"/>
      <c r="O25" s="19">
        <f t="shared" si="48"/>
        <v>0</v>
      </c>
      <c r="P25" s="16"/>
      <c r="Q25" s="18"/>
      <c r="R25" s="19">
        <f t="shared" si="49"/>
        <v>0</v>
      </c>
      <c r="S25" s="20">
        <f t="shared" si="50"/>
        <v>0</v>
      </c>
      <c r="T25" s="19">
        <f t="shared" si="51"/>
        <v>0</v>
      </c>
      <c r="U25" s="21">
        <f t="shared" si="52"/>
        <v>0</v>
      </c>
      <c r="V25" s="19">
        <f t="shared" si="53"/>
        <v>0</v>
      </c>
    </row>
    <row r="26" spans="1:22">
      <c r="A26" s="26" t="s">
        <v>13</v>
      </c>
      <c r="B26" s="26" t="s">
        <v>181</v>
      </c>
      <c r="C26" s="30">
        <v>6.38</v>
      </c>
      <c r="D26" s="27"/>
      <c r="E26" s="28"/>
      <c r="F26" s="16">
        <f t="shared" si="44"/>
        <v>0</v>
      </c>
      <c r="G26" s="17"/>
      <c r="H26" s="18"/>
      <c r="I26" s="19">
        <f t="shared" si="45"/>
        <v>0</v>
      </c>
      <c r="J26" s="16"/>
      <c r="K26" s="18"/>
      <c r="L26" s="19">
        <f t="shared" si="46"/>
        <v>0</v>
      </c>
      <c r="M26" s="16"/>
      <c r="N26" s="18"/>
      <c r="O26" s="19">
        <f t="shared" si="48"/>
        <v>0</v>
      </c>
      <c r="P26" s="16"/>
      <c r="Q26" s="18"/>
      <c r="R26" s="19">
        <f t="shared" si="49"/>
        <v>0</v>
      </c>
      <c r="S26" s="20">
        <f t="shared" si="50"/>
        <v>0</v>
      </c>
      <c r="T26" s="19">
        <f t="shared" si="51"/>
        <v>0</v>
      </c>
      <c r="U26" s="21">
        <f t="shared" si="52"/>
        <v>0</v>
      </c>
      <c r="V26" s="19">
        <f t="shared" si="53"/>
        <v>0</v>
      </c>
    </row>
    <row r="27" spans="1:22">
      <c r="A27" s="26" t="s">
        <v>13</v>
      </c>
      <c r="B27" s="26" t="s">
        <v>181</v>
      </c>
      <c r="C27" s="30">
        <v>6.38</v>
      </c>
      <c r="D27" s="27"/>
      <c r="E27" s="28"/>
      <c r="F27" s="16">
        <f t="shared" si="35"/>
        <v>0</v>
      </c>
      <c r="G27" s="17"/>
      <c r="H27" s="18"/>
      <c r="I27" s="19">
        <f t="shared" si="36"/>
        <v>0</v>
      </c>
      <c r="J27" s="16"/>
      <c r="K27" s="18"/>
      <c r="L27" s="19">
        <f t="shared" si="37"/>
        <v>0</v>
      </c>
      <c r="M27" s="16"/>
      <c r="N27" s="18"/>
      <c r="O27" s="19">
        <f t="shared" si="38"/>
        <v>0</v>
      </c>
      <c r="P27" s="16"/>
      <c r="Q27" s="18"/>
      <c r="R27" s="19">
        <f t="shared" si="39"/>
        <v>0</v>
      </c>
      <c r="S27" s="20">
        <f t="shared" si="40"/>
        <v>0</v>
      </c>
      <c r="T27" s="19">
        <f t="shared" si="41"/>
        <v>0</v>
      </c>
      <c r="U27" s="21">
        <f t="shared" si="42"/>
        <v>0</v>
      </c>
      <c r="V27" s="19">
        <f t="shared" si="43"/>
        <v>0</v>
      </c>
    </row>
    <row r="28" spans="1:22">
      <c r="A28" s="36"/>
      <c r="B28" s="36"/>
      <c r="C28" s="37"/>
      <c r="D28" s="38"/>
      <c r="E28" s="31">
        <f t="shared" ref="E28:F28" si="63">SUM(E14:E27)</f>
        <v>1148</v>
      </c>
      <c r="F28" s="38">
        <f t="shared" si="63"/>
        <v>80.860119999999995</v>
      </c>
      <c r="G28" s="17"/>
      <c r="H28" s="31">
        <f t="shared" ref="H28" si="64">SUM(H14:H27)</f>
        <v>93</v>
      </c>
      <c r="I28" s="38">
        <f t="shared" ref="I28" si="65">SUM(I14:I27)</f>
        <v>6.2141199999999994</v>
      </c>
      <c r="J28" s="16"/>
      <c r="K28" s="31">
        <f>SUM(K14:K27)</f>
        <v>288</v>
      </c>
      <c r="L28" s="38">
        <f>SUM(L14:L27)</f>
        <v>20.8626</v>
      </c>
      <c r="M28" s="16"/>
      <c r="N28" s="31">
        <f t="shared" ref="N28" si="66">SUM(N14:N27)</f>
        <v>694</v>
      </c>
      <c r="O28" s="38">
        <f t="shared" ref="O28" si="67">SUM(O14:O27)</f>
        <v>48.784669999999991</v>
      </c>
      <c r="P28" s="16"/>
      <c r="Q28" s="31">
        <f t="shared" ref="Q28" si="68">SUM(Q14:Q27)</f>
        <v>77</v>
      </c>
      <c r="R28" s="38">
        <f t="shared" ref="R28" si="69">SUM(R14:R27)</f>
        <v>5.1008100000000001</v>
      </c>
      <c r="S28" s="31">
        <f t="shared" ref="S28" si="70">SUM(S14:S27)</f>
        <v>1152</v>
      </c>
      <c r="T28" s="38">
        <f t="shared" ref="T28" si="71">SUM(T14:T27)</f>
        <v>80.962199999999996</v>
      </c>
      <c r="U28" s="31">
        <f t="shared" ref="U28" si="72">SUM(U14:U27)</f>
        <v>-4</v>
      </c>
      <c r="V28" s="38">
        <f t="shared" ref="V28" si="73">SUM(V14:V27)</f>
        <v>-0.10208000000000383</v>
      </c>
    </row>
    <row r="29" spans="1:22">
      <c r="A29" s="26" t="s">
        <v>13</v>
      </c>
      <c r="B29" s="26" t="s">
        <v>315</v>
      </c>
      <c r="C29" s="30">
        <v>4.6500000000000004</v>
      </c>
      <c r="D29" s="27">
        <v>10</v>
      </c>
      <c r="E29" s="28">
        <v>18</v>
      </c>
      <c r="F29" s="16">
        <f t="shared" ref="F29:F35" si="74">(C29*D29*E29/1000)</f>
        <v>0.83699999999999997</v>
      </c>
      <c r="G29" s="17" t="s">
        <v>150</v>
      </c>
      <c r="H29" s="18">
        <v>12</v>
      </c>
      <c r="I29" s="19">
        <f t="shared" ref="I29:I35" si="75">(C29*D29*H29/1000)</f>
        <v>0.55800000000000005</v>
      </c>
      <c r="J29" s="16" t="s">
        <v>114</v>
      </c>
      <c r="K29" s="18">
        <v>6</v>
      </c>
      <c r="L29" s="19">
        <f t="shared" ref="L29:L35" si="76">(C29*D29*K29/1000)</f>
        <v>0.27900000000000003</v>
      </c>
      <c r="M29" s="16" t="s">
        <v>93</v>
      </c>
      <c r="N29" s="18">
        <v>12</v>
      </c>
      <c r="O29" s="19">
        <f t="shared" ref="O29:O35" si="77">(C29*D29*N29/1000)</f>
        <v>0.55800000000000005</v>
      </c>
      <c r="P29" s="16"/>
      <c r="Q29" s="18"/>
      <c r="R29" s="19">
        <f t="shared" ref="R29:R35" si="78">(C29*D29*Q29/1000)</f>
        <v>0</v>
      </c>
      <c r="S29" s="20">
        <f t="shared" ref="S29:S35" si="79">+H29+K29+Q29+N29</f>
        <v>30</v>
      </c>
      <c r="T29" s="19">
        <f t="shared" ref="T29:T35" si="80">+I29+L29+R29+O29</f>
        <v>1.395</v>
      </c>
      <c r="U29" s="21">
        <f t="shared" ref="U29:U35" si="81">E29-S29</f>
        <v>-12</v>
      </c>
      <c r="V29" s="19">
        <f t="shared" ref="V29:V35" si="82">F29-T29</f>
        <v>-0.55800000000000005</v>
      </c>
    </row>
    <row r="30" spans="1:22">
      <c r="A30" s="26" t="s">
        <v>13</v>
      </c>
      <c r="B30" s="26" t="s">
        <v>315</v>
      </c>
      <c r="C30" s="30">
        <v>4.6500000000000004</v>
      </c>
      <c r="D30" s="27">
        <v>10.3</v>
      </c>
      <c r="E30" s="28">
        <v>154</v>
      </c>
      <c r="F30" s="16">
        <f t="shared" si="74"/>
        <v>7.3758300000000014</v>
      </c>
      <c r="G30" s="17" t="s">
        <v>415</v>
      </c>
      <c r="H30" s="18">
        <v>58</v>
      </c>
      <c r="I30" s="19">
        <f t="shared" si="75"/>
        <v>2.7779100000000008</v>
      </c>
      <c r="J30" s="16" t="s">
        <v>420</v>
      </c>
      <c r="K30" s="18">
        <v>96</v>
      </c>
      <c r="L30" s="19">
        <f t="shared" si="76"/>
        <v>4.5979200000000011</v>
      </c>
      <c r="M30" s="16" t="s">
        <v>421</v>
      </c>
      <c r="N30" s="18">
        <v>17</v>
      </c>
      <c r="O30" s="19">
        <f t="shared" si="77"/>
        <v>0.81421500000000013</v>
      </c>
      <c r="P30" s="16"/>
      <c r="Q30" s="18"/>
      <c r="R30" s="19">
        <f t="shared" si="78"/>
        <v>0</v>
      </c>
      <c r="S30" s="20">
        <f t="shared" si="79"/>
        <v>171</v>
      </c>
      <c r="T30" s="19">
        <f t="shared" si="80"/>
        <v>8.1900450000000031</v>
      </c>
      <c r="U30" s="21">
        <f t="shared" si="81"/>
        <v>-17</v>
      </c>
      <c r="V30" s="19">
        <f t="shared" si="82"/>
        <v>-0.81421500000000169</v>
      </c>
    </row>
    <row r="31" spans="1:22">
      <c r="A31" s="26" t="s">
        <v>13</v>
      </c>
      <c r="B31" s="26" t="s">
        <v>315</v>
      </c>
      <c r="C31" s="30">
        <v>4.6500000000000004</v>
      </c>
      <c r="D31" s="27">
        <v>11</v>
      </c>
      <c r="E31" s="28">
        <v>144</v>
      </c>
      <c r="F31" s="16">
        <f t="shared" si="74"/>
        <v>7.3656000000000006</v>
      </c>
      <c r="G31" s="17"/>
      <c r="H31" s="18">
        <v>93</v>
      </c>
      <c r="I31" s="19">
        <f t="shared" si="75"/>
        <v>4.7569500000000007</v>
      </c>
      <c r="J31" s="16"/>
      <c r="K31" s="18">
        <v>33</v>
      </c>
      <c r="L31" s="19">
        <f t="shared" si="76"/>
        <v>1.6879500000000003</v>
      </c>
      <c r="M31" s="16"/>
      <c r="N31" s="18"/>
      <c r="O31" s="19">
        <f t="shared" si="77"/>
        <v>0</v>
      </c>
      <c r="P31" s="16"/>
      <c r="Q31" s="18"/>
      <c r="R31" s="19">
        <f t="shared" si="78"/>
        <v>0</v>
      </c>
      <c r="S31" s="20">
        <f t="shared" si="79"/>
        <v>126</v>
      </c>
      <c r="T31" s="19">
        <f t="shared" si="80"/>
        <v>6.4449000000000005</v>
      </c>
      <c r="U31" s="21">
        <f t="shared" si="81"/>
        <v>18</v>
      </c>
      <c r="V31" s="19">
        <f t="shared" si="82"/>
        <v>0.92070000000000007</v>
      </c>
    </row>
    <row r="32" spans="1:22">
      <c r="A32" s="26" t="s">
        <v>13</v>
      </c>
      <c r="B32" s="26" t="s">
        <v>315</v>
      </c>
      <c r="C32" s="30">
        <v>4.6500000000000004</v>
      </c>
      <c r="D32" s="27">
        <v>11.5</v>
      </c>
      <c r="E32" s="28">
        <v>126</v>
      </c>
      <c r="F32" s="16">
        <f t="shared" si="74"/>
        <v>6.7378500000000008</v>
      </c>
      <c r="G32" s="17"/>
      <c r="H32" s="18">
        <v>29</v>
      </c>
      <c r="I32" s="19">
        <f t="shared" si="75"/>
        <v>1.550775</v>
      </c>
      <c r="J32" s="16"/>
      <c r="K32" s="18">
        <v>71</v>
      </c>
      <c r="L32" s="19">
        <f t="shared" si="76"/>
        <v>3.7967249999999999</v>
      </c>
      <c r="M32" s="16"/>
      <c r="N32" s="18"/>
      <c r="O32" s="19">
        <f t="shared" si="77"/>
        <v>0</v>
      </c>
      <c r="P32" s="16"/>
      <c r="Q32" s="18"/>
      <c r="R32" s="19">
        <f t="shared" si="78"/>
        <v>0</v>
      </c>
      <c r="S32" s="20">
        <f t="shared" si="79"/>
        <v>100</v>
      </c>
      <c r="T32" s="19">
        <f t="shared" si="80"/>
        <v>5.3475000000000001</v>
      </c>
      <c r="U32" s="21">
        <f t="shared" si="81"/>
        <v>26</v>
      </c>
      <c r="V32" s="19">
        <f t="shared" si="82"/>
        <v>1.3903500000000006</v>
      </c>
    </row>
    <row r="33" spans="1:22">
      <c r="A33" s="26" t="s">
        <v>13</v>
      </c>
      <c r="B33" s="26" t="s">
        <v>315</v>
      </c>
      <c r="C33" s="30">
        <v>4.6500000000000004</v>
      </c>
      <c r="D33" s="27">
        <v>12</v>
      </c>
      <c r="E33" s="28">
        <v>18</v>
      </c>
      <c r="F33" s="16">
        <f t="shared" ref="F33:F34" si="83">(C33*D33*E33/1000)</f>
        <v>1.0044000000000002</v>
      </c>
      <c r="G33" s="17"/>
      <c r="H33" s="18">
        <f t="shared" ref="H33" si="84">6+11</f>
        <v>17</v>
      </c>
      <c r="I33" s="19">
        <f t="shared" ref="I33:I34" si="85">(C33*D33*H33/1000)</f>
        <v>0.9486</v>
      </c>
      <c r="J33" s="16"/>
      <c r="K33" s="18"/>
      <c r="L33" s="19">
        <f t="shared" ref="L33:L34" si="86">(C33*D33*K33/1000)</f>
        <v>0</v>
      </c>
      <c r="M33" s="16"/>
      <c r="N33" s="18">
        <v>13</v>
      </c>
      <c r="O33" s="19">
        <f t="shared" ref="O33:O34" si="87">(C33*D33*N33/1000)</f>
        <v>0.72540000000000004</v>
      </c>
      <c r="P33" s="16"/>
      <c r="Q33" s="18"/>
      <c r="R33" s="19">
        <f t="shared" ref="R33:R34" si="88">(C33*D33*Q33/1000)</f>
        <v>0</v>
      </c>
      <c r="S33" s="20">
        <f t="shared" ref="S33:S34" si="89">+H33+K33+Q33+N33</f>
        <v>30</v>
      </c>
      <c r="T33" s="19">
        <f t="shared" ref="T33:T34" si="90">+I33+L33+R33+O33</f>
        <v>1.6739999999999999</v>
      </c>
      <c r="U33" s="21">
        <f t="shared" ref="U33:U34" si="91">E33-S33</f>
        <v>-12</v>
      </c>
      <c r="V33" s="19">
        <f t="shared" ref="V33:V34" si="92">F33-T33</f>
        <v>-0.66959999999999975</v>
      </c>
    </row>
    <row r="34" spans="1:22">
      <c r="A34" s="26" t="s">
        <v>13</v>
      </c>
      <c r="B34" s="26" t="s">
        <v>315</v>
      </c>
      <c r="C34" s="30">
        <v>4.6500000000000004</v>
      </c>
      <c r="D34" s="27">
        <v>9.5</v>
      </c>
      <c r="E34" s="28"/>
      <c r="F34" s="16">
        <f t="shared" si="83"/>
        <v>0</v>
      </c>
      <c r="G34" s="17"/>
      <c r="H34" s="18"/>
      <c r="I34" s="19">
        <f t="shared" si="85"/>
        <v>0</v>
      </c>
      <c r="J34" s="16"/>
      <c r="K34" s="18"/>
      <c r="L34" s="19">
        <f t="shared" si="86"/>
        <v>0</v>
      </c>
      <c r="M34" s="16"/>
      <c r="N34" s="18">
        <v>1</v>
      </c>
      <c r="O34" s="19">
        <f t="shared" si="87"/>
        <v>4.4175000000000006E-2</v>
      </c>
      <c r="P34" s="16"/>
      <c r="Q34" s="18"/>
      <c r="R34" s="19">
        <f t="shared" si="88"/>
        <v>0</v>
      </c>
      <c r="S34" s="20">
        <f t="shared" si="89"/>
        <v>1</v>
      </c>
      <c r="T34" s="19">
        <f t="shared" si="90"/>
        <v>4.4175000000000006E-2</v>
      </c>
      <c r="U34" s="21">
        <f t="shared" si="91"/>
        <v>-1</v>
      </c>
      <c r="V34" s="19">
        <f t="shared" si="92"/>
        <v>-4.4175000000000006E-2</v>
      </c>
    </row>
    <row r="35" spans="1:22">
      <c r="A35" s="26" t="s">
        <v>13</v>
      </c>
      <c r="B35" s="26" t="s">
        <v>315</v>
      </c>
      <c r="C35" s="30">
        <v>4.6500000000000004</v>
      </c>
      <c r="D35" s="27"/>
      <c r="E35" s="28"/>
      <c r="F35" s="16">
        <f t="shared" si="74"/>
        <v>0</v>
      </c>
      <c r="G35" s="17"/>
      <c r="H35" s="18"/>
      <c r="I35" s="19">
        <f t="shared" si="75"/>
        <v>0</v>
      </c>
      <c r="J35" s="16"/>
      <c r="K35" s="18"/>
      <c r="L35" s="19">
        <f t="shared" si="76"/>
        <v>0</v>
      </c>
      <c r="M35" s="16"/>
      <c r="N35" s="18"/>
      <c r="O35" s="19">
        <f t="shared" si="77"/>
        <v>0</v>
      </c>
      <c r="P35" s="16"/>
      <c r="Q35" s="18"/>
      <c r="R35" s="19">
        <f t="shared" si="78"/>
        <v>0</v>
      </c>
      <c r="S35" s="20">
        <f t="shared" si="79"/>
        <v>0</v>
      </c>
      <c r="T35" s="19">
        <f t="shared" si="80"/>
        <v>0</v>
      </c>
      <c r="U35" s="21">
        <f t="shared" si="81"/>
        <v>0</v>
      </c>
      <c r="V35" s="19">
        <f t="shared" si="82"/>
        <v>0</v>
      </c>
    </row>
    <row r="36" spans="1:22">
      <c r="A36" s="36"/>
      <c r="B36" s="36"/>
      <c r="C36" s="37"/>
      <c r="D36" s="38"/>
      <c r="E36" s="31">
        <f t="shared" ref="E36:F36" si="93">SUM(E29:E35)</f>
        <v>460</v>
      </c>
      <c r="F36" s="38">
        <f t="shared" si="93"/>
        <v>23.320680000000003</v>
      </c>
      <c r="G36" s="17"/>
      <c r="H36" s="31">
        <f t="shared" ref="H36" si="94">SUM(H29:H35)</f>
        <v>209</v>
      </c>
      <c r="I36" s="38">
        <f t="shared" ref="I36" si="95">SUM(I29:I35)</f>
        <v>10.592235000000002</v>
      </c>
      <c r="J36" s="16"/>
      <c r="K36" s="31">
        <f t="shared" ref="K36" si="96">SUM(K29:K35)</f>
        <v>206</v>
      </c>
      <c r="L36" s="38">
        <f t="shared" ref="L36" si="97">SUM(L29:L35)</f>
        <v>10.361595000000001</v>
      </c>
      <c r="M36" s="16"/>
      <c r="N36" s="31">
        <f t="shared" ref="N36" si="98">SUM(N29:N35)</f>
        <v>43</v>
      </c>
      <c r="O36" s="38">
        <f t="shared" ref="O36" si="99">SUM(O29:O35)</f>
        <v>2.1417900000000003</v>
      </c>
      <c r="P36" s="16"/>
      <c r="Q36" s="31">
        <f t="shared" ref="Q36" si="100">SUM(Q29:Q35)</f>
        <v>0</v>
      </c>
      <c r="R36" s="38">
        <f t="shared" ref="R36" si="101">SUM(R29:R35)</f>
        <v>0</v>
      </c>
      <c r="S36" s="31">
        <f t="shared" ref="S36" si="102">SUM(S29:S35)</f>
        <v>458</v>
      </c>
      <c r="T36" s="38">
        <f t="shared" ref="T36" si="103">SUM(T29:T35)</f>
        <v>23.095620000000004</v>
      </c>
      <c r="U36" s="31">
        <f t="shared" ref="U36" si="104">SUM(U29:U35)</f>
        <v>2</v>
      </c>
      <c r="V36" s="38">
        <f t="shared" ref="V36" si="105">SUM(V29:V35)</f>
        <v>0.22505999999999921</v>
      </c>
    </row>
    <row r="37" spans="1:22">
      <c r="A37" s="26" t="s">
        <v>13</v>
      </c>
      <c r="B37" s="26" t="s">
        <v>35</v>
      </c>
      <c r="C37" s="30">
        <v>6.85</v>
      </c>
      <c r="D37" s="27">
        <v>10</v>
      </c>
      <c r="E37" s="28">
        <v>122</v>
      </c>
      <c r="F37" s="16">
        <f t="shared" ref="F37:F40" si="106">(C37*D37*E37/1000)</f>
        <v>8.3569999999999993</v>
      </c>
      <c r="G37" s="17" t="s">
        <v>86</v>
      </c>
      <c r="H37" s="18"/>
      <c r="I37" s="19">
        <f t="shared" ref="I37:I40" si="107">(C37*D37*H37/1000)</f>
        <v>0</v>
      </c>
      <c r="J37" s="16" t="s">
        <v>93</v>
      </c>
      <c r="K37" s="18">
        <v>12</v>
      </c>
      <c r="L37" s="19">
        <f t="shared" ref="L37:L40" si="108">(C37*D37*K37/1000)</f>
        <v>0.82199999999999995</v>
      </c>
      <c r="M37" s="17" t="s">
        <v>107</v>
      </c>
      <c r="N37" s="18">
        <v>52</v>
      </c>
      <c r="O37" s="19">
        <f t="shared" ref="O37:O40" si="109">(C37*D37*N37/1000)</f>
        <v>3.5619999999999998</v>
      </c>
      <c r="P37" s="16" t="s">
        <v>114</v>
      </c>
      <c r="Q37" s="18">
        <f>32+26</f>
        <v>58</v>
      </c>
      <c r="R37" s="19">
        <f t="shared" ref="R37:R40" si="110">(C37*D37*Q37/1000)</f>
        <v>3.9729999999999999</v>
      </c>
      <c r="S37" s="20">
        <f t="shared" ref="S37:S40" si="111">+H37+K37+Q37+N37</f>
        <v>122</v>
      </c>
      <c r="T37" s="19">
        <f t="shared" ref="T37:T40" si="112">+I37+L37+R37+O37</f>
        <v>8.3569999999999993</v>
      </c>
      <c r="U37" s="21">
        <f t="shared" ref="U37:U40" si="113">E37-S37</f>
        <v>0</v>
      </c>
      <c r="V37" s="19">
        <f t="shared" ref="V37:V40" si="114">F37-T37</f>
        <v>0</v>
      </c>
    </row>
    <row r="38" spans="1:22">
      <c r="A38" s="26" t="s">
        <v>13</v>
      </c>
      <c r="B38" s="26" t="s">
        <v>35</v>
      </c>
      <c r="C38" s="30">
        <v>6.85</v>
      </c>
      <c r="D38" s="27">
        <v>11</v>
      </c>
      <c r="E38" s="28">
        <v>23</v>
      </c>
      <c r="F38" s="16">
        <f t="shared" si="106"/>
        <v>1.73305</v>
      </c>
      <c r="G38" s="17" t="s">
        <v>342</v>
      </c>
      <c r="H38" s="18"/>
      <c r="I38" s="19">
        <f t="shared" si="107"/>
        <v>0</v>
      </c>
      <c r="J38" s="16" t="s">
        <v>348</v>
      </c>
      <c r="K38" s="18">
        <v>1</v>
      </c>
      <c r="L38" s="19">
        <f t="shared" si="108"/>
        <v>7.535E-2</v>
      </c>
      <c r="M38" s="17" t="s">
        <v>348</v>
      </c>
      <c r="N38" s="18">
        <v>22</v>
      </c>
      <c r="O38" s="19">
        <f t="shared" si="109"/>
        <v>1.6576999999999997</v>
      </c>
      <c r="P38" s="16" t="s">
        <v>356</v>
      </c>
      <c r="Q38" s="18">
        <v>3</v>
      </c>
      <c r="R38" s="19">
        <f t="shared" si="110"/>
        <v>0.22604999999999997</v>
      </c>
      <c r="S38" s="20">
        <f t="shared" si="111"/>
        <v>26</v>
      </c>
      <c r="T38" s="19">
        <f t="shared" si="112"/>
        <v>1.9590999999999998</v>
      </c>
      <c r="U38" s="21">
        <f t="shared" si="113"/>
        <v>-3</v>
      </c>
      <c r="V38" s="19">
        <f t="shared" si="114"/>
        <v>-0.22604999999999986</v>
      </c>
    </row>
    <row r="39" spans="1:22">
      <c r="A39" s="26" t="s">
        <v>13</v>
      </c>
      <c r="B39" s="26" t="s">
        <v>35</v>
      </c>
      <c r="C39" s="30">
        <v>6.85</v>
      </c>
      <c r="D39" s="27">
        <v>11.5</v>
      </c>
      <c r="E39" s="28">
        <v>561</v>
      </c>
      <c r="F39" s="16">
        <f t="shared" si="106"/>
        <v>44.192774999999997</v>
      </c>
      <c r="G39" s="16" t="s">
        <v>295</v>
      </c>
      <c r="H39" s="18">
        <f>25+46</f>
        <v>71</v>
      </c>
      <c r="I39" s="19">
        <f t="shared" si="107"/>
        <v>5.5930249999999999</v>
      </c>
      <c r="J39" s="16" t="s">
        <v>111</v>
      </c>
      <c r="K39" s="18">
        <f>130+76</f>
        <v>206</v>
      </c>
      <c r="L39" s="19">
        <f t="shared" si="108"/>
        <v>16.227649999999997</v>
      </c>
      <c r="M39" s="16" t="s">
        <v>205</v>
      </c>
      <c r="N39" s="18">
        <f>43+29+121</f>
        <v>193</v>
      </c>
      <c r="O39" s="19">
        <f t="shared" si="109"/>
        <v>15.203574999999999</v>
      </c>
      <c r="P39" s="16" t="s">
        <v>86</v>
      </c>
      <c r="Q39" s="18">
        <f>39+49</f>
        <v>88</v>
      </c>
      <c r="R39" s="19">
        <f t="shared" si="110"/>
        <v>6.932199999999999</v>
      </c>
      <c r="S39" s="20">
        <f t="shared" si="111"/>
        <v>558</v>
      </c>
      <c r="T39" s="19">
        <f t="shared" si="112"/>
        <v>43.956449999999997</v>
      </c>
      <c r="U39" s="21">
        <f t="shared" si="113"/>
        <v>3</v>
      </c>
      <c r="V39" s="19">
        <f t="shared" si="114"/>
        <v>0.23632500000000078</v>
      </c>
    </row>
    <row r="40" spans="1:22">
      <c r="A40" s="26" t="s">
        <v>13</v>
      </c>
      <c r="B40" s="26" t="s">
        <v>35</v>
      </c>
      <c r="C40" s="30">
        <v>6.85</v>
      </c>
      <c r="D40" s="27">
        <v>12</v>
      </c>
      <c r="E40" s="28">
        <v>332</v>
      </c>
      <c r="F40" s="16">
        <f t="shared" si="106"/>
        <v>27.290399999999998</v>
      </c>
      <c r="G40" s="16" t="s">
        <v>352</v>
      </c>
      <c r="H40" s="18">
        <v>70</v>
      </c>
      <c r="I40" s="19">
        <f t="shared" si="107"/>
        <v>5.7539999999999987</v>
      </c>
      <c r="J40" s="16" t="s">
        <v>356</v>
      </c>
      <c r="K40" s="18">
        <f>21+35</f>
        <v>56</v>
      </c>
      <c r="L40" s="19">
        <f t="shared" si="108"/>
        <v>4.6031999999999993</v>
      </c>
      <c r="M40" s="16" t="s">
        <v>348</v>
      </c>
      <c r="N40" s="18">
        <v>184</v>
      </c>
      <c r="O40" s="19">
        <f t="shared" si="109"/>
        <v>15.124799999999997</v>
      </c>
      <c r="P40" s="16" t="s">
        <v>388</v>
      </c>
      <c r="Q40" s="18">
        <v>22</v>
      </c>
      <c r="R40" s="19">
        <f t="shared" si="110"/>
        <v>1.8083999999999996</v>
      </c>
      <c r="S40" s="20">
        <f t="shared" si="111"/>
        <v>332</v>
      </c>
      <c r="T40" s="19">
        <f t="shared" si="112"/>
        <v>27.290399999999995</v>
      </c>
      <c r="U40" s="21">
        <f t="shared" si="113"/>
        <v>0</v>
      </c>
      <c r="V40" s="19">
        <f t="shared" si="114"/>
        <v>0</v>
      </c>
    </row>
    <row r="41" spans="1:22">
      <c r="A41" s="36"/>
      <c r="B41" s="36"/>
      <c r="C41" s="37"/>
      <c r="D41" s="38"/>
      <c r="E41" s="31">
        <f t="shared" ref="E41:F41" si="115">SUM(E37:E40)</f>
        <v>1038</v>
      </c>
      <c r="F41" s="38">
        <f t="shared" si="115"/>
        <v>81.573224999999994</v>
      </c>
      <c r="G41" s="17"/>
      <c r="H41" s="31">
        <f t="shared" ref="H41" si="116">SUM(H37:H40)</f>
        <v>141</v>
      </c>
      <c r="I41" s="38">
        <f t="shared" ref="I41" si="117">SUM(I37:I40)</f>
        <v>11.347024999999999</v>
      </c>
      <c r="J41" s="16"/>
      <c r="K41" s="31">
        <f t="shared" ref="K41" si="118">SUM(K37:K40)</f>
        <v>275</v>
      </c>
      <c r="L41" s="38">
        <f t="shared" ref="L41" si="119">SUM(L37:L40)</f>
        <v>21.728199999999994</v>
      </c>
      <c r="M41" s="16"/>
      <c r="N41" s="31">
        <f t="shared" ref="N41" si="120">SUM(N37:N40)</f>
        <v>451</v>
      </c>
      <c r="O41" s="38">
        <f t="shared" ref="O41" si="121">SUM(O37:O40)</f>
        <v>35.548074999999997</v>
      </c>
      <c r="P41" s="16"/>
      <c r="Q41" s="31">
        <f t="shared" ref="Q41" si="122">SUM(Q37:Q40)</f>
        <v>171</v>
      </c>
      <c r="R41" s="38">
        <f t="shared" ref="R41" si="123">SUM(R37:R40)</f>
        <v>12.939649999999997</v>
      </c>
      <c r="S41" s="31">
        <f t="shared" ref="S41" si="124">SUM(S37:S40)</f>
        <v>1038</v>
      </c>
      <c r="T41" s="38">
        <f t="shared" ref="T41" si="125">SUM(T37:T40)</f>
        <v>81.562949999999987</v>
      </c>
      <c r="U41" s="31">
        <f t="shared" ref="U41" si="126">SUM(U37:U40)</f>
        <v>0</v>
      </c>
      <c r="V41" s="38">
        <f t="shared" ref="V41" si="127">SUM(V37:V40)</f>
        <v>1.0275000000000922E-2</v>
      </c>
    </row>
    <row r="42" spans="1:22">
      <c r="A42" s="26" t="s">
        <v>13</v>
      </c>
      <c r="B42" s="26" t="s">
        <v>57</v>
      </c>
      <c r="C42" s="30">
        <v>6.17</v>
      </c>
      <c r="D42" s="27">
        <v>6.15</v>
      </c>
      <c r="E42" s="28">
        <v>96</v>
      </c>
      <c r="F42" s="16">
        <f t="shared" ref="F42:F50" si="128">(C42*D42*E42/1000)</f>
        <v>3.6427680000000002</v>
      </c>
      <c r="G42" s="17" t="s">
        <v>86</v>
      </c>
      <c r="H42" s="18">
        <v>46</v>
      </c>
      <c r="I42" s="19">
        <f t="shared" ref="I42:I50" si="129">(C42*D42*H42/1000)</f>
        <v>1.7454930000000002</v>
      </c>
      <c r="J42" s="16" t="s">
        <v>114</v>
      </c>
      <c r="K42" s="18">
        <v>39</v>
      </c>
      <c r="L42" s="19">
        <f t="shared" ref="L42:L50" si="130">(C42*D42*K42/1000)</f>
        <v>1.4798745000000002</v>
      </c>
      <c r="M42" s="16" t="s">
        <v>389</v>
      </c>
      <c r="N42" s="18"/>
      <c r="O42" s="19">
        <f t="shared" ref="O42:O50" si="131">(C42*D42*N42/1000)</f>
        <v>0</v>
      </c>
      <c r="P42" s="16" t="s">
        <v>150</v>
      </c>
      <c r="Q42" s="18">
        <v>11</v>
      </c>
      <c r="R42" s="19">
        <f t="shared" ref="R42:R50" si="132">(C42*D42*Q42/1000)</f>
        <v>0.41740050000000001</v>
      </c>
      <c r="S42" s="20">
        <f t="shared" ref="S42:S49" si="133">+H42+K42+Q42+N42</f>
        <v>96</v>
      </c>
      <c r="T42" s="19">
        <f t="shared" ref="T42:T50" si="134">+I42+L42+R42+O42</f>
        <v>3.6427680000000002</v>
      </c>
      <c r="U42" s="21">
        <f t="shared" ref="U42:U50" si="135">E42-S42</f>
        <v>0</v>
      </c>
      <c r="V42" s="19">
        <f t="shared" ref="V42:V50" si="136">F42-T42</f>
        <v>0</v>
      </c>
    </row>
    <row r="43" spans="1:22">
      <c r="A43" s="26" t="s">
        <v>13</v>
      </c>
      <c r="B43" s="26" t="s">
        <v>57</v>
      </c>
      <c r="C43" s="30">
        <v>6.17</v>
      </c>
      <c r="D43" s="27">
        <v>7</v>
      </c>
      <c r="E43" s="28">
        <v>39</v>
      </c>
      <c r="F43" s="16">
        <f t="shared" si="128"/>
        <v>1.68441</v>
      </c>
      <c r="G43" s="17" t="s">
        <v>342</v>
      </c>
      <c r="H43" s="18">
        <v>11</v>
      </c>
      <c r="I43" s="19">
        <f t="shared" si="129"/>
        <v>0.47508999999999996</v>
      </c>
      <c r="J43" s="16" t="s">
        <v>356</v>
      </c>
      <c r="K43" s="18">
        <v>16</v>
      </c>
      <c r="L43" s="19">
        <f t="shared" si="130"/>
        <v>0.69103999999999999</v>
      </c>
      <c r="M43" s="16" t="s">
        <v>390</v>
      </c>
      <c r="N43" s="18"/>
      <c r="O43" s="19">
        <f t="shared" si="131"/>
        <v>0</v>
      </c>
      <c r="P43" s="16" t="s">
        <v>416</v>
      </c>
      <c r="Q43" s="18">
        <v>12</v>
      </c>
      <c r="R43" s="19">
        <f t="shared" si="132"/>
        <v>0.51827999999999996</v>
      </c>
      <c r="S43" s="20">
        <f t="shared" si="133"/>
        <v>39</v>
      </c>
      <c r="T43" s="19">
        <f t="shared" si="134"/>
        <v>1.6844099999999997</v>
      </c>
      <c r="U43" s="21">
        <f t="shared" si="135"/>
        <v>0</v>
      </c>
      <c r="V43" s="19">
        <f t="shared" si="136"/>
        <v>0</v>
      </c>
    </row>
    <row r="44" spans="1:22">
      <c r="A44" s="26" t="s">
        <v>13</v>
      </c>
      <c r="B44" s="26" t="s">
        <v>57</v>
      </c>
      <c r="C44" s="30">
        <v>6.17</v>
      </c>
      <c r="D44" s="27">
        <v>9.8000000000000007</v>
      </c>
      <c r="E44" s="28">
        <v>36</v>
      </c>
      <c r="F44" s="16">
        <f t="shared" si="128"/>
        <v>2.1767759999999998</v>
      </c>
      <c r="G44" s="17"/>
      <c r="H44" s="18"/>
      <c r="I44" s="19">
        <f t="shared" si="129"/>
        <v>0</v>
      </c>
      <c r="J44" s="16"/>
      <c r="K44" s="18"/>
      <c r="L44" s="19">
        <f t="shared" si="130"/>
        <v>0</v>
      </c>
      <c r="M44" s="16"/>
      <c r="N44" s="18">
        <v>6</v>
      </c>
      <c r="O44" s="19">
        <f t="shared" si="131"/>
        <v>0.36279600000000001</v>
      </c>
      <c r="P44" s="16"/>
      <c r="Q44" s="18">
        <v>30</v>
      </c>
      <c r="R44" s="19">
        <f t="shared" si="132"/>
        <v>1.8139799999999999</v>
      </c>
      <c r="S44" s="20">
        <f t="shared" si="133"/>
        <v>36</v>
      </c>
      <c r="T44" s="19">
        <f t="shared" si="134"/>
        <v>2.1767759999999998</v>
      </c>
      <c r="U44" s="21">
        <f t="shared" si="135"/>
        <v>0</v>
      </c>
      <c r="V44" s="19">
        <f t="shared" si="136"/>
        <v>0</v>
      </c>
    </row>
    <row r="45" spans="1:22">
      <c r="A45" s="26" t="s">
        <v>13</v>
      </c>
      <c r="B45" s="26" t="s">
        <v>57</v>
      </c>
      <c r="C45" s="30">
        <v>6.17</v>
      </c>
      <c r="D45" s="27">
        <v>10</v>
      </c>
      <c r="E45" s="28">
        <v>8</v>
      </c>
      <c r="F45" s="16">
        <f t="shared" si="128"/>
        <v>0.49360000000000004</v>
      </c>
      <c r="G45" s="17"/>
      <c r="H45" s="18"/>
      <c r="I45" s="19">
        <f t="shared" si="129"/>
        <v>0</v>
      </c>
      <c r="J45" s="16"/>
      <c r="K45" s="18">
        <v>5</v>
      </c>
      <c r="L45" s="19">
        <f t="shared" si="130"/>
        <v>0.3085</v>
      </c>
      <c r="M45" s="16"/>
      <c r="N45" s="18">
        <v>3</v>
      </c>
      <c r="O45" s="19">
        <f t="shared" si="131"/>
        <v>0.18510000000000001</v>
      </c>
      <c r="P45" s="16" t="s">
        <v>293</v>
      </c>
      <c r="Q45" s="18"/>
      <c r="R45" s="19">
        <f t="shared" si="132"/>
        <v>0</v>
      </c>
      <c r="S45" s="20">
        <f t="shared" si="133"/>
        <v>8</v>
      </c>
      <c r="T45" s="19">
        <f t="shared" si="134"/>
        <v>0.49360000000000004</v>
      </c>
      <c r="U45" s="21">
        <f t="shared" si="135"/>
        <v>0</v>
      </c>
      <c r="V45" s="19">
        <f t="shared" si="136"/>
        <v>0</v>
      </c>
    </row>
    <row r="46" spans="1:22">
      <c r="A46" s="26" t="s">
        <v>13</v>
      </c>
      <c r="B46" s="26" t="s">
        <v>57</v>
      </c>
      <c r="C46" s="30">
        <v>6.17</v>
      </c>
      <c r="D46" s="27">
        <v>10.5</v>
      </c>
      <c r="E46" s="28">
        <v>57</v>
      </c>
      <c r="F46" s="16">
        <f t="shared" si="128"/>
        <v>3.6927449999999999</v>
      </c>
      <c r="G46" s="17"/>
      <c r="H46" s="18"/>
      <c r="I46" s="19">
        <f t="shared" si="129"/>
        <v>0</v>
      </c>
      <c r="J46" s="16"/>
      <c r="K46" s="18">
        <v>57</v>
      </c>
      <c r="L46" s="19">
        <f t="shared" si="130"/>
        <v>3.6927449999999999</v>
      </c>
      <c r="M46" s="16"/>
      <c r="N46" s="18"/>
      <c r="O46" s="19">
        <f t="shared" si="131"/>
        <v>0</v>
      </c>
      <c r="P46" s="16" t="s">
        <v>425</v>
      </c>
      <c r="Q46" s="18"/>
      <c r="R46" s="19">
        <f t="shared" si="132"/>
        <v>0</v>
      </c>
      <c r="S46" s="20">
        <f t="shared" si="133"/>
        <v>57</v>
      </c>
      <c r="T46" s="19">
        <f t="shared" si="134"/>
        <v>3.6927449999999999</v>
      </c>
      <c r="U46" s="21">
        <f t="shared" si="135"/>
        <v>0</v>
      </c>
      <c r="V46" s="19">
        <f t="shared" si="136"/>
        <v>0</v>
      </c>
    </row>
    <row r="47" spans="1:22">
      <c r="A47" s="26" t="s">
        <v>13</v>
      </c>
      <c r="B47" s="26" t="s">
        <v>57</v>
      </c>
      <c r="C47" s="30">
        <v>6.17</v>
      </c>
      <c r="D47" s="27">
        <v>11</v>
      </c>
      <c r="E47" s="28">
        <v>14</v>
      </c>
      <c r="F47" s="16">
        <f t="shared" si="128"/>
        <v>0.95018000000000002</v>
      </c>
      <c r="G47" s="17"/>
      <c r="H47" s="18"/>
      <c r="I47" s="19">
        <f t="shared" si="129"/>
        <v>0</v>
      </c>
      <c r="J47" s="16"/>
      <c r="K47" s="18">
        <v>10</v>
      </c>
      <c r="L47" s="19">
        <f t="shared" si="130"/>
        <v>0.67870000000000008</v>
      </c>
      <c r="M47" s="16"/>
      <c r="N47" s="18">
        <v>4</v>
      </c>
      <c r="O47" s="19">
        <f t="shared" si="131"/>
        <v>0.27148</v>
      </c>
      <c r="P47" s="16"/>
      <c r="Q47" s="18"/>
      <c r="R47" s="19">
        <f t="shared" si="132"/>
        <v>0</v>
      </c>
      <c r="S47" s="20">
        <f t="shared" si="133"/>
        <v>14</v>
      </c>
      <c r="T47" s="19">
        <f t="shared" si="134"/>
        <v>0.95018000000000002</v>
      </c>
      <c r="U47" s="21">
        <f t="shared" si="135"/>
        <v>0</v>
      </c>
      <c r="V47" s="19">
        <f t="shared" si="136"/>
        <v>0</v>
      </c>
    </row>
    <row r="48" spans="1:22">
      <c r="A48" s="26" t="s">
        <v>13</v>
      </c>
      <c r="B48" s="26" t="s">
        <v>57</v>
      </c>
      <c r="C48" s="30">
        <v>6.17</v>
      </c>
      <c r="D48" s="27">
        <v>11.5</v>
      </c>
      <c r="E48" s="28">
        <v>40</v>
      </c>
      <c r="F48" s="16">
        <f t="shared" si="128"/>
        <v>2.8381999999999996</v>
      </c>
      <c r="G48" s="17"/>
      <c r="H48" s="18"/>
      <c r="I48" s="19">
        <f t="shared" si="129"/>
        <v>0</v>
      </c>
      <c r="J48" s="16"/>
      <c r="K48" s="18">
        <v>40</v>
      </c>
      <c r="L48" s="19">
        <f t="shared" si="130"/>
        <v>2.8381999999999996</v>
      </c>
      <c r="M48" s="16"/>
      <c r="N48" s="18"/>
      <c r="O48" s="19">
        <f t="shared" si="131"/>
        <v>0</v>
      </c>
      <c r="P48" s="16"/>
      <c r="Q48" s="18"/>
      <c r="R48" s="19">
        <f t="shared" si="132"/>
        <v>0</v>
      </c>
      <c r="S48" s="20">
        <f t="shared" si="133"/>
        <v>40</v>
      </c>
      <c r="T48" s="19">
        <f t="shared" si="134"/>
        <v>2.8381999999999996</v>
      </c>
      <c r="U48" s="21">
        <f t="shared" si="135"/>
        <v>0</v>
      </c>
      <c r="V48" s="19">
        <f t="shared" si="136"/>
        <v>0</v>
      </c>
    </row>
    <row r="49" spans="1:22">
      <c r="A49" s="26" t="s">
        <v>13</v>
      </c>
      <c r="B49" s="26" t="s">
        <v>57</v>
      </c>
      <c r="C49" s="30">
        <v>6.17</v>
      </c>
      <c r="D49" s="27">
        <v>11.7</v>
      </c>
      <c r="E49" s="28">
        <v>28</v>
      </c>
      <c r="F49" s="16">
        <f t="shared" si="128"/>
        <v>2.0212919999999999</v>
      </c>
      <c r="G49" s="17"/>
      <c r="H49" s="18">
        <v>18</v>
      </c>
      <c r="I49" s="19">
        <f t="shared" si="129"/>
        <v>1.2994019999999997</v>
      </c>
      <c r="J49" s="16"/>
      <c r="K49" s="18">
        <v>10</v>
      </c>
      <c r="L49" s="19">
        <f t="shared" si="130"/>
        <v>0.72188999999999992</v>
      </c>
      <c r="M49" s="16"/>
      <c r="N49" s="18"/>
      <c r="O49" s="19">
        <f t="shared" si="131"/>
        <v>0</v>
      </c>
      <c r="P49" s="16"/>
      <c r="Q49" s="18"/>
      <c r="R49" s="19">
        <f t="shared" si="132"/>
        <v>0</v>
      </c>
      <c r="S49" s="20">
        <f t="shared" si="133"/>
        <v>28</v>
      </c>
      <c r="T49" s="19">
        <f t="shared" si="134"/>
        <v>2.0212919999999999</v>
      </c>
      <c r="U49" s="21">
        <f t="shared" si="135"/>
        <v>0</v>
      </c>
      <c r="V49" s="19">
        <f t="shared" si="136"/>
        <v>0</v>
      </c>
    </row>
    <row r="50" spans="1:22">
      <c r="A50" s="26" t="s">
        <v>13</v>
      </c>
      <c r="B50" s="26" t="s">
        <v>57</v>
      </c>
      <c r="C50" s="30">
        <v>6.17</v>
      </c>
      <c r="D50" s="27">
        <v>12</v>
      </c>
      <c r="E50" s="28">
        <v>22</v>
      </c>
      <c r="F50" s="16">
        <f t="shared" si="128"/>
        <v>1.6288799999999999</v>
      </c>
      <c r="G50" s="17"/>
      <c r="H50" s="18">
        <v>2</v>
      </c>
      <c r="I50" s="19">
        <f t="shared" si="129"/>
        <v>0.14807999999999999</v>
      </c>
      <c r="J50" s="16"/>
      <c r="K50" s="18">
        <v>20</v>
      </c>
      <c r="L50" s="19">
        <f t="shared" si="130"/>
        <v>1.4807999999999997</v>
      </c>
      <c r="M50" s="16"/>
      <c r="N50" s="18"/>
      <c r="O50" s="19">
        <f t="shared" si="131"/>
        <v>0</v>
      </c>
      <c r="P50" s="16"/>
      <c r="Q50" s="18"/>
      <c r="R50" s="19">
        <f t="shared" si="132"/>
        <v>0</v>
      </c>
      <c r="S50" s="20">
        <f>+H50+K50+Q50+N50</f>
        <v>22</v>
      </c>
      <c r="T50" s="19">
        <f t="shared" si="134"/>
        <v>1.6288799999999997</v>
      </c>
      <c r="U50" s="21">
        <f t="shared" si="135"/>
        <v>0</v>
      </c>
      <c r="V50" s="19">
        <f t="shared" si="136"/>
        <v>0</v>
      </c>
    </row>
    <row r="51" spans="1:22">
      <c r="A51" s="36"/>
      <c r="B51" s="36"/>
      <c r="C51" s="37"/>
      <c r="D51" s="38"/>
      <c r="E51" s="31">
        <f t="shared" ref="E51:F51" si="137">SUM(E42:E50)</f>
        <v>340</v>
      </c>
      <c r="F51" s="38">
        <f t="shared" si="137"/>
        <v>19.128850999999997</v>
      </c>
      <c r="G51" s="17"/>
      <c r="H51" s="31">
        <f t="shared" ref="H51" si="138">SUM(H42:H50)</f>
        <v>77</v>
      </c>
      <c r="I51" s="38">
        <f t="shared" ref="I51" si="139">SUM(I42:I50)</f>
        <v>3.6680649999999995</v>
      </c>
      <c r="J51" s="16"/>
      <c r="K51" s="31">
        <f t="shared" ref="K51" si="140">SUM(K42:K50)</f>
        <v>197</v>
      </c>
      <c r="L51" s="38">
        <f t="shared" ref="L51" si="141">SUM(L42:L50)</f>
        <v>11.8917495</v>
      </c>
      <c r="M51" s="16"/>
      <c r="N51" s="31">
        <f t="shared" ref="N51" si="142">SUM(N42:N50)</f>
        <v>13</v>
      </c>
      <c r="O51" s="38">
        <f t="shared" ref="O51" si="143">SUM(O42:O50)</f>
        <v>0.8193760000000001</v>
      </c>
      <c r="P51" s="16"/>
      <c r="Q51" s="31">
        <f t="shared" ref="Q51" si="144">SUM(Q42:Q50)</f>
        <v>53</v>
      </c>
      <c r="R51" s="38">
        <f t="shared" ref="R51" si="145">SUM(R42:R50)</f>
        <v>2.7496605000000001</v>
      </c>
      <c r="S51" s="31">
        <f t="shared" ref="S51" si="146">SUM(S42:S50)</f>
        <v>340</v>
      </c>
      <c r="T51" s="38">
        <f t="shared" ref="T51" si="147">SUM(T42:T50)</f>
        <v>19.128850999999997</v>
      </c>
      <c r="U51" s="31">
        <f t="shared" ref="U51" si="148">SUM(U42:U50)</f>
        <v>0</v>
      </c>
      <c r="V51" s="38">
        <f t="shared" ref="V51" si="149">SUM(V42:V50)</f>
        <v>0</v>
      </c>
    </row>
    <row r="52" spans="1:22">
      <c r="A52" s="26" t="s">
        <v>13</v>
      </c>
      <c r="B52" s="26" t="s">
        <v>58</v>
      </c>
      <c r="C52" s="30">
        <v>7.34</v>
      </c>
      <c r="D52" s="27">
        <v>10</v>
      </c>
      <c r="E52" s="28">
        <v>252</v>
      </c>
      <c r="F52" s="16">
        <f t="shared" ref="F52:F60" si="150">(C52*D52*E52/1000)</f>
        <v>18.496800000000004</v>
      </c>
      <c r="G52" s="17" t="s">
        <v>86</v>
      </c>
      <c r="H52" s="18">
        <f>55-39</f>
        <v>16</v>
      </c>
      <c r="I52" s="19">
        <f t="shared" ref="I52:I60" si="151">(C52*D52*H52/1000)</f>
        <v>1.1744000000000001</v>
      </c>
      <c r="J52" s="16" t="s">
        <v>93</v>
      </c>
      <c r="K52" s="18">
        <f>62+135</f>
        <v>197</v>
      </c>
      <c r="L52" s="19">
        <f t="shared" ref="L52:L60" si="152">(C52*D52*K52/1000)</f>
        <v>14.459800000000001</v>
      </c>
      <c r="M52" s="16" t="s">
        <v>111</v>
      </c>
      <c r="N52" s="18"/>
      <c r="O52" s="19">
        <f t="shared" ref="O52:O60" si="153">(C52*D52*N52/1000)</f>
        <v>0</v>
      </c>
      <c r="P52" s="16" t="s">
        <v>111</v>
      </c>
      <c r="Q52" s="18">
        <v>25</v>
      </c>
      <c r="R52" s="19">
        <f t="shared" ref="R52:R60" si="154">(C52*D52*Q52/1000)</f>
        <v>1.8350000000000002</v>
      </c>
      <c r="S52" s="20">
        <f t="shared" ref="S52:S60" si="155">+H52+K52+Q52+N52</f>
        <v>238</v>
      </c>
      <c r="T52" s="19">
        <f t="shared" ref="T52:T60" si="156">+I52+L52+R52+O52</f>
        <v>17.469200000000001</v>
      </c>
      <c r="U52" s="21">
        <f t="shared" ref="U52:U60" si="157">E52-S52</f>
        <v>14</v>
      </c>
      <c r="V52" s="19">
        <f t="shared" ref="V52:V60" si="158">F52-T52</f>
        <v>1.0276000000000032</v>
      </c>
    </row>
    <row r="53" spans="1:22">
      <c r="A53" s="26" t="s">
        <v>13</v>
      </c>
      <c r="B53" s="26" t="s">
        <v>58</v>
      </c>
      <c r="C53" s="30">
        <v>7.34</v>
      </c>
      <c r="D53" s="27">
        <v>10.5</v>
      </c>
      <c r="E53" s="28">
        <v>518</v>
      </c>
      <c r="F53" s="16">
        <f t="shared" si="150"/>
        <v>39.922259999999994</v>
      </c>
      <c r="G53" s="17" t="s">
        <v>342</v>
      </c>
      <c r="H53" s="18">
        <f>19+39</f>
        <v>58</v>
      </c>
      <c r="I53" s="19">
        <f t="shared" si="151"/>
        <v>4.4700599999999993</v>
      </c>
      <c r="J53" s="16" t="s">
        <v>355</v>
      </c>
      <c r="K53" s="18">
        <f>134+120</f>
        <v>254</v>
      </c>
      <c r="L53" s="19">
        <f t="shared" si="152"/>
        <v>19.575779999999998</v>
      </c>
      <c r="M53" s="16" t="s">
        <v>356</v>
      </c>
      <c r="N53" s="18">
        <f>146+33</f>
        <v>179</v>
      </c>
      <c r="O53" s="19">
        <f t="shared" si="153"/>
        <v>13.795529999999999</v>
      </c>
      <c r="P53" s="16" t="s">
        <v>391</v>
      </c>
      <c r="Q53" s="18">
        <v>27</v>
      </c>
      <c r="R53" s="19">
        <f t="shared" si="154"/>
        <v>2.0808899999999997</v>
      </c>
      <c r="S53" s="20">
        <f t="shared" si="155"/>
        <v>518</v>
      </c>
      <c r="T53" s="19">
        <f t="shared" si="156"/>
        <v>39.922259999999994</v>
      </c>
      <c r="U53" s="21">
        <f t="shared" si="157"/>
        <v>0</v>
      </c>
      <c r="V53" s="19">
        <f t="shared" si="158"/>
        <v>0</v>
      </c>
    </row>
    <row r="54" spans="1:22">
      <c r="A54" s="26" t="s">
        <v>13</v>
      </c>
      <c r="B54" s="26" t="s">
        <v>58</v>
      </c>
      <c r="C54" s="30">
        <v>7.34</v>
      </c>
      <c r="D54" s="27">
        <v>11</v>
      </c>
      <c r="E54" s="28">
        <v>159</v>
      </c>
      <c r="F54" s="16">
        <f t="shared" si="150"/>
        <v>12.83766</v>
      </c>
      <c r="G54" s="17"/>
      <c r="H54" s="18">
        <v>21</v>
      </c>
      <c r="I54" s="19">
        <f t="shared" si="151"/>
        <v>1.69554</v>
      </c>
      <c r="J54" s="16" t="s">
        <v>111</v>
      </c>
      <c r="K54" s="18">
        <f>31+102</f>
        <v>133</v>
      </c>
      <c r="L54" s="19">
        <f t="shared" si="152"/>
        <v>10.73842</v>
      </c>
      <c r="M54" s="16" t="s">
        <v>93</v>
      </c>
      <c r="N54" s="18"/>
      <c r="O54" s="19">
        <f t="shared" si="153"/>
        <v>0</v>
      </c>
      <c r="P54" s="16" t="s">
        <v>150</v>
      </c>
      <c r="Q54" s="18">
        <f>5+2</f>
        <v>7</v>
      </c>
      <c r="R54" s="19">
        <f t="shared" si="154"/>
        <v>0.5651799999999999</v>
      </c>
      <c r="S54" s="20">
        <f t="shared" si="155"/>
        <v>161</v>
      </c>
      <c r="T54" s="19">
        <f t="shared" si="156"/>
        <v>12.999139999999999</v>
      </c>
      <c r="U54" s="21">
        <f t="shared" si="157"/>
        <v>-2</v>
      </c>
      <c r="V54" s="19">
        <f t="shared" si="158"/>
        <v>-0.16147999999999918</v>
      </c>
    </row>
    <row r="55" spans="1:22">
      <c r="A55" s="26" t="s">
        <v>13</v>
      </c>
      <c r="B55" s="26" t="s">
        <v>58</v>
      </c>
      <c r="C55" s="30">
        <v>7.34</v>
      </c>
      <c r="D55" s="27">
        <v>11.5</v>
      </c>
      <c r="E55" s="28">
        <v>336</v>
      </c>
      <c r="F55" s="16">
        <f t="shared" si="150"/>
        <v>28.361759999999997</v>
      </c>
      <c r="G55" s="17"/>
      <c r="H55" s="18">
        <v>51</v>
      </c>
      <c r="I55" s="19">
        <f t="shared" si="151"/>
        <v>4.3049099999999996</v>
      </c>
      <c r="J55" s="16" t="s">
        <v>355</v>
      </c>
      <c r="K55" s="18">
        <f>117+54</f>
        <v>171</v>
      </c>
      <c r="L55" s="19">
        <f t="shared" si="152"/>
        <v>14.434109999999999</v>
      </c>
      <c r="M55" s="16" t="s">
        <v>356</v>
      </c>
      <c r="N55" s="18">
        <f>64+41</f>
        <v>105</v>
      </c>
      <c r="O55" s="19">
        <f t="shared" si="153"/>
        <v>8.8630499999999994</v>
      </c>
      <c r="P55" s="16" t="s">
        <v>416</v>
      </c>
      <c r="Q55" s="18">
        <v>9</v>
      </c>
      <c r="R55" s="19">
        <f t="shared" si="154"/>
        <v>0.75968999999999998</v>
      </c>
      <c r="S55" s="20">
        <f t="shared" si="155"/>
        <v>336</v>
      </c>
      <c r="T55" s="19">
        <f t="shared" si="156"/>
        <v>28.361759999999997</v>
      </c>
      <c r="U55" s="21">
        <f t="shared" si="157"/>
        <v>0</v>
      </c>
      <c r="V55" s="19">
        <f t="shared" si="158"/>
        <v>0</v>
      </c>
    </row>
    <row r="56" spans="1:22">
      <c r="A56" s="26" t="s">
        <v>13</v>
      </c>
      <c r="B56" s="26" t="s">
        <v>58</v>
      </c>
      <c r="C56" s="30">
        <v>7.34</v>
      </c>
      <c r="D56" s="27">
        <v>11.7</v>
      </c>
      <c r="E56" s="28">
        <v>40</v>
      </c>
      <c r="F56" s="16">
        <f t="shared" si="150"/>
        <v>3.43512</v>
      </c>
      <c r="G56" s="17"/>
      <c r="H56" s="18"/>
      <c r="I56" s="19">
        <f t="shared" si="151"/>
        <v>0</v>
      </c>
      <c r="J56" s="16" t="s">
        <v>86</v>
      </c>
      <c r="K56" s="18">
        <f>1+3</f>
        <v>4</v>
      </c>
      <c r="L56" s="19">
        <f t="shared" si="152"/>
        <v>0.34351199999999998</v>
      </c>
      <c r="M56" s="16"/>
      <c r="N56" s="18"/>
      <c r="O56" s="19">
        <f t="shared" si="153"/>
        <v>0</v>
      </c>
      <c r="P56" s="16"/>
      <c r="Q56" s="18"/>
      <c r="R56" s="19">
        <f t="shared" si="154"/>
        <v>0</v>
      </c>
      <c r="S56" s="20">
        <f t="shared" si="155"/>
        <v>4</v>
      </c>
      <c r="T56" s="19">
        <f t="shared" si="156"/>
        <v>0.34351199999999998</v>
      </c>
      <c r="U56" s="21">
        <f t="shared" si="157"/>
        <v>36</v>
      </c>
      <c r="V56" s="19">
        <f t="shared" si="158"/>
        <v>3.0916079999999999</v>
      </c>
    </row>
    <row r="57" spans="1:22">
      <c r="A57" s="26" t="s">
        <v>13</v>
      </c>
      <c r="B57" s="26" t="s">
        <v>58</v>
      </c>
      <c r="C57" s="30">
        <v>7.34</v>
      </c>
      <c r="D57" s="27">
        <v>12</v>
      </c>
      <c r="E57" s="28">
        <v>138</v>
      </c>
      <c r="F57" s="16">
        <f t="shared" ref="F57:F59" si="159">(C57*D57*E57/1000)</f>
        <v>12.15504</v>
      </c>
      <c r="G57" s="17"/>
      <c r="H57" s="18"/>
      <c r="I57" s="19">
        <f t="shared" ref="I57:I59" si="160">(C57*D57*H57/1000)</f>
        <v>0</v>
      </c>
      <c r="J57" s="16" t="s">
        <v>356</v>
      </c>
      <c r="K57" s="18">
        <f t="shared" ref="K57" si="161">5+46+8</f>
        <v>59</v>
      </c>
      <c r="L57" s="19">
        <f t="shared" ref="L57:L59" si="162">(C57*D57*K57/1000)</f>
        <v>5.19672</v>
      </c>
      <c r="M57" s="16"/>
      <c r="N57" s="18">
        <f t="shared" ref="N57" si="163">69+10</f>
        <v>79</v>
      </c>
      <c r="O57" s="19">
        <f t="shared" ref="O57:O59" si="164">(C57*D57*N57/1000)</f>
        <v>6.9583199999999996</v>
      </c>
      <c r="P57" s="16"/>
      <c r="Q57" s="18"/>
      <c r="R57" s="19">
        <f t="shared" ref="R57:R59" si="165">(C57*D57*Q57/1000)</f>
        <v>0</v>
      </c>
      <c r="S57" s="20">
        <f t="shared" ref="S57:S59" si="166">+H57+K57+Q57+N57</f>
        <v>138</v>
      </c>
      <c r="T57" s="19">
        <f t="shared" ref="T57:T59" si="167">+I57+L57+R57+O57</f>
        <v>12.15504</v>
      </c>
      <c r="U57" s="21">
        <f t="shared" ref="U57:U59" si="168">E57-S57</f>
        <v>0</v>
      </c>
      <c r="V57" s="19">
        <f t="shared" ref="V57:V59" si="169">F57-T57</f>
        <v>0</v>
      </c>
    </row>
    <row r="58" spans="1:22">
      <c r="A58" s="26" t="s">
        <v>13</v>
      </c>
      <c r="B58" s="26" t="s">
        <v>58</v>
      </c>
      <c r="C58" s="30">
        <v>7.34</v>
      </c>
      <c r="D58" s="27">
        <v>9</v>
      </c>
      <c r="E58" s="28"/>
      <c r="F58" s="16">
        <f t="shared" si="159"/>
        <v>0</v>
      </c>
      <c r="G58" s="17"/>
      <c r="H58" s="18"/>
      <c r="I58" s="19">
        <f t="shared" si="160"/>
        <v>0</v>
      </c>
      <c r="J58" s="16"/>
      <c r="K58" s="18"/>
      <c r="L58" s="19">
        <f t="shared" si="162"/>
        <v>0</v>
      </c>
      <c r="M58" s="16"/>
      <c r="N58" s="18"/>
      <c r="O58" s="19">
        <f t="shared" si="164"/>
        <v>0</v>
      </c>
      <c r="P58" s="16"/>
      <c r="Q58" s="18">
        <v>3</v>
      </c>
      <c r="R58" s="19">
        <f t="shared" si="165"/>
        <v>0.19818</v>
      </c>
      <c r="S58" s="20">
        <f t="shared" si="166"/>
        <v>3</v>
      </c>
      <c r="T58" s="19">
        <f t="shared" si="167"/>
        <v>0.19818</v>
      </c>
      <c r="U58" s="21">
        <f t="shared" si="168"/>
        <v>-3</v>
      </c>
      <c r="V58" s="19">
        <f t="shared" si="169"/>
        <v>-0.19818</v>
      </c>
    </row>
    <row r="59" spans="1:22">
      <c r="A59" s="26" t="s">
        <v>13</v>
      </c>
      <c r="B59" s="26" t="s">
        <v>58</v>
      </c>
      <c r="C59" s="30">
        <v>7.34</v>
      </c>
      <c r="D59" s="27"/>
      <c r="E59" s="28"/>
      <c r="F59" s="16">
        <f t="shared" si="159"/>
        <v>0</v>
      </c>
      <c r="G59" s="17"/>
      <c r="H59" s="18"/>
      <c r="I59" s="19">
        <f t="shared" si="160"/>
        <v>0</v>
      </c>
      <c r="J59" s="16"/>
      <c r="K59" s="18"/>
      <c r="L59" s="19">
        <f t="shared" si="162"/>
        <v>0</v>
      </c>
      <c r="M59" s="16"/>
      <c r="N59" s="18"/>
      <c r="O59" s="19">
        <f t="shared" si="164"/>
        <v>0</v>
      </c>
      <c r="P59" s="16"/>
      <c r="Q59" s="18"/>
      <c r="R59" s="19">
        <f t="shared" si="165"/>
        <v>0</v>
      </c>
      <c r="S59" s="20">
        <f t="shared" si="166"/>
        <v>0</v>
      </c>
      <c r="T59" s="19">
        <f t="shared" si="167"/>
        <v>0</v>
      </c>
      <c r="U59" s="21">
        <f t="shared" si="168"/>
        <v>0</v>
      </c>
      <c r="V59" s="19">
        <f t="shared" si="169"/>
        <v>0</v>
      </c>
    </row>
    <row r="60" spans="1:22">
      <c r="A60" s="26" t="s">
        <v>13</v>
      </c>
      <c r="B60" s="26" t="s">
        <v>58</v>
      </c>
      <c r="C60" s="30">
        <v>7.34</v>
      </c>
      <c r="D60" s="27"/>
      <c r="E60" s="28"/>
      <c r="F60" s="16">
        <f t="shared" si="150"/>
        <v>0</v>
      </c>
      <c r="G60" s="17"/>
      <c r="H60" s="18"/>
      <c r="I60" s="19">
        <f t="shared" si="151"/>
        <v>0</v>
      </c>
      <c r="J60" s="16"/>
      <c r="K60" s="18"/>
      <c r="L60" s="19">
        <f t="shared" si="152"/>
        <v>0</v>
      </c>
      <c r="M60" s="16"/>
      <c r="N60" s="18"/>
      <c r="O60" s="19">
        <f t="shared" si="153"/>
        <v>0</v>
      </c>
      <c r="P60" s="16"/>
      <c r="Q60" s="18"/>
      <c r="R60" s="19">
        <f t="shared" si="154"/>
        <v>0</v>
      </c>
      <c r="S60" s="20">
        <f t="shared" si="155"/>
        <v>0</v>
      </c>
      <c r="T60" s="19">
        <f t="shared" si="156"/>
        <v>0</v>
      </c>
      <c r="U60" s="21">
        <f t="shared" si="157"/>
        <v>0</v>
      </c>
      <c r="V60" s="19">
        <f t="shared" si="158"/>
        <v>0</v>
      </c>
    </row>
    <row r="61" spans="1:22">
      <c r="A61" s="36"/>
      <c r="B61" s="36"/>
      <c r="C61" s="37"/>
      <c r="D61" s="38"/>
      <c r="E61" s="31">
        <f t="shared" ref="E61:F61" si="170">SUM(E52:E60)</f>
        <v>1443</v>
      </c>
      <c r="F61" s="38">
        <f t="shared" si="170"/>
        <v>115.20864</v>
      </c>
      <c r="G61" s="17"/>
      <c r="H61" s="31">
        <f t="shared" ref="H61" si="171">SUM(H52:H60)</f>
        <v>146</v>
      </c>
      <c r="I61" s="38">
        <f t="shared" ref="I61" si="172">SUM(I52:I60)</f>
        <v>11.644909999999999</v>
      </c>
      <c r="J61" s="16"/>
      <c r="K61" s="31">
        <f t="shared" ref="K61" si="173">SUM(K52:K60)</f>
        <v>818</v>
      </c>
      <c r="L61" s="38">
        <f t="shared" ref="L61" si="174">SUM(L52:L60)</f>
        <v>64.748341999999994</v>
      </c>
      <c r="M61" s="16"/>
      <c r="N61" s="31">
        <f t="shared" ref="N61" si="175">SUM(N52:N60)</f>
        <v>363</v>
      </c>
      <c r="O61" s="38">
        <f t="shared" ref="O61" si="176">SUM(O52:O60)</f>
        <v>29.616900000000001</v>
      </c>
      <c r="P61" s="16"/>
      <c r="Q61" s="31">
        <f t="shared" ref="Q61" si="177">SUM(Q52:Q60)</f>
        <v>71</v>
      </c>
      <c r="R61" s="38">
        <f t="shared" ref="R61" si="178">SUM(R52:R60)</f>
        <v>5.4389399999999997</v>
      </c>
      <c r="S61" s="31">
        <f t="shared" ref="S61" si="179">SUM(S52:S60)</f>
        <v>1398</v>
      </c>
      <c r="T61" s="38">
        <f t="shared" ref="T61" si="180">SUM(T52:T60)</f>
        <v>111.44909199999998</v>
      </c>
      <c r="U61" s="31">
        <f t="shared" ref="U61" si="181">SUM(U52:U60)</f>
        <v>45</v>
      </c>
      <c r="V61" s="38">
        <f t="shared" ref="V61" si="182">SUM(V52:V60)</f>
        <v>3.7595480000000041</v>
      </c>
    </row>
    <row r="62" spans="1:22" s="50" customFormat="1">
      <c r="A62" s="26" t="s">
        <v>13</v>
      </c>
      <c r="B62" s="26" t="s">
        <v>36</v>
      </c>
      <c r="C62" s="30">
        <v>6.97</v>
      </c>
      <c r="D62" s="27">
        <v>8.6999999999999993</v>
      </c>
      <c r="E62" s="28">
        <v>34</v>
      </c>
      <c r="F62" s="16">
        <f t="shared" ref="F62:F65" si="183">(C62*D62*E62/1000)</f>
        <v>2.0617259999999997</v>
      </c>
      <c r="G62" s="17" t="s">
        <v>86</v>
      </c>
      <c r="H62" s="18">
        <v>15</v>
      </c>
      <c r="I62" s="19">
        <f t="shared" ref="I62:I65" si="184">(C62*D62*H62/1000)</f>
        <v>0.90958499999999998</v>
      </c>
      <c r="J62" s="16" t="s">
        <v>114</v>
      </c>
      <c r="K62" s="18">
        <v>19</v>
      </c>
      <c r="L62" s="19">
        <f t="shared" ref="L62:L65" si="185">(C62*D62*K62/1000)</f>
        <v>1.1521409999999999</v>
      </c>
      <c r="M62" s="16"/>
      <c r="N62" s="18"/>
      <c r="O62" s="19">
        <f t="shared" ref="O62:O65" si="186">(C62*D62*N62/1000)</f>
        <v>0</v>
      </c>
      <c r="P62" s="16"/>
      <c r="Q62" s="18"/>
      <c r="R62" s="19">
        <f t="shared" ref="R62:R65" si="187">(C62*D62*Q62/1000)</f>
        <v>0</v>
      </c>
      <c r="S62" s="20">
        <f t="shared" ref="S62:S65" si="188">+H62+K62+Q62+N62</f>
        <v>34</v>
      </c>
      <c r="T62" s="19">
        <f t="shared" ref="T62:T65" si="189">+I62+L62+R62+O62</f>
        <v>2.0617259999999997</v>
      </c>
      <c r="U62" s="21">
        <f t="shared" ref="U62:U65" si="190">E62-S62</f>
        <v>0</v>
      </c>
      <c r="V62" s="19">
        <f t="shared" ref="V62:V65" si="191">F62-T62</f>
        <v>0</v>
      </c>
    </row>
    <row r="63" spans="1:22">
      <c r="A63" s="26" t="s">
        <v>13</v>
      </c>
      <c r="B63" s="26" t="s">
        <v>36</v>
      </c>
      <c r="C63" s="30">
        <v>6.97</v>
      </c>
      <c r="D63" s="27">
        <v>10.5</v>
      </c>
      <c r="E63" s="28">
        <v>29</v>
      </c>
      <c r="F63" s="16">
        <f t="shared" si="183"/>
        <v>2.1223650000000003</v>
      </c>
      <c r="G63" s="17" t="s">
        <v>342</v>
      </c>
      <c r="H63" s="18">
        <v>14</v>
      </c>
      <c r="I63" s="19">
        <f t="shared" si="184"/>
        <v>1.0245900000000001</v>
      </c>
      <c r="J63" s="16" t="s">
        <v>356</v>
      </c>
      <c r="K63" s="18">
        <v>15</v>
      </c>
      <c r="L63" s="19">
        <f t="shared" si="185"/>
        <v>1.0977750000000002</v>
      </c>
      <c r="M63" s="16"/>
      <c r="N63" s="18"/>
      <c r="O63" s="19">
        <f t="shared" si="186"/>
        <v>0</v>
      </c>
      <c r="P63" s="16"/>
      <c r="Q63" s="18"/>
      <c r="R63" s="19">
        <f t="shared" si="187"/>
        <v>0</v>
      </c>
      <c r="S63" s="20">
        <f t="shared" si="188"/>
        <v>29</v>
      </c>
      <c r="T63" s="19">
        <f t="shared" si="189"/>
        <v>2.1223650000000003</v>
      </c>
      <c r="U63" s="21">
        <f t="shared" si="190"/>
        <v>0</v>
      </c>
      <c r="V63" s="19">
        <f t="shared" si="191"/>
        <v>0</v>
      </c>
    </row>
    <row r="64" spans="1:22">
      <c r="A64" s="26" t="s">
        <v>13</v>
      </c>
      <c r="B64" s="26" t="s">
        <v>36</v>
      </c>
      <c r="C64" s="30">
        <v>6.97</v>
      </c>
      <c r="D64" s="27">
        <v>11.5</v>
      </c>
      <c r="E64" s="28">
        <v>34</v>
      </c>
      <c r="F64" s="16">
        <f t="shared" si="183"/>
        <v>2.7252700000000001</v>
      </c>
      <c r="G64" s="17"/>
      <c r="H64" s="18">
        <v>23</v>
      </c>
      <c r="I64" s="19">
        <f t="shared" si="184"/>
        <v>1.8435650000000001</v>
      </c>
      <c r="J64" s="16"/>
      <c r="K64" s="18">
        <v>11</v>
      </c>
      <c r="L64" s="19">
        <f t="shared" si="185"/>
        <v>0.88170500000000007</v>
      </c>
      <c r="M64" s="16"/>
      <c r="N64" s="18"/>
      <c r="O64" s="19">
        <f t="shared" si="186"/>
        <v>0</v>
      </c>
      <c r="P64" s="16"/>
      <c r="Q64" s="18"/>
      <c r="R64" s="19">
        <f t="shared" si="187"/>
        <v>0</v>
      </c>
      <c r="S64" s="20">
        <f t="shared" si="188"/>
        <v>34</v>
      </c>
      <c r="T64" s="19">
        <f t="shared" si="189"/>
        <v>2.7252700000000001</v>
      </c>
      <c r="U64" s="21">
        <f t="shared" si="190"/>
        <v>0</v>
      </c>
      <c r="V64" s="19">
        <f t="shared" si="191"/>
        <v>0</v>
      </c>
    </row>
    <row r="65" spans="1:22">
      <c r="A65" s="26" t="s">
        <v>13</v>
      </c>
      <c r="B65" s="26" t="s">
        <v>36</v>
      </c>
      <c r="C65" s="30">
        <v>6.97</v>
      </c>
      <c r="D65" s="27">
        <v>12</v>
      </c>
      <c r="E65" s="28">
        <v>45</v>
      </c>
      <c r="F65" s="16">
        <f t="shared" si="183"/>
        <v>3.7638000000000003</v>
      </c>
      <c r="G65" s="17"/>
      <c r="H65" s="18">
        <v>7</v>
      </c>
      <c r="I65" s="19">
        <f t="shared" si="184"/>
        <v>0.58548</v>
      </c>
      <c r="J65" s="16"/>
      <c r="K65" s="18">
        <f>18+20</f>
        <v>38</v>
      </c>
      <c r="L65" s="19">
        <f t="shared" si="185"/>
        <v>3.1783200000000003</v>
      </c>
      <c r="M65" s="16"/>
      <c r="N65" s="18"/>
      <c r="O65" s="19">
        <f t="shared" si="186"/>
        <v>0</v>
      </c>
      <c r="P65" s="16"/>
      <c r="Q65" s="18"/>
      <c r="R65" s="19">
        <f t="shared" si="187"/>
        <v>0</v>
      </c>
      <c r="S65" s="20">
        <f t="shared" si="188"/>
        <v>45</v>
      </c>
      <c r="T65" s="19">
        <f t="shared" si="189"/>
        <v>3.7638000000000003</v>
      </c>
      <c r="U65" s="21">
        <f t="shared" si="190"/>
        <v>0</v>
      </c>
      <c r="V65" s="19">
        <f t="shared" si="191"/>
        <v>0</v>
      </c>
    </row>
    <row r="66" spans="1:22">
      <c r="A66" s="36"/>
      <c r="B66" s="36"/>
      <c r="C66" s="37"/>
      <c r="D66" s="38"/>
      <c r="E66" s="31">
        <f t="shared" ref="E66:F66" si="192">SUM(E62:E65)</f>
        <v>142</v>
      </c>
      <c r="F66" s="38">
        <f t="shared" si="192"/>
        <v>10.673161</v>
      </c>
      <c r="G66" s="17"/>
      <c r="H66" s="31">
        <f t="shared" ref="H66" si="193">SUM(H62:H65)</f>
        <v>59</v>
      </c>
      <c r="I66" s="38">
        <f t="shared" ref="I66" si="194">SUM(I62:I65)</f>
        <v>4.3632200000000001</v>
      </c>
      <c r="J66" s="16"/>
      <c r="K66" s="31">
        <f t="shared" ref="K66" si="195">SUM(K62:K65)</f>
        <v>83</v>
      </c>
      <c r="L66" s="38">
        <f t="shared" ref="L66" si="196">SUM(L62:L65)</f>
        <v>6.3099410000000002</v>
      </c>
      <c r="M66" s="16"/>
      <c r="N66" s="31">
        <f t="shared" ref="N66" si="197">SUM(N62:N65)</f>
        <v>0</v>
      </c>
      <c r="O66" s="38">
        <f t="shared" ref="O66" si="198">SUM(O62:O65)</f>
        <v>0</v>
      </c>
      <c r="P66" s="16"/>
      <c r="Q66" s="31">
        <f t="shared" ref="Q66" si="199">SUM(Q62:Q65)</f>
        <v>0</v>
      </c>
      <c r="R66" s="38">
        <f t="shared" ref="R66" si="200">SUM(R62:R65)</f>
        <v>0</v>
      </c>
      <c r="S66" s="31">
        <f t="shared" ref="S66" si="201">SUM(S62:S65)</f>
        <v>142</v>
      </c>
      <c r="T66" s="38">
        <f t="shared" ref="T66" si="202">SUM(T62:T65)</f>
        <v>10.673161</v>
      </c>
      <c r="U66" s="31">
        <f t="shared" ref="U66" si="203">SUM(U62:U65)</f>
        <v>0</v>
      </c>
      <c r="V66" s="38">
        <f t="shared" ref="V66" si="204">SUM(V62:V65)</f>
        <v>0</v>
      </c>
    </row>
    <row r="67" spans="1:22">
      <c r="A67" s="26" t="s">
        <v>13</v>
      </c>
      <c r="B67" s="26" t="s">
        <v>26</v>
      </c>
      <c r="C67" s="30">
        <v>8.3000000000000007</v>
      </c>
      <c r="D67" s="27">
        <v>9</v>
      </c>
      <c r="E67" s="28">
        <v>37</v>
      </c>
      <c r="F67" s="16">
        <f t="shared" ref="F67:F71" si="205">(C67*D67*E67/1000)</f>
        <v>2.7639</v>
      </c>
      <c r="G67" s="17" t="s">
        <v>86</v>
      </c>
      <c r="H67" s="18"/>
      <c r="I67" s="19">
        <f t="shared" ref="I67:I71" si="206">(C67*D67*H67/1000)</f>
        <v>0</v>
      </c>
      <c r="J67" s="16" t="s">
        <v>114</v>
      </c>
      <c r="K67" s="18">
        <v>34</v>
      </c>
      <c r="L67" s="19">
        <f t="shared" ref="L67:L71" si="207">(C67*D67*K67/1000)</f>
        <v>2.5398000000000001</v>
      </c>
      <c r="M67" s="16" t="s">
        <v>150</v>
      </c>
      <c r="N67" s="18">
        <v>3</v>
      </c>
      <c r="O67" s="19">
        <f t="shared" ref="O67:O71" si="208">(C67*D67*N67/1000)</f>
        <v>0.22410000000000002</v>
      </c>
      <c r="P67" s="16"/>
      <c r="Q67" s="18"/>
      <c r="R67" s="19">
        <f t="shared" ref="R67:R71" si="209">(C67*D67*Q67/1000)</f>
        <v>0</v>
      </c>
      <c r="S67" s="20">
        <f t="shared" ref="S67:S71" si="210">+H67+K67+Q67+N67</f>
        <v>37</v>
      </c>
      <c r="T67" s="19">
        <f t="shared" ref="T67:T71" si="211">+I67+L67+R67+O67</f>
        <v>2.7639</v>
      </c>
      <c r="U67" s="21">
        <f t="shared" ref="U67:U71" si="212">E67-S67</f>
        <v>0</v>
      </c>
      <c r="V67" s="19">
        <f t="shared" ref="V67:V71" si="213">F67-T67</f>
        <v>0</v>
      </c>
    </row>
    <row r="68" spans="1:22">
      <c r="A68" s="26" t="s">
        <v>13</v>
      </c>
      <c r="B68" s="26" t="s">
        <v>26</v>
      </c>
      <c r="C68" s="30">
        <v>8.3000000000000007</v>
      </c>
      <c r="D68" s="27">
        <v>11</v>
      </c>
      <c r="E68" s="28">
        <v>26</v>
      </c>
      <c r="F68" s="16">
        <f t="shared" si="205"/>
        <v>2.3738000000000001</v>
      </c>
      <c r="G68" s="17" t="s">
        <v>342</v>
      </c>
      <c r="H68" s="18"/>
      <c r="I68" s="19">
        <f t="shared" si="206"/>
        <v>0</v>
      </c>
      <c r="J68" s="16" t="s">
        <v>356</v>
      </c>
      <c r="K68" s="18">
        <v>22</v>
      </c>
      <c r="L68" s="19">
        <f t="shared" si="207"/>
        <v>2.0086000000000004</v>
      </c>
      <c r="M68" s="16" t="s">
        <v>417</v>
      </c>
      <c r="N68" s="18">
        <v>2</v>
      </c>
      <c r="O68" s="19">
        <f t="shared" si="208"/>
        <v>0.18260000000000001</v>
      </c>
      <c r="P68" s="16"/>
      <c r="Q68" s="18"/>
      <c r="R68" s="19">
        <f t="shared" si="209"/>
        <v>0</v>
      </c>
      <c r="S68" s="20">
        <f t="shared" si="210"/>
        <v>24</v>
      </c>
      <c r="T68" s="19">
        <f t="shared" si="211"/>
        <v>2.1912000000000003</v>
      </c>
      <c r="U68" s="21">
        <f t="shared" si="212"/>
        <v>2</v>
      </c>
      <c r="V68" s="19">
        <f t="shared" si="213"/>
        <v>0.18259999999999987</v>
      </c>
    </row>
    <row r="69" spans="1:22">
      <c r="A69" s="26" t="s">
        <v>13</v>
      </c>
      <c r="B69" s="26" t="s">
        <v>26</v>
      </c>
      <c r="C69" s="30">
        <v>8.3000000000000007</v>
      </c>
      <c r="D69" s="27">
        <v>11.1</v>
      </c>
      <c r="E69" s="28">
        <v>44</v>
      </c>
      <c r="F69" s="16">
        <f t="shared" si="205"/>
        <v>4.0537200000000002</v>
      </c>
      <c r="G69" s="17"/>
      <c r="H69" s="18">
        <v>28</v>
      </c>
      <c r="I69" s="19">
        <f t="shared" si="206"/>
        <v>2.5796400000000004</v>
      </c>
      <c r="J69" s="16"/>
      <c r="K69" s="18">
        <v>16</v>
      </c>
      <c r="L69" s="19">
        <f t="shared" si="207"/>
        <v>1.4740800000000001</v>
      </c>
      <c r="M69" s="16"/>
      <c r="N69" s="18"/>
      <c r="O69" s="19">
        <f t="shared" si="208"/>
        <v>0</v>
      </c>
      <c r="P69" s="16"/>
      <c r="Q69" s="18"/>
      <c r="R69" s="19">
        <f t="shared" si="209"/>
        <v>0</v>
      </c>
      <c r="S69" s="20">
        <f t="shared" si="210"/>
        <v>44</v>
      </c>
      <c r="T69" s="19">
        <f t="shared" si="211"/>
        <v>4.0537200000000002</v>
      </c>
      <c r="U69" s="21">
        <f t="shared" si="212"/>
        <v>0</v>
      </c>
      <c r="V69" s="19">
        <f t="shared" si="213"/>
        <v>0</v>
      </c>
    </row>
    <row r="70" spans="1:22">
      <c r="A70" s="26" t="s">
        <v>13</v>
      </c>
      <c r="B70" s="26" t="s">
        <v>26</v>
      </c>
      <c r="C70" s="30">
        <v>8.3000000000000007</v>
      </c>
      <c r="D70" s="27">
        <v>11.5</v>
      </c>
      <c r="E70" s="28">
        <v>6</v>
      </c>
      <c r="F70" s="16">
        <f t="shared" ref="F70" si="214">(C70*D70*E70/1000)</f>
        <v>0.5727000000000001</v>
      </c>
      <c r="G70" s="17"/>
      <c r="H70" s="18"/>
      <c r="I70" s="19">
        <f t="shared" ref="I70" si="215">(C70*D70*H70/1000)</f>
        <v>0</v>
      </c>
      <c r="J70" s="16"/>
      <c r="K70" s="18">
        <v>6</v>
      </c>
      <c r="L70" s="19">
        <f t="shared" ref="L70" si="216">(C70*D70*K70/1000)</f>
        <v>0.5727000000000001</v>
      </c>
      <c r="M70" s="16"/>
      <c r="N70" s="18"/>
      <c r="O70" s="19">
        <f t="shared" ref="O70" si="217">(C70*D70*N70/1000)</f>
        <v>0</v>
      </c>
      <c r="P70" s="16"/>
      <c r="Q70" s="18"/>
      <c r="R70" s="19">
        <f t="shared" ref="R70" si="218">(C70*D70*Q70/1000)</f>
        <v>0</v>
      </c>
      <c r="S70" s="20">
        <f t="shared" ref="S70" si="219">+H70+K70+Q70+N70</f>
        <v>6</v>
      </c>
      <c r="T70" s="19">
        <f t="shared" ref="T70" si="220">+I70+L70+R70+O70</f>
        <v>0.5727000000000001</v>
      </c>
      <c r="U70" s="21">
        <f t="shared" ref="U70" si="221">E70-S70</f>
        <v>0</v>
      </c>
      <c r="V70" s="19">
        <f t="shared" ref="V70" si="222">F70-T70</f>
        <v>0</v>
      </c>
    </row>
    <row r="71" spans="1:22">
      <c r="A71" s="26" t="s">
        <v>13</v>
      </c>
      <c r="B71" s="26" t="s">
        <v>26</v>
      </c>
      <c r="C71" s="30">
        <v>8.3000000000000007</v>
      </c>
      <c r="D71" s="27">
        <v>10</v>
      </c>
      <c r="E71" s="28"/>
      <c r="F71" s="16">
        <f t="shared" si="205"/>
        <v>0</v>
      </c>
      <c r="G71" s="17"/>
      <c r="H71" s="18"/>
      <c r="I71" s="19">
        <f t="shared" si="206"/>
        <v>0</v>
      </c>
      <c r="J71" s="16"/>
      <c r="K71" s="18"/>
      <c r="L71" s="19">
        <f t="shared" si="207"/>
        <v>0</v>
      </c>
      <c r="M71" s="16"/>
      <c r="N71" s="18">
        <v>3</v>
      </c>
      <c r="O71" s="19">
        <f t="shared" si="208"/>
        <v>0.249</v>
      </c>
      <c r="P71" s="16"/>
      <c r="Q71" s="18"/>
      <c r="R71" s="19">
        <f t="shared" si="209"/>
        <v>0</v>
      </c>
      <c r="S71" s="20">
        <f t="shared" si="210"/>
        <v>3</v>
      </c>
      <c r="T71" s="19">
        <f t="shared" si="211"/>
        <v>0.249</v>
      </c>
      <c r="U71" s="21">
        <f t="shared" si="212"/>
        <v>-3</v>
      </c>
      <c r="V71" s="19">
        <f t="shared" si="213"/>
        <v>-0.249</v>
      </c>
    </row>
    <row r="72" spans="1:22">
      <c r="A72" s="36"/>
      <c r="B72" s="36"/>
      <c r="C72" s="37"/>
      <c r="D72" s="38"/>
      <c r="E72" s="31">
        <f t="shared" ref="E72:F72" si="223">SUM(E67:E71)</f>
        <v>113</v>
      </c>
      <c r="F72" s="38">
        <f t="shared" si="223"/>
        <v>9.7641200000000001</v>
      </c>
      <c r="H72" s="31">
        <f t="shared" ref="H72" si="224">SUM(H67:H71)</f>
        <v>28</v>
      </c>
      <c r="I72" s="38">
        <f t="shared" ref="I72" si="225">SUM(I67:I71)</f>
        <v>2.5796400000000004</v>
      </c>
      <c r="K72" s="31">
        <f t="shared" ref="K72" si="226">SUM(K67:K71)</f>
        <v>78</v>
      </c>
      <c r="L72" s="38">
        <f t="shared" ref="L72" si="227">SUM(L67:L71)</f>
        <v>6.5951800000000009</v>
      </c>
      <c r="N72" s="31">
        <f t="shared" ref="N72" si="228">SUM(N67:N71)</f>
        <v>8</v>
      </c>
      <c r="O72" s="38">
        <f t="shared" ref="O72" si="229">SUM(O67:O71)</f>
        <v>0.65570000000000006</v>
      </c>
      <c r="Q72" s="31">
        <f t="shared" ref="Q72" si="230">SUM(Q67:Q71)</f>
        <v>0</v>
      </c>
      <c r="R72" s="38">
        <f t="shared" ref="R72" si="231">SUM(R67:R71)</f>
        <v>0</v>
      </c>
      <c r="S72" s="31">
        <f t="shared" ref="S72" si="232">SUM(S67:S71)</f>
        <v>114</v>
      </c>
      <c r="T72" s="38">
        <f t="shared" ref="T72" si="233">SUM(T67:T71)</f>
        <v>9.8305199999999999</v>
      </c>
      <c r="U72" s="31">
        <f t="shared" ref="U72" si="234">SUM(U67:U71)</f>
        <v>-1</v>
      </c>
      <c r="V72" s="38">
        <f t="shared" ref="V72" si="235">SUM(V67:V71)</f>
        <v>-6.6400000000000126E-2</v>
      </c>
    </row>
    <row r="73" spans="1:22">
      <c r="A73" s="33"/>
      <c r="B73" s="33"/>
      <c r="C73" s="34"/>
      <c r="D73" s="34"/>
      <c r="E73" s="34">
        <f t="shared" ref="E73:F73" si="236">SUM(E72,E66,E61,E51,E41,E36,E28,E13,E7)</f>
        <v>5095</v>
      </c>
      <c r="F73" s="35">
        <f t="shared" si="236"/>
        <v>365.20397299999996</v>
      </c>
      <c r="H73" s="34">
        <f t="shared" ref="H73" si="237">SUM(H72,H66,H61,H51,H41,H36,H28,H13,H7)</f>
        <v>1062</v>
      </c>
      <c r="I73" s="35">
        <f t="shared" ref="I73" si="238">SUM(I72,I66,I61,I51,I41,I36,I28,I13,I7)</f>
        <v>68.753160999999992</v>
      </c>
      <c r="K73" s="34">
        <f t="shared" ref="K73" si="239">SUM(K72,K66,K61,K51,K41,K36,K28,K13,K7)</f>
        <v>2048</v>
      </c>
      <c r="L73" s="35">
        <f t="shared" ref="L73" si="240">SUM(L72,L66,L61,L51,L41,L36,L28,L13,L7)</f>
        <v>148.87985249999997</v>
      </c>
      <c r="N73" s="34">
        <f t="shared" ref="N73" si="241">SUM(N72,N66,N61,N51,N41,N36,N28,N13,N7)</f>
        <v>1572</v>
      </c>
      <c r="O73" s="35">
        <f t="shared" ref="O73" si="242">SUM(O72,O66,O61,O51,O41,O36,O28,O13,O7)</f>
        <v>117.56651099999999</v>
      </c>
      <c r="Q73" s="34">
        <f t="shared" ref="Q73" si="243">SUM(Q72,Q66,Q61,Q51,Q41,Q36,Q28,Q13,Q7)</f>
        <v>372</v>
      </c>
      <c r="R73" s="35">
        <f t="shared" ref="R73" si="244">SUM(R72,R66,R61,R51,R41,R36,R28,R13,R7)</f>
        <v>26.229060499999996</v>
      </c>
      <c r="S73" s="34">
        <f t="shared" ref="S73" si="245">SUM(S72,S66,S61,S51,S41,S36,S28,S13,S7)</f>
        <v>5054</v>
      </c>
      <c r="T73" s="35">
        <f t="shared" ref="T73" si="246">SUM(T72,T66,T61,T51,T41,T36,T28,T13,T7)</f>
        <v>361.428585</v>
      </c>
      <c r="U73" s="34">
        <f t="shared" ref="U73" si="247">SUM(U72,U66,U61,U51,U41,U36,U28,U13,U7)</f>
        <v>41</v>
      </c>
      <c r="V73" s="35">
        <f t="shared" ref="V73" si="248">SUM(V72,V66,V61,V51,V41,V36,V28,V13,V7)</f>
        <v>3.7753880000000004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65"/>
  <dimension ref="A1:X75"/>
  <sheetViews>
    <sheetView zoomScale="75" zoomScaleNormal="75" workbookViewId="0">
      <pane ySplit="5" topLeftCell="A12" activePane="bottomLeft" state="frozen"/>
      <selection pane="bottomLeft" activeCell="N11" sqref="N1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LOI-643  03.08.23</v>
      </c>
      <c r="D1" s="1"/>
      <c r="E1" s="2"/>
      <c r="F1" s="2"/>
      <c r="G1" s="143" t="s">
        <v>334</v>
      </c>
      <c r="H1" s="144"/>
      <c r="I1" s="145" t="s">
        <v>339</v>
      </c>
      <c r="J1" s="144"/>
      <c r="K1" s="3"/>
      <c r="L1" s="4"/>
      <c r="M1" s="4"/>
      <c r="N1" s="3"/>
      <c r="O1" s="4"/>
      <c r="P1" s="146" t="str">
        <f>+F2</f>
        <v>LOI-643  03.08.23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242</v>
      </c>
      <c r="B2" s="8"/>
      <c r="C2" s="9"/>
      <c r="D2" s="9"/>
      <c r="E2" s="10"/>
      <c r="F2" s="146" t="s">
        <v>338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LOI-643  03.08.23</v>
      </c>
      <c r="V2" s="146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6.2</v>
      </c>
      <c r="E6" s="28">
        <v>58</v>
      </c>
      <c r="F6" s="16">
        <f>(C6*D6*E6/1000)</f>
        <v>3.3298959999999997</v>
      </c>
      <c r="G6" s="17" t="s">
        <v>295</v>
      </c>
      <c r="H6" s="18">
        <v>27</v>
      </c>
      <c r="I6" s="19">
        <f>(C6*D6*H6/1000)</f>
        <v>1.5501240000000001</v>
      </c>
      <c r="J6" s="17" t="s">
        <v>455</v>
      </c>
      <c r="K6" s="18">
        <v>21</v>
      </c>
      <c r="L6" s="19">
        <f>(C6*D6*K6/1000)</f>
        <v>1.2056519999999999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48</v>
      </c>
      <c r="T6" s="19">
        <f>+I6+L6+R6+O6</f>
        <v>2.755776</v>
      </c>
      <c r="U6" s="21">
        <f>E6-S6</f>
        <v>10</v>
      </c>
      <c r="V6" s="19">
        <f>F6-T6</f>
        <v>0.57411999999999974</v>
      </c>
      <c r="X6" s="29"/>
    </row>
    <row r="7" spans="1:24">
      <c r="A7" s="36"/>
      <c r="B7" s="36"/>
      <c r="C7" s="37"/>
      <c r="D7" s="38"/>
      <c r="E7" s="31">
        <f t="shared" ref="E7:F7" si="0">SUM(E6)</f>
        <v>58</v>
      </c>
      <c r="F7" s="38">
        <f t="shared" si="0"/>
        <v>3.3298959999999997</v>
      </c>
      <c r="G7" s="17" t="s">
        <v>401</v>
      </c>
      <c r="H7" s="31">
        <f t="shared" ref="H7" si="1">SUM(H6)</f>
        <v>27</v>
      </c>
      <c r="I7" s="38">
        <f t="shared" ref="I7" si="2">SUM(I6)</f>
        <v>1.5501240000000001</v>
      </c>
      <c r="J7" s="17" t="s">
        <v>605</v>
      </c>
      <c r="K7" s="31">
        <f t="shared" ref="K7" si="3">SUM(K6)</f>
        <v>21</v>
      </c>
      <c r="L7" s="38">
        <f t="shared" ref="L7" si="4">SUM(L6)</f>
        <v>1.2056519999999999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48</v>
      </c>
      <c r="T7" s="38">
        <f t="shared" ref="T7" si="10">SUM(T6)</f>
        <v>2.755776</v>
      </c>
      <c r="U7" s="31">
        <f t="shared" ref="U7" si="11">SUM(U6)</f>
        <v>10</v>
      </c>
      <c r="V7" s="38">
        <f t="shared" ref="V7" si="12">SUM(V6)</f>
        <v>0.57411999999999974</v>
      </c>
      <c r="X7" s="29"/>
    </row>
    <row r="8" spans="1:24">
      <c r="A8" s="26" t="s">
        <v>13</v>
      </c>
      <c r="B8" s="26" t="s">
        <v>174</v>
      </c>
      <c r="C8" s="30">
        <v>5.37</v>
      </c>
      <c r="D8" s="27">
        <v>10</v>
      </c>
      <c r="E8" s="28">
        <v>95</v>
      </c>
      <c r="F8" s="16">
        <f t="shared" ref="F8:F12" si="13">(C8*D8*E8/1000)</f>
        <v>5.1014999999999997</v>
      </c>
      <c r="G8" s="16" t="s">
        <v>93</v>
      </c>
      <c r="H8" s="18">
        <v>40</v>
      </c>
      <c r="I8" s="19">
        <f t="shared" ref="I8:I12" si="14">(C8*D8*H8/1000)</f>
        <v>2.1480000000000001</v>
      </c>
      <c r="J8" s="16" t="s">
        <v>295</v>
      </c>
      <c r="K8" s="18">
        <f>36+19</f>
        <v>55</v>
      </c>
      <c r="L8" s="19">
        <f t="shared" ref="L8:L12" si="15">(C8*D8*K8/1000)</f>
        <v>2.9535</v>
      </c>
      <c r="M8" s="16" t="s">
        <v>455</v>
      </c>
      <c r="N8" s="18"/>
      <c r="O8" s="19">
        <f t="shared" ref="O8:O12" si="16">(C8*D8*N8/1000)</f>
        <v>0</v>
      </c>
      <c r="P8" s="16"/>
      <c r="Q8" s="18"/>
      <c r="R8" s="19">
        <f t="shared" ref="R8:R12" si="17">(C8*D8*Q8/1000)</f>
        <v>0</v>
      </c>
      <c r="S8" s="20">
        <f t="shared" ref="S8:S12" si="18">+H8+K8+Q8+N8</f>
        <v>95</v>
      </c>
      <c r="T8" s="19">
        <f t="shared" ref="T8:T12" si="19">+I8+L8+R8+O8</f>
        <v>5.1014999999999997</v>
      </c>
      <c r="U8" s="21">
        <f t="shared" ref="U8:U12" si="20">E8-S8</f>
        <v>0</v>
      </c>
      <c r="V8" s="19">
        <f t="shared" ref="V8:V12" si="21">F8-T8</f>
        <v>0</v>
      </c>
      <c r="X8" s="29"/>
    </row>
    <row r="9" spans="1:24">
      <c r="A9" s="26" t="s">
        <v>13</v>
      </c>
      <c r="B9" s="26" t="s">
        <v>174</v>
      </c>
      <c r="C9" s="30">
        <v>5.37</v>
      </c>
      <c r="D9" s="27">
        <v>10.5</v>
      </c>
      <c r="E9" s="28">
        <v>3</v>
      </c>
      <c r="F9" s="16">
        <f t="shared" si="13"/>
        <v>0.169155</v>
      </c>
      <c r="G9" s="16" t="s">
        <v>421</v>
      </c>
      <c r="H9" s="18"/>
      <c r="I9" s="19">
        <f t="shared" si="14"/>
        <v>0</v>
      </c>
      <c r="J9" s="16" t="s">
        <v>421</v>
      </c>
      <c r="K9" s="18"/>
      <c r="L9" s="19">
        <f t="shared" si="15"/>
        <v>0</v>
      </c>
      <c r="M9" s="16" t="s">
        <v>614</v>
      </c>
      <c r="N9" s="18"/>
      <c r="O9" s="19">
        <f t="shared" si="16"/>
        <v>0</v>
      </c>
      <c r="P9" s="16"/>
      <c r="Q9" s="18"/>
      <c r="R9" s="19">
        <f t="shared" si="17"/>
        <v>0</v>
      </c>
      <c r="S9" s="20">
        <f t="shared" si="18"/>
        <v>0</v>
      </c>
      <c r="T9" s="19">
        <f t="shared" si="19"/>
        <v>0</v>
      </c>
      <c r="U9" s="21">
        <f t="shared" si="20"/>
        <v>3</v>
      </c>
      <c r="V9" s="19">
        <f t="shared" si="21"/>
        <v>0.169155</v>
      </c>
    </row>
    <row r="10" spans="1:24">
      <c r="A10" s="26" t="s">
        <v>13</v>
      </c>
      <c r="B10" s="26" t="s">
        <v>174</v>
      </c>
      <c r="C10" s="30">
        <v>5.37</v>
      </c>
      <c r="D10" s="27">
        <v>11</v>
      </c>
      <c r="E10" s="28">
        <v>114</v>
      </c>
      <c r="F10" s="16">
        <f t="shared" si="13"/>
        <v>6.7339800000000007</v>
      </c>
      <c r="G10" s="17"/>
      <c r="H10" s="18"/>
      <c r="I10" s="19">
        <f t="shared" si="14"/>
        <v>0</v>
      </c>
      <c r="J10" s="16"/>
      <c r="K10" s="18">
        <v>92</v>
      </c>
      <c r="L10" s="19">
        <f t="shared" si="15"/>
        <v>5.4344399999999995</v>
      </c>
      <c r="M10" s="16"/>
      <c r="N10" s="18">
        <v>16</v>
      </c>
      <c r="O10" s="19">
        <f t="shared" si="16"/>
        <v>0.94511999999999996</v>
      </c>
      <c r="P10" s="16"/>
      <c r="Q10" s="18"/>
      <c r="R10" s="19">
        <f t="shared" si="17"/>
        <v>0</v>
      </c>
      <c r="S10" s="20">
        <f t="shared" si="18"/>
        <v>108</v>
      </c>
      <c r="T10" s="19">
        <f t="shared" si="19"/>
        <v>6.3795599999999997</v>
      </c>
      <c r="U10" s="21">
        <f t="shared" si="20"/>
        <v>6</v>
      </c>
      <c r="V10" s="19">
        <f t="shared" si="21"/>
        <v>0.35442000000000107</v>
      </c>
    </row>
    <row r="11" spans="1:24">
      <c r="A11" s="26" t="s">
        <v>13</v>
      </c>
      <c r="B11" s="26" t="s">
        <v>174</v>
      </c>
      <c r="C11" s="30">
        <v>5.37</v>
      </c>
      <c r="D11" s="27">
        <v>11.5</v>
      </c>
      <c r="E11" s="28">
        <v>57</v>
      </c>
      <c r="F11" s="16">
        <f t="shared" si="13"/>
        <v>3.5200350000000005</v>
      </c>
      <c r="G11" s="17"/>
      <c r="H11" s="18">
        <v>42</v>
      </c>
      <c r="I11" s="19">
        <f t="shared" si="14"/>
        <v>2.5937100000000002</v>
      </c>
      <c r="J11" s="16"/>
      <c r="K11" s="18"/>
      <c r="L11" s="19">
        <f t="shared" si="15"/>
        <v>0</v>
      </c>
      <c r="M11" s="16"/>
      <c r="N11" s="18" t="s">
        <v>82</v>
      </c>
      <c r="O11" s="19" t="e">
        <f t="shared" si="16"/>
        <v>#VALUE!</v>
      </c>
      <c r="P11" s="16"/>
      <c r="Q11" s="18"/>
      <c r="R11" s="19">
        <f t="shared" si="17"/>
        <v>0</v>
      </c>
      <c r="S11" s="20" t="e">
        <f t="shared" si="18"/>
        <v>#VALUE!</v>
      </c>
      <c r="T11" s="19" t="e">
        <f t="shared" si="19"/>
        <v>#VALUE!</v>
      </c>
      <c r="U11" s="21" t="e">
        <f t="shared" si="20"/>
        <v>#VALUE!</v>
      </c>
      <c r="V11" s="19" t="e">
        <f t="shared" si="21"/>
        <v>#VALUE!</v>
      </c>
    </row>
    <row r="12" spans="1:24">
      <c r="A12" s="26" t="s">
        <v>13</v>
      </c>
      <c r="B12" s="26" t="s">
        <v>174</v>
      </c>
      <c r="C12" s="30">
        <v>5.37</v>
      </c>
      <c r="D12" s="27">
        <v>12</v>
      </c>
      <c r="E12" s="28">
        <v>108</v>
      </c>
      <c r="F12" s="16">
        <f t="shared" si="13"/>
        <v>6.9595199999999995</v>
      </c>
      <c r="G12" s="17"/>
      <c r="H12" s="18"/>
      <c r="I12" s="19">
        <f t="shared" si="14"/>
        <v>0</v>
      </c>
      <c r="J12" s="16"/>
      <c r="K12" s="18">
        <v>112</v>
      </c>
      <c r="L12" s="19">
        <f t="shared" si="15"/>
        <v>7.2172799999999997</v>
      </c>
      <c r="M12" s="16"/>
      <c r="N12" s="18"/>
      <c r="O12" s="19">
        <f t="shared" si="16"/>
        <v>0</v>
      </c>
      <c r="P12" s="16"/>
      <c r="Q12" s="18"/>
      <c r="R12" s="19">
        <f t="shared" si="17"/>
        <v>0</v>
      </c>
      <c r="S12" s="20">
        <f t="shared" si="18"/>
        <v>112</v>
      </c>
      <c r="T12" s="19">
        <f t="shared" si="19"/>
        <v>7.2172799999999997</v>
      </c>
      <c r="U12" s="21">
        <f t="shared" si="20"/>
        <v>-4</v>
      </c>
      <c r="V12" s="19">
        <f t="shared" si="21"/>
        <v>-0.25776000000000021</v>
      </c>
    </row>
    <row r="13" spans="1:24">
      <c r="A13" s="36"/>
      <c r="B13" s="36"/>
      <c r="C13" s="37"/>
      <c r="D13" s="38"/>
      <c r="E13" s="31">
        <f t="shared" ref="E13:F13" si="22">SUM(E8:E12)</f>
        <v>377</v>
      </c>
      <c r="F13" s="38">
        <f t="shared" si="22"/>
        <v>22.484189999999998</v>
      </c>
      <c r="G13" s="17"/>
      <c r="H13" s="31">
        <f t="shared" ref="H13" si="23">SUM(H8:H12)</f>
        <v>82</v>
      </c>
      <c r="I13" s="38">
        <f t="shared" ref="I13" si="24">SUM(I8:I12)</f>
        <v>4.7417100000000003</v>
      </c>
      <c r="J13" s="16"/>
      <c r="K13" s="31">
        <f t="shared" ref="K13" si="25">SUM(K8:K12)</f>
        <v>259</v>
      </c>
      <c r="L13" s="38">
        <f t="shared" ref="L13" si="26">SUM(L8:L12)</f>
        <v>15.605219999999999</v>
      </c>
      <c r="M13" s="16"/>
      <c r="N13" s="31">
        <f t="shared" ref="N13" si="27">SUM(N8:N12)</f>
        <v>16</v>
      </c>
      <c r="O13" s="38" t="e">
        <f t="shared" ref="O13" si="28">SUM(O8:O12)</f>
        <v>#VALUE!</v>
      </c>
      <c r="P13" s="16"/>
      <c r="Q13" s="31">
        <f t="shared" ref="Q13" si="29">SUM(Q8:Q12)</f>
        <v>0</v>
      </c>
      <c r="R13" s="38">
        <f t="shared" ref="R13" si="30">SUM(R8:R12)</f>
        <v>0</v>
      </c>
      <c r="S13" s="31" t="e">
        <f t="shared" ref="S13" si="31">SUM(S8:S12)</f>
        <v>#VALUE!</v>
      </c>
      <c r="T13" s="38" t="e">
        <f t="shared" ref="T13" si="32">SUM(T8:T12)</f>
        <v>#VALUE!</v>
      </c>
      <c r="U13" s="31" t="e">
        <f t="shared" ref="U13" si="33">SUM(U8:U12)</f>
        <v>#VALUE!</v>
      </c>
      <c r="V13" s="38" t="e">
        <f t="shared" ref="V13" si="34">SUM(V8:V12)</f>
        <v>#VALUE!</v>
      </c>
    </row>
    <row r="14" spans="1:24">
      <c r="A14" s="26" t="s">
        <v>13</v>
      </c>
      <c r="B14" s="26" t="s">
        <v>181</v>
      </c>
      <c r="C14" s="30">
        <v>6.38</v>
      </c>
      <c r="D14" s="27">
        <v>10</v>
      </c>
      <c r="E14" s="28">
        <v>180</v>
      </c>
      <c r="F14" s="16">
        <f t="shared" ref="F14:F25" si="35">(C14*D14*E14/1000)</f>
        <v>11.484</v>
      </c>
      <c r="G14" s="17" t="s">
        <v>86</v>
      </c>
      <c r="H14" s="18"/>
      <c r="I14" s="19">
        <f t="shared" ref="I14:I25" si="36">(C14*D14*H14/1000)</f>
        <v>0</v>
      </c>
      <c r="J14" s="16" t="s">
        <v>111</v>
      </c>
      <c r="K14" s="18">
        <f>89+4</f>
        <v>93</v>
      </c>
      <c r="L14" s="19">
        <f t="shared" ref="L14:L25" si="37">(C14*D14*K14/1000)</f>
        <v>5.9333999999999998</v>
      </c>
      <c r="M14" s="17" t="s">
        <v>150</v>
      </c>
      <c r="N14" s="18">
        <v>31</v>
      </c>
      <c r="O14" s="19">
        <f t="shared" ref="O14:O25" si="38">(C14*D14*N14/1000)</f>
        <v>1.9778</v>
      </c>
      <c r="P14" s="16" t="s">
        <v>389</v>
      </c>
      <c r="Q14" s="18">
        <v>27</v>
      </c>
      <c r="R14" s="19">
        <f t="shared" ref="R14:R25" si="39">(C14*D14*Q14/1000)</f>
        <v>1.7225999999999999</v>
      </c>
      <c r="S14" s="20">
        <f t="shared" ref="S14:S25" si="40">+H14+K14+Q14+N14</f>
        <v>151</v>
      </c>
      <c r="T14" s="19">
        <f t="shared" ref="T14:T25" si="41">+I14+L14+R14+O14</f>
        <v>9.633799999999999</v>
      </c>
      <c r="U14" s="21">
        <f t="shared" ref="U14:U25" si="42">E14-S14</f>
        <v>29</v>
      </c>
      <c r="V14" s="19">
        <f t="shared" ref="V14:V25" si="43">F14-T14</f>
        <v>1.850200000000001</v>
      </c>
    </row>
    <row r="15" spans="1:24">
      <c r="A15" s="26" t="s">
        <v>13</v>
      </c>
      <c r="B15" s="26" t="s">
        <v>181</v>
      </c>
      <c r="C15" s="30">
        <v>6.38</v>
      </c>
      <c r="D15" s="27">
        <v>10.5</v>
      </c>
      <c r="E15" s="28">
        <v>291</v>
      </c>
      <c r="F15" s="16">
        <f t="shared" si="35"/>
        <v>19.49409</v>
      </c>
      <c r="G15" t="s">
        <v>610</v>
      </c>
      <c r="H15" s="18"/>
      <c r="I15" s="19">
        <f t="shared" si="36"/>
        <v>0</v>
      </c>
      <c r="J15" s="16" t="s">
        <v>609</v>
      </c>
      <c r="K15" s="18">
        <v>123</v>
      </c>
      <c r="L15" s="19">
        <f t="shared" si="37"/>
        <v>8.2397699999999983</v>
      </c>
      <c r="M15" s="17" t="s">
        <v>611</v>
      </c>
      <c r="N15" s="18">
        <f>24+130</f>
        <v>154</v>
      </c>
      <c r="O15" s="19">
        <f t="shared" si="38"/>
        <v>10.316459999999999</v>
      </c>
      <c r="P15" s="16" t="s">
        <v>615</v>
      </c>
      <c r="Q15" s="18"/>
      <c r="R15" s="19">
        <f t="shared" si="39"/>
        <v>0</v>
      </c>
      <c r="S15" s="20">
        <f t="shared" si="40"/>
        <v>277</v>
      </c>
      <c r="T15" s="19">
        <f t="shared" si="41"/>
        <v>18.556229999999999</v>
      </c>
      <c r="U15" s="21">
        <f t="shared" si="42"/>
        <v>14</v>
      </c>
      <c r="V15" s="19">
        <f t="shared" si="43"/>
        <v>0.93786000000000058</v>
      </c>
    </row>
    <row r="16" spans="1:24">
      <c r="A16" s="26" t="s">
        <v>13</v>
      </c>
      <c r="B16" s="26" t="s">
        <v>181</v>
      </c>
      <c r="C16" s="30">
        <v>6.38</v>
      </c>
      <c r="D16" s="27">
        <v>11</v>
      </c>
      <c r="E16" s="28">
        <v>259</v>
      </c>
      <c r="F16" s="16">
        <f t="shared" si="35"/>
        <v>18.17662</v>
      </c>
      <c r="G16" s="17"/>
      <c r="H16" s="18">
        <v>24</v>
      </c>
      <c r="I16" s="19">
        <f t="shared" si="36"/>
        <v>1.6843199999999998</v>
      </c>
      <c r="J16" s="16"/>
      <c r="K16" s="18">
        <f>80+46</f>
        <v>126</v>
      </c>
      <c r="L16" s="19">
        <f t="shared" si="37"/>
        <v>8.8426799999999979</v>
      </c>
      <c r="M16" s="16" t="s">
        <v>455</v>
      </c>
      <c r="N16" s="18">
        <v>109</v>
      </c>
      <c r="O16" s="19">
        <f t="shared" si="38"/>
        <v>7.6496199999999988</v>
      </c>
      <c r="P16" s="16"/>
      <c r="Q16" s="18"/>
      <c r="R16" s="19">
        <f t="shared" si="39"/>
        <v>0</v>
      </c>
      <c r="S16" s="20">
        <f t="shared" si="40"/>
        <v>259</v>
      </c>
      <c r="T16" s="19">
        <f t="shared" si="41"/>
        <v>18.176619999999996</v>
      </c>
      <c r="U16" s="21">
        <f t="shared" si="42"/>
        <v>0</v>
      </c>
      <c r="V16" s="19">
        <f t="shared" si="43"/>
        <v>0</v>
      </c>
    </row>
    <row r="17" spans="1:22">
      <c r="A17" s="26" t="s">
        <v>13</v>
      </c>
      <c r="B17" s="26" t="s">
        <v>181</v>
      </c>
      <c r="C17" s="30">
        <v>6.38</v>
      </c>
      <c r="D17" s="27">
        <v>11.5</v>
      </c>
      <c r="E17" s="28">
        <v>49</v>
      </c>
      <c r="F17" s="16">
        <f t="shared" si="35"/>
        <v>3.5951300000000002</v>
      </c>
      <c r="G17" s="17"/>
      <c r="H17" s="18">
        <v>2</v>
      </c>
      <c r="I17" s="19">
        <f t="shared" si="36"/>
        <v>0.14674000000000001</v>
      </c>
      <c r="J17" s="16"/>
      <c r="K17" s="18">
        <v>29</v>
      </c>
      <c r="L17" s="19">
        <f t="shared" si="37"/>
        <v>2.1277300000000001</v>
      </c>
      <c r="M17" s="16" t="s">
        <v>614</v>
      </c>
      <c r="N17" s="18">
        <v>15</v>
      </c>
      <c r="O17" s="19">
        <f t="shared" si="38"/>
        <v>1.1005500000000001</v>
      </c>
      <c r="P17" s="16"/>
      <c r="Q17" s="18"/>
      <c r="R17" s="19">
        <f t="shared" si="39"/>
        <v>0</v>
      </c>
      <c r="S17" s="20">
        <f t="shared" si="40"/>
        <v>46</v>
      </c>
      <c r="T17" s="19">
        <f t="shared" si="41"/>
        <v>3.3750200000000001</v>
      </c>
      <c r="U17" s="21">
        <f t="shared" si="42"/>
        <v>3</v>
      </c>
      <c r="V17" s="19">
        <f t="shared" si="43"/>
        <v>0.22011000000000003</v>
      </c>
    </row>
    <row r="18" spans="1:22">
      <c r="A18" s="26" t="s">
        <v>13</v>
      </c>
      <c r="B18" s="26" t="s">
        <v>181</v>
      </c>
      <c r="C18" s="30">
        <v>6.38</v>
      </c>
      <c r="D18" s="27">
        <v>12</v>
      </c>
      <c r="E18" s="28">
        <v>364</v>
      </c>
      <c r="F18" s="16">
        <f t="shared" ref="F18:F24" si="44">(C18*D18*E18/1000)</f>
        <v>27.867840000000001</v>
      </c>
      <c r="G18" s="17"/>
      <c r="H18" s="18">
        <v>46</v>
      </c>
      <c r="I18" s="19">
        <f t="shared" ref="I18:I24" si="45">(C18*D18*H18/1000)</f>
        <v>3.52176</v>
      </c>
      <c r="J18" s="16"/>
      <c r="K18" s="18">
        <v>55</v>
      </c>
      <c r="L18" s="19">
        <f t="shared" ref="L18:L24" si="46">(C18*D18*K18/1000)</f>
        <v>4.2107999999999999</v>
      </c>
      <c r="M18" s="16"/>
      <c r="N18" s="18">
        <f t="shared" ref="N18" si="47">159+75</f>
        <v>234</v>
      </c>
      <c r="O18" s="19">
        <f t="shared" ref="O18:O24" si="48">(C18*D18*N18/1000)</f>
        <v>17.915040000000001</v>
      </c>
      <c r="P18" s="16"/>
      <c r="Q18" s="18">
        <f>50+14</f>
        <v>64</v>
      </c>
      <c r="R18" s="19">
        <f t="shared" ref="R18:R24" si="49">(C18*D18*Q18/1000)</f>
        <v>4.8998400000000002</v>
      </c>
      <c r="S18" s="20">
        <f t="shared" ref="S18:S24" si="50">+H18+K18+Q18+N18</f>
        <v>399</v>
      </c>
      <c r="T18" s="19">
        <f t="shared" ref="T18:T24" si="51">+I18+L18+R18+O18</f>
        <v>30.547440000000002</v>
      </c>
      <c r="U18" s="21">
        <f t="shared" ref="U18:U24" si="52">E18-S18</f>
        <v>-35</v>
      </c>
      <c r="V18" s="19">
        <f t="shared" ref="V18:V24" si="53">F18-T18</f>
        <v>-2.6796000000000006</v>
      </c>
    </row>
    <row r="19" spans="1:22">
      <c r="A19" s="26" t="s">
        <v>13</v>
      </c>
      <c r="B19" s="26" t="s">
        <v>181</v>
      </c>
      <c r="C19" s="30">
        <v>6.38</v>
      </c>
      <c r="D19" s="27">
        <v>9.5</v>
      </c>
      <c r="E19" s="28"/>
      <c r="F19" s="16">
        <f t="shared" si="44"/>
        <v>0</v>
      </c>
      <c r="G19" s="17"/>
      <c r="H19" s="18"/>
      <c r="I19" s="19">
        <f t="shared" si="45"/>
        <v>0</v>
      </c>
      <c r="J19" s="16"/>
      <c r="K19" s="18"/>
      <c r="L19" s="19">
        <f t="shared" si="46"/>
        <v>0</v>
      </c>
      <c r="M19" s="16"/>
      <c r="N19" s="18"/>
      <c r="O19" s="19">
        <f t="shared" si="48"/>
        <v>0</v>
      </c>
      <c r="P19" s="16"/>
      <c r="Q19" s="18">
        <v>4</v>
      </c>
      <c r="R19" s="19">
        <f t="shared" si="49"/>
        <v>0.24243999999999999</v>
      </c>
      <c r="S19" s="20">
        <f t="shared" si="50"/>
        <v>4</v>
      </c>
      <c r="T19" s="19">
        <f t="shared" si="51"/>
        <v>0.24243999999999999</v>
      </c>
      <c r="U19" s="21">
        <f t="shared" si="52"/>
        <v>-4</v>
      </c>
      <c r="V19" s="19">
        <f t="shared" si="53"/>
        <v>-0.24243999999999999</v>
      </c>
    </row>
    <row r="20" spans="1:22">
      <c r="A20" s="26" t="s">
        <v>13</v>
      </c>
      <c r="B20" s="26" t="s">
        <v>181</v>
      </c>
      <c r="C20" s="30">
        <v>6.38</v>
      </c>
      <c r="D20" s="27">
        <v>9</v>
      </c>
      <c r="E20" s="28"/>
      <c r="F20" s="16">
        <f t="shared" si="44"/>
        <v>0</v>
      </c>
      <c r="G20" s="17"/>
      <c r="H20" s="18"/>
      <c r="I20" s="19">
        <f t="shared" si="45"/>
        <v>0</v>
      </c>
      <c r="J20" s="16"/>
      <c r="K20" s="18"/>
      <c r="L20" s="19">
        <f t="shared" si="46"/>
        <v>0</v>
      </c>
      <c r="M20" s="16"/>
      <c r="N20" s="18"/>
      <c r="O20" s="19">
        <f t="shared" si="48"/>
        <v>0</v>
      </c>
      <c r="P20" s="16"/>
      <c r="Q20" s="18">
        <v>1</v>
      </c>
      <c r="R20" s="19">
        <f t="shared" si="49"/>
        <v>5.7419999999999999E-2</v>
      </c>
      <c r="S20" s="20">
        <f t="shared" si="50"/>
        <v>1</v>
      </c>
      <c r="T20" s="19">
        <f t="shared" si="51"/>
        <v>5.7419999999999999E-2</v>
      </c>
      <c r="U20" s="21">
        <f t="shared" si="52"/>
        <v>-1</v>
      </c>
      <c r="V20" s="19">
        <f t="shared" si="53"/>
        <v>-5.7419999999999999E-2</v>
      </c>
    </row>
    <row r="21" spans="1:22">
      <c r="A21" s="26" t="s">
        <v>13</v>
      </c>
      <c r="B21" s="26" t="s">
        <v>181</v>
      </c>
      <c r="C21" s="30">
        <v>6.38</v>
      </c>
      <c r="D21" s="27">
        <v>10.199999999999999</v>
      </c>
      <c r="E21" s="28"/>
      <c r="F21" s="16">
        <f t="shared" si="44"/>
        <v>0</v>
      </c>
      <c r="G21" s="17"/>
      <c r="H21" s="18"/>
      <c r="I21" s="19">
        <f t="shared" si="45"/>
        <v>0</v>
      </c>
      <c r="J21" s="16"/>
      <c r="K21" s="18"/>
      <c r="L21" s="19">
        <f t="shared" si="46"/>
        <v>0</v>
      </c>
      <c r="M21" s="16"/>
      <c r="N21" s="18"/>
      <c r="O21" s="19">
        <f t="shared" si="48"/>
        <v>0</v>
      </c>
      <c r="P21" s="16"/>
      <c r="Q21" s="18">
        <v>1</v>
      </c>
      <c r="R21" s="19">
        <f t="shared" si="49"/>
        <v>6.5075999999999995E-2</v>
      </c>
      <c r="S21" s="20">
        <f t="shared" si="50"/>
        <v>1</v>
      </c>
      <c r="T21" s="19">
        <f t="shared" si="51"/>
        <v>6.5075999999999995E-2</v>
      </c>
      <c r="U21" s="21">
        <f t="shared" si="52"/>
        <v>-1</v>
      </c>
      <c r="V21" s="19">
        <f t="shared" si="53"/>
        <v>-6.5075999999999995E-2</v>
      </c>
    </row>
    <row r="22" spans="1:22">
      <c r="A22" s="26" t="s">
        <v>13</v>
      </c>
      <c r="B22" s="26" t="s">
        <v>181</v>
      </c>
      <c r="C22" s="30">
        <v>6.38</v>
      </c>
      <c r="D22" s="27">
        <v>10.5</v>
      </c>
      <c r="E22" s="28"/>
      <c r="F22" s="16">
        <f t="shared" si="44"/>
        <v>0</v>
      </c>
      <c r="G22" s="17"/>
      <c r="H22" s="18"/>
      <c r="I22" s="19">
        <f t="shared" si="45"/>
        <v>0</v>
      </c>
      <c r="J22" s="16"/>
      <c r="K22" s="18"/>
      <c r="L22" s="19">
        <f t="shared" si="46"/>
        <v>0</v>
      </c>
      <c r="M22" s="16"/>
      <c r="N22" s="18"/>
      <c r="O22" s="19">
        <f t="shared" si="48"/>
        <v>0</v>
      </c>
      <c r="P22" s="16"/>
      <c r="Q22" s="18">
        <v>1</v>
      </c>
      <c r="R22" s="19">
        <f t="shared" si="49"/>
        <v>6.6989999999999994E-2</v>
      </c>
      <c r="S22" s="20">
        <f t="shared" si="50"/>
        <v>1</v>
      </c>
      <c r="T22" s="19">
        <f t="shared" si="51"/>
        <v>6.6989999999999994E-2</v>
      </c>
      <c r="U22" s="21">
        <f t="shared" si="52"/>
        <v>-1</v>
      </c>
      <c r="V22" s="19">
        <f t="shared" si="53"/>
        <v>-6.6989999999999994E-2</v>
      </c>
    </row>
    <row r="23" spans="1:22">
      <c r="A23" s="26" t="s">
        <v>13</v>
      </c>
      <c r="B23" s="26" t="s">
        <v>181</v>
      </c>
      <c r="C23" s="30">
        <v>6.38</v>
      </c>
      <c r="D23" s="27">
        <v>10.9</v>
      </c>
      <c r="E23" s="28"/>
      <c r="F23" s="16">
        <f t="shared" si="44"/>
        <v>0</v>
      </c>
      <c r="G23" s="17"/>
      <c r="H23" s="18"/>
      <c r="I23" s="19">
        <f t="shared" si="45"/>
        <v>0</v>
      </c>
      <c r="J23" s="16"/>
      <c r="K23" s="18"/>
      <c r="L23" s="19">
        <f t="shared" si="46"/>
        <v>0</v>
      </c>
      <c r="M23" s="16"/>
      <c r="N23" s="18"/>
      <c r="O23" s="19">
        <f t="shared" si="48"/>
        <v>0</v>
      </c>
      <c r="P23" s="16"/>
      <c r="Q23" s="18">
        <v>1</v>
      </c>
      <c r="R23" s="19">
        <f t="shared" si="49"/>
        <v>6.9542000000000007E-2</v>
      </c>
      <c r="S23" s="20">
        <f t="shared" si="50"/>
        <v>1</v>
      </c>
      <c r="T23" s="19">
        <f t="shared" si="51"/>
        <v>6.9542000000000007E-2</v>
      </c>
      <c r="U23" s="21">
        <f t="shared" si="52"/>
        <v>-1</v>
      </c>
      <c r="V23" s="19">
        <f t="shared" si="53"/>
        <v>-6.9542000000000007E-2</v>
      </c>
    </row>
    <row r="24" spans="1:22">
      <c r="A24" s="26" t="s">
        <v>13</v>
      </c>
      <c r="B24" s="26" t="s">
        <v>181</v>
      </c>
      <c r="C24" s="30">
        <v>6.38</v>
      </c>
      <c r="D24" s="27">
        <v>11</v>
      </c>
      <c r="E24" s="28"/>
      <c r="F24" s="16">
        <f t="shared" si="44"/>
        <v>0</v>
      </c>
      <c r="G24" s="17"/>
      <c r="H24" s="18"/>
      <c r="I24" s="19">
        <f t="shared" si="45"/>
        <v>0</v>
      </c>
      <c r="J24" s="16"/>
      <c r="K24" s="18"/>
      <c r="L24" s="19">
        <f t="shared" si="46"/>
        <v>0</v>
      </c>
      <c r="M24" s="16"/>
      <c r="N24" s="18"/>
      <c r="O24" s="19">
        <f t="shared" si="48"/>
        <v>0</v>
      </c>
      <c r="P24" s="16"/>
      <c r="Q24" s="18">
        <v>2</v>
      </c>
      <c r="R24" s="19">
        <f t="shared" si="49"/>
        <v>0.14035999999999998</v>
      </c>
      <c r="S24" s="20">
        <f t="shared" si="50"/>
        <v>2</v>
      </c>
      <c r="T24" s="19">
        <f t="shared" si="51"/>
        <v>0.14035999999999998</v>
      </c>
      <c r="U24" s="21">
        <f t="shared" si="52"/>
        <v>-2</v>
      </c>
      <c r="V24" s="19">
        <f t="shared" si="53"/>
        <v>-0.14035999999999998</v>
      </c>
    </row>
    <row r="25" spans="1:22">
      <c r="A25" s="26" t="s">
        <v>13</v>
      </c>
      <c r="B25" s="26" t="s">
        <v>181</v>
      </c>
      <c r="C25" s="30">
        <v>6.38</v>
      </c>
      <c r="D25" s="27">
        <v>11.5</v>
      </c>
      <c r="E25" s="28"/>
      <c r="F25" s="16">
        <f t="shared" si="35"/>
        <v>0</v>
      </c>
      <c r="G25" s="17"/>
      <c r="H25" s="18"/>
      <c r="I25" s="19">
        <f t="shared" si="36"/>
        <v>0</v>
      </c>
      <c r="J25" s="16"/>
      <c r="K25" s="18"/>
      <c r="L25" s="19">
        <f t="shared" si="37"/>
        <v>0</v>
      </c>
      <c r="M25" s="16"/>
      <c r="N25" s="18"/>
      <c r="O25" s="19">
        <f t="shared" si="38"/>
        <v>0</v>
      </c>
      <c r="P25" s="16"/>
      <c r="Q25" s="18">
        <v>1</v>
      </c>
      <c r="R25" s="19">
        <f t="shared" si="39"/>
        <v>7.3370000000000005E-2</v>
      </c>
      <c r="S25" s="20">
        <f t="shared" si="40"/>
        <v>1</v>
      </c>
      <c r="T25" s="19">
        <f t="shared" si="41"/>
        <v>7.3370000000000005E-2</v>
      </c>
      <c r="U25" s="21">
        <f t="shared" si="42"/>
        <v>-1</v>
      </c>
      <c r="V25" s="19">
        <f t="shared" si="43"/>
        <v>-7.3370000000000005E-2</v>
      </c>
    </row>
    <row r="26" spans="1:22">
      <c r="A26" s="36"/>
      <c r="B26" s="36"/>
      <c r="C26" s="37"/>
      <c r="D26" s="38"/>
      <c r="E26" s="31">
        <f t="shared" ref="E26:F26" si="54">SUM(E14:E25)</f>
        <v>1143</v>
      </c>
      <c r="F26" s="38">
        <f t="shared" si="54"/>
        <v>80.617680000000007</v>
      </c>
      <c r="G26" s="17"/>
      <c r="H26" s="31">
        <f t="shared" ref="H26" si="55">SUM(H14:H25)</f>
        <v>72</v>
      </c>
      <c r="I26" s="38">
        <f t="shared" ref="I26" si="56">SUM(I14:I25)</f>
        <v>5.3528199999999995</v>
      </c>
      <c r="J26" s="16"/>
      <c r="K26" s="31">
        <f t="shared" ref="K26" si="57">SUM(K14:K25)</f>
        <v>426</v>
      </c>
      <c r="L26" s="38">
        <f t="shared" ref="L26" si="58">SUM(L14:L25)</f>
        <v>29.354379999999995</v>
      </c>
      <c r="M26" s="16"/>
      <c r="N26" s="31">
        <f t="shared" ref="N26" si="59">SUM(N14:N25)</f>
        <v>543</v>
      </c>
      <c r="O26" s="38">
        <f t="shared" ref="O26" si="60">SUM(O14:O25)</f>
        <v>38.959469999999996</v>
      </c>
      <c r="P26" s="16"/>
      <c r="Q26" s="31">
        <f>SUM(Q14:Q25)</f>
        <v>102</v>
      </c>
      <c r="R26" s="38">
        <f>SUM(R14:R25)</f>
        <v>7.3376380000000001</v>
      </c>
      <c r="S26" s="31">
        <f t="shared" ref="S26" si="61">SUM(S14:S25)</f>
        <v>1143</v>
      </c>
      <c r="T26" s="38">
        <f t="shared" ref="T26" si="62">SUM(T14:T25)</f>
        <v>81.004307999999995</v>
      </c>
      <c r="U26" s="31">
        <f t="shared" ref="U26" si="63">SUM(U14:U25)</f>
        <v>0</v>
      </c>
      <c r="V26" s="38">
        <f t="shared" ref="V26" si="64">SUM(V14:V25)</f>
        <v>-0.38662799999999903</v>
      </c>
    </row>
    <row r="27" spans="1:22">
      <c r="A27" s="26" t="s">
        <v>13</v>
      </c>
      <c r="B27" s="26" t="s">
        <v>35</v>
      </c>
      <c r="C27" s="30">
        <v>6.85</v>
      </c>
      <c r="D27" s="27">
        <v>10</v>
      </c>
      <c r="E27" s="28">
        <v>104</v>
      </c>
      <c r="F27" s="16">
        <f t="shared" ref="F27:F30" si="65">(C27*D27*E27/1000)</f>
        <v>7.1239999999999997</v>
      </c>
      <c r="G27" s="101" t="s">
        <v>93</v>
      </c>
      <c r="H27" s="18">
        <f>34+5</f>
        <v>39</v>
      </c>
      <c r="I27" s="19">
        <f t="shared" ref="I27:I30" si="66">(C27*D27*H27/1000)</f>
        <v>2.6715</v>
      </c>
      <c r="J27" s="17" t="s">
        <v>86</v>
      </c>
      <c r="K27" s="18">
        <v>50</v>
      </c>
      <c r="L27" s="19">
        <f t="shared" ref="L27:L30" si="67">(C27*D27*K27/1000)</f>
        <v>3.4249999999999998</v>
      </c>
      <c r="M27" s="16" t="s">
        <v>205</v>
      </c>
      <c r="N27" s="18">
        <v>5</v>
      </c>
      <c r="O27" s="19">
        <f t="shared" ref="O27:O30" si="68">(C27*D27*N27/1000)</f>
        <v>0.34250000000000003</v>
      </c>
      <c r="P27" s="17" t="s">
        <v>455</v>
      </c>
      <c r="Q27" s="18">
        <v>2</v>
      </c>
      <c r="R27" s="19">
        <f t="shared" ref="R27:R30" si="69">(C27*D27*Q27/1000)</f>
        <v>0.13700000000000001</v>
      </c>
      <c r="S27" s="20">
        <f t="shared" ref="S27:S30" si="70">+H27+K27+Q27+N27</f>
        <v>96</v>
      </c>
      <c r="T27" s="19">
        <f t="shared" ref="T27:T30" si="71">+I27+L27+R27+O27</f>
        <v>6.5759999999999996</v>
      </c>
      <c r="U27" s="21">
        <f t="shared" ref="U27:U30" si="72">E27-S27</f>
        <v>8</v>
      </c>
      <c r="V27" s="19">
        <f t="shared" ref="V27:V30" si="73">F27-T27</f>
        <v>0.54800000000000004</v>
      </c>
    </row>
    <row r="28" spans="1:22">
      <c r="A28" s="26" t="s">
        <v>13</v>
      </c>
      <c r="B28" s="26" t="s">
        <v>35</v>
      </c>
      <c r="C28" s="30">
        <v>6.85</v>
      </c>
      <c r="D28" s="27">
        <v>11</v>
      </c>
      <c r="E28" s="28">
        <v>4</v>
      </c>
      <c r="F28" s="16">
        <f t="shared" si="65"/>
        <v>0.3014</v>
      </c>
      <c r="G28" s="101" t="s">
        <v>474</v>
      </c>
      <c r="H28" s="18">
        <v>2</v>
      </c>
      <c r="I28" s="19">
        <f t="shared" si="66"/>
        <v>0.1507</v>
      </c>
      <c r="J28" s="17" t="s">
        <v>480</v>
      </c>
      <c r="K28" s="18"/>
      <c r="L28" s="19">
        <f t="shared" si="67"/>
        <v>0</v>
      </c>
      <c r="M28" s="16" t="s">
        <v>487</v>
      </c>
      <c r="N28" s="18">
        <v>2</v>
      </c>
      <c r="O28" s="19">
        <f t="shared" si="68"/>
        <v>0.1507</v>
      </c>
      <c r="P28" s="17" t="s">
        <v>613</v>
      </c>
      <c r="Q28" s="18"/>
      <c r="R28" s="19">
        <f t="shared" si="69"/>
        <v>0</v>
      </c>
      <c r="S28" s="20">
        <f t="shared" si="70"/>
        <v>4</v>
      </c>
      <c r="T28" s="19">
        <f t="shared" si="71"/>
        <v>0.3014</v>
      </c>
      <c r="U28" s="21">
        <f t="shared" si="72"/>
        <v>0</v>
      </c>
      <c r="V28" s="19">
        <f t="shared" si="73"/>
        <v>0</v>
      </c>
    </row>
    <row r="29" spans="1:22">
      <c r="A29" s="26" t="s">
        <v>13</v>
      </c>
      <c r="B29" s="26" t="s">
        <v>35</v>
      </c>
      <c r="C29" s="30">
        <v>6.85</v>
      </c>
      <c r="D29" s="27">
        <v>11.5</v>
      </c>
      <c r="E29" s="28">
        <v>588</v>
      </c>
      <c r="F29" s="16">
        <f t="shared" si="65"/>
        <v>46.319699999999997</v>
      </c>
      <c r="G29" s="17"/>
      <c r="H29" s="18">
        <v>89</v>
      </c>
      <c r="I29" s="19">
        <f t="shared" si="66"/>
        <v>7.0109749999999993</v>
      </c>
      <c r="J29" s="16"/>
      <c r="K29" s="18">
        <v>29</v>
      </c>
      <c r="L29" s="19">
        <f t="shared" si="67"/>
        <v>2.284475</v>
      </c>
      <c r="M29" s="16" t="s">
        <v>89</v>
      </c>
      <c r="N29" s="18">
        <f>205+14+194</f>
        <v>413</v>
      </c>
      <c r="O29" s="19">
        <f t="shared" si="68"/>
        <v>32.534074999999994</v>
      </c>
      <c r="P29" s="17"/>
      <c r="Q29" s="18">
        <v>21</v>
      </c>
      <c r="R29" s="19">
        <f t="shared" si="69"/>
        <v>1.6542749999999999</v>
      </c>
      <c r="S29" s="20">
        <f t="shared" si="70"/>
        <v>552</v>
      </c>
      <c r="T29" s="19">
        <f t="shared" si="71"/>
        <v>43.483799999999995</v>
      </c>
      <c r="U29" s="21">
        <f t="shared" si="72"/>
        <v>36</v>
      </c>
      <c r="V29" s="19">
        <f t="shared" si="73"/>
        <v>2.8359000000000023</v>
      </c>
    </row>
    <row r="30" spans="1:22">
      <c r="A30" s="26" t="s">
        <v>13</v>
      </c>
      <c r="B30" s="26" t="s">
        <v>35</v>
      </c>
      <c r="C30" s="30">
        <v>6.85</v>
      </c>
      <c r="D30" s="27">
        <v>12</v>
      </c>
      <c r="E30" s="28">
        <v>352</v>
      </c>
      <c r="F30" s="16">
        <f t="shared" si="65"/>
        <v>28.934399999999993</v>
      </c>
      <c r="G30" s="17"/>
      <c r="H30" s="18">
        <v>269</v>
      </c>
      <c r="I30" s="19">
        <f t="shared" si="66"/>
        <v>22.111799999999995</v>
      </c>
      <c r="J30" s="16"/>
      <c r="K30" s="18">
        <v>70</v>
      </c>
      <c r="L30" s="19">
        <f t="shared" si="67"/>
        <v>5.7539999999999987</v>
      </c>
      <c r="M30" s="16" t="s">
        <v>491</v>
      </c>
      <c r="N30" s="18">
        <v>9</v>
      </c>
      <c r="O30" s="19">
        <f t="shared" si="68"/>
        <v>0.7397999999999999</v>
      </c>
      <c r="P30" s="17"/>
      <c r="Q30" s="18"/>
      <c r="R30" s="19">
        <f t="shared" si="69"/>
        <v>0</v>
      </c>
      <c r="S30" s="20">
        <f t="shared" si="70"/>
        <v>348</v>
      </c>
      <c r="T30" s="19">
        <f t="shared" si="71"/>
        <v>28.605599999999992</v>
      </c>
      <c r="U30" s="21">
        <f t="shared" si="72"/>
        <v>4</v>
      </c>
      <c r="V30" s="19">
        <f t="shared" si="73"/>
        <v>0.32880000000000109</v>
      </c>
    </row>
    <row r="31" spans="1:22">
      <c r="A31" s="36"/>
      <c r="B31" s="36"/>
      <c r="C31" s="37"/>
      <c r="D31" s="38"/>
      <c r="E31" s="31">
        <f t="shared" ref="E31:F31" si="74">SUM(E27:E30)</f>
        <v>1048</v>
      </c>
      <c r="F31" s="38">
        <f t="shared" si="74"/>
        <v>82.67949999999999</v>
      </c>
      <c r="G31" s="17"/>
      <c r="H31" s="31">
        <f t="shared" ref="H31" si="75">SUM(H27:H30)</f>
        <v>399</v>
      </c>
      <c r="I31" s="38">
        <f t="shared" ref="I31" si="76">SUM(I27:I30)</f>
        <v>31.944974999999992</v>
      </c>
      <c r="J31" s="16"/>
      <c r="K31" s="31">
        <f t="shared" ref="K31" si="77">SUM(K27:K30)</f>
        <v>149</v>
      </c>
      <c r="L31" s="38">
        <f t="shared" ref="L31" si="78">SUM(L27:L30)</f>
        <v>11.463474999999999</v>
      </c>
      <c r="M31" s="16"/>
      <c r="N31" s="31">
        <f t="shared" ref="N31" si="79">SUM(N27:N30)</f>
        <v>429</v>
      </c>
      <c r="O31" s="38">
        <f t="shared" ref="O31" si="80">SUM(O27:O30)</f>
        <v>33.767074999999998</v>
      </c>
      <c r="P31" s="16"/>
      <c r="Q31" s="31">
        <f t="shared" ref="Q31" si="81">SUM(Q27:Q30)</f>
        <v>23</v>
      </c>
      <c r="R31" s="38">
        <f t="shared" ref="R31" si="82">SUM(R27:R30)</f>
        <v>1.791275</v>
      </c>
      <c r="S31" s="31">
        <f t="shared" ref="S31" si="83">SUM(S27:S30)</f>
        <v>1000</v>
      </c>
      <c r="T31" s="38">
        <f t="shared" ref="T31" si="84">SUM(T27:T30)</f>
        <v>78.966799999999992</v>
      </c>
      <c r="U31" s="31">
        <f t="shared" ref="U31" si="85">SUM(U27:U30)</f>
        <v>48</v>
      </c>
      <c r="V31" s="38">
        <f t="shared" ref="V31" si="86">SUM(V27:V30)</f>
        <v>3.7127000000000034</v>
      </c>
    </row>
    <row r="32" spans="1:22">
      <c r="A32" s="26" t="s">
        <v>13</v>
      </c>
      <c r="B32" s="26" t="s">
        <v>58</v>
      </c>
      <c r="C32" s="30">
        <v>7.34</v>
      </c>
      <c r="D32" s="27">
        <v>10</v>
      </c>
      <c r="E32" s="28">
        <v>302</v>
      </c>
      <c r="F32" s="16">
        <f t="shared" ref="F32:F42" si="87">(C32*D32*E32/1000)</f>
        <v>22.166800000000002</v>
      </c>
      <c r="G32" s="17" t="s">
        <v>89</v>
      </c>
      <c r="H32" s="18">
        <v>6</v>
      </c>
      <c r="I32" s="19">
        <f t="shared" ref="I32:I42" si="88">(C32*D32*H32/1000)</f>
        <v>0.44040000000000001</v>
      </c>
      <c r="J32" s="16" t="s">
        <v>86</v>
      </c>
      <c r="K32" s="18">
        <f>44+34+145</f>
        <v>223</v>
      </c>
      <c r="L32" s="19">
        <f t="shared" ref="L32:L42" si="89">(C32*D32*K32/1000)</f>
        <v>16.368200000000002</v>
      </c>
      <c r="M32" s="16" t="s">
        <v>89</v>
      </c>
      <c r="N32" s="18">
        <v>39</v>
      </c>
      <c r="O32" s="19">
        <f t="shared" ref="O32:O42" si="90">(C32*D32*N32/1000)</f>
        <v>2.8626000000000005</v>
      </c>
      <c r="P32" s="16" t="s">
        <v>389</v>
      </c>
      <c r="Q32" s="18"/>
      <c r="R32" s="19">
        <f t="shared" ref="R32:R42" si="91">(C32*D32*Q32/1000)</f>
        <v>0</v>
      </c>
      <c r="S32" s="20">
        <f t="shared" ref="S32:S42" si="92">+H32+K32+Q32+N32</f>
        <v>268</v>
      </c>
      <c r="T32" s="19">
        <f t="shared" ref="T32:T42" si="93">+I32+L32+R32+O32</f>
        <v>19.671200000000002</v>
      </c>
      <c r="U32" s="21">
        <f t="shared" ref="U32:U42" si="94">E32-S32</f>
        <v>34</v>
      </c>
      <c r="V32" s="19">
        <f t="shared" ref="V32:V42" si="95">F32-T32</f>
        <v>2.4955999999999996</v>
      </c>
    </row>
    <row r="33" spans="1:22">
      <c r="A33" s="26" t="s">
        <v>13</v>
      </c>
      <c r="B33" s="26" t="s">
        <v>58</v>
      </c>
      <c r="C33" s="30">
        <v>7.34</v>
      </c>
      <c r="D33" s="27">
        <v>10.5</v>
      </c>
      <c r="E33" s="28">
        <v>566</v>
      </c>
      <c r="F33" s="16">
        <f t="shared" si="87"/>
        <v>43.621619999999993</v>
      </c>
      <c r="G33" s="17" t="s">
        <v>483</v>
      </c>
      <c r="H33" s="18">
        <v>13</v>
      </c>
      <c r="I33" s="19">
        <f t="shared" si="88"/>
        <v>1.0019099999999999</v>
      </c>
      <c r="J33" s="16" t="s">
        <v>486</v>
      </c>
      <c r="K33" s="18">
        <f>47+64+45+367</f>
        <v>523</v>
      </c>
      <c r="L33" s="19">
        <f t="shared" si="89"/>
        <v>40.307609999999997</v>
      </c>
      <c r="M33" s="16" t="s">
        <v>491</v>
      </c>
      <c r="N33" s="18">
        <v>23</v>
      </c>
      <c r="O33" s="19">
        <f t="shared" si="90"/>
        <v>1.7726099999999998</v>
      </c>
      <c r="P33" s="16" t="s">
        <v>615</v>
      </c>
      <c r="Q33" s="18"/>
      <c r="R33" s="19">
        <f t="shared" si="91"/>
        <v>0</v>
      </c>
      <c r="S33" s="20">
        <f t="shared" si="92"/>
        <v>559</v>
      </c>
      <c r="T33" s="19">
        <f t="shared" si="93"/>
        <v>43.082129999999999</v>
      </c>
      <c r="U33" s="21">
        <f t="shared" si="94"/>
        <v>7</v>
      </c>
      <c r="V33" s="19">
        <f t="shared" si="95"/>
        <v>0.53948999999999359</v>
      </c>
    </row>
    <row r="34" spans="1:22">
      <c r="A34" s="26" t="s">
        <v>13</v>
      </c>
      <c r="B34" s="26" t="s">
        <v>58</v>
      </c>
      <c r="C34" s="30">
        <v>7.34</v>
      </c>
      <c r="D34" s="27">
        <v>11</v>
      </c>
      <c r="E34" s="28">
        <v>168</v>
      </c>
      <c r="F34" s="16">
        <f t="shared" si="87"/>
        <v>13.56432</v>
      </c>
      <c r="G34" s="17"/>
      <c r="H34" s="18">
        <v>29</v>
      </c>
      <c r="I34" s="19">
        <f t="shared" si="88"/>
        <v>2.3414600000000001</v>
      </c>
      <c r="J34" s="16" t="s">
        <v>295</v>
      </c>
      <c r="K34" s="18">
        <f>44+73</f>
        <v>117</v>
      </c>
      <c r="L34" s="19">
        <f t="shared" si="89"/>
        <v>9.4465799999999991</v>
      </c>
      <c r="M34" s="16" t="s">
        <v>107</v>
      </c>
      <c r="N34" s="18">
        <v>20</v>
      </c>
      <c r="O34" s="19">
        <f t="shared" si="90"/>
        <v>1.6148</v>
      </c>
      <c r="P34" s="16"/>
      <c r="Q34" s="18"/>
      <c r="R34" s="19">
        <f t="shared" si="91"/>
        <v>0</v>
      </c>
      <c r="S34" s="20">
        <f t="shared" si="92"/>
        <v>166</v>
      </c>
      <c r="T34" s="19">
        <f t="shared" si="93"/>
        <v>13.402839999999999</v>
      </c>
      <c r="U34" s="21">
        <f t="shared" si="94"/>
        <v>2</v>
      </c>
      <c r="V34" s="19">
        <f t="shared" si="95"/>
        <v>0.16148000000000096</v>
      </c>
    </row>
    <row r="35" spans="1:22">
      <c r="A35" s="26" t="s">
        <v>13</v>
      </c>
      <c r="B35" s="26" t="s">
        <v>58</v>
      </c>
      <c r="C35" s="30">
        <v>7.34</v>
      </c>
      <c r="D35" s="27">
        <v>11.3</v>
      </c>
      <c r="E35" s="28">
        <v>5</v>
      </c>
      <c r="F35" s="16">
        <f t="shared" si="87"/>
        <v>0.41471000000000002</v>
      </c>
      <c r="G35" s="17"/>
      <c r="H35" s="18"/>
      <c r="I35" s="19">
        <f t="shared" si="88"/>
        <v>0</v>
      </c>
      <c r="J35" s="16" t="s">
        <v>486</v>
      </c>
      <c r="K35" s="18">
        <v>5</v>
      </c>
      <c r="L35" s="19">
        <f t="shared" si="89"/>
        <v>0.41471000000000002</v>
      </c>
      <c r="M35" s="16" t="s">
        <v>607</v>
      </c>
      <c r="N35" s="18"/>
      <c r="O35" s="19">
        <f t="shared" si="90"/>
        <v>0</v>
      </c>
      <c r="P35" s="16"/>
      <c r="Q35" s="18"/>
      <c r="R35" s="19">
        <f t="shared" si="91"/>
        <v>0</v>
      </c>
      <c r="S35" s="20">
        <f t="shared" si="92"/>
        <v>5</v>
      </c>
      <c r="T35" s="19">
        <f t="shared" si="93"/>
        <v>0.41471000000000002</v>
      </c>
      <c r="U35" s="21">
        <f t="shared" si="94"/>
        <v>0</v>
      </c>
      <c r="V35" s="19">
        <f t="shared" si="95"/>
        <v>0</v>
      </c>
    </row>
    <row r="36" spans="1:22">
      <c r="A36" s="26" t="s">
        <v>13</v>
      </c>
      <c r="B36" s="26" t="s">
        <v>58</v>
      </c>
      <c r="C36" s="30">
        <v>7.34</v>
      </c>
      <c r="D36" s="27">
        <v>11.5</v>
      </c>
      <c r="E36" s="28">
        <v>310</v>
      </c>
      <c r="F36" s="16">
        <f t="shared" si="87"/>
        <v>26.167099999999998</v>
      </c>
      <c r="G36" s="17"/>
      <c r="H36" s="18">
        <v>53</v>
      </c>
      <c r="I36" s="19">
        <f t="shared" si="88"/>
        <v>4.4737299999999998</v>
      </c>
      <c r="J36" s="16" t="s">
        <v>93</v>
      </c>
      <c r="K36" s="18">
        <f>48+140</f>
        <v>188</v>
      </c>
      <c r="L36" s="19">
        <f t="shared" si="89"/>
        <v>15.86908</v>
      </c>
      <c r="M36" s="16"/>
      <c r="N36" s="18">
        <f>60+8</f>
        <v>68</v>
      </c>
      <c r="O36" s="19">
        <f t="shared" si="90"/>
        <v>5.7398800000000003</v>
      </c>
      <c r="P36" s="16"/>
      <c r="Q36" s="18">
        <v>7</v>
      </c>
      <c r="R36" s="19">
        <f t="shared" si="91"/>
        <v>0.59087000000000001</v>
      </c>
      <c r="S36" s="20">
        <f t="shared" si="92"/>
        <v>316</v>
      </c>
      <c r="T36" s="19">
        <f t="shared" si="93"/>
        <v>26.673559999999998</v>
      </c>
      <c r="U36" s="21">
        <f t="shared" si="94"/>
        <v>-6</v>
      </c>
      <c r="V36" s="19">
        <f t="shared" si="95"/>
        <v>-0.50646000000000058</v>
      </c>
    </row>
    <row r="37" spans="1:22">
      <c r="A37" s="26" t="s">
        <v>13</v>
      </c>
      <c r="B37" s="26" t="s">
        <v>58</v>
      </c>
      <c r="C37" s="30">
        <v>7.34</v>
      </c>
      <c r="D37" s="27">
        <v>11.7</v>
      </c>
      <c r="E37" s="28">
        <v>36</v>
      </c>
      <c r="F37" s="16">
        <f t="shared" si="87"/>
        <v>3.0916080000000004</v>
      </c>
      <c r="G37" s="17"/>
      <c r="H37" s="18">
        <v>7</v>
      </c>
      <c r="I37" s="19">
        <f t="shared" si="88"/>
        <v>0.60114599999999996</v>
      </c>
      <c r="J37" s="16" t="s">
        <v>487</v>
      </c>
      <c r="K37" s="18">
        <v>11</v>
      </c>
      <c r="L37" s="19">
        <f t="shared" si="89"/>
        <v>0.944658</v>
      </c>
      <c r="M37" s="16"/>
      <c r="N37" s="18">
        <v>12</v>
      </c>
      <c r="O37" s="19">
        <f t="shared" si="90"/>
        <v>1.0305360000000001</v>
      </c>
      <c r="P37" s="16"/>
      <c r="Q37" s="18"/>
      <c r="R37" s="19">
        <f t="shared" si="91"/>
        <v>0</v>
      </c>
      <c r="S37" s="20">
        <f t="shared" si="92"/>
        <v>30</v>
      </c>
      <c r="T37" s="19">
        <f t="shared" si="93"/>
        <v>2.5763400000000001</v>
      </c>
      <c r="U37" s="21">
        <f t="shared" si="94"/>
        <v>6</v>
      </c>
      <c r="V37" s="19">
        <f t="shared" si="95"/>
        <v>0.51526800000000028</v>
      </c>
    </row>
    <row r="38" spans="1:22">
      <c r="A38" s="26" t="s">
        <v>13</v>
      </c>
      <c r="B38" s="26" t="s">
        <v>58</v>
      </c>
      <c r="C38" s="30">
        <v>7.34</v>
      </c>
      <c r="D38" s="27">
        <v>12</v>
      </c>
      <c r="E38" s="28">
        <v>187</v>
      </c>
      <c r="F38" s="16">
        <f t="shared" ref="F38:F41" si="96">(C38*D38*E38/1000)</f>
        <v>16.470959999999998</v>
      </c>
      <c r="G38" s="17"/>
      <c r="H38" s="18">
        <v>26</v>
      </c>
      <c r="I38" s="19">
        <f t="shared" ref="I38:I41" si="97">(C38*D38*H38/1000)</f>
        <v>2.2900800000000001</v>
      </c>
      <c r="J38" s="16"/>
      <c r="K38" s="18">
        <f t="shared" ref="K38" si="98">69+72</f>
        <v>141</v>
      </c>
      <c r="L38" s="19">
        <f t="shared" ref="L38:L41" si="99">(C38*D38*K38/1000)</f>
        <v>12.419280000000001</v>
      </c>
      <c r="M38" s="16"/>
      <c r="N38" s="18">
        <f t="shared" ref="N38" si="100">20+1</f>
        <v>21</v>
      </c>
      <c r="O38" s="19">
        <f t="shared" ref="O38:O41" si="101">(C38*D38*N38/1000)</f>
        <v>1.84968</v>
      </c>
      <c r="P38" s="16"/>
      <c r="Q38" s="18">
        <v>34</v>
      </c>
      <c r="R38" s="19">
        <f t="shared" ref="R38:R41" si="102">(C38*D38*Q38/1000)</f>
        <v>2.9947199999999996</v>
      </c>
      <c r="S38" s="20">
        <f t="shared" ref="S38:S41" si="103">+H38+K38+Q38+N38</f>
        <v>222</v>
      </c>
      <c r="T38" s="19">
        <f t="shared" ref="T38:T41" si="104">+I38+L38+R38+O38</f>
        <v>19.55376</v>
      </c>
      <c r="U38" s="21">
        <f t="shared" ref="U38:U41" si="105">E38-S38</f>
        <v>-35</v>
      </c>
      <c r="V38" s="19">
        <f t="shared" ref="V38:V41" si="106">F38-T38</f>
        <v>-3.0828000000000024</v>
      </c>
    </row>
    <row r="39" spans="1:22">
      <c r="A39" s="26" t="s">
        <v>13</v>
      </c>
      <c r="B39" s="26" t="s">
        <v>58</v>
      </c>
      <c r="C39" s="30">
        <v>7.34</v>
      </c>
      <c r="D39" s="27">
        <v>10.8</v>
      </c>
      <c r="E39" s="28"/>
      <c r="F39" s="16">
        <f t="shared" si="96"/>
        <v>0</v>
      </c>
      <c r="G39" s="17"/>
      <c r="H39" s="18"/>
      <c r="I39" s="19">
        <f t="shared" si="97"/>
        <v>0</v>
      </c>
      <c r="J39" s="16"/>
      <c r="K39" s="18"/>
      <c r="L39" s="19">
        <f t="shared" si="99"/>
        <v>0</v>
      </c>
      <c r="M39" s="16"/>
      <c r="N39" s="18"/>
      <c r="O39" s="19">
        <f t="shared" si="101"/>
        <v>0</v>
      </c>
      <c r="P39" s="16"/>
      <c r="Q39" s="18">
        <v>1</v>
      </c>
      <c r="R39" s="19">
        <f t="shared" si="102"/>
        <v>7.9272000000000009E-2</v>
      </c>
      <c r="S39" s="20">
        <f t="shared" si="103"/>
        <v>1</v>
      </c>
      <c r="T39" s="19">
        <f t="shared" si="104"/>
        <v>7.9272000000000009E-2</v>
      </c>
      <c r="U39" s="21">
        <f t="shared" si="105"/>
        <v>-1</v>
      </c>
      <c r="V39" s="19">
        <f t="shared" si="106"/>
        <v>-7.9272000000000009E-2</v>
      </c>
    </row>
    <row r="40" spans="1:22">
      <c r="A40" s="26" t="s">
        <v>13</v>
      </c>
      <c r="B40" s="26" t="s">
        <v>58</v>
      </c>
      <c r="C40" s="30">
        <v>7.34</v>
      </c>
      <c r="D40" s="27">
        <v>9.8000000000000007</v>
      </c>
      <c r="E40" s="28"/>
      <c r="F40" s="16">
        <f t="shared" si="96"/>
        <v>0</v>
      </c>
      <c r="G40" s="17"/>
      <c r="H40" s="18"/>
      <c r="I40" s="19">
        <f t="shared" si="97"/>
        <v>0</v>
      </c>
      <c r="J40" s="16"/>
      <c r="K40" s="18"/>
      <c r="L40" s="19">
        <f t="shared" si="99"/>
        <v>0</v>
      </c>
      <c r="M40" s="16"/>
      <c r="N40" s="18"/>
      <c r="O40" s="19">
        <f t="shared" si="101"/>
        <v>0</v>
      </c>
      <c r="P40" s="16"/>
      <c r="Q40" s="18">
        <v>2</v>
      </c>
      <c r="R40" s="19">
        <f t="shared" si="102"/>
        <v>0.14386399999999999</v>
      </c>
      <c r="S40" s="20">
        <f t="shared" si="103"/>
        <v>2</v>
      </c>
      <c r="T40" s="19">
        <f t="shared" si="104"/>
        <v>0.14386399999999999</v>
      </c>
      <c r="U40" s="21">
        <f t="shared" si="105"/>
        <v>-2</v>
      </c>
      <c r="V40" s="19">
        <f t="shared" si="106"/>
        <v>-0.14386399999999999</v>
      </c>
    </row>
    <row r="41" spans="1:22">
      <c r="A41" s="26" t="s">
        <v>13</v>
      </c>
      <c r="B41" s="26" t="s">
        <v>58</v>
      </c>
      <c r="C41" s="30">
        <v>7.34</v>
      </c>
      <c r="D41" s="27">
        <v>9.5</v>
      </c>
      <c r="E41" s="28"/>
      <c r="F41" s="16">
        <f t="shared" si="96"/>
        <v>0</v>
      </c>
      <c r="G41" s="17"/>
      <c r="H41" s="18"/>
      <c r="I41" s="19">
        <f t="shared" si="97"/>
        <v>0</v>
      </c>
      <c r="J41" s="16"/>
      <c r="K41" s="18"/>
      <c r="L41" s="19">
        <f t="shared" si="99"/>
        <v>0</v>
      </c>
      <c r="M41" s="16"/>
      <c r="N41" s="18"/>
      <c r="O41" s="19">
        <f t="shared" si="101"/>
        <v>0</v>
      </c>
      <c r="P41" s="16"/>
      <c r="Q41" s="18">
        <v>3</v>
      </c>
      <c r="R41" s="19">
        <f t="shared" si="102"/>
        <v>0.20918999999999999</v>
      </c>
      <c r="S41" s="20">
        <f t="shared" si="103"/>
        <v>3</v>
      </c>
      <c r="T41" s="19">
        <f t="shared" si="104"/>
        <v>0.20918999999999999</v>
      </c>
      <c r="U41" s="21">
        <f t="shared" si="105"/>
        <v>-3</v>
      </c>
      <c r="V41" s="19">
        <f t="shared" si="106"/>
        <v>-0.20918999999999999</v>
      </c>
    </row>
    <row r="42" spans="1:22">
      <c r="A42" s="26" t="s">
        <v>13</v>
      </c>
      <c r="B42" s="26" t="s">
        <v>58</v>
      </c>
      <c r="C42" s="30">
        <v>7.34</v>
      </c>
      <c r="D42" s="27">
        <v>9.1999999999999993</v>
      </c>
      <c r="E42" s="28"/>
      <c r="F42" s="16">
        <f t="shared" si="87"/>
        <v>0</v>
      </c>
      <c r="G42" s="17"/>
      <c r="H42" s="18"/>
      <c r="I42" s="19">
        <f t="shared" si="88"/>
        <v>0</v>
      </c>
      <c r="J42" s="16"/>
      <c r="K42" s="18"/>
      <c r="L42" s="19">
        <f t="shared" si="89"/>
        <v>0</v>
      </c>
      <c r="M42" s="16"/>
      <c r="N42" s="18"/>
      <c r="O42" s="19">
        <f t="shared" si="90"/>
        <v>0</v>
      </c>
      <c r="P42" s="16"/>
      <c r="Q42" s="18">
        <v>1</v>
      </c>
      <c r="R42" s="19">
        <f t="shared" si="91"/>
        <v>6.7527999999999991E-2</v>
      </c>
      <c r="S42" s="20">
        <f t="shared" si="92"/>
        <v>1</v>
      </c>
      <c r="T42" s="19">
        <f t="shared" si="93"/>
        <v>6.7527999999999991E-2</v>
      </c>
      <c r="U42" s="21">
        <f t="shared" si="94"/>
        <v>-1</v>
      </c>
      <c r="V42" s="19">
        <f t="shared" si="95"/>
        <v>-6.7527999999999991E-2</v>
      </c>
    </row>
    <row r="43" spans="1:22">
      <c r="A43" s="36"/>
      <c r="B43" s="36"/>
      <c r="C43" s="37"/>
      <c r="D43" s="38"/>
      <c r="E43" s="31">
        <f t="shared" ref="E43:F43" si="107">SUM(E32:E42)</f>
        <v>1574</v>
      </c>
      <c r="F43" s="38">
        <f t="shared" si="107"/>
        <v>125.497118</v>
      </c>
      <c r="G43" s="17"/>
      <c r="H43" s="31">
        <f t="shared" ref="H43" si="108">SUM(H32:H42)</f>
        <v>134</v>
      </c>
      <c r="I43" s="38">
        <f t="shared" ref="I43" si="109">SUM(I32:I42)</f>
        <v>11.148726</v>
      </c>
      <c r="J43" s="16"/>
      <c r="K43" s="31">
        <f t="shared" ref="K43" si="110">SUM(K32:K42)</f>
        <v>1208</v>
      </c>
      <c r="L43" s="38">
        <f t="shared" ref="L43" si="111">SUM(L32:L42)</f>
        <v>95.770117999999997</v>
      </c>
      <c r="M43" s="16"/>
      <c r="N43" s="31">
        <f t="shared" ref="N43" si="112">SUM(N32:N42)</f>
        <v>183</v>
      </c>
      <c r="O43" s="38">
        <f t="shared" ref="O43" si="113">SUM(O32:O42)</f>
        <v>14.870106</v>
      </c>
      <c r="P43" s="16"/>
      <c r="Q43" s="31">
        <f t="shared" ref="Q43" si="114">SUM(Q32:Q42)</f>
        <v>48</v>
      </c>
      <c r="R43" s="38">
        <f t="shared" ref="R43" si="115">SUM(R32:R42)</f>
        <v>4.0854439999999999</v>
      </c>
      <c r="S43" s="31">
        <f t="shared" ref="S43" si="116">SUM(S32:S42)</f>
        <v>1573</v>
      </c>
      <c r="T43" s="38">
        <f t="shared" ref="T43" si="117">SUM(T32:T42)</f>
        <v>125.874394</v>
      </c>
      <c r="U43" s="31">
        <f t="shared" ref="U43" si="118">SUM(U32:U42)</f>
        <v>1</v>
      </c>
      <c r="V43" s="38">
        <f t="shared" ref="V43" si="119">SUM(V32:V42)</f>
        <v>-0.37727600000000855</v>
      </c>
    </row>
    <row r="44" spans="1:22">
      <c r="A44" s="26" t="s">
        <v>13</v>
      </c>
      <c r="B44" s="26" t="s">
        <v>26</v>
      </c>
      <c r="C44" s="30">
        <v>8.3000000000000007</v>
      </c>
      <c r="D44" s="27">
        <v>9</v>
      </c>
      <c r="E44" s="28">
        <v>55</v>
      </c>
      <c r="F44" s="16">
        <f t="shared" ref="F44:F47" si="120">(C44*D44*E44/1000)</f>
        <v>4.1085000000000003</v>
      </c>
      <c r="G44" s="17" t="s">
        <v>455</v>
      </c>
      <c r="H44" s="18"/>
      <c r="I44" s="19">
        <f t="shared" ref="I44:I47" si="121">(C44*D44*H44/1000)</f>
        <v>0</v>
      </c>
      <c r="J44" s="16" t="s">
        <v>107</v>
      </c>
      <c r="K44" s="18">
        <v>52</v>
      </c>
      <c r="L44" s="19">
        <f t="shared" ref="L44:L47" si="122">(C44*D44*K44/1000)</f>
        <v>3.8844000000000003</v>
      </c>
      <c r="M44" s="16"/>
      <c r="N44" s="18"/>
      <c r="O44" s="19">
        <f t="shared" ref="O44:O47" si="123">(C44*D44*N44/1000)</f>
        <v>0</v>
      </c>
      <c r="P44" s="16"/>
      <c r="Q44" s="18"/>
      <c r="R44" s="19">
        <f t="shared" ref="R44:R47" si="124">(C44*D44*Q44/1000)</f>
        <v>0</v>
      </c>
      <c r="S44" s="20">
        <f t="shared" ref="S44:S47" si="125">+H44+K44+Q44+N44</f>
        <v>52</v>
      </c>
      <c r="T44" s="19">
        <f t="shared" ref="T44:T47" si="126">+I44+L44+R44+O44</f>
        <v>3.8844000000000003</v>
      </c>
      <c r="U44" s="21">
        <f t="shared" ref="U44:U47" si="127">E44-S44</f>
        <v>3</v>
      </c>
      <c r="V44" s="19">
        <f t="shared" ref="V44:V47" si="128">F44-T44</f>
        <v>0.22409999999999997</v>
      </c>
    </row>
    <row r="45" spans="1:22">
      <c r="A45" s="26" t="s">
        <v>13</v>
      </c>
      <c r="B45" s="26" t="s">
        <v>26</v>
      </c>
      <c r="C45" s="30">
        <v>8.3000000000000007</v>
      </c>
      <c r="D45" s="27">
        <v>10.8</v>
      </c>
      <c r="E45" s="28">
        <v>4</v>
      </c>
      <c r="F45" s="16">
        <f t="shared" si="120"/>
        <v>0.35856000000000005</v>
      </c>
      <c r="G45" s="17" t="s">
        <v>605</v>
      </c>
      <c r="H45" s="18">
        <v>2</v>
      </c>
      <c r="I45" s="19">
        <f t="shared" si="121"/>
        <v>0.17928000000000002</v>
      </c>
      <c r="J45" s="16" t="s">
        <v>607</v>
      </c>
      <c r="K45" s="18"/>
      <c r="L45" s="19">
        <f t="shared" si="122"/>
        <v>0</v>
      </c>
      <c r="M45" s="16"/>
      <c r="N45" s="18"/>
      <c r="O45" s="19">
        <f t="shared" si="123"/>
        <v>0</v>
      </c>
      <c r="P45" s="16"/>
      <c r="Q45" s="18"/>
      <c r="R45" s="19">
        <f t="shared" si="124"/>
        <v>0</v>
      </c>
      <c r="S45" s="20">
        <f t="shared" si="125"/>
        <v>2</v>
      </c>
      <c r="T45" s="19">
        <f t="shared" si="126"/>
        <v>0.17928000000000002</v>
      </c>
      <c r="U45" s="21">
        <f t="shared" si="127"/>
        <v>2</v>
      </c>
      <c r="V45" s="19">
        <f t="shared" si="128"/>
        <v>0.17928000000000002</v>
      </c>
    </row>
    <row r="46" spans="1:22">
      <c r="A46" s="26" t="s">
        <v>13</v>
      </c>
      <c r="B46" s="26" t="s">
        <v>26</v>
      </c>
      <c r="C46" s="30">
        <v>8.3000000000000007</v>
      </c>
      <c r="D46" s="27">
        <v>11</v>
      </c>
      <c r="E46" s="28">
        <v>31</v>
      </c>
      <c r="F46" s="16">
        <f t="shared" si="120"/>
        <v>2.8303000000000003</v>
      </c>
      <c r="G46" s="17"/>
      <c r="H46" s="18">
        <v>1</v>
      </c>
      <c r="I46" s="19">
        <f t="shared" si="121"/>
        <v>9.1300000000000006E-2</v>
      </c>
      <c r="J46" s="16"/>
      <c r="K46" s="18">
        <v>28</v>
      </c>
      <c r="L46" s="19">
        <f t="shared" si="122"/>
        <v>2.5564000000000004</v>
      </c>
      <c r="M46" s="16"/>
      <c r="N46" s="18"/>
      <c r="O46" s="19">
        <f t="shared" si="123"/>
        <v>0</v>
      </c>
      <c r="P46" s="16"/>
      <c r="Q46" s="18"/>
      <c r="R46" s="19">
        <f t="shared" si="124"/>
        <v>0</v>
      </c>
      <c r="S46" s="20">
        <f t="shared" si="125"/>
        <v>29</v>
      </c>
      <c r="T46" s="19">
        <f t="shared" si="126"/>
        <v>2.6477000000000004</v>
      </c>
      <c r="U46" s="21">
        <f t="shared" si="127"/>
        <v>2</v>
      </c>
      <c r="V46" s="19">
        <f t="shared" si="128"/>
        <v>0.18259999999999987</v>
      </c>
    </row>
    <row r="47" spans="1:22">
      <c r="A47" s="26" t="s">
        <v>13</v>
      </c>
      <c r="B47" s="26" t="s">
        <v>26</v>
      </c>
      <c r="C47" s="30">
        <v>8.3000000000000007</v>
      </c>
      <c r="D47" s="27">
        <v>11.1</v>
      </c>
      <c r="E47" s="28">
        <v>54</v>
      </c>
      <c r="F47" s="16">
        <f t="shared" si="120"/>
        <v>4.9750200000000007</v>
      </c>
      <c r="G47" s="17"/>
      <c r="H47" s="18">
        <v>17</v>
      </c>
      <c r="I47" s="19">
        <f t="shared" si="121"/>
        <v>1.5662100000000003</v>
      </c>
      <c r="J47" s="16"/>
      <c r="K47" s="18">
        <v>30</v>
      </c>
      <c r="L47" s="19">
        <f t="shared" si="122"/>
        <v>2.7639</v>
      </c>
      <c r="M47" s="16"/>
      <c r="N47" s="18"/>
      <c r="O47" s="19">
        <f t="shared" si="123"/>
        <v>0</v>
      </c>
      <c r="P47" s="16"/>
      <c r="Q47" s="18"/>
      <c r="R47" s="19">
        <f t="shared" si="124"/>
        <v>0</v>
      </c>
      <c r="S47" s="20">
        <f t="shared" si="125"/>
        <v>47</v>
      </c>
      <c r="T47" s="19">
        <f t="shared" si="126"/>
        <v>4.3301100000000003</v>
      </c>
      <c r="U47" s="21">
        <f t="shared" si="127"/>
        <v>7</v>
      </c>
      <c r="V47" s="19">
        <f t="shared" si="128"/>
        <v>0.64491000000000032</v>
      </c>
    </row>
    <row r="48" spans="1:22">
      <c r="A48" s="36"/>
      <c r="B48" s="36"/>
      <c r="C48" s="37"/>
      <c r="D48" s="38"/>
      <c r="E48" s="31">
        <f t="shared" ref="E48:F48" si="129">SUM(E44:E47)</f>
        <v>144</v>
      </c>
      <c r="F48" s="38">
        <f t="shared" si="129"/>
        <v>12.272380000000002</v>
      </c>
      <c r="G48" s="17"/>
      <c r="H48" s="31">
        <f t="shared" ref="H48" si="130">SUM(H44:H47)</f>
        <v>20</v>
      </c>
      <c r="I48" s="38">
        <f t="shared" ref="I48" si="131">SUM(I44:I47)</f>
        <v>1.8367900000000004</v>
      </c>
      <c r="J48" s="16"/>
      <c r="K48" s="31">
        <f t="shared" ref="K48" si="132">SUM(K44:K47)</f>
        <v>110</v>
      </c>
      <c r="L48" s="38">
        <f t="shared" ref="L48" si="133">SUM(L44:L47)</f>
        <v>9.2047000000000008</v>
      </c>
      <c r="M48" s="16"/>
      <c r="N48" s="31">
        <f t="shared" ref="N48" si="134">SUM(N44:N47)</f>
        <v>0</v>
      </c>
      <c r="O48" s="38">
        <f t="shared" ref="O48" si="135">SUM(O44:O47)</f>
        <v>0</v>
      </c>
      <c r="P48" s="16"/>
      <c r="Q48" s="31">
        <f t="shared" ref="Q48" si="136">SUM(Q44:Q47)</f>
        <v>0</v>
      </c>
      <c r="R48" s="38">
        <f t="shared" ref="R48" si="137">SUM(R44:R47)</f>
        <v>0</v>
      </c>
      <c r="S48" s="31">
        <f t="shared" ref="S48" si="138">SUM(S44:S47)</f>
        <v>130</v>
      </c>
      <c r="T48" s="38">
        <f t="shared" ref="T48" si="139">SUM(T44:T47)</f>
        <v>11.041490000000001</v>
      </c>
      <c r="U48" s="31">
        <f t="shared" ref="U48" si="140">SUM(U44:U47)</f>
        <v>14</v>
      </c>
      <c r="V48" s="38">
        <f t="shared" ref="V48" si="141">SUM(V44:V47)</f>
        <v>1.23089</v>
      </c>
    </row>
    <row r="49" spans="1:22">
      <c r="A49" s="26" t="s">
        <v>13</v>
      </c>
      <c r="B49" s="26" t="s">
        <v>36</v>
      </c>
      <c r="C49" s="30">
        <v>6.97</v>
      </c>
      <c r="D49" s="27">
        <v>8.5</v>
      </c>
      <c r="E49" s="28">
        <v>1</v>
      </c>
      <c r="F49" s="16">
        <f t="shared" ref="F49:F55" si="142">(C49*D49*E49/1000)</f>
        <v>5.9244999999999999E-2</v>
      </c>
      <c r="G49" s="16" t="s">
        <v>205</v>
      </c>
      <c r="H49" s="18"/>
      <c r="I49" s="19">
        <f t="shared" ref="I49:I55" si="143">(C49*D49*H49/1000)</f>
        <v>0</v>
      </c>
      <c r="J49" s="16" t="s">
        <v>86</v>
      </c>
      <c r="K49" s="18"/>
      <c r="L49" s="19">
        <f t="shared" ref="L49:L55" si="144">(C49*D49*K49/1000)</f>
        <v>0</v>
      </c>
      <c r="M49" s="16"/>
      <c r="N49" s="18"/>
      <c r="O49" s="19">
        <f t="shared" ref="O49:O55" si="145">(C49*D49*N49/1000)</f>
        <v>0</v>
      </c>
      <c r="P49" s="16"/>
      <c r="Q49" s="18"/>
      <c r="R49" s="19">
        <f t="shared" ref="R49:R55" si="146">(C49*D49*Q49/1000)</f>
        <v>0</v>
      </c>
      <c r="S49" s="20">
        <f t="shared" ref="S49:S55" si="147">+H49+K49+Q49+N49</f>
        <v>0</v>
      </c>
      <c r="T49" s="19">
        <f t="shared" ref="T49:T55" si="148">+I49+L49+R49+O49</f>
        <v>0</v>
      </c>
      <c r="U49" s="21">
        <f t="shared" ref="U49:U55" si="149">E49-S49</f>
        <v>1</v>
      </c>
      <c r="V49" s="19">
        <f t="shared" ref="V49:V55" si="150">F49-T49</f>
        <v>5.9244999999999999E-2</v>
      </c>
    </row>
    <row r="50" spans="1:22">
      <c r="A50" s="26" t="s">
        <v>13</v>
      </c>
      <c r="B50" s="26" t="s">
        <v>36</v>
      </c>
      <c r="C50" s="30">
        <v>6.97</v>
      </c>
      <c r="D50" s="27">
        <v>10.199999999999999</v>
      </c>
      <c r="E50" s="28">
        <v>6</v>
      </c>
      <c r="F50" s="16">
        <f t="shared" si="142"/>
        <v>0.42656399999999994</v>
      </c>
      <c r="G50" s="16" t="s">
        <v>487</v>
      </c>
      <c r="H50" s="18"/>
      <c r="I50" s="19">
        <f t="shared" si="143"/>
        <v>0</v>
      </c>
      <c r="J50" s="16" t="s">
        <v>613</v>
      </c>
      <c r="K50" s="18">
        <v>4</v>
      </c>
      <c r="L50" s="19">
        <f t="shared" si="144"/>
        <v>0.28437599999999996</v>
      </c>
      <c r="M50" s="16"/>
      <c r="N50" s="18"/>
      <c r="O50" s="19">
        <f t="shared" si="145"/>
        <v>0</v>
      </c>
      <c r="P50" s="16"/>
      <c r="Q50" s="18"/>
      <c r="R50" s="19">
        <f t="shared" si="146"/>
        <v>0</v>
      </c>
      <c r="S50" s="20">
        <f t="shared" si="147"/>
        <v>4</v>
      </c>
      <c r="T50" s="19">
        <f t="shared" si="148"/>
        <v>0.28437599999999996</v>
      </c>
      <c r="U50" s="21">
        <f t="shared" si="149"/>
        <v>2</v>
      </c>
      <c r="V50" s="19">
        <f t="shared" si="150"/>
        <v>0.14218799999999998</v>
      </c>
    </row>
    <row r="51" spans="1:22">
      <c r="A51" s="26" t="s">
        <v>13</v>
      </c>
      <c r="B51" s="26" t="s">
        <v>36</v>
      </c>
      <c r="C51" s="30">
        <v>6.97</v>
      </c>
      <c r="D51" s="27">
        <v>10.5</v>
      </c>
      <c r="E51" s="28">
        <v>23</v>
      </c>
      <c r="F51" s="16">
        <f t="shared" si="142"/>
        <v>1.6832550000000002</v>
      </c>
      <c r="G51" s="17"/>
      <c r="H51" s="18"/>
      <c r="I51" s="19">
        <f t="shared" si="143"/>
        <v>0</v>
      </c>
      <c r="J51" s="16"/>
      <c r="K51" s="18">
        <v>31</v>
      </c>
      <c r="L51" s="19">
        <f t="shared" si="144"/>
        <v>2.2687349999999999</v>
      </c>
      <c r="M51" s="16"/>
      <c r="N51" s="18"/>
      <c r="O51" s="19">
        <f t="shared" si="145"/>
        <v>0</v>
      </c>
      <c r="P51" s="16"/>
      <c r="Q51" s="18"/>
      <c r="R51" s="19">
        <f t="shared" si="146"/>
        <v>0</v>
      </c>
      <c r="S51" s="20">
        <f t="shared" si="147"/>
        <v>31</v>
      </c>
      <c r="T51" s="19">
        <f t="shared" si="148"/>
        <v>2.2687349999999999</v>
      </c>
      <c r="U51" s="21">
        <f t="shared" si="149"/>
        <v>-8</v>
      </c>
      <c r="V51" s="19">
        <f t="shared" si="150"/>
        <v>-0.58547999999999978</v>
      </c>
    </row>
    <row r="52" spans="1:22">
      <c r="A52" s="26" t="s">
        <v>13</v>
      </c>
      <c r="B52" s="26" t="s">
        <v>36</v>
      </c>
      <c r="C52" s="30">
        <v>6.97</v>
      </c>
      <c r="D52" s="27">
        <v>11.5</v>
      </c>
      <c r="E52" s="28">
        <v>23</v>
      </c>
      <c r="F52" s="16">
        <f t="shared" si="142"/>
        <v>1.8435650000000001</v>
      </c>
      <c r="G52" s="17"/>
      <c r="H52" s="18"/>
      <c r="I52" s="19">
        <f t="shared" si="143"/>
        <v>0</v>
      </c>
      <c r="J52" s="16"/>
      <c r="K52" s="18">
        <v>15</v>
      </c>
      <c r="L52" s="19">
        <f t="shared" si="144"/>
        <v>1.2023250000000001</v>
      </c>
      <c r="M52" s="16"/>
      <c r="N52" s="18"/>
      <c r="O52" s="19">
        <f t="shared" si="145"/>
        <v>0</v>
      </c>
      <c r="P52" s="16"/>
      <c r="Q52" s="18"/>
      <c r="R52" s="19">
        <f t="shared" si="146"/>
        <v>0</v>
      </c>
      <c r="S52" s="20">
        <f t="shared" si="147"/>
        <v>15</v>
      </c>
      <c r="T52" s="19">
        <f t="shared" si="148"/>
        <v>1.2023250000000001</v>
      </c>
      <c r="U52" s="21">
        <f t="shared" si="149"/>
        <v>8</v>
      </c>
      <c r="V52" s="19">
        <f t="shared" si="150"/>
        <v>0.64124000000000003</v>
      </c>
    </row>
    <row r="53" spans="1:22">
      <c r="A53" s="26" t="s">
        <v>13</v>
      </c>
      <c r="B53" s="26" t="s">
        <v>36</v>
      </c>
      <c r="C53" s="30">
        <v>6.97</v>
      </c>
      <c r="D53" s="27">
        <v>12</v>
      </c>
      <c r="E53" s="28">
        <v>74</v>
      </c>
      <c r="F53" s="16">
        <f t="shared" ref="F53:F54" si="151">(C53*D53*E53/1000)</f>
        <v>6.1893599999999998</v>
      </c>
      <c r="G53" s="17"/>
      <c r="H53" s="18">
        <v>33</v>
      </c>
      <c r="I53" s="19">
        <f t="shared" ref="I53:I54" si="152">(C53*D53*H53/1000)</f>
        <v>2.7601199999999997</v>
      </c>
      <c r="J53" s="16"/>
      <c r="K53" s="18">
        <v>41</v>
      </c>
      <c r="L53" s="19">
        <f t="shared" ref="L53:L54" si="153">(C53*D53*K53/1000)</f>
        <v>3.4292400000000001</v>
      </c>
      <c r="M53" s="16"/>
      <c r="N53" s="18"/>
      <c r="O53" s="19">
        <f t="shared" ref="O53:O54" si="154">(C53*D53*N53/1000)</f>
        <v>0</v>
      </c>
      <c r="P53" s="16"/>
      <c r="Q53" s="18"/>
      <c r="R53" s="19">
        <f t="shared" ref="R53:R54" si="155">(C53*D53*Q53/1000)</f>
        <v>0</v>
      </c>
      <c r="S53" s="20">
        <f t="shared" ref="S53:S54" si="156">+H53+K53+Q53+N53</f>
        <v>74</v>
      </c>
      <c r="T53" s="19">
        <f t="shared" ref="T53:T54" si="157">+I53+L53+R53+O53</f>
        <v>6.1893599999999998</v>
      </c>
      <c r="U53" s="21">
        <f t="shared" ref="U53:U54" si="158">E53-S53</f>
        <v>0</v>
      </c>
      <c r="V53" s="19">
        <f t="shared" ref="V53:V54" si="159">F53-T53</f>
        <v>0</v>
      </c>
    </row>
    <row r="54" spans="1:22">
      <c r="A54" s="26" t="s">
        <v>13</v>
      </c>
      <c r="B54" s="26" t="s">
        <v>36</v>
      </c>
      <c r="C54" s="30">
        <v>6.97</v>
      </c>
      <c r="D54" s="27">
        <v>9.4</v>
      </c>
      <c r="E54" s="28"/>
      <c r="F54" s="16">
        <f t="shared" si="151"/>
        <v>0</v>
      </c>
      <c r="G54" s="17"/>
      <c r="H54" s="18"/>
      <c r="I54" s="19">
        <f t="shared" si="152"/>
        <v>0</v>
      </c>
      <c r="J54" s="16"/>
      <c r="K54" s="18">
        <v>1</v>
      </c>
      <c r="L54" s="19">
        <f t="shared" si="153"/>
        <v>6.5518000000000007E-2</v>
      </c>
      <c r="M54" s="16"/>
      <c r="N54" s="18"/>
      <c r="O54" s="19">
        <f t="shared" si="154"/>
        <v>0</v>
      </c>
      <c r="P54" s="16"/>
      <c r="Q54" s="18"/>
      <c r="R54" s="19">
        <f t="shared" si="155"/>
        <v>0</v>
      </c>
      <c r="S54" s="20">
        <f t="shared" si="156"/>
        <v>1</v>
      </c>
      <c r="T54" s="19">
        <f t="shared" si="157"/>
        <v>6.5518000000000007E-2</v>
      </c>
      <c r="U54" s="21">
        <f t="shared" si="158"/>
        <v>-1</v>
      </c>
      <c r="V54" s="19">
        <f t="shared" si="159"/>
        <v>-6.5518000000000007E-2</v>
      </c>
    </row>
    <row r="55" spans="1:22">
      <c r="A55" s="26" t="s">
        <v>13</v>
      </c>
      <c r="B55" s="26" t="s">
        <v>36</v>
      </c>
      <c r="C55" s="30">
        <v>6.97</v>
      </c>
      <c r="D55" s="27"/>
      <c r="E55" s="28"/>
      <c r="F55" s="16">
        <f t="shared" si="142"/>
        <v>0</v>
      </c>
      <c r="G55" s="17"/>
      <c r="H55" s="18"/>
      <c r="I55" s="19">
        <f t="shared" si="143"/>
        <v>0</v>
      </c>
      <c r="J55" s="16"/>
      <c r="K55" s="18"/>
      <c r="L55" s="19">
        <f t="shared" si="144"/>
        <v>0</v>
      </c>
      <c r="M55" s="16"/>
      <c r="N55" s="18"/>
      <c r="O55" s="19">
        <f t="shared" si="145"/>
        <v>0</v>
      </c>
      <c r="P55" s="16"/>
      <c r="Q55" s="18"/>
      <c r="R55" s="19">
        <f t="shared" si="146"/>
        <v>0</v>
      </c>
      <c r="S55" s="20">
        <f t="shared" si="147"/>
        <v>0</v>
      </c>
      <c r="T55" s="19">
        <f t="shared" si="148"/>
        <v>0</v>
      </c>
      <c r="U55" s="21">
        <f t="shared" si="149"/>
        <v>0</v>
      </c>
      <c r="V55" s="19">
        <f t="shared" si="150"/>
        <v>0</v>
      </c>
    </row>
    <row r="56" spans="1:22">
      <c r="A56" s="36"/>
      <c r="B56" s="36"/>
      <c r="C56" s="37"/>
      <c r="D56" s="38"/>
      <c r="E56" s="31">
        <f t="shared" ref="E56:F56" si="160">SUM(E49:E55)</f>
        <v>127</v>
      </c>
      <c r="F56" s="38">
        <f t="shared" si="160"/>
        <v>10.201989000000001</v>
      </c>
      <c r="G56" s="17"/>
      <c r="H56" s="31">
        <f t="shared" ref="H56" si="161">SUM(H49:H55)</f>
        <v>33</v>
      </c>
      <c r="I56" s="38">
        <f t="shared" ref="I56" si="162">SUM(I49:I55)</f>
        <v>2.7601199999999997</v>
      </c>
      <c r="J56" s="16"/>
      <c r="K56" s="31">
        <f t="shared" ref="K56" si="163">SUM(K49:K55)</f>
        <v>92</v>
      </c>
      <c r="L56" s="38">
        <f t="shared" ref="L56" si="164">SUM(L49:L55)</f>
        <v>7.2501939999999996</v>
      </c>
      <c r="M56" s="16"/>
      <c r="N56" s="31">
        <f t="shared" ref="N56" si="165">SUM(N49:N55)</f>
        <v>0</v>
      </c>
      <c r="O56" s="38">
        <f t="shared" ref="O56" si="166">SUM(O49:O55)</f>
        <v>0</v>
      </c>
      <c r="P56" s="16"/>
      <c r="Q56" s="31">
        <f t="shared" ref="Q56" si="167">SUM(Q49:Q55)</f>
        <v>0</v>
      </c>
      <c r="R56" s="38">
        <f t="shared" ref="R56" si="168">SUM(R49:R55)</f>
        <v>0</v>
      </c>
      <c r="S56" s="31">
        <f t="shared" ref="S56" si="169">SUM(S49:S55)</f>
        <v>125</v>
      </c>
      <c r="T56" s="38">
        <f t="shared" ref="T56" si="170">SUM(T49:T55)</f>
        <v>10.010314000000001</v>
      </c>
      <c r="U56" s="31">
        <f t="shared" ref="U56" si="171">SUM(U49:U55)</f>
        <v>2</v>
      </c>
      <c r="V56" s="38">
        <f t="shared" ref="V56" si="172">SUM(V49:V55)</f>
        <v>0.19167500000000021</v>
      </c>
    </row>
    <row r="57" spans="1:22">
      <c r="A57" s="26" t="s">
        <v>13</v>
      </c>
      <c r="B57" s="26" t="s">
        <v>57</v>
      </c>
      <c r="C57" s="30">
        <v>6.17</v>
      </c>
      <c r="D57" s="27">
        <v>6.15</v>
      </c>
      <c r="E57" s="28">
        <v>95</v>
      </c>
      <c r="F57" s="16">
        <f t="shared" ref="F57:F66" si="173">(C57*D57*E57/1000)</f>
        <v>3.6048225</v>
      </c>
      <c r="G57" s="16" t="s">
        <v>205</v>
      </c>
      <c r="H57" s="18">
        <v>43</v>
      </c>
      <c r="I57" s="19">
        <f t="shared" ref="I57:I66" si="174">(C57*D57*H57/1000)</f>
        <v>1.6316565000000001</v>
      </c>
      <c r="J57" s="16" t="s">
        <v>89</v>
      </c>
      <c r="K57" s="18">
        <v>37</v>
      </c>
      <c r="L57" s="19">
        <f t="shared" ref="L57:L66" si="175">(C57*D57*K57/1000)</f>
        <v>1.4039835000000001</v>
      </c>
      <c r="M57" s="16"/>
      <c r="N57" s="18"/>
      <c r="O57" s="19">
        <f t="shared" ref="O57:O66" si="176">(C57*D57*N57/1000)</f>
        <v>0</v>
      </c>
      <c r="P57" s="16"/>
      <c r="Q57" s="18"/>
      <c r="R57" s="19">
        <f t="shared" ref="R57:R66" si="177">(C57*D57*Q57/1000)</f>
        <v>0</v>
      </c>
      <c r="S57" s="20">
        <f t="shared" ref="S57:S66" si="178">+H57+K57+Q57+N57</f>
        <v>80</v>
      </c>
      <c r="T57" s="19">
        <f t="shared" ref="T57:T66" si="179">+I57+L57+R57+O57</f>
        <v>3.0356399999999999</v>
      </c>
      <c r="U57" s="21">
        <f t="shared" ref="U57:U66" si="180">E57-S57</f>
        <v>15</v>
      </c>
      <c r="V57" s="19">
        <f t="shared" ref="V57:V66" si="181">F57-T57</f>
        <v>0.56918250000000015</v>
      </c>
    </row>
    <row r="58" spans="1:22">
      <c r="A58" s="26" t="s">
        <v>13</v>
      </c>
      <c r="B58" s="26" t="s">
        <v>57</v>
      </c>
      <c r="C58" s="30">
        <v>6.17</v>
      </c>
      <c r="D58" s="27">
        <v>7</v>
      </c>
      <c r="E58" s="28">
        <v>94</v>
      </c>
      <c r="F58" s="16">
        <f t="shared" si="173"/>
        <v>4.0598599999999996</v>
      </c>
      <c r="G58" s="16" t="s">
        <v>487</v>
      </c>
      <c r="H58" s="18">
        <v>54</v>
      </c>
      <c r="I58" s="19">
        <f t="shared" si="174"/>
        <v>2.3322599999999998</v>
      </c>
      <c r="J58" s="16" t="s">
        <v>491</v>
      </c>
      <c r="K58" s="18">
        <v>40</v>
      </c>
      <c r="L58" s="19">
        <f t="shared" si="175"/>
        <v>1.7275999999999998</v>
      </c>
      <c r="M58" s="16"/>
      <c r="N58" s="18"/>
      <c r="O58" s="19">
        <f t="shared" si="176"/>
        <v>0</v>
      </c>
      <c r="P58" s="16"/>
      <c r="Q58" s="18"/>
      <c r="R58" s="19">
        <f t="shared" si="177"/>
        <v>0</v>
      </c>
      <c r="S58" s="20">
        <f t="shared" si="178"/>
        <v>94</v>
      </c>
      <c r="T58" s="19">
        <f t="shared" si="179"/>
        <v>4.0598599999999996</v>
      </c>
      <c r="U58" s="21">
        <f t="shared" si="180"/>
        <v>0</v>
      </c>
      <c r="V58" s="19">
        <f t="shared" si="181"/>
        <v>0</v>
      </c>
    </row>
    <row r="59" spans="1:22">
      <c r="A59" s="26" t="s">
        <v>13</v>
      </c>
      <c r="B59" s="26" t="s">
        <v>57</v>
      </c>
      <c r="C59" s="30">
        <v>6.17</v>
      </c>
      <c r="D59" s="27">
        <v>9.8000000000000007</v>
      </c>
      <c r="E59" s="28">
        <v>24</v>
      </c>
      <c r="F59" s="16">
        <f t="shared" si="173"/>
        <v>1.451184</v>
      </c>
      <c r="G59" s="17"/>
      <c r="H59" s="18">
        <v>11</v>
      </c>
      <c r="I59" s="19">
        <f t="shared" si="174"/>
        <v>0.665126</v>
      </c>
      <c r="J59" s="16"/>
      <c r="K59" s="18"/>
      <c r="L59" s="19">
        <f t="shared" si="175"/>
        <v>0</v>
      </c>
      <c r="M59" s="16"/>
      <c r="N59" s="18"/>
      <c r="O59" s="19">
        <f t="shared" si="176"/>
        <v>0</v>
      </c>
      <c r="P59" s="16"/>
      <c r="Q59" s="18"/>
      <c r="R59" s="19">
        <f t="shared" si="177"/>
        <v>0</v>
      </c>
      <c r="S59" s="20">
        <f t="shared" si="178"/>
        <v>11</v>
      </c>
      <c r="T59" s="19">
        <f t="shared" si="179"/>
        <v>0.665126</v>
      </c>
      <c r="U59" s="21">
        <f t="shared" si="180"/>
        <v>13</v>
      </c>
      <c r="V59" s="19">
        <f t="shared" si="181"/>
        <v>0.78605800000000003</v>
      </c>
    </row>
    <row r="60" spans="1:22">
      <c r="A60" s="26" t="s">
        <v>13</v>
      </c>
      <c r="B60" s="26" t="s">
        <v>57</v>
      </c>
      <c r="C60" s="30">
        <v>6.17</v>
      </c>
      <c r="D60" s="27">
        <v>10</v>
      </c>
      <c r="E60" s="28">
        <v>1</v>
      </c>
      <c r="F60" s="16">
        <f t="shared" si="173"/>
        <v>6.1700000000000005E-2</v>
      </c>
      <c r="G60" s="17"/>
      <c r="H60" s="18">
        <v>1</v>
      </c>
      <c r="I60" s="19">
        <f t="shared" si="174"/>
        <v>6.1700000000000005E-2</v>
      </c>
      <c r="J60" s="16"/>
      <c r="K60" s="18"/>
      <c r="L60" s="19">
        <f t="shared" si="175"/>
        <v>0</v>
      </c>
      <c r="M60" s="16"/>
      <c r="N60" s="18"/>
      <c r="O60" s="19">
        <f t="shared" si="176"/>
        <v>0</v>
      </c>
      <c r="P60" s="16"/>
      <c r="Q60" s="18"/>
      <c r="R60" s="19">
        <f t="shared" si="177"/>
        <v>0</v>
      </c>
      <c r="S60" s="20">
        <f t="shared" si="178"/>
        <v>1</v>
      </c>
      <c r="T60" s="19">
        <f t="shared" si="179"/>
        <v>6.1700000000000005E-2</v>
      </c>
      <c r="U60" s="21">
        <f t="shared" si="180"/>
        <v>0</v>
      </c>
      <c r="V60" s="19">
        <f t="shared" si="181"/>
        <v>0</v>
      </c>
    </row>
    <row r="61" spans="1:22" s="50" customFormat="1">
      <c r="A61" s="26" t="s">
        <v>13</v>
      </c>
      <c r="B61" s="26" t="s">
        <v>57</v>
      </c>
      <c r="C61" s="30">
        <v>6.17</v>
      </c>
      <c r="D61" s="27">
        <v>10.5</v>
      </c>
      <c r="E61" s="28">
        <v>36</v>
      </c>
      <c r="F61" s="16">
        <f t="shared" si="173"/>
        <v>2.3322599999999998</v>
      </c>
      <c r="G61" s="17"/>
      <c r="H61" s="18">
        <v>20</v>
      </c>
      <c r="I61" s="19">
        <f t="shared" si="174"/>
        <v>1.2956999999999999</v>
      </c>
      <c r="J61" s="16"/>
      <c r="K61" s="18">
        <v>16</v>
      </c>
      <c r="L61" s="19">
        <f t="shared" si="175"/>
        <v>1.0365599999999999</v>
      </c>
      <c r="M61" s="16"/>
      <c r="N61" s="18"/>
      <c r="O61" s="19">
        <f t="shared" si="176"/>
        <v>0</v>
      </c>
      <c r="P61" s="16"/>
      <c r="Q61" s="18"/>
      <c r="R61" s="19">
        <f t="shared" si="177"/>
        <v>0</v>
      </c>
      <c r="S61" s="20">
        <f t="shared" si="178"/>
        <v>36</v>
      </c>
      <c r="T61" s="19">
        <f t="shared" si="179"/>
        <v>2.3322599999999998</v>
      </c>
      <c r="U61" s="21">
        <f t="shared" si="180"/>
        <v>0</v>
      </c>
      <c r="V61" s="19">
        <f t="shared" si="181"/>
        <v>0</v>
      </c>
    </row>
    <row r="62" spans="1:22">
      <c r="A62" s="26" t="s">
        <v>13</v>
      </c>
      <c r="B62" s="26" t="s">
        <v>57</v>
      </c>
      <c r="C62" s="30">
        <v>6.17</v>
      </c>
      <c r="D62" s="27">
        <v>11</v>
      </c>
      <c r="E62" s="28">
        <v>5</v>
      </c>
      <c r="F62" s="16">
        <f t="shared" si="173"/>
        <v>0.33935000000000004</v>
      </c>
      <c r="G62" s="17"/>
      <c r="H62" s="18">
        <v>1</v>
      </c>
      <c r="I62" s="19">
        <f t="shared" si="174"/>
        <v>6.787E-2</v>
      </c>
      <c r="J62" s="16"/>
      <c r="K62" s="18">
        <v>4</v>
      </c>
      <c r="L62" s="19">
        <f t="shared" si="175"/>
        <v>0.27148</v>
      </c>
      <c r="M62" s="16"/>
      <c r="N62" s="18"/>
      <c r="O62" s="19">
        <f t="shared" si="176"/>
        <v>0</v>
      </c>
      <c r="P62" s="16"/>
      <c r="Q62" s="18"/>
      <c r="R62" s="19">
        <f t="shared" si="177"/>
        <v>0</v>
      </c>
      <c r="S62" s="20">
        <f t="shared" si="178"/>
        <v>5</v>
      </c>
      <c r="T62" s="19">
        <f t="shared" si="179"/>
        <v>0.33934999999999998</v>
      </c>
      <c r="U62" s="21">
        <f t="shared" si="180"/>
        <v>0</v>
      </c>
      <c r="V62" s="19">
        <f t="shared" si="181"/>
        <v>0</v>
      </c>
    </row>
    <row r="63" spans="1:22">
      <c r="A63" s="26" t="s">
        <v>13</v>
      </c>
      <c r="B63" s="26" t="s">
        <v>57</v>
      </c>
      <c r="C63" s="30">
        <v>6.17</v>
      </c>
      <c r="D63" s="27">
        <v>11.2</v>
      </c>
      <c r="E63" s="28">
        <v>1</v>
      </c>
      <c r="F63" s="16">
        <f t="shared" si="173"/>
        <v>6.9103999999999999E-2</v>
      </c>
      <c r="G63" s="17"/>
      <c r="H63" s="18"/>
      <c r="I63" s="19">
        <f t="shared" si="174"/>
        <v>0</v>
      </c>
      <c r="J63" s="16"/>
      <c r="K63" s="18">
        <v>1</v>
      </c>
      <c r="L63" s="19">
        <f t="shared" si="175"/>
        <v>6.9103999999999999E-2</v>
      </c>
      <c r="M63" s="16"/>
      <c r="N63" s="18"/>
      <c r="O63" s="19">
        <f t="shared" si="176"/>
        <v>0</v>
      </c>
      <c r="P63" s="16"/>
      <c r="Q63" s="18"/>
      <c r="R63" s="19">
        <f t="shared" si="177"/>
        <v>0</v>
      </c>
      <c r="S63" s="20">
        <f t="shared" si="178"/>
        <v>1</v>
      </c>
      <c r="T63" s="19">
        <f t="shared" si="179"/>
        <v>6.9103999999999999E-2</v>
      </c>
      <c r="U63" s="21">
        <f t="shared" si="180"/>
        <v>0</v>
      </c>
      <c r="V63" s="19">
        <f t="shared" si="181"/>
        <v>0</v>
      </c>
    </row>
    <row r="64" spans="1:22">
      <c r="A64" s="26" t="s">
        <v>13</v>
      </c>
      <c r="B64" s="26" t="s">
        <v>57</v>
      </c>
      <c r="C64" s="30">
        <v>6.17</v>
      </c>
      <c r="D64" s="27">
        <v>11.5</v>
      </c>
      <c r="E64" s="28">
        <v>38</v>
      </c>
      <c r="F64" s="16">
        <f t="shared" si="173"/>
        <v>2.6962899999999999</v>
      </c>
      <c r="G64" s="17"/>
      <c r="H64" s="18">
        <v>15</v>
      </c>
      <c r="I64" s="19">
        <f t="shared" si="174"/>
        <v>1.064325</v>
      </c>
      <c r="J64" s="16"/>
      <c r="K64" s="18">
        <v>23</v>
      </c>
      <c r="L64" s="19">
        <f t="shared" si="175"/>
        <v>1.6319649999999999</v>
      </c>
      <c r="M64" s="16"/>
      <c r="N64" s="18"/>
      <c r="O64" s="19">
        <f t="shared" si="176"/>
        <v>0</v>
      </c>
      <c r="P64" s="16"/>
      <c r="Q64" s="18"/>
      <c r="R64" s="19">
        <f t="shared" si="177"/>
        <v>0</v>
      </c>
      <c r="S64" s="20">
        <f t="shared" si="178"/>
        <v>38</v>
      </c>
      <c r="T64" s="19">
        <f t="shared" si="179"/>
        <v>2.6962899999999999</v>
      </c>
      <c r="U64" s="21">
        <f t="shared" si="180"/>
        <v>0</v>
      </c>
      <c r="V64" s="19">
        <f t="shared" si="181"/>
        <v>0</v>
      </c>
    </row>
    <row r="65" spans="1:22">
      <c r="A65" s="26" t="s">
        <v>13</v>
      </c>
      <c r="B65" s="26" t="s">
        <v>57</v>
      </c>
      <c r="C65" s="30">
        <v>6.17</v>
      </c>
      <c r="D65" s="27">
        <v>11.7</v>
      </c>
      <c r="E65" s="28">
        <v>14</v>
      </c>
      <c r="F65" s="16">
        <f t="shared" si="173"/>
        <v>1.0106459999999999</v>
      </c>
      <c r="G65" s="17"/>
      <c r="H65" s="18">
        <v>6</v>
      </c>
      <c r="I65" s="19">
        <f t="shared" si="174"/>
        <v>0.43313399999999996</v>
      </c>
      <c r="J65" s="16"/>
      <c r="K65" s="18">
        <v>8</v>
      </c>
      <c r="L65" s="19">
        <f t="shared" si="175"/>
        <v>0.57751199999999991</v>
      </c>
      <c r="M65" s="16"/>
      <c r="N65" s="18"/>
      <c r="O65" s="19">
        <f t="shared" si="176"/>
        <v>0</v>
      </c>
      <c r="P65" s="16"/>
      <c r="Q65" s="18"/>
      <c r="R65" s="19">
        <f t="shared" si="177"/>
        <v>0</v>
      </c>
      <c r="S65" s="20">
        <f t="shared" si="178"/>
        <v>14</v>
      </c>
      <c r="T65" s="19">
        <f t="shared" si="179"/>
        <v>1.0106459999999999</v>
      </c>
      <c r="U65" s="21">
        <f t="shared" si="180"/>
        <v>0</v>
      </c>
      <c r="V65" s="19">
        <f t="shared" si="181"/>
        <v>0</v>
      </c>
    </row>
    <row r="66" spans="1:22">
      <c r="A66" s="26" t="s">
        <v>13</v>
      </c>
      <c r="B66" s="26" t="s">
        <v>57</v>
      </c>
      <c r="C66" s="30">
        <v>6.17</v>
      </c>
      <c r="D66" s="27">
        <v>12</v>
      </c>
      <c r="E66" s="28">
        <v>79</v>
      </c>
      <c r="F66" s="16">
        <f t="shared" si="173"/>
        <v>5.8491599999999986</v>
      </c>
      <c r="G66" s="17"/>
      <c r="H66" s="18">
        <v>64</v>
      </c>
      <c r="I66" s="19">
        <f t="shared" si="174"/>
        <v>4.7385599999999997</v>
      </c>
      <c r="J66" s="16"/>
      <c r="K66" s="18">
        <v>15</v>
      </c>
      <c r="L66" s="19">
        <f t="shared" si="175"/>
        <v>1.1105999999999998</v>
      </c>
      <c r="M66" s="16"/>
      <c r="N66" s="18"/>
      <c r="O66" s="19">
        <f t="shared" si="176"/>
        <v>0</v>
      </c>
      <c r="P66" s="16"/>
      <c r="Q66" s="18"/>
      <c r="R66" s="19">
        <f t="shared" si="177"/>
        <v>0</v>
      </c>
      <c r="S66" s="20">
        <f t="shared" si="178"/>
        <v>79</v>
      </c>
      <c r="T66" s="19">
        <f t="shared" si="179"/>
        <v>5.8491599999999995</v>
      </c>
      <c r="U66" s="21">
        <f t="shared" si="180"/>
        <v>0</v>
      </c>
      <c r="V66" s="19">
        <f t="shared" si="181"/>
        <v>0</v>
      </c>
    </row>
    <row r="67" spans="1:22">
      <c r="A67" s="36"/>
      <c r="B67" s="36"/>
      <c r="C67" s="37"/>
      <c r="D67" s="38"/>
      <c r="E67" s="31">
        <f t="shared" ref="E67:F67" si="182">SUM(E57:E66)</f>
        <v>387</v>
      </c>
      <c r="F67" s="38">
        <f t="shared" si="182"/>
        <v>21.474376499999995</v>
      </c>
      <c r="G67" s="17"/>
      <c r="H67" s="31">
        <f t="shared" ref="H67" si="183">SUM(H57:H66)</f>
        <v>215</v>
      </c>
      <c r="I67" s="38">
        <f t="shared" ref="I67" si="184">SUM(I57:I66)</f>
        <v>12.290331500000001</v>
      </c>
      <c r="J67" s="16"/>
      <c r="K67" s="31">
        <f t="shared" ref="K67" si="185">SUM(K57:K66)</f>
        <v>144</v>
      </c>
      <c r="L67" s="38">
        <f t="shared" ref="L67" si="186">SUM(L57:L66)</f>
        <v>7.8288044999999995</v>
      </c>
      <c r="M67" s="16"/>
      <c r="N67" s="31">
        <f t="shared" ref="N67" si="187">SUM(N57:N66)</f>
        <v>0</v>
      </c>
      <c r="O67" s="38">
        <f t="shared" ref="O67" si="188">SUM(O57:O66)</f>
        <v>0</v>
      </c>
      <c r="P67" s="16"/>
      <c r="Q67" s="31">
        <f t="shared" ref="Q67" si="189">SUM(Q57:Q66)</f>
        <v>0</v>
      </c>
      <c r="R67" s="38">
        <f t="shared" ref="R67" si="190">SUM(R57:R66)</f>
        <v>0</v>
      </c>
      <c r="S67" s="31">
        <f t="shared" ref="S67" si="191">SUM(S57:S66)</f>
        <v>359</v>
      </c>
      <c r="T67" s="38">
        <f t="shared" ref="T67" si="192">SUM(T57:T66)</f>
        <v>20.119135999999997</v>
      </c>
      <c r="U67" s="31">
        <f t="shared" ref="U67" si="193">SUM(U57:U66)</f>
        <v>28</v>
      </c>
      <c r="V67" s="38">
        <f t="shared" ref="V67" si="194">SUM(V57:V66)</f>
        <v>1.3552405000000003</v>
      </c>
    </row>
    <row r="68" spans="1:22">
      <c r="A68" s="26" t="s">
        <v>13</v>
      </c>
      <c r="B68" s="26" t="s">
        <v>315</v>
      </c>
      <c r="C68" s="30">
        <v>4.6500000000000004</v>
      </c>
      <c r="D68" s="27">
        <v>10</v>
      </c>
      <c r="E68" s="28">
        <v>29</v>
      </c>
      <c r="F68" s="16">
        <f t="shared" ref="F68:F73" si="195">(C68*D68*E68/1000)</f>
        <v>1.3485</v>
      </c>
      <c r="G68" s="17" t="s">
        <v>89</v>
      </c>
      <c r="H68" s="18">
        <v>16</v>
      </c>
      <c r="I68" s="19">
        <f t="shared" ref="I68:I73" si="196">(C68*D68*H68/1000)</f>
        <v>0.74399999999999999</v>
      </c>
      <c r="J68" s="16" t="s">
        <v>107</v>
      </c>
      <c r="K68" s="18"/>
      <c r="L68" s="19">
        <f t="shared" ref="L68:L73" si="197">(C68*D68*K68/1000)</f>
        <v>0</v>
      </c>
      <c r="M68" s="16" t="s">
        <v>86</v>
      </c>
      <c r="N68" s="18"/>
      <c r="O68" s="19">
        <f t="shared" ref="O68:O73" si="198">(C68*D68*N68/1000)</f>
        <v>0</v>
      </c>
      <c r="P68" s="16"/>
      <c r="Q68" s="18"/>
      <c r="R68" s="19">
        <f t="shared" ref="R68:R73" si="199">(C68*D68*Q68/1000)</f>
        <v>0</v>
      </c>
      <c r="S68" s="20">
        <f t="shared" ref="S68:S73" si="200">+H68+K68+Q68+N68</f>
        <v>16</v>
      </c>
      <c r="T68" s="19">
        <f t="shared" ref="T68:T73" si="201">+I68+L68+R68+O68</f>
        <v>0.74399999999999999</v>
      </c>
      <c r="U68" s="21">
        <f t="shared" ref="U68:U73" si="202">E68-S68</f>
        <v>13</v>
      </c>
      <c r="V68" s="19">
        <f t="shared" ref="V68:V73" si="203">F68-T68</f>
        <v>0.60450000000000004</v>
      </c>
    </row>
    <row r="69" spans="1:22">
      <c r="A69" s="26" t="s">
        <v>13</v>
      </c>
      <c r="B69" s="26" t="s">
        <v>315</v>
      </c>
      <c r="C69" s="30">
        <v>4.6500000000000004</v>
      </c>
      <c r="D69" s="27">
        <v>10.3</v>
      </c>
      <c r="E69" s="28">
        <v>147</v>
      </c>
      <c r="F69" s="16">
        <f t="shared" si="195"/>
        <v>7.0405650000000017</v>
      </c>
      <c r="G69" s="17" t="s">
        <v>604</v>
      </c>
      <c r="H69" s="18">
        <v>144</v>
      </c>
      <c r="I69" s="19">
        <f t="shared" si="196"/>
        <v>6.8968800000000012</v>
      </c>
      <c r="J69" s="16" t="s">
        <v>607</v>
      </c>
      <c r="K69" s="18"/>
      <c r="L69" s="19">
        <f t="shared" si="197"/>
        <v>0</v>
      </c>
      <c r="M69" s="16" t="s">
        <v>613</v>
      </c>
      <c r="N69" s="18"/>
      <c r="O69" s="19">
        <f t="shared" si="198"/>
        <v>0</v>
      </c>
      <c r="P69" s="16"/>
      <c r="Q69" s="18"/>
      <c r="R69" s="19">
        <f t="shared" si="199"/>
        <v>0</v>
      </c>
      <c r="S69" s="20">
        <f t="shared" si="200"/>
        <v>144</v>
      </c>
      <c r="T69" s="19">
        <f t="shared" si="201"/>
        <v>6.8968800000000012</v>
      </c>
      <c r="U69" s="21">
        <f t="shared" si="202"/>
        <v>3</v>
      </c>
      <c r="V69" s="19">
        <f t="shared" si="203"/>
        <v>0.14368500000000051</v>
      </c>
    </row>
    <row r="70" spans="1:22">
      <c r="A70" s="26" t="s">
        <v>13</v>
      </c>
      <c r="B70" s="26" t="s">
        <v>315</v>
      </c>
      <c r="C70" s="30">
        <v>4.6500000000000004</v>
      </c>
      <c r="D70" s="27">
        <v>10.5</v>
      </c>
      <c r="E70" s="28">
        <v>5</v>
      </c>
      <c r="F70" s="16">
        <f t="shared" si="195"/>
        <v>0.24412500000000001</v>
      </c>
      <c r="G70" s="17"/>
      <c r="H70" s="18">
        <v>5</v>
      </c>
      <c r="I70" s="19">
        <f t="shared" si="196"/>
        <v>0.24412500000000001</v>
      </c>
      <c r="J70" s="16"/>
      <c r="K70" s="18"/>
      <c r="L70" s="19">
        <f t="shared" si="197"/>
        <v>0</v>
      </c>
      <c r="M70" s="16"/>
      <c r="N70" s="18"/>
      <c r="O70" s="19">
        <f t="shared" si="198"/>
        <v>0</v>
      </c>
      <c r="P70" s="16"/>
      <c r="Q70" s="18"/>
      <c r="R70" s="19">
        <f t="shared" si="199"/>
        <v>0</v>
      </c>
      <c r="S70" s="20">
        <f t="shared" si="200"/>
        <v>5</v>
      </c>
      <c r="T70" s="19">
        <f t="shared" si="201"/>
        <v>0.24412500000000001</v>
      </c>
      <c r="U70" s="21">
        <f t="shared" si="202"/>
        <v>0</v>
      </c>
      <c r="V70" s="19">
        <f t="shared" si="203"/>
        <v>0</v>
      </c>
    </row>
    <row r="71" spans="1:22">
      <c r="A71" s="26" t="s">
        <v>13</v>
      </c>
      <c r="B71" s="26" t="s">
        <v>315</v>
      </c>
      <c r="C71" s="30">
        <v>4.6500000000000004</v>
      </c>
      <c r="D71" s="27">
        <v>11</v>
      </c>
      <c r="E71" s="28">
        <v>133</v>
      </c>
      <c r="F71" s="16">
        <f t="shared" si="195"/>
        <v>6.8029500000000009</v>
      </c>
      <c r="G71" s="17"/>
      <c r="H71" s="18">
        <v>118</v>
      </c>
      <c r="I71" s="19">
        <f t="shared" si="196"/>
        <v>6.0357000000000003</v>
      </c>
      <c r="J71" s="16"/>
      <c r="K71" s="18"/>
      <c r="L71" s="19">
        <f t="shared" si="197"/>
        <v>0</v>
      </c>
      <c r="M71" s="16"/>
      <c r="N71" s="18">
        <v>6</v>
      </c>
      <c r="O71" s="19">
        <f t="shared" si="198"/>
        <v>0.30690000000000006</v>
      </c>
      <c r="P71" s="16"/>
      <c r="Q71" s="18"/>
      <c r="R71" s="19">
        <f t="shared" si="199"/>
        <v>0</v>
      </c>
      <c r="S71" s="20">
        <f t="shared" si="200"/>
        <v>124</v>
      </c>
      <c r="T71" s="19">
        <f t="shared" si="201"/>
        <v>6.3426</v>
      </c>
      <c r="U71" s="21">
        <f t="shared" si="202"/>
        <v>9</v>
      </c>
      <c r="V71" s="19">
        <f t="shared" si="203"/>
        <v>0.46035000000000093</v>
      </c>
    </row>
    <row r="72" spans="1:22">
      <c r="A72" s="26" t="s">
        <v>13</v>
      </c>
      <c r="B72" s="26" t="s">
        <v>315</v>
      </c>
      <c r="C72" s="30">
        <v>4.6500000000000004</v>
      </c>
      <c r="D72" s="27">
        <v>11.5</v>
      </c>
      <c r="E72" s="28">
        <v>96</v>
      </c>
      <c r="F72" s="16">
        <f t="shared" si="195"/>
        <v>5.1336000000000004</v>
      </c>
      <c r="G72" s="17"/>
      <c r="H72" s="18">
        <v>17</v>
      </c>
      <c r="I72" s="19">
        <f t="shared" si="196"/>
        <v>0.90907500000000008</v>
      </c>
      <c r="J72" s="16"/>
      <c r="K72" s="18">
        <v>38</v>
      </c>
      <c r="L72" s="19">
        <f t="shared" si="197"/>
        <v>2.0320499999999999</v>
      </c>
      <c r="M72" s="16"/>
      <c r="N72" s="18">
        <v>40</v>
      </c>
      <c r="O72" s="19">
        <f t="shared" si="198"/>
        <v>2.1389999999999998</v>
      </c>
      <c r="P72" s="16"/>
      <c r="Q72" s="18"/>
      <c r="R72" s="19">
        <f t="shared" si="199"/>
        <v>0</v>
      </c>
      <c r="S72" s="20">
        <f t="shared" si="200"/>
        <v>95</v>
      </c>
      <c r="T72" s="19">
        <f t="shared" si="201"/>
        <v>5.0801249999999998</v>
      </c>
      <c r="U72" s="21">
        <f t="shared" si="202"/>
        <v>1</v>
      </c>
      <c r="V72" s="19">
        <f t="shared" si="203"/>
        <v>5.3475000000000605E-2</v>
      </c>
    </row>
    <row r="73" spans="1:22">
      <c r="A73" s="26" t="s">
        <v>13</v>
      </c>
      <c r="B73" s="26" t="s">
        <v>315</v>
      </c>
      <c r="C73" s="30">
        <v>4.6500000000000004</v>
      </c>
      <c r="D73" s="27">
        <v>12</v>
      </c>
      <c r="E73" s="28">
        <v>56</v>
      </c>
      <c r="F73" s="16">
        <f t="shared" si="195"/>
        <v>3.1248</v>
      </c>
      <c r="G73" s="17"/>
      <c r="H73" s="18">
        <v>78</v>
      </c>
      <c r="I73" s="19">
        <f t="shared" si="196"/>
        <v>4.3524000000000003</v>
      </c>
      <c r="J73" s="16"/>
      <c r="K73" s="18"/>
      <c r="L73" s="19">
        <f t="shared" si="197"/>
        <v>0</v>
      </c>
      <c r="M73" s="16"/>
      <c r="N73" s="18">
        <v>4</v>
      </c>
      <c r="O73" s="19">
        <f t="shared" si="198"/>
        <v>0.22320000000000001</v>
      </c>
      <c r="P73" s="16"/>
      <c r="Q73" s="18"/>
      <c r="R73" s="19">
        <f t="shared" si="199"/>
        <v>0</v>
      </c>
      <c r="S73" s="20">
        <f t="shared" si="200"/>
        <v>82</v>
      </c>
      <c r="T73" s="19">
        <f t="shared" si="201"/>
        <v>4.5756000000000006</v>
      </c>
      <c r="U73" s="21">
        <f t="shared" si="202"/>
        <v>-26</v>
      </c>
      <c r="V73" s="19">
        <f t="shared" si="203"/>
        <v>-1.4508000000000005</v>
      </c>
    </row>
    <row r="74" spans="1:22">
      <c r="A74" s="36"/>
      <c r="B74" s="36"/>
      <c r="C74" s="37"/>
      <c r="D74" s="38"/>
      <c r="E74" s="31">
        <f t="shared" ref="E74:F74" si="204">SUM(E68:E73)</f>
        <v>466</v>
      </c>
      <c r="F74" s="38">
        <f t="shared" si="204"/>
        <v>23.694540000000003</v>
      </c>
      <c r="H74" s="31">
        <f t="shared" ref="H74" si="205">SUM(H68:H73)</f>
        <v>378</v>
      </c>
      <c r="I74" s="38">
        <f t="shared" ref="I74" si="206">SUM(I68:I73)</f>
        <v>19.182180000000002</v>
      </c>
      <c r="K74" s="31">
        <f t="shared" ref="K74" si="207">SUM(K68:K73)</f>
        <v>38</v>
      </c>
      <c r="L74" s="38">
        <f t="shared" ref="L74" si="208">SUM(L68:L73)</f>
        <v>2.0320499999999999</v>
      </c>
      <c r="N74" s="31">
        <f t="shared" ref="N74" si="209">SUM(N68:N73)</f>
        <v>50</v>
      </c>
      <c r="O74" s="38">
        <f t="shared" ref="O74" si="210">SUM(O68:O73)</f>
        <v>2.6690999999999998</v>
      </c>
      <c r="Q74" s="31">
        <f t="shared" ref="Q74" si="211">SUM(Q68:Q73)</f>
        <v>0</v>
      </c>
      <c r="R74" s="38">
        <f t="shared" ref="R74" si="212">SUM(R68:R73)</f>
        <v>0</v>
      </c>
      <c r="S74" s="31">
        <f t="shared" ref="S74" si="213">SUM(S68:S73)</f>
        <v>466</v>
      </c>
      <c r="T74" s="38">
        <f t="shared" ref="T74" si="214">SUM(T68:T73)</f>
        <v>23.883330000000001</v>
      </c>
      <c r="U74" s="31">
        <f>SUM(U68:U73)</f>
        <v>0</v>
      </c>
      <c r="V74" s="38">
        <f>SUM(V68:V73)</f>
        <v>-0.18878999999999846</v>
      </c>
    </row>
    <row r="75" spans="1:22">
      <c r="A75" s="33"/>
      <c r="B75" s="33"/>
      <c r="C75" s="34"/>
      <c r="D75" s="34"/>
      <c r="E75" s="34">
        <f>SUM(E6:E74)/2</f>
        <v>5324</v>
      </c>
      <c r="F75" s="35">
        <f>SUM(F6:F74)/2</f>
        <v>382.25166949999993</v>
      </c>
      <c r="H75" s="34">
        <f>SUM(H6:H74)/2</f>
        <v>1360</v>
      </c>
      <c r="I75" s="35">
        <f>SUM(I6:I74)/2</f>
        <v>90.807776499999989</v>
      </c>
      <c r="K75" s="34">
        <f>SUM(K6:K74)/2</f>
        <v>2447</v>
      </c>
      <c r="L75" s="35">
        <f>SUM(L6:L74)/2</f>
        <v>179.71459349999998</v>
      </c>
      <c r="N75" s="34">
        <f>SUM(N6:N74)/2</f>
        <v>1221</v>
      </c>
      <c r="O75" s="35" t="e">
        <f>SUM(O6:O74)/2</f>
        <v>#VALUE!</v>
      </c>
      <c r="Q75" s="34">
        <f t="shared" ref="Q75:V75" si="215">SUM(Q6:Q74)/2</f>
        <v>173</v>
      </c>
      <c r="R75" s="35">
        <f t="shared" si="215"/>
        <v>13.214356999999998</v>
      </c>
      <c r="S75" s="34" t="e">
        <f t="shared" si="215"/>
        <v>#VALUE!</v>
      </c>
      <c r="T75" s="35" t="e">
        <f t="shared" si="215"/>
        <v>#VALUE!</v>
      </c>
      <c r="U75" s="34" t="e">
        <f t="shared" si="215"/>
        <v>#VALUE!</v>
      </c>
      <c r="V75" s="35" t="e">
        <f t="shared" si="215"/>
        <v>#VALUE!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66"/>
  <dimension ref="A1:X55"/>
  <sheetViews>
    <sheetView zoomScale="75" zoomScaleNormal="75" workbookViewId="0">
      <pane ySplit="5" topLeftCell="A30" activePane="bottomLeft" state="frozen"/>
      <selection pane="bottomLeft" activeCell="J22" sqref="J22:J2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LOI-645  03.08.23</v>
      </c>
      <c r="D1" s="1"/>
      <c r="E1" s="2"/>
      <c r="F1" s="2"/>
      <c r="G1" s="143" t="s">
        <v>334</v>
      </c>
      <c r="H1" s="144"/>
      <c r="I1" s="145" t="s">
        <v>339</v>
      </c>
      <c r="J1" s="144"/>
      <c r="K1" s="3"/>
      <c r="L1" s="4"/>
      <c r="M1" s="4"/>
      <c r="N1" s="3"/>
      <c r="O1" s="4"/>
      <c r="P1" s="146" t="str">
        <f>+F2</f>
        <v>LOI-645  03.08.23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242</v>
      </c>
      <c r="B2" s="8"/>
      <c r="C2" s="9"/>
      <c r="D2" s="9"/>
      <c r="E2" s="10"/>
      <c r="F2" s="146" t="s">
        <v>340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LOI-645  03.08.23</v>
      </c>
      <c r="V2" s="146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9.1</v>
      </c>
      <c r="E6" s="28">
        <v>10</v>
      </c>
      <c r="F6" s="16">
        <f t="shared" ref="F6:F8" si="0">(C6*D6*E6/1000)</f>
        <v>1.365</v>
      </c>
      <c r="G6" s="16" t="s">
        <v>389</v>
      </c>
      <c r="H6" s="18"/>
      <c r="I6" s="19">
        <f t="shared" ref="I6:I8" si="1">(C6*D6*H6/1000)</f>
        <v>0</v>
      </c>
      <c r="J6" s="16"/>
      <c r="K6" s="18"/>
      <c r="L6" s="19">
        <f t="shared" ref="L6:L8" si="2">(C6*D6*K6/1000)</f>
        <v>0</v>
      </c>
      <c r="M6" s="16"/>
      <c r="N6" s="18"/>
      <c r="O6" s="19">
        <f t="shared" ref="O6:O8" si="3">(C6*D6*N6/1000)</f>
        <v>0</v>
      </c>
      <c r="P6" s="16"/>
      <c r="Q6" s="18"/>
      <c r="R6" s="19">
        <f t="shared" ref="R6:R8" si="4">(C6*D6*Q6/1000)</f>
        <v>0</v>
      </c>
      <c r="S6" s="20">
        <f t="shared" ref="S6:S8" si="5">+H6+K6+Q6+N6</f>
        <v>0</v>
      </c>
      <c r="T6" s="19">
        <f t="shared" ref="T6:T8" si="6">+I6+L6+R6+O6</f>
        <v>0</v>
      </c>
      <c r="U6" s="21">
        <f t="shared" ref="U6:U8" si="7">E6-S6</f>
        <v>10</v>
      </c>
      <c r="V6" s="19">
        <f t="shared" ref="V6:V8" si="8">F6-T6</f>
        <v>1.365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10.3</v>
      </c>
      <c r="E7" s="28">
        <v>33</v>
      </c>
      <c r="F7" s="16">
        <f t="shared" si="0"/>
        <v>5.0984999999999996</v>
      </c>
      <c r="G7" s="16" t="s">
        <v>615</v>
      </c>
      <c r="H7" s="18">
        <v>33</v>
      </c>
      <c r="I7" s="19">
        <f t="shared" si="1"/>
        <v>5.0984999999999996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33</v>
      </c>
      <c r="T7" s="19">
        <f t="shared" si="6"/>
        <v>5.0984999999999996</v>
      </c>
      <c r="U7" s="21">
        <f t="shared" si="7"/>
        <v>0</v>
      </c>
      <c r="V7" s="19">
        <f t="shared" si="8"/>
        <v>0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10.6</v>
      </c>
      <c r="E8" s="28">
        <v>3</v>
      </c>
      <c r="F8" s="16">
        <f t="shared" si="0"/>
        <v>0.47699999999999998</v>
      </c>
      <c r="G8" s="17"/>
      <c r="H8" s="18">
        <v>2</v>
      </c>
      <c r="I8" s="19">
        <f t="shared" si="1"/>
        <v>0.318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</v>
      </c>
      <c r="T8" s="19">
        <f t="shared" si="6"/>
        <v>0.318</v>
      </c>
      <c r="U8" s="21">
        <f t="shared" si="7"/>
        <v>1</v>
      </c>
      <c r="V8" s="19">
        <f t="shared" si="8"/>
        <v>0.15899999999999997</v>
      </c>
      <c r="X8" s="29"/>
    </row>
    <row r="9" spans="1:24">
      <c r="A9" s="26"/>
      <c r="B9" s="26"/>
      <c r="C9" s="30"/>
      <c r="D9" s="27"/>
      <c r="E9" s="31">
        <f t="shared" ref="E9:F9" si="9">SUM(E6:E8)</f>
        <v>46</v>
      </c>
      <c r="F9" s="38">
        <f t="shared" si="9"/>
        <v>6.9405000000000001</v>
      </c>
      <c r="G9" s="17"/>
      <c r="H9" s="31">
        <f t="shared" ref="H9" si="10">SUM(H6:H8)</f>
        <v>35</v>
      </c>
      <c r="I9" s="38">
        <f t="shared" ref="I9" si="11">SUM(I6:I8)</f>
        <v>5.4164999999999992</v>
      </c>
      <c r="J9" s="16"/>
      <c r="K9" s="31">
        <f t="shared" ref="K9" si="12">SUM(K6:K8)</f>
        <v>0</v>
      </c>
      <c r="L9" s="38">
        <f t="shared" ref="L9" si="13">SUM(L6:L8)</f>
        <v>0</v>
      </c>
      <c r="M9" s="16"/>
      <c r="N9" s="31">
        <f t="shared" ref="N9" si="14">SUM(N6:N8)</f>
        <v>0</v>
      </c>
      <c r="O9" s="38">
        <f t="shared" ref="O9" si="15">SUM(O6:O8)</f>
        <v>0</v>
      </c>
      <c r="P9" s="16"/>
      <c r="Q9" s="31">
        <f t="shared" ref="Q9" si="16">SUM(Q6:Q8)</f>
        <v>0</v>
      </c>
      <c r="R9" s="38">
        <f t="shared" ref="R9" si="17">SUM(R6:R8)</f>
        <v>0</v>
      </c>
      <c r="S9" s="31">
        <f t="shared" ref="S9" si="18">SUM(S6:S8)</f>
        <v>35</v>
      </c>
      <c r="T9" s="38">
        <f t="shared" ref="T9" si="19">SUM(T6:T8)</f>
        <v>5.4164999999999992</v>
      </c>
      <c r="U9" s="31">
        <f t="shared" ref="U9" si="20">SUM(U6:U8)</f>
        <v>11</v>
      </c>
      <c r="V9" s="38">
        <f t="shared" ref="V9" si="21">SUM(V6:V8)</f>
        <v>1.524</v>
      </c>
    </row>
    <row r="10" spans="1:24">
      <c r="A10" s="26" t="s">
        <v>13</v>
      </c>
      <c r="B10" s="26" t="s">
        <v>61</v>
      </c>
      <c r="C10" s="30">
        <v>12.2</v>
      </c>
      <c r="D10" s="27">
        <v>7.5</v>
      </c>
      <c r="E10" s="28">
        <v>116</v>
      </c>
      <c r="F10" s="16">
        <f t="shared" ref="F10:F13" si="22">(C10*D10*E10/1000)</f>
        <v>10.614000000000001</v>
      </c>
      <c r="G10" s="17" t="s">
        <v>114</v>
      </c>
      <c r="H10" s="18">
        <v>38</v>
      </c>
      <c r="I10" s="19">
        <f t="shared" ref="I10:I13" si="23">(C10*D10*H10/1000)</f>
        <v>3.4769999999999999</v>
      </c>
      <c r="J10" s="17" t="s">
        <v>455</v>
      </c>
      <c r="K10" s="18">
        <v>26</v>
      </c>
      <c r="L10" s="19">
        <f t="shared" ref="L10:L13" si="24">(C10*D10*K10/1000)</f>
        <v>2.379</v>
      </c>
      <c r="M10" s="16"/>
      <c r="N10" s="18"/>
      <c r="O10" s="19">
        <f t="shared" ref="O10:O13" si="25">(C10*D10*N10/1000)</f>
        <v>0</v>
      </c>
      <c r="P10" s="16"/>
      <c r="Q10" s="18"/>
      <c r="R10" s="19">
        <f t="shared" ref="R10:R13" si="26">(C10*D10*Q10/1000)</f>
        <v>0</v>
      </c>
      <c r="S10" s="20">
        <f t="shared" ref="S10:S13" si="27">+H10+K10+Q10+N10</f>
        <v>64</v>
      </c>
      <c r="T10" s="19">
        <f t="shared" ref="T10:T13" si="28">+I10+L10+R10+O10</f>
        <v>5.8559999999999999</v>
      </c>
      <c r="U10" s="21">
        <f t="shared" ref="U10:U13" si="29">E10-S10</f>
        <v>52</v>
      </c>
      <c r="V10" s="19">
        <f t="shared" ref="V10:V13" si="30">F10-T10</f>
        <v>4.7580000000000009</v>
      </c>
    </row>
    <row r="11" spans="1:24">
      <c r="A11" s="26" t="s">
        <v>13</v>
      </c>
      <c r="B11" s="26" t="s">
        <v>61</v>
      </c>
      <c r="C11" s="30">
        <v>12.2</v>
      </c>
      <c r="D11" s="27">
        <v>7.6</v>
      </c>
      <c r="E11" s="28">
        <v>92</v>
      </c>
      <c r="F11" s="16">
        <f t="shared" si="22"/>
        <v>8.5302399999999974</v>
      </c>
      <c r="G11" s="17" t="s">
        <v>603</v>
      </c>
      <c r="H11" s="18">
        <v>77</v>
      </c>
      <c r="I11" s="19">
        <f t="shared" si="23"/>
        <v>7.1394399999999987</v>
      </c>
      <c r="J11" s="17" t="s">
        <v>605</v>
      </c>
      <c r="K11" s="18">
        <v>15</v>
      </c>
      <c r="L11" s="19">
        <f t="shared" si="24"/>
        <v>1.3907999999999998</v>
      </c>
      <c r="M11" s="16"/>
      <c r="N11" s="18"/>
      <c r="O11" s="19">
        <f t="shared" si="25"/>
        <v>0</v>
      </c>
      <c r="P11" s="16"/>
      <c r="Q11" s="18"/>
      <c r="R11" s="19">
        <f t="shared" si="26"/>
        <v>0</v>
      </c>
      <c r="S11" s="20">
        <f t="shared" si="27"/>
        <v>92</v>
      </c>
      <c r="T11" s="19">
        <f t="shared" si="28"/>
        <v>8.5302399999999992</v>
      </c>
      <c r="U11" s="21">
        <f t="shared" si="29"/>
        <v>0</v>
      </c>
      <c r="V11" s="19">
        <f t="shared" si="30"/>
        <v>0</v>
      </c>
    </row>
    <row r="12" spans="1:24">
      <c r="A12" s="26" t="s">
        <v>13</v>
      </c>
      <c r="B12" s="26" t="s">
        <v>61</v>
      </c>
      <c r="C12" s="30">
        <v>12.2</v>
      </c>
      <c r="D12" s="27">
        <v>10.3</v>
      </c>
      <c r="E12" s="28">
        <v>28</v>
      </c>
      <c r="F12" s="16">
        <f t="shared" si="22"/>
        <v>3.5184799999999998</v>
      </c>
      <c r="G12" s="17"/>
      <c r="H12" s="18">
        <v>16</v>
      </c>
      <c r="I12" s="19">
        <f t="shared" si="23"/>
        <v>2.0105599999999999</v>
      </c>
      <c r="J12" s="16"/>
      <c r="K12" s="18"/>
      <c r="L12" s="19">
        <f t="shared" si="24"/>
        <v>0</v>
      </c>
      <c r="M12" s="16"/>
      <c r="N12" s="18"/>
      <c r="O12" s="19">
        <f t="shared" si="25"/>
        <v>0</v>
      </c>
      <c r="P12" s="16"/>
      <c r="Q12" s="18"/>
      <c r="R12" s="19">
        <f t="shared" si="26"/>
        <v>0</v>
      </c>
      <c r="S12" s="20">
        <f t="shared" si="27"/>
        <v>16</v>
      </c>
      <c r="T12" s="19">
        <f t="shared" si="28"/>
        <v>2.0105599999999999</v>
      </c>
      <c r="U12" s="21">
        <f t="shared" si="29"/>
        <v>12</v>
      </c>
      <c r="V12" s="19">
        <f t="shared" si="30"/>
        <v>1.5079199999999999</v>
      </c>
    </row>
    <row r="13" spans="1:24">
      <c r="A13" s="26" t="s">
        <v>13</v>
      </c>
      <c r="B13" s="26" t="s">
        <v>61</v>
      </c>
      <c r="C13" s="30">
        <v>12.2</v>
      </c>
      <c r="D13" s="27">
        <v>10.4</v>
      </c>
      <c r="E13" s="28">
        <v>52</v>
      </c>
      <c r="F13" s="16">
        <f t="shared" si="22"/>
        <v>6.5977600000000001</v>
      </c>
      <c r="G13" s="17"/>
      <c r="H13" s="18">
        <v>19</v>
      </c>
      <c r="I13" s="19">
        <f t="shared" si="23"/>
        <v>2.41072</v>
      </c>
      <c r="J13" s="16"/>
      <c r="K13" s="18">
        <v>24</v>
      </c>
      <c r="L13" s="19">
        <f t="shared" si="24"/>
        <v>3.0451199999999998</v>
      </c>
      <c r="M13" s="16"/>
      <c r="N13" s="18"/>
      <c r="O13" s="19">
        <f t="shared" si="25"/>
        <v>0</v>
      </c>
      <c r="P13" s="16"/>
      <c r="Q13" s="18"/>
      <c r="R13" s="19">
        <f t="shared" si="26"/>
        <v>0</v>
      </c>
      <c r="S13" s="20">
        <f t="shared" si="27"/>
        <v>43</v>
      </c>
      <c r="T13" s="19">
        <f t="shared" si="28"/>
        <v>5.4558400000000002</v>
      </c>
      <c r="U13" s="21">
        <f t="shared" si="29"/>
        <v>9</v>
      </c>
      <c r="V13" s="19">
        <f t="shared" si="30"/>
        <v>1.1419199999999998</v>
      </c>
    </row>
    <row r="14" spans="1:24">
      <c r="A14" s="26"/>
      <c r="B14" s="26"/>
      <c r="C14" s="30"/>
      <c r="D14" s="27"/>
      <c r="E14" s="31">
        <f t="shared" ref="E14:F14" si="31">SUM(E10:E13)</f>
        <v>288</v>
      </c>
      <c r="F14" s="38">
        <f t="shared" si="31"/>
        <v>29.260479999999998</v>
      </c>
      <c r="G14" s="17"/>
      <c r="H14" s="31">
        <f t="shared" ref="H14" si="32">SUM(H10:H13)</f>
        <v>150</v>
      </c>
      <c r="I14" s="38">
        <f t="shared" ref="I14" si="33">SUM(I10:I13)</f>
        <v>15.037719999999998</v>
      </c>
      <c r="J14" s="16"/>
      <c r="K14" s="31">
        <f t="shared" ref="K14" si="34">SUM(K10:K13)</f>
        <v>65</v>
      </c>
      <c r="L14" s="38">
        <f t="shared" ref="L14" si="35">SUM(L10:L13)</f>
        <v>6.8149199999999999</v>
      </c>
      <c r="M14" s="16"/>
      <c r="N14" s="31">
        <f t="shared" ref="N14" si="36">SUM(N10:N13)</f>
        <v>0</v>
      </c>
      <c r="O14" s="38">
        <f t="shared" ref="O14" si="37">SUM(O10:O13)</f>
        <v>0</v>
      </c>
      <c r="P14" s="16"/>
      <c r="Q14" s="31">
        <f t="shared" ref="Q14" si="38">SUM(Q10:Q13)</f>
        <v>0</v>
      </c>
      <c r="R14" s="38">
        <f t="shared" ref="R14" si="39">SUM(R10:R13)</f>
        <v>0</v>
      </c>
      <c r="S14" s="31">
        <f t="shared" ref="S14" si="40">SUM(S10:S13)</f>
        <v>215</v>
      </c>
      <c r="T14" s="38">
        <f t="shared" ref="T14" si="41">SUM(T10:T13)</f>
        <v>21.852640000000001</v>
      </c>
      <c r="U14" s="31">
        <f t="shared" ref="U14" si="42">SUM(U10:U13)</f>
        <v>73</v>
      </c>
      <c r="V14" s="38">
        <f t="shared" ref="V14" si="43">SUM(V10:V13)</f>
        <v>7.4078400000000011</v>
      </c>
    </row>
    <row r="15" spans="1:24">
      <c r="A15" s="26" t="s">
        <v>13</v>
      </c>
      <c r="B15" s="26" t="s">
        <v>180</v>
      </c>
      <c r="C15" s="30">
        <v>13.6</v>
      </c>
      <c r="D15" s="27">
        <v>7.6</v>
      </c>
      <c r="E15" s="28">
        <v>24</v>
      </c>
      <c r="F15" s="16">
        <f>(C15*D15*E15/1000)</f>
        <v>2.4806399999999997</v>
      </c>
      <c r="G15" s="16" t="s">
        <v>107</v>
      </c>
      <c r="H15" s="18">
        <v>24</v>
      </c>
      <c r="I15" s="19">
        <f>(C15*D15*H15/1000)</f>
        <v>2.4806399999999997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24</v>
      </c>
      <c r="T15" s="19">
        <f>+I15+L15+R15+O15</f>
        <v>2.4806399999999997</v>
      </c>
      <c r="U15" s="21">
        <f>E15-S15</f>
        <v>0</v>
      </c>
      <c r="V15" s="19">
        <f>F15-T15</f>
        <v>0</v>
      </c>
    </row>
    <row r="16" spans="1:24">
      <c r="A16" s="26"/>
      <c r="B16" s="26"/>
      <c r="C16" s="30"/>
      <c r="D16" s="27"/>
      <c r="E16" s="31">
        <f t="shared" ref="E16:F16" si="44">SUM(E15)</f>
        <v>24</v>
      </c>
      <c r="F16" s="38">
        <f t="shared" si="44"/>
        <v>2.4806399999999997</v>
      </c>
      <c r="G16" s="16" t="s">
        <v>607</v>
      </c>
      <c r="H16" s="31">
        <f t="shared" ref="H16" si="45">SUM(H15)</f>
        <v>24</v>
      </c>
      <c r="I16" s="38">
        <f t="shared" ref="I16" si="46">SUM(I15)</f>
        <v>2.4806399999999997</v>
      </c>
      <c r="J16" s="16"/>
      <c r="K16" s="31">
        <f t="shared" ref="K16" si="47">SUM(K15)</f>
        <v>0</v>
      </c>
      <c r="L16" s="38">
        <f t="shared" ref="L16" si="48">SUM(L15)</f>
        <v>0</v>
      </c>
      <c r="M16" s="16"/>
      <c r="N16" s="31">
        <f t="shared" ref="N16" si="49">SUM(N15)</f>
        <v>0</v>
      </c>
      <c r="O16" s="38">
        <f t="shared" ref="O16" si="50">SUM(O15)</f>
        <v>0</v>
      </c>
      <c r="P16" s="16"/>
      <c r="Q16" s="31">
        <f t="shared" ref="Q16" si="51">SUM(Q15)</f>
        <v>0</v>
      </c>
      <c r="R16" s="38">
        <f t="shared" ref="R16" si="52">SUM(R15)</f>
        <v>0</v>
      </c>
      <c r="S16" s="31">
        <f t="shared" ref="S16" si="53">SUM(S15)</f>
        <v>24</v>
      </c>
      <c r="T16" s="38">
        <f t="shared" ref="T16" si="54">SUM(T15)</f>
        <v>2.4806399999999997</v>
      </c>
      <c r="U16" s="31">
        <f t="shared" ref="U16" si="55">SUM(U15)</f>
        <v>0</v>
      </c>
      <c r="V16" s="38">
        <f t="shared" ref="V16" si="56">SUM(V15)</f>
        <v>0</v>
      </c>
    </row>
    <row r="17" spans="1:22">
      <c r="A17" s="26" t="s">
        <v>13</v>
      </c>
      <c r="B17" s="26" t="s">
        <v>18</v>
      </c>
      <c r="C17" s="30">
        <v>16.600000000000001</v>
      </c>
      <c r="D17" s="27">
        <v>7.3</v>
      </c>
      <c r="E17" s="28">
        <v>72</v>
      </c>
      <c r="F17" s="16">
        <f t="shared" ref="F17:F18" si="57">(C17*D17*E17/1000)</f>
        <v>8.7249600000000012</v>
      </c>
      <c r="G17" s="17" t="s">
        <v>93</v>
      </c>
      <c r="H17" s="18">
        <v>13</v>
      </c>
      <c r="I17" s="19">
        <f t="shared" ref="I17:I18" si="58">(C17*D17*H17/1000)</f>
        <v>1.5753400000000002</v>
      </c>
      <c r="J17" s="16" t="s">
        <v>89</v>
      </c>
      <c r="K17" s="18">
        <v>44</v>
      </c>
      <c r="L17" s="19">
        <f t="shared" ref="L17:L18" si="59">(C17*D17*K17/1000)</f>
        <v>5.3319200000000002</v>
      </c>
      <c r="M17" s="16"/>
      <c r="N17" s="18"/>
      <c r="O17" s="19">
        <f t="shared" ref="O17:O18" si="60">(C17*D17*N17/1000)</f>
        <v>0</v>
      </c>
      <c r="P17" s="16"/>
      <c r="Q17" s="18"/>
      <c r="R17" s="19">
        <f t="shared" ref="R17:R18" si="61">(C17*D17*Q17/1000)</f>
        <v>0</v>
      </c>
      <c r="S17" s="20">
        <f t="shared" ref="S17:S18" si="62">+H17+K17+Q17+N17</f>
        <v>57</v>
      </c>
      <c r="T17" s="19">
        <f t="shared" ref="T17:T18" si="63">+I17+L17+R17+O17</f>
        <v>6.9072600000000008</v>
      </c>
      <c r="U17" s="21">
        <f t="shared" ref="U17:U18" si="64">E17-S17</f>
        <v>15</v>
      </c>
      <c r="V17" s="19">
        <f t="shared" ref="V17:V18" si="65">F17-T17</f>
        <v>1.8177000000000003</v>
      </c>
    </row>
    <row r="18" spans="1:22">
      <c r="A18" s="26" t="s">
        <v>13</v>
      </c>
      <c r="B18" s="26" t="s">
        <v>18</v>
      </c>
      <c r="C18" s="30">
        <v>16.600000000000001</v>
      </c>
      <c r="D18" s="27">
        <v>9.6</v>
      </c>
      <c r="E18" s="28">
        <v>340</v>
      </c>
      <c r="F18" s="16">
        <f t="shared" si="57"/>
        <v>54.182400000000001</v>
      </c>
      <c r="G18" s="17" t="s">
        <v>491</v>
      </c>
      <c r="H18" s="18">
        <f>70+118</f>
        <v>188</v>
      </c>
      <c r="I18" s="19">
        <f t="shared" si="58"/>
        <v>29.959680000000002</v>
      </c>
      <c r="J18" s="16" t="s">
        <v>492</v>
      </c>
      <c r="K18" s="18">
        <v>117</v>
      </c>
      <c r="L18" s="19">
        <f t="shared" si="59"/>
        <v>18.645120000000002</v>
      </c>
      <c r="M18" s="16"/>
      <c r="N18" s="18"/>
      <c r="O18" s="19">
        <f t="shared" si="60"/>
        <v>0</v>
      </c>
      <c r="P18" s="16"/>
      <c r="Q18" s="18"/>
      <c r="R18" s="19">
        <f t="shared" si="61"/>
        <v>0</v>
      </c>
      <c r="S18" s="20">
        <f t="shared" si="62"/>
        <v>305</v>
      </c>
      <c r="T18" s="19">
        <f t="shared" si="63"/>
        <v>48.604800000000004</v>
      </c>
      <c r="U18" s="21">
        <f t="shared" si="64"/>
        <v>35</v>
      </c>
      <c r="V18" s="19">
        <f t="shared" si="65"/>
        <v>5.5775999999999968</v>
      </c>
    </row>
    <row r="19" spans="1:22">
      <c r="A19" s="26"/>
      <c r="B19" s="26"/>
      <c r="C19" s="30"/>
      <c r="D19" s="27"/>
      <c r="E19" s="31">
        <f t="shared" ref="E19:F19" si="66">SUM(E17:E18)</f>
        <v>412</v>
      </c>
      <c r="F19" s="38">
        <f t="shared" si="66"/>
        <v>62.907360000000004</v>
      </c>
      <c r="G19" s="17"/>
      <c r="H19" s="31">
        <f t="shared" ref="H19" si="67">SUM(H17:H18)</f>
        <v>201</v>
      </c>
      <c r="I19" s="38">
        <f t="shared" ref="I19" si="68">SUM(I17:I18)</f>
        <v>31.535020000000003</v>
      </c>
      <c r="J19" s="16"/>
      <c r="K19" s="31">
        <f t="shared" ref="K19" si="69">SUM(K17:K18)</f>
        <v>161</v>
      </c>
      <c r="L19" s="38">
        <f t="shared" ref="L19" si="70">SUM(L17:L18)</f>
        <v>23.977040000000002</v>
      </c>
      <c r="M19" s="16"/>
      <c r="N19" s="31">
        <f t="shared" ref="N19" si="71">SUM(N17:N18)</f>
        <v>0</v>
      </c>
      <c r="O19" s="38">
        <f t="shared" ref="O19" si="72">SUM(O17:O18)</f>
        <v>0</v>
      </c>
      <c r="P19" s="16"/>
      <c r="Q19" s="31">
        <f t="shared" ref="Q19" si="73">SUM(Q17:Q18)</f>
        <v>0</v>
      </c>
      <c r="R19" s="38">
        <f t="shared" ref="R19" si="74">SUM(R17:R18)</f>
        <v>0</v>
      </c>
      <c r="S19" s="31">
        <f t="shared" ref="S19" si="75">SUM(S17:S18)</f>
        <v>362</v>
      </c>
      <c r="T19" s="38">
        <f t="shared" ref="T19" si="76">SUM(T17:T18)</f>
        <v>55.512060000000005</v>
      </c>
      <c r="U19" s="31">
        <f t="shared" ref="U19" si="77">SUM(U17:U18)</f>
        <v>50</v>
      </c>
      <c r="V19" s="38">
        <f t="shared" ref="V19" si="78">SUM(V17:V18)</f>
        <v>7.3952999999999971</v>
      </c>
    </row>
    <row r="20" spans="1:22">
      <c r="A20" s="26" t="s">
        <v>13</v>
      </c>
      <c r="B20" s="26" t="s">
        <v>25</v>
      </c>
      <c r="C20" s="30">
        <v>13.4</v>
      </c>
      <c r="D20" s="27">
        <v>9.1999999999999993</v>
      </c>
      <c r="E20" s="28">
        <v>20</v>
      </c>
      <c r="F20" s="16">
        <f>(C20*D20*E20/1000)</f>
        <v>2.4655999999999998</v>
      </c>
      <c r="G20" s="17" t="s">
        <v>455</v>
      </c>
      <c r="H20" s="18">
        <v>14</v>
      </c>
      <c r="I20" s="19">
        <f>(C20*D20*H20/1000)</f>
        <v>1.7259199999999999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14</v>
      </c>
      <c r="T20" s="19">
        <f>+I20+L20+R20+O20</f>
        <v>1.7259199999999999</v>
      </c>
      <c r="U20" s="21">
        <f>E20-S20</f>
        <v>6</v>
      </c>
      <c r="V20" s="19">
        <f>F20-T20</f>
        <v>0.73967999999999989</v>
      </c>
    </row>
    <row r="21" spans="1:22">
      <c r="A21" s="26"/>
      <c r="B21" s="26"/>
      <c r="C21" s="30"/>
      <c r="D21" s="27"/>
      <c r="E21" s="31">
        <f t="shared" ref="E21:F21" si="79">SUM(E20)</f>
        <v>20</v>
      </c>
      <c r="F21" s="38">
        <f t="shared" si="79"/>
        <v>2.4655999999999998</v>
      </c>
      <c r="G21" s="17" t="s">
        <v>605</v>
      </c>
      <c r="H21" s="31">
        <f t="shared" ref="H21" si="80">SUM(H20)</f>
        <v>14</v>
      </c>
      <c r="I21" s="38">
        <f t="shared" ref="I21" si="81">SUM(I20)</f>
        <v>1.7259199999999999</v>
      </c>
      <c r="J21" s="16"/>
      <c r="K21" s="31">
        <f t="shared" ref="K21" si="82">SUM(K20)</f>
        <v>0</v>
      </c>
      <c r="L21" s="38">
        <f t="shared" ref="L21" si="83">SUM(L20)</f>
        <v>0</v>
      </c>
      <c r="M21" s="16"/>
      <c r="N21" s="31">
        <f t="shared" ref="N21" si="84">SUM(N20)</f>
        <v>0</v>
      </c>
      <c r="O21" s="38">
        <f t="shared" ref="O21" si="85">SUM(O20)</f>
        <v>0</v>
      </c>
      <c r="P21" s="16"/>
      <c r="Q21" s="31">
        <f t="shared" ref="Q21" si="86">SUM(Q20)</f>
        <v>0</v>
      </c>
      <c r="R21" s="38">
        <f t="shared" ref="R21" si="87">SUM(R20)</f>
        <v>0</v>
      </c>
      <c r="S21" s="31">
        <f t="shared" ref="S21" si="88">SUM(S20)</f>
        <v>14</v>
      </c>
      <c r="T21" s="38">
        <f t="shared" ref="T21" si="89">SUM(T20)</f>
        <v>1.7259199999999999</v>
      </c>
      <c r="U21" s="31">
        <f t="shared" ref="U21" si="90">SUM(U20)</f>
        <v>6</v>
      </c>
      <c r="V21" s="38">
        <f t="shared" ref="V21" si="91">SUM(V20)</f>
        <v>0.73967999999999989</v>
      </c>
    </row>
    <row r="22" spans="1:22">
      <c r="A22" s="26" t="s">
        <v>13</v>
      </c>
      <c r="B22" s="26" t="s">
        <v>47</v>
      </c>
      <c r="C22" s="30">
        <v>18.2</v>
      </c>
      <c r="D22" s="27">
        <v>6.7</v>
      </c>
      <c r="E22" s="28">
        <v>48</v>
      </c>
      <c r="F22" s="16">
        <f t="shared" ref="F22:F23" si="92">(C22*D22*E22/1000)</f>
        <v>5.8531199999999997</v>
      </c>
      <c r="G22" s="16" t="s">
        <v>107</v>
      </c>
      <c r="H22" s="18">
        <f>28+7</f>
        <v>35</v>
      </c>
      <c r="I22" s="19">
        <f t="shared" ref="I22:I23" si="93">(C22*D22*H22/1000)</f>
        <v>4.2679</v>
      </c>
      <c r="J22" s="16" t="s">
        <v>82</v>
      </c>
      <c r="K22" s="18">
        <v>13</v>
      </c>
      <c r="L22" s="19">
        <f t="shared" ref="L22:L23" si="94">(C22*D22*K22/1000)</f>
        <v>1.5852200000000001</v>
      </c>
      <c r="M22" s="16"/>
      <c r="N22" s="18"/>
      <c r="O22" s="19">
        <f t="shared" ref="O22:O23" si="95">(C22*D22*N22/1000)</f>
        <v>0</v>
      </c>
      <c r="P22" s="16"/>
      <c r="Q22" s="18"/>
      <c r="R22" s="19">
        <f t="shared" ref="R22:R23" si="96">(C22*D22*Q22/1000)</f>
        <v>0</v>
      </c>
      <c r="S22" s="20">
        <f t="shared" ref="S22:S23" si="97">+H22+K22+Q22+N22</f>
        <v>48</v>
      </c>
      <c r="T22" s="19">
        <f t="shared" ref="T22:T23" si="98">+I22+L22+R22+O22</f>
        <v>5.8531200000000005</v>
      </c>
      <c r="U22" s="21">
        <f t="shared" ref="U22:U23" si="99">E22-S22</f>
        <v>0</v>
      </c>
      <c r="V22" s="19">
        <f t="shared" ref="V22:V23" si="100">F22-T22</f>
        <v>0</v>
      </c>
    </row>
    <row r="23" spans="1:22">
      <c r="A23" s="26" t="s">
        <v>13</v>
      </c>
      <c r="B23" s="26" t="s">
        <v>47</v>
      </c>
      <c r="C23" s="30">
        <v>18.2</v>
      </c>
      <c r="D23" s="27">
        <v>11.1</v>
      </c>
      <c r="E23" s="28">
        <v>6</v>
      </c>
      <c r="F23" s="16">
        <f t="shared" si="92"/>
        <v>1.2121199999999999</v>
      </c>
      <c r="G23" s="16" t="s">
        <v>607</v>
      </c>
      <c r="H23" s="18">
        <v>6</v>
      </c>
      <c r="I23" s="19">
        <f t="shared" si="93"/>
        <v>1.2121199999999999</v>
      </c>
      <c r="J23" s="16" t="s">
        <v>615</v>
      </c>
      <c r="K23" s="18"/>
      <c r="L23" s="19">
        <f t="shared" si="94"/>
        <v>0</v>
      </c>
      <c r="M23" s="16"/>
      <c r="N23" s="18"/>
      <c r="O23" s="19">
        <f t="shared" si="95"/>
        <v>0</v>
      </c>
      <c r="P23" s="16"/>
      <c r="Q23" s="18"/>
      <c r="R23" s="19">
        <f t="shared" si="96"/>
        <v>0</v>
      </c>
      <c r="S23" s="20">
        <f t="shared" si="97"/>
        <v>6</v>
      </c>
      <c r="T23" s="19">
        <f t="shared" si="98"/>
        <v>1.2121199999999999</v>
      </c>
      <c r="U23" s="21">
        <f t="shared" si="99"/>
        <v>0</v>
      </c>
      <c r="V23" s="19">
        <f t="shared" si="100"/>
        <v>0</v>
      </c>
    </row>
    <row r="24" spans="1:22">
      <c r="A24" s="26"/>
      <c r="B24" s="26"/>
      <c r="C24" s="30"/>
      <c r="D24" s="27"/>
      <c r="E24" s="31">
        <f t="shared" ref="E24:F24" si="101">SUM(E22:E23)</f>
        <v>54</v>
      </c>
      <c r="F24" s="38">
        <f t="shared" si="101"/>
        <v>7.0652399999999993</v>
      </c>
      <c r="G24" s="17"/>
      <c r="H24" s="31">
        <f t="shared" ref="H24" si="102">SUM(H22:H23)</f>
        <v>41</v>
      </c>
      <c r="I24" s="38">
        <f t="shared" ref="I24" si="103">SUM(I22:I23)</f>
        <v>5.4800199999999997</v>
      </c>
      <c r="J24" s="16"/>
      <c r="K24" s="31">
        <f t="shared" ref="K24" si="104">SUM(K22:K23)</f>
        <v>13</v>
      </c>
      <c r="L24" s="38">
        <f t="shared" ref="L24" si="105">SUM(L22:L23)</f>
        <v>1.5852200000000001</v>
      </c>
      <c r="M24" s="16"/>
      <c r="N24" s="31">
        <f t="shared" ref="N24" si="106">SUM(N22:N23)</f>
        <v>0</v>
      </c>
      <c r="O24" s="38">
        <f t="shared" ref="O24" si="107">SUM(O22:O23)</f>
        <v>0</v>
      </c>
      <c r="P24" s="16"/>
      <c r="Q24" s="31">
        <f t="shared" ref="Q24" si="108">SUM(Q22:Q23)</f>
        <v>0</v>
      </c>
      <c r="R24" s="38">
        <f t="shared" ref="R24" si="109">SUM(R22:R23)</f>
        <v>0</v>
      </c>
      <c r="S24" s="31">
        <f t="shared" ref="S24" si="110">SUM(S22:S23)</f>
        <v>54</v>
      </c>
      <c r="T24" s="38">
        <f t="shared" ref="T24" si="111">SUM(T22:T23)</f>
        <v>7.0652400000000002</v>
      </c>
      <c r="U24" s="31">
        <f t="shared" ref="U24" si="112">SUM(U22:U23)</f>
        <v>0</v>
      </c>
      <c r="V24" s="38">
        <f t="shared" ref="V24" si="113">SUM(V22:V23)</f>
        <v>0</v>
      </c>
    </row>
    <row r="25" spans="1:22">
      <c r="A25" s="26" t="s">
        <v>13</v>
      </c>
      <c r="B25" s="26" t="s">
        <v>49</v>
      </c>
      <c r="C25" s="30">
        <v>14.7</v>
      </c>
      <c r="D25" s="27">
        <v>9</v>
      </c>
      <c r="E25" s="28">
        <v>48</v>
      </c>
      <c r="F25" s="16">
        <f t="shared" ref="F25:F29" si="114">(C25*D25*E25/1000)</f>
        <v>6.3503999999999996</v>
      </c>
      <c r="G25" s="17" t="s">
        <v>89</v>
      </c>
      <c r="H25" s="18">
        <v>10</v>
      </c>
      <c r="I25" s="19">
        <f t="shared" ref="I25:I29" si="115">(C25*D25*H25/1000)</f>
        <v>1.3229999999999997</v>
      </c>
      <c r="J25" s="16" t="s">
        <v>111</v>
      </c>
      <c r="K25" s="18">
        <v>36</v>
      </c>
      <c r="L25" s="19">
        <f t="shared" ref="L25:L29" si="116">(C25*D25*K25/1000)</f>
        <v>4.7627999999999995</v>
      </c>
      <c r="M25" s="17"/>
      <c r="N25" s="18"/>
      <c r="O25" s="19">
        <f t="shared" ref="O25:O29" si="117">(C25*D25*N25/1000)</f>
        <v>0</v>
      </c>
      <c r="P25" s="16"/>
      <c r="Q25" s="18"/>
      <c r="R25" s="19">
        <f t="shared" ref="R25:R29" si="118">(C25*D25*Q25/1000)</f>
        <v>0</v>
      </c>
      <c r="S25" s="20">
        <f t="shared" ref="S25:S29" si="119">+H25+K25+Q25+N25</f>
        <v>46</v>
      </c>
      <c r="T25" s="19">
        <f t="shared" ref="T25:T29" si="120">+I25+L25+R25+O25</f>
        <v>6.085799999999999</v>
      </c>
      <c r="U25" s="21">
        <f t="shared" ref="U25:U29" si="121">E25-S25</f>
        <v>2</v>
      </c>
      <c r="V25" s="19">
        <f t="shared" ref="V25:V29" si="122">F25-T25</f>
        <v>0.26460000000000061</v>
      </c>
    </row>
    <row r="26" spans="1:22">
      <c r="A26" s="26" t="s">
        <v>13</v>
      </c>
      <c r="B26" s="26" t="s">
        <v>49</v>
      </c>
      <c r="C26" s="30">
        <v>14.7</v>
      </c>
      <c r="D26" s="27">
        <v>9.3000000000000007</v>
      </c>
      <c r="E26" s="28">
        <v>40</v>
      </c>
      <c r="F26" s="16">
        <f t="shared" si="114"/>
        <v>5.4684000000000008</v>
      </c>
      <c r="G26" s="17" t="s">
        <v>604</v>
      </c>
      <c r="H26" s="18">
        <v>33</v>
      </c>
      <c r="I26" s="19">
        <f t="shared" si="115"/>
        <v>4.5114300000000007</v>
      </c>
      <c r="J26" s="16" t="s">
        <v>605</v>
      </c>
      <c r="K26" s="18">
        <v>8</v>
      </c>
      <c r="L26" s="19">
        <f t="shared" si="116"/>
        <v>1.09368</v>
      </c>
      <c r="M26" s="17"/>
      <c r="N26" s="18"/>
      <c r="O26" s="19">
        <f t="shared" si="117"/>
        <v>0</v>
      </c>
      <c r="P26" s="16"/>
      <c r="Q26" s="18"/>
      <c r="R26" s="19">
        <f t="shared" si="118"/>
        <v>0</v>
      </c>
      <c r="S26" s="20">
        <f t="shared" si="119"/>
        <v>41</v>
      </c>
      <c r="T26" s="19">
        <f t="shared" si="120"/>
        <v>5.6051100000000007</v>
      </c>
      <c r="U26" s="21">
        <f t="shared" si="121"/>
        <v>-1</v>
      </c>
      <c r="V26" s="19">
        <f t="shared" si="122"/>
        <v>-0.13670999999999989</v>
      </c>
    </row>
    <row r="27" spans="1:22">
      <c r="A27" s="26" t="s">
        <v>13</v>
      </c>
      <c r="B27" s="26" t="s">
        <v>49</v>
      </c>
      <c r="C27" s="30">
        <v>14.7</v>
      </c>
      <c r="D27" s="27">
        <v>10.3</v>
      </c>
      <c r="E27" s="28">
        <v>20</v>
      </c>
      <c r="F27" s="16">
        <f t="shared" si="114"/>
        <v>3.0282</v>
      </c>
      <c r="G27" s="17"/>
      <c r="H27" s="18">
        <v>15</v>
      </c>
      <c r="I27" s="19">
        <f t="shared" si="115"/>
        <v>2.27115</v>
      </c>
      <c r="J27" s="17" t="s">
        <v>455</v>
      </c>
      <c r="K27" s="18">
        <v>5</v>
      </c>
      <c r="L27" s="19">
        <f t="shared" si="116"/>
        <v>0.75705</v>
      </c>
      <c r="M27" s="16"/>
      <c r="N27" s="18"/>
      <c r="O27" s="19">
        <f t="shared" si="117"/>
        <v>0</v>
      </c>
      <c r="P27" s="16"/>
      <c r="Q27" s="18"/>
      <c r="R27" s="19">
        <f t="shared" si="118"/>
        <v>0</v>
      </c>
      <c r="S27" s="20">
        <f t="shared" si="119"/>
        <v>20</v>
      </c>
      <c r="T27" s="19">
        <f t="shared" si="120"/>
        <v>3.0282</v>
      </c>
      <c r="U27" s="21">
        <f t="shared" si="121"/>
        <v>0</v>
      </c>
      <c r="V27" s="19">
        <f t="shared" si="122"/>
        <v>0</v>
      </c>
    </row>
    <row r="28" spans="1:22">
      <c r="A28" s="26" t="s">
        <v>13</v>
      </c>
      <c r="B28" s="26" t="s">
        <v>49</v>
      </c>
      <c r="C28" s="30">
        <v>14.7</v>
      </c>
      <c r="D28" s="27">
        <v>11</v>
      </c>
      <c r="E28" s="28">
        <v>48</v>
      </c>
      <c r="F28" s="16">
        <f t="shared" si="114"/>
        <v>7.7615999999999996</v>
      </c>
      <c r="G28" s="17"/>
      <c r="H28" s="18">
        <v>13</v>
      </c>
      <c r="I28" s="19">
        <f t="shared" si="115"/>
        <v>2.1021000000000001</v>
      </c>
      <c r="J28" s="17" t="s">
        <v>605</v>
      </c>
      <c r="K28" s="18">
        <f>4+16+8</f>
        <v>28</v>
      </c>
      <c r="L28" s="19">
        <f t="shared" si="116"/>
        <v>4.5275999999999996</v>
      </c>
      <c r="M28" s="16"/>
      <c r="N28" s="18"/>
      <c r="O28" s="19">
        <f t="shared" si="117"/>
        <v>0</v>
      </c>
      <c r="P28" s="16"/>
      <c r="Q28" s="18"/>
      <c r="R28" s="19">
        <f t="shared" si="118"/>
        <v>0</v>
      </c>
      <c r="S28" s="20">
        <f t="shared" si="119"/>
        <v>41</v>
      </c>
      <c r="T28" s="19">
        <f t="shared" si="120"/>
        <v>6.6296999999999997</v>
      </c>
      <c r="U28" s="21">
        <f t="shared" si="121"/>
        <v>7</v>
      </c>
      <c r="V28" s="19">
        <f t="shared" si="122"/>
        <v>1.1318999999999999</v>
      </c>
    </row>
    <row r="29" spans="1:22">
      <c r="A29" s="26" t="s">
        <v>13</v>
      </c>
      <c r="B29" s="26" t="s">
        <v>49</v>
      </c>
      <c r="C29" s="30">
        <v>14.7</v>
      </c>
      <c r="D29" s="27">
        <v>11.7</v>
      </c>
      <c r="E29" s="28">
        <v>116</v>
      </c>
      <c r="F29" s="16">
        <f t="shared" si="114"/>
        <v>19.950839999999996</v>
      </c>
      <c r="G29" s="17"/>
      <c r="H29" s="18">
        <v>6</v>
      </c>
      <c r="I29" s="19">
        <f t="shared" si="115"/>
        <v>1.0319399999999999</v>
      </c>
      <c r="J29" s="16" t="s">
        <v>107</v>
      </c>
      <c r="K29" s="18">
        <f>13+47+20+14</f>
        <v>94</v>
      </c>
      <c r="L29" s="19">
        <f t="shared" si="116"/>
        <v>16.167059999999999</v>
      </c>
      <c r="M29" s="16"/>
      <c r="N29" s="18"/>
      <c r="O29" s="19">
        <f t="shared" si="117"/>
        <v>0</v>
      </c>
      <c r="P29" s="16"/>
      <c r="Q29" s="18"/>
      <c r="R29" s="19">
        <f t="shared" si="118"/>
        <v>0</v>
      </c>
      <c r="S29" s="20">
        <f t="shared" si="119"/>
        <v>100</v>
      </c>
      <c r="T29" s="19">
        <f t="shared" si="120"/>
        <v>17.198999999999998</v>
      </c>
      <c r="U29" s="21">
        <f t="shared" si="121"/>
        <v>16</v>
      </c>
      <c r="V29" s="19">
        <f t="shared" si="122"/>
        <v>2.7518399999999978</v>
      </c>
    </row>
    <row r="30" spans="1:22">
      <c r="A30" s="26"/>
      <c r="B30" s="26"/>
      <c r="C30" s="30"/>
      <c r="D30" s="27"/>
      <c r="E30" s="31">
        <f t="shared" ref="E30:F30" si="123">SUM(E25:E29)</f>
        <v>272</v>
      </c>
      <c r="F30" s="38">
        <f t="shared" si="123"/>
        <v>42.559439999999995</v>
      </c>
      <c r="G30" s="17"/>
      <c r="H30" s="31">
        <f t="shared" ref="H30" si="124">SUM(H25:H29)</f>
        <v>77</v>
      </c>
      <c r="I30" s="38">
        <f t="shared" ref="I30" si="125">SUM(I25:I29)</f>
        <v>11.23962</v>
      </c>
      <c r="J30" s="16" t="s">
        <v>607</v>
      </c>
      <c r="K30" s="31">
        <f t="shared" ref="K30" si="126">SUM(K25:K29)</f>
        <v>171</v>
      </c>
      <c r="L30" s="38">
        <f t="shared" ref="L30" si="127">SUM(L25:L29)</f>
        <v>27.308189999999996</v>
      </c>
      <c r="M30" s="16"/>
      <c r="N30" s="31">
        <f t="shared" ref="N30" si="128">SUM(N25:N29)</f>
        <v>0</v>
      </c>
      <c r="O30" s="38">
        <f t="shared" ref="O30" si="129">SUM(O25:O29)</f>
        <v>0</v>
      </c>
      <c r="P30" s="16"/>
      <c r="Q30" s="31">
        <f t="shared" ref="Q30" si="130">SUM(Q25:Q29)</f>
        <v>0</v>
      </c>
      <c r="R30" s="38">
        <f t="shared" ref="R30" si="131">SUM(R25:R29)</f>
        <v>0</v>
      </c>
      <c r="S30" s="31">
        <f t="shared" ref="S30" si="132">SUM(S25:S29)</f>
        <v>248</v>
      </c>
      <c r="T30" s="38">
        <f t="shared" ref="T30" si="133">SUM(T25:T29)</f>
        <v>38.547809999999998</v>
      </c>
      <c r="U30" s="31">
        <f t="shared" ref="U30" si="134">SUM(U25:U29)</f>
        <v>24</v>
      </c>
      <c r="V30" s="38">
        <f t="shared" ref="V30" si="135">SUM(V25:V29)</f>
        <v>4.0116299999999985</v>
      </c>
    </row>
    <row r="31" spans="1:22">
      <c r="A31" s="26" t="s">
        <v>13</v>
      </c>
      <c r="B31" s="26" t="s">
        <v>53</v>
      </c>
      <c r="C31" s="30">
        <v>23.6</v>
      </c>
      <c r="D31" s="27">
        <v>11.3</v>
      </c>
      <c r="E31" s="28">
        <v>52</v>
      </c>
      <c r="F31" s="16">
        <f t="shared" ref="F31:F32" si="136">(C31*D31*E31/1000)</f>
        <v>13.867360000000001</v>
      </c>
      <c r="G31" s="17" t="s">
        <v>293</v>
      </c>
      <c r="H31" s="18">
        <v>11</v>
      </c>
      <c r="I31" s="19">
        <f t="shared" ref="I31:I32" si="137">(C31*D31*H31/1000)</f>
        <v>2.9334799999999999</v>
      </c>
      <c r="J31" s="16" t="s">
        <v>111</v>
      </c>
      <c r="K31" s="18">
        <v>18</v>
      </c>
      <c r="L31" s="19">
        <f t="shared" ref="L31:L32" si="138">(C31*D31*K31/1000)</f>
        <v>4.8002399999999996</v>
      </c>
      <c r="M31" s="16" t="s">
        <v>111</v>
      </c>
      <c r="N31" s="18"/>
      <c r="O31" s="19">
        <f t="shared" ref="O31:O32" si="139">(C31*D31*N31/1000)</f>
        <v>0</v>
      </c>
      <c r="P31" s="16" t="s">
        <v>89</v>
      </c>
      <c r="Q31" s="18">
        <v>17</v>
      </c>
      <c r="R31" s="19">
        <f t="shared" ref="R31:R32" si="140">(C31*D31*Q31/1000)</f>
        <v>4.5335600000000005</v>
      </c>
      <c r="S31" s="20">
        <f t="shared" ref="S31:S32" si="141">+H31+K31+Q31+N31</f>
        <v>46</v>
      </c>
      <c r="T31" s="19">
        <f t="shared" ref="T31:T32" si="142">+I31+L31+R31+O31</f>
        <v>12.26728</v>
      </c>
      <c r="U31" s="21">
        <f t="shared" ref="U31:U32" si="143">E31-S31</f>
        <v>6</v>
      </c>
      <c r="V31" s="19">
        <f t="shared" ref="V31:V32" si="144">F31-T31</f>
        <v>1.6000800000000019</v>
      </c>
    </row>
    <row r="32" spans="1:22">
      <c r="A32" s="26" t="s">
        <v>13</v>
      </c>
      <c r="B32" s="26" t="s">
        <v>53</v>
      </c>
      <c r="C32" s="30">
        <v>23.6</v>
      </c>
      <c r="D32" s="27">
        <v>11.65</v>
      </c>
      <c r="E32" s="28">
        <v>340</v>
      </c>
      <c r="F32" s="16">
        <f t="shared" si="136"/>
        <v>93.479600000000005</v>
      </c>
      <c r="G32" s="17" t="s">
        <v>491</v>
      </c>
      <c r="H32" s="18">
        <v>103</v>
      </c>
      <c r="I32" s="19">
        <f t="shared" si="137"/>
        <v>28.318819999999999</v>
      </c>
      <c r="J32" s="16" t="s">
        <v>492</v>
      </c>
      <c r="K32" s="18">
        <v>101</v>
      </c>
      <c r="L32" s="19">
        <f t="shared" si="138"/>
        <v>27.768939999999997</v>
      </c>
      <c r="M32" s="16" t="s">
        <v>492</v>
      </c>
      <c r="N32" s="18">
        <v>120</v>
      </c>
      <c r="O32" s="19">
        <f t="shared" si="139"/>
        <v>32.992800000000003</v>
      </c>
      <c r="P32" s="16" t="s">
        <v>492</v>
      </c>
      <c r="Q32" s="18">
        <v>16</v>
      </c>
      <c r="R32" s="19">
        <f t="shared" si="140"/>
        <v>4.3990400000000003</v>
      </c>
      <c r="S32" s="20">
        <f t="shared" si="141"/>
        <v>340</v>
      </c>
      <c r="T32" s="19">
        <f t="shared" si="142"/>
        <v>93.479600000000005</v>
      </c>
      <c r="U32" s="21">
        <f t="shared" si="143"/>
        <v>0</v>
      </c>
      <c r="V32" s="19">
        <f t="shared" si="144"/>
        <v>0</v>
      </c>
    </row>
    <row r="33" spans="1:22">
      <c r="A33" s="26"/>
      <c r="B33" s="26"/>
      <c r="C33" s="30"/>
      <c r="D33" s="27"/>
      <c r="E33" s="31">
        <f t="shared" ref="E33:F33" si="145">SUM(E31:E32)</f>
        <v>392</v>
      </c>
      <c r="F33" s="38">
        <f t="shared" si="145"/>
        <v>107.34696000000001</v>
      </c>
      <c r="G33" s="17"/>
      <c r="H33" s="31">
        <f t="shared" ref="H33" si="146">SUM(H31:H32)</f>
        <v>114</v>
      </c>
      <c r="I33" s="38">
        <f t="shared" ref="I33" si="147">SUM(I31:I32)</f>
        <v>31.252299999999998</v>
      </c>
      <c r="J33" s="16"/>
      <c r="K33" s="31">
        <f t="shared" ref="K33" si="148">SUM(K31:K32)</f>
        <v>119</v>
      </c>
      <c r="L33" s="38">
        <f t="shared" ref="L33" si="149">SUM(L31:L32)</f>
        <v>32.569179999999996</v>
      </c>
      <c r="M33" s="16"/>
      <c r="N33" s="31">
        <f t="shared" ref="N33" si="150">SUM(N31:N32)</f>
        <v>120</v>
      </c>
      <c r="O33" s="38">
        <f t="shared" ref="O33" si="151">SUM(O31:O32)</f>
        <v>32.992800000000003</v>
      </c>
      <c r="P33" s="16"/>
      <c r="Q33" s="31">
        <f t="shared" ref="Q33" si="152">SUM(Q31:Q32)</f>
        <v>33</v>
      </c>
      <c r="R33" s="38">
        <f t="shared" ref="R33" si="153">SUM(R31:R32)</f>
        <v>8.9326000000000008</v>
      </c>
      <c r="S33" s="31">
        <f t="shared" ref="S33" si="154">SUM(S31:S32)</f>
        <v>386</v>
      </c>
      <c r="T33" s="38">
        <f t="shared" ref="T33" si="155">SUM(T31:T32)</f>
        <v>105.74688</v>
      </c>
      <c r="U33" s="31">
        <f t="shared" ref="U33" si="156">SUM(U31:U32)</f>
        <v>6</v>
      </c>
      <c r="V33" s="38">
        <f t="shared" ref="V33" si="157">SUM(V31:V32)</f>
        <v>1.6000800000000019</v>
      </c>
    </row>
    <row r="34" spans="1:22">
      <c r="A34" s="26" t="s">
        <v>13</v>
      </c>
      <c r="B34" s="26" t="s">
        <v>125</v>
      </c>
      <c r="C34" s="30">
        <v>27.3</v>
      </c>
      <c r="D34" s="27">
        <v>6.7</v>
      </c>
      <c r="E34" s="28">
        <v>12</v>
      </c>
      <c r="F34" s="16">
        <f t="shared" ref="F34:F39" si="158">(C34*D34*E34/1000)</f>
        <v>2.1949200000000002</v>
      </c>
      <c r="G34" s="17" t="s">
        <v>111</v>
      </c>
      <c r="H34" s="18">
        <v>0</v>
      </c>
      <c r="I34" s="19">
        <f t="shared" ref="I34:I39" si="159">(C34*D34*H34/1000)</f>
        <v>0</v>
      </c>
      <c r="J34" s="16" t="s">
        <v>107</v>
      </c>
      <c r="K34" s="18"/>
      <c r="L34" s="19">
        <f t="shared" ref="L34:L39" si="160">(C34*D34*K34/1000)</f>
        <v>0</v>
      </c>
      <c r="M34" s="16" t="s">
        <v>86</v>
      </c>
      <c r="N34" s="18">
        <v>12</v>
      </c>
      <c r="O34" s="19">
        <f t="shared" ref="O34:O39" si="161">(C34*D34*N34/1000)</f>
        <v>2.1949200000000002</v>
      </c>
      <c r="P34" s="17"/>
      <c r="Q34" s="18"/>
      <c r="R34" s="19">
        <f t="shared" ref="R34:R39" si="162">(C34*D34*Q34/1000)</f>
        <v>0</v>
      </c>
      <c r="S34" s="20">
        <f t="shared" ref="S34:S38" si="163">+H34+K34+Q34+N34</f>
        <v>12</v>
      </c>
      <c r="T34" s="19">
        <f t="shared" ref="T34:T39" si="164">+I34+L34+R34+O34</f>
        <v>2.1949200000000002</v>
      </c>
      <c r="U34" s="21">
        <f t="shared" ref="U34:U39" si="165">E34-S34</f>
        <v>0</v>
      </c>
      <c r="V34" s="19">
        <f t="shared" ref="V34:V39" si="166">F34-T34</f>
        <v>0</v>
      </c>
    </row>
    <row r="35" spans="1:22">
      <c r="A35" s="26" t="s">
        <v>13</v>
      </c>
      <c r="B35" s="26" t="s">
        <v>125</v>
      </c>
      <c r="C35" s="30">
        <v>27.3</v>
      </c>
      <c r="D35" s="27">
        <v>8.1</v>
      </c>
      <c r="E35" s="28">
        <v>76</v>
      </c>
      <c r="F35" s="16">
        <f t="shared" si="158"/>
        <v>16.805880000000002</v>
      </c>
      <c r="G35" s="17" t="s">
        <v>604</v>
      </c>
      <c r="H35" s="18">
        <v>70</v>
      </c>
      <c r="I35" s="19">
        <f t="shared" si="159"/>
        <v>15.479100000000001</v>
      </c>
      <c r="J35" s="16" t="s">
        <v>609</v>
      </c>
      <c r="K35" s="18"/>
      <c r="L35" s="19">
        <f t="shared" si="160"/>
        <v>0</v>
      </c>
      <c r="M35" s="16" t="s">
        <v>613</v>
      </c>
      <c r="N35" s="18">
        <v>6</v>
      </c>
      <c r="O35" s="19">
        <f t="shared" si="161"/>
        <v>1.3267800000000001</v>
      </c>
      <c r="P35" s="142"/>
      <c r="Q35" s="18"/>
      <c r="R35" s="19">
        <f t="shared" si="162"/>
        <v>0</v>
      </c>
      <c r="S35" s="20">
        <f t="shared" si="163"/>
        <v>76</v>
      </c>
      <c r="T35" s="19">
        <f t="shared" si="164"/>
        <v>16.805880000000002</v>
      </c>
      <c r="U35" s="21">
        <f t="shared" si="165"/>
        <v>0</v>
      </c>
      <c r="V35" s="19">
        <f t="shared" si="166"/>
        <v>0</v>
      </c>
    </row>
    <row r="36" spans="1:22">
      <c r="A36" s="26" t="s">
        <v>13</v>
      </c>
      <c r="B36" s="26" t="s">
        <v>125</v>
      </c>
      <c r="C36" s="30">
        <v>27.3</v>
      </c>
      <c r="D36" s="27">
        <v>8.9</v>
      </c>
      <c r="E36" s="28">
        <v>3</v>
      </c>
      <c r="F36" s="16">
        <f t="shared" si="158"/>
        <v>0.72891000000000006</v>
      </c>
      <c r="G36" s="16" t="s">
        <v>111</v>
      </c>
      <c r="H36" s="18">
        <v>3</v>
      </c>
      <c r="I36" s="19">
        <f t="shared" si="159"/>
        <v>0.72891000000000006</v>
      </c>
      <c r="J36" s="16" t="s">
        <v>455</v>
      </c>
      <c r="K36" s="18"/>
      <c r="L36" s="19">
        <f t="shared" si="160"/>
        <v>0</v>
      </c>
      <c r="M36" s="16"/>
      <c r="N36" s="18"/>
      <c r="O36" s="19">
        <f t="shared" si="161"/>
        <v>0</v>
      </c>
      <c r="P36" s="16"/>
      <c r="Q36" s="18"/>
      <c r="R36" s="19">
        <f t="shared" si="162"/>
        <v>0</v>
      </c>
      <c r="S36" s="20">
        <f t="shared" si="163"/>
        <v>3</v>
      </c>
      <c r="T36" s="19">
        <f t="shared" si="164"/>
        <v>0.72891000000000006</v>
      </c>
      <c r="U36" s="21">
        <f t="shared" si="165"/>
        <v>0</v>
      </c>
      <c r="V36" s="19">
        <f t="shared" si="166"/>
        <v>0</v>
      </c>
    </row>
    <row r="37" spans="1:22">
      <c r="A37" s="26" t="s">
        <v>13</v>
      </c>
      <c r="B37" s="26" t="s">
        <v>125</v>
      </c>
      <c r="C37" s="30">
        <v>27.3</v>
      </c>
      <c r="D37" s="27">
        <v>11.1</v>
      </c>
      <c r="E37" s="28">
        <v>2</v>
      </c>
      <c r="F37" s="16">
        <f t="shared" si="158"/>
        <v>0.60605999999999993</v>
      </c>
      <c r="G37" s="16" t="s">
        <v>605</v>
      </c>
      <c r="H37" s="18">
        <v>0</v>
      </c>
      <c r="I37" s="19">
        <f t="shared" si="159"/>
        <v>0</v>
      </c>
      <c r="J37" s="16" t="s">
        <v>612</v>
      </c>
      <c r="K37" s="18"/>
      <c r="L37" s="19">
        <f t="shared" si="160"/>
        <v>0</v>
      </c>
      <c r="M37" s="16"/>
      <c r="N37" s="18">
        <v>2</v>
      </c>
      <c r="O37" s="19">
        <f t="shared" si="161"/>
        <v>0.60605999999999993</v>
      </c>
      <c r="P37" s="16"/>
      <c r="Q37" s="18"/>
      <c r="R37" s="19">
        <f t="shared" si="162"/>
        <v>0</v>
      </c>
      <c r="S37" s="20">
        <f t="shared" si="163"/>
        <v>2</v>
      </c>
      <c r="T37" s="19">
        <f t="shared" si="164"/>
        <v>0.60605999999999993</v>
      </c>
      <c r="U37" s="21">
        <f t="shared" si="165"/>
        <v>0</v>
      </c>
      <c r="V37" s="19">
        <f t="shared" si="166"/>
        <v>0</v>
      </c>
    </row>
    <row r="38" spans="1:22">
      <c r="A38" s="26" t="s">
        <v>13</v>
      </c>
      <c r="B38" s="26" t="s">
        <v>125</v>
      </c>
      <c r="C38" s="30">
        <v>27.3</v>
      </c>
      <c r="D38" s="27">
        <v>12.15</v>
      </c>
      <c r="E38" s="28">
        <v>196</v>
      </c>
      <c r="F38" s="16">
        <f t="shared" si="158"/>
        <v>65.012219999999999</v>
      </c>
      <c r="G38" s="16" t="s">
        <v>293</v>
      </c>
      <c r="H38" s="18">
        <v>178</v>
      </c>
      <c r="I38" s="19">
        <f t="shared" si="159"/>
        <v>59.041710000000002</v>
      </c>
      <c r="J38" s="17" t="s">
        <v>107</v>
      </c>
      <c r="K38" s="18"/>
      <c r="L38" s="19">
        <f t="shared" si="160"/>
        <v>0</v>
      </c>
      <c r="M38" s="16"/>
      <c r="N38" s="18">
        <v>18</v>
      </c>
      <c r="O38" s="19">
        <f t="shared" si="161"/>
        <v>5.97051</v>
      </c>
      <c r="P38" s="16"/>
      <c r="Q38" s="18"/>
      <c r="R38" s="19">
        <f t="shared" si="162"/>
        <v>0</v>
      </c>
      <c r="S38" s="20">
        <f t="shared" si="163"/>
        <v>196</v>
      </c>
      <c r="T38" s="19">
        <f t="shared" si="164"/>
        <v>65.012219999999999</v>
      </c>
      <c r="U38" s="21">
        <f t="shared" si="165"/>
        <v>0</v>
      </c>
      <c r="V38" s="19">
        <f t="shared" si="166"/>
        <v>0</v>
      </c>
    </row>
    <row r="39" spans="1:22">
      <c r="A39" s="26" t="s">
        <v>13</v>
      </c>
      <c r="B39" s="26" t="s">
        <v>125</v>
      </c>
      <c r="C39" s="30">
        <v>27.3</v>
      </c>
      <c r="D39" s="27">
        <v>12.75</v>
      </c>
      <c r="E39" s="28">
        <v>340</v>
      </c>
      <c r="F39" s="16">
        <f t="shared" si="158"/>
        <v>118.3455</v>
      </c>
      <c r="G39" s="17" t="s">
        <v>86</v>
      </c>
      <c r="H39" s="18">
        <v>53</v>
      </c>
      <c r="I39" s="19">
        <f t="shared" si="159"/>
        <v>18.447975</v>
      </c>
      <c r="J39" s="142" t="s">
        <v>611</v>
      </c>
      <c r="K39" s="18">
        <f>94+97+96</f>
        <v>287</v>
      </c>
      <c r="L39" s="19">
        <f t="shared" si="160"/>
        <v>99.897524999999987</v>
      </c>
      <c r="M39" s="16"/>
      <c r="N39" s="18"/>
      <c r="O39" s="19">
        <f t="shared" si="161"/>
        <v>0</v>
      </c>
      <c r="P39" s="16"/>
      <c r="Q39" s="18"/>
      <c r="R39" s="19">
        <f t="shared" si="162"/>
        <v>0</v>
      </c>
      <c r="S39" s="20">
        <f>+H39+K39+Q39+N39</f>
        <v>340</v>
      </c>
      <c r="T39" s="19">
        <f t="shared" si="164"/>
        <v>118.34549999999999</v>
      </c>
      <c r="U39" s="21">
        <f t="shared" si="165"/>
        <v>0</v>
      </c>
      <c r="V39" s="19">
        <f t="shared" si="166"/>
        <v>0</v>
      </c>
    </row>
    <row r="40" spans="1:22">
      <c r="A40" s="26"/>
      <c r="B40" s="26"/>
      <c r="C40" s="30"/>
      <c r="D40" s="27"/>
      <c r="E40" s="31">
        <f t="shared" ref="E40:F40" si="167">SUM(E34:E39)</f>
        <v>629</v>
      </c>
      <c r="F40" s="38">
        <f t="shared" si="167"/>
        <v>203.69349</v>
      </c>
      <c r="G40" t="s">
        <v>610</v>
      </c>
      <c r="H40" s="31">
        <f t="shared" ref="H40" si="168">SUM(H34:H39)</f>
        <v>304</v>
      </c>
      <c r="I40" s="38">
        <f t="shared" ref="I40" si="169">SUM(I34:I39)</f>
        <v>93.697694999999996</v>
      </c>
      <c r="J40" s="16"/>
      <c r="K40" s="31">
        <f t="shared" ref="K40" si="170">SUM(K34:K39)</f>
        <v>287</v>
      </c>
      <c r="L40" s="38">
        <f t="shared" ref="L40" si="171">SUM(L34:L39)</f>
        <v>99.897524999999987</v>
      </c>
      <c r="M40" s="16"/>
      <c r="N40" s="31">
        <f t="shared" ref="N40" si="172">SUM(N34:N39)</f>
        <v>38</v>
      </c>
      <c r="O40" s="38">
        <f t="shared" ref="O40" si="173">SUM(O34:O39)</f>
        <v>10.098269999999999</v>
      </c>
      <c r="P40" s="16"/>
      <c r="Q40" s="31">
        <f t="shared" ref="Q40" si="174">SUM(Q34:Q39)</f>
        <v>0</v>
      </c>
      <c r="R40" s="38">
        <f t="shared" ref="R40" si="175">SUM(R34:R39)</f>
        <v>0</v>
      </c>
      <c r="S40" s="31">
        <f t="shared" ref="S40" si="176">SUM(S34:S39)</f>
        <v>629</v>
      </c>
      <c r="T40" s="38">
        <f t="shared" ref="T40" si="177">SUM(T34:T39)</f>
        <v>203.69349</v>
      </c>
      <c r="U40" s="31">
        <f t="shared" ref="U40" si="178">SUM(U34:U39)</f>
        <v>0</v>
      </c>
      <c r="V40" s="38">
        <f t="shared" ref="V40" si="179">SUM(V34:V39)</f>
        <v>0</v>
      </c>
    </row>
    <row r="41" spans="1:22">
      <c r="A41" s="26" t="s">
        <v>13</v>
      </c>
      <c r="B41" s="26" t="s">
        <v>37</v>
      </c>
      <c r="C41" s="30">
        <v>9.61</v>
      </c>
      <c r="D41" s="27">
        <v>11</v>
      </c>
      <c r="E41" s="28">
        <v>17</v>
      </c>
      <c r="F41" s="16">
        <f t="shared" ref="F41:F43" si="180">(C41*D41*E41/1000)</f>
        <v>1.7970699999999999</v>
      </c>
      <c r="G41" s="17" t="s">
        <v>455</v>
      </c>
      <c r="H41" s="18">
        <v>17</v>
      </c>
      <c r="I41" s="19">
        <f t="shared" ref="I41:I43" si="181">(C41*D41*H41/1000)</f>
        <v>1.7970699999999999</v>
      </c>
      <c r="J41" s="16"/>
      <c r="K41" s="18"/>
      <c r="L41" s="19">
        <f t="shared" ref="L41:L43" si="182">(C41*D41*K41/1000)</f>
        <v>0</v>
      </c>
      <c r="M41" s="16"/>
      <c r="N41" s="18"/>
      <c r="O41" s="19">
        <f t="shared" ref="O41:O43" si="183">(C41*D41*N41/1000)</f>
        <v>0</v>
      </c>
      <c r="P41" s="16"/>
      <c r="Q41" s="18"/>
      <c r="R41" s="19">
        <f t="shared" ref="R41:R43" si="184">(C41*D41*Q41/1000)</f>
        <v>0</v>
      </c>
      <c r="S41" s="20">
        <f t="shared" ref="S41:S43" si="185">+H41+K41+Q41+N41</f>
        <v>17</v>
      </c>
      <c r="T41" s="19">
        <f t="shared" ref="T41:T43" si="186">+I41+L41+R41+O41</f>
        <v>1.7970699999999999</v>
      </c>
      <c r="U41" s="21">
        <f t="shared" ref="U41:U43" si="187">E41-S41</f>
        <v>0</v>
      </c>
      <c r="V41" s="19">
        <f t="shared" ref="V41:V43" si="188">F41-T41</f>
        <v>0</v>
      </c>
    </row>
    <row r="42" spans="1:22">
      <c r="A42" s="26" t="s">
        <v>13</v>
      </c>
      <c r="B42" s="26" t="s">
        <v>37</v>
      </c>
      <c r="C42" s="30">
        <v>9.61</v>
      </c>
      <c r="D42" s="27">
        <v>11.5</v>
      </c>
      <c r="E42" s="28">
        <v>28</v>
      </c>
      <c r="F42" s="16">
        <f t="shared" si="180"/>
        <v>3.0944199999999995</v>
      </c>
      <c r="G42" s="17" t="s">
        <v>605</v>
      </c>
      <c r="H42" s="18">
        <v>28</v>
      </c>
      <c r="I42" s="19">
        <f t="shared" si="181"/>
        <v>3.0944199999999995</v>
      </c>
      <c r="J42" s="16"/>
      <c r="K42" s="18"/>
      <c r="L42" s="19">
        <f t="shared" si="182"/>
        <v>0</v>
      </c>
      <c r="M42" s="16"/>
      <c r="N42" s="18"/>
      <c r="O42" s="19">
        <f t="shared" si="183"/>
        <v>0</v>
      </c>
      <c r="P42" s="16"/>
      <c r="Q42" s="18"/>
      <c r="R42" s="19">
        <f t="shared" si="184"/>
        <v>0</v>
      </c>
      <c r="S42" s="20">
        <f t="shared" si="185"/>
        <v>28</v>
      </c>
      <c r="T42" s="19">
        <f t="shared" si="186"/>
        <v>3.0944199999999995</v>
      </c>
      <c r="U42" s="21">
        <f t="shared" si="187"/>
        <v>0</v>
      </c>
      <c r="V42" s="19">
        <f t="shared" si="188"/>
        <v>0</v>
      </c>
    </row>
    <row r="43" spans="1:22">
      <c r="A43" s="26" t="s">
        <v>13</v>
      </c>
      <c r="B43" s="26" t="s">
        <v>37</v>
      </c>
      <c r="C43" s="30">
        <v>9.61</v>
      </c>
      <c r="D43" s="27">
        <v>12</v>
      </c>
      <c r="E43" s="28">
        <v>13</v>
      </c>
      <c r="F43" s="16">
        <f t="shared" si="180"/>
        <v>1.4991599999999998</v>
      </c>
      <c r="G43" s="17"/>
      <c r="H43" s="18">
        <v>13</v>
      </c>
      <c r="I43" s="19">
        <f t="shared" si="181"/>
        <v>1.4991599999999998</v>
      </c>
      <c r="J43" s="16"/>
      <c r="K43" s="18"/>
      <c r="L43" s="19">
        <f t="shared" si="182"/>
        <v>0</v>
      </c>
      <c r="M43" s="16"/>
      <c r="N43" s="18"/>
      <c r="O43" s="19">
        <f t="shared" si="183"/>
        <v>0</v>
      </c>
      <c r="P43" s="16"/>
      <c r="Q43" s="18"/>
      <c r="R43" s="19">
        <f t="shared" si="184"/>
        <v>0</v>
      </c>
      <c r="S43" s="20">
        <f t="shared" si="185"/>
        <v>13</v>
      </c>
      <c r="T43" s="19">
        <f t="shared" si="186"/>
        <v>1.4991599999999998</v>
      </c>
      <c r="U43" s="21">
        <f t="shared" si="187"/>
        <v>0</v>
      </c>
      <c r="V43" s="19">
        <f t="shared" si="188"/>
        <v>0</v>
      </c>
    </row>
    <row r="44" spans="1:22">
      <c r="A44" s="26"/>
      <c r="B44" s="26"/>
      <c r="C44" s="30"/>
      <c r="D44" s="27"/>
      <c r="E44" s="31">
        <f t="shared" ref="E44:F44" si="189">SUM(E41:E43)</f>
        <v>58</v>
      </c>
      <c r="F44" s="38">
        <f t="shared" si="189"/>
        <v>6.3906499999999991</v>
      </c>
      <c r="G44" s="17"/>
      <c r="H44" s="31">
        <f t="shared" ref="H44" si="190">SUM(H41:H43)</f>
        <v>58</v>
      </c>
      <c r="I44" s="38">
        <f t="shared" ref="I44" si="191">SUM(I41:I43)</f>
        <v>6.3906499999999991</v>
      </c>
      <c r="J44" s="16"/>
      <c r="K44" s="31">
        <f t="shared" ref="K44" si="192">SUM(K41:K43)</f>
        <v>0</v>
      </c>
      <c r="L44" s="38">
        <f t="shared" ref="L44" si="193">SUM(L41:L43)</f>
        <v>0</v>
      </c>
      <c r="M44" s="16"/>
      <c r="N44" s="31">
        <f t="shared" ref="N44" si="194">SUM(N41:N43)</f>
        <v>0</v>
      </c>
      <c r="O44" s="38">
        <f t="shared" ref="O44" si="195">SUM(O41:O43)</f>
        <v>0</v>
      </c>
      <c r="P44" s="16"/>
      <c r="Q44" s="31">
        <f t="shared" ref="Q44" si="196">SUM(Q41:Q43)</f>
        <v>0</v>
      </c>
      <c r="R44" s="38">
        <f t="shared" ref="R44" si="197">SUM(R41:R43)</f>
        <v>0</v>
      </c>
      <c r="S44" s="31">
        <f t="shared" ref="S44" si="198">SUM(S41:S43)</f>
        <v>58</v>
      </c>
      <c r="T44" s="38">
        <f t="shared" ref="T44" si="199">SUM(T41:T43)</f>
        <v>6.3906499999999991</v>
      </c>
      <c r="U44" s="31">
        <f t="shared" ref="U44" si="200">SUM(U41:U43)</f>
        <v>0</v>
      </c>
      <c r="V44" s="38">
        <f t="shared" ref="V44" si="201">SUM(V41:V43)</f>
        <v>0</v>
      </c>
    </row>
    <row r="45" spans="1:22">
      <c r="A45" s="26" t="s">
        <v>13</v>
      </c>
      <c r="B45" s="26" t="s">
        <v>244</v>
      </c>
      <c r="C45" s="30">
        <v>10.9</v>
      </c>
      <c r="D45" s="27">
        <v>9.1999999999999993</v>
      </c>
      <c r="E45" s="28">
        <v>85</v>
      </c>
      <c r="F45" s="16">
        <f t="shared" ref="F45:F53" si="202">(C45*D45*E45/1000)</f>
        <v>8.5237999999999996</v>
      </c>
      <c r="G45" s="17" t="s">
        <v>293</v>
      </c>
      <c r="H45" s="18">
        <v>43</v>
      </c>
      <c r="I45" s="19">
        <f t="shared" ref="I45:I53" si="203">(C45*D45*H45/1000)</f>
        <v>4.3120399999999997</v>
      </c>
      <c r="J45" s="17" t="s">
        <v>93</v>
      </c>
      <c r="K45" s="18">
        <v>23</v>
      </c>
      <c r="L45" s="19">
        <f t="shared" ref="L45:L53" si="204">(C45*D45*K45/1000)</f>
        <v>2.3064400000000003</v>
      </c>
      <c r="M45" s="17" t="s">
        <v>455</v>
      </c>
      <c r="N45" s="18"/>
      <c r="O45" s="19">
        <f t="shared" ref="O45:O53" si="205">(C45*D45*N45/1000)</f>
        <v>0</v>
      </c>
      <c r="P45" s="16" t="s">
        <v>389</v>
      </c>
      <c r="Q45" s="18"/>
      <c r="R45" s="19">
        <f t="shared" ref="R45:R53" si="206">(C45*D45*Q45/1000)</f>
        <v>0</v>
      </c>
      <c r="S45" s="20">
        <f t="shared" ref="S45:S53" si="207">+H45+K45+Q45+N45</f>
        <v>66</v>
      </c>
      <c r="T45" s="19">
        <f t="shared" ref="T45:T53" si="208">+I45+L45+R45+O45</f>
        <v>6.6184799999999999</v>
      </c>
      <c r="U45" s="21">
        <f t="shared" ref="U45:U53" si="209">E45-S45</f>
        <v>19</v>
      </c>
      <c r="V45" s="19">
        <f t="shared" ref="V45:V53" si="210">F45-T45</f>
        <v>1.9053199999999997</v>
      </c>
    </row>
    <row r="46" spans="1:22">
      <c r="A46" s="26" t="s">
        <v>13</v>
      </c>
      <c r="B46" s="26" t="s">
        <v>244</v>
      </c>
      <c r="C46" s="30">
        <v>10.9</v>
      </c>
      <c r="D46" s="27">
        <v>10.199999999999999</v>
      </c>
      <c r="E46" s="28">
        <v>10</v>
      </c>
      <c r="F46" s="16">
        <f t="shared" si="202"/>
        <v>1.1117999999999999</v>
      </c>
      <c r="G46" s="17" t="s">
        <v>492</v>
      </c>
      <c r="H46" s="18"/>
      <c r="I46" s="19">
        <f t="shared" si="203"/>
        <v>0</v>
      </c>
      <c r="J46" s="17" t="s">
        <v>511</v>
      </c>
      <c r="K46" s="18">
        <v>5</v>
      </c>
      <c r="L46" s="19">
        <f t="shared" si="204"/>
        <v>0.55589999999999995</v>
      </c>
      <c r="M46" s="17" t="s">
        <v>605</v>
      </c>
      <c r="N46" s="18"/>
      <c r="O46" s="19">
        <f t="shared" si="205"/>
        <v>0</v>
      </c>
      <c r="P46" s="16" t="s">
        <v>615</v>
      </c>
      <c r="Q46" s="18">
        <v>5</v>
      </c>
      <c r="R46" s="19">
        <f t="shared" si="206"/>
        <v>0.55589999999999995</v>
      </c>
      <c r="S46" s="20">
        <f t="shared" si="207"/>
        <v>10</v>
      </c>
      <c r="T46" s="19">
        <f t="shared" si="208"/>
        <v>1.1117999999999999</v>
      </c>
      <c r="U46" s="21">
        <f t="shared" si="209"/>
        <v>0</v>
      </c>
      <c r="V46" s="19">
        <f t="shared" si="210"/>
        <v>0</v>
      </c>
    </row>
    <row r="47" spans="1:22">
      <c r="A47" s="26" t="s">
        <v>13</v>
      </c>
      <c r="B47" s="26" t="s">
        <v>244</v>
      </c>
      <c r="C47" s="30">
        <v>10.9</v>
      </c>
      <c r="D47" s="27">
        <v>10.5</v>
      </c>
      <c r="E47" s="28">
        <v>102</v>
      </c>
      <c r="F47" s="16">
        <f t="shared" si="202"/>
        <v>11.6739</v>
      </c>
      <c r="G47" s="17"/>
      <c r="H47" s="18">
        <v>66</v>
      </c>
      <c r="I47" s="19">
        <f t="shared" si="203"/>
        <v>7.5537000000000001</v>
      </c>
      <c r="J47" s="16"/>
      <c r="K47" s="18">
        <v>54</v>
      </c>
      <c r="L47" s="19">
        <f t="shared" si="204"/>
        <v>6.1802999999999999</v>
      </c>
      <c r="M47" s="16"/>
      <c r="N47" s="18"/>
      <c r="O47" s="19">
        <f t="shared" si="205"/>
        <v>0</v>
      </c>
      <c r="P47" s="16"/>
      <c r="Q47" s="18"/>
      <c r="R47" s="19">
        <f t="shared" si="206"/>
        <v>0</v>
      </c>
      <c r="S47" s="20">
        <f t="shared" si="207"/>
        <v>120</v>
      </c>
      <c r="T47" s="19">
        <f t="shared" si="208"/>
        <v>13.734</v>
      </c>
      <c r="U47" s="21">
        <f t="shared" si="209"/>
        <v>-18</v>
      </c>
      <c r="V47" s="19">
        <f t="shared" si="210"/>
        <v>-2.0601000000000003</v>
      </c>
    </row>
    <row r="48" spans="1:22" s="50" customFormat="1">
      <c r="A48" s="26" t="s">
        <v>13</v>
      </c>
      <c r="B48" s="26" t="s">
        <v>244</v>
      </c>
      <c r="C48" s="30">
        <v>10.9</v>
      </c>
      <c r="D48" s="27">
        <v>11.3</v>
      </c>
      <c r="E48" s="28">
        <v>20</v>
      </c>
      <c r="F48" s="16">
        <f t="shared" si="202"/>
        <v>2.4634000000000005</v>
      </c>
      <c r="G48" s="17"/>
      <c r="H48" s="18"/>
      <c r="I48" s="19">
        <f t="shared" si="203"/>
        <v>0</v>
      </c>
      <c r="J48" s="16"/>
      <c r="K48" s="18">
        <v>2</v>
      </c>
      <c r="L48" s="19">
        <f t="shared" si="204"/>
        <v>0.24634000000000003</v>
      </c>
      <c r="M48" s="16"/>
      <c r="N48" s="18"/>
      <c r="O48" s="19">
        <f t="shared" si="205"/>
        <v>0</v>
      </c>
      <c r="P48" s="16"/>
      <c r="Q48" s="18">
        <v>18</v>
      </c>
      <c r="R48" s="19">
        <f t="shared" si="206"/>
        <v>2.2170600000000005</v>
      </c>
      <c r="S48" s="20">
        <f t="shared" si="207"/>
        <v>20</v>
      </c>
      <c r="T48" s="19">
        <f t="shared" si="208"/>
        <v>2.4634000000000005</v>
      </c>
      <c r="U48" s="21">
        <f t="shared" si="209"/>
        <v>0</v>
      </c>
      <c r="V48" s="19">
        <f t="shared" si="210"/>
        <v>0</v>
      </c>
    </row>
    <row r="49" spans="1:22">
      <c r="A49" s="26" t="s">
        <v>13</v>
      </c>
      <c r="B49" s="26" t="s">
        <v>244</v>
      </c>
      <c r="C49" s="30">
        <v>10.9</v>
      </c>
      <c r="D49" s="27">
        <v>11.4</v>
      </c>
      <c r="E49" s="28">
        <v>170</v>
      </c>
      <c r="F49" s="16">
        <f t="shared" si="202"/>
        <v>21.124200000000002</v>
      </c>
      <c r="G49" s="17"/>
      <c r="H49" s="18">
        <v>76</v>
      </c>
      <c r="I49" s="19">
        <f t="shared" si="203"/>
        <v>9.443760000000001</v>
      </c>
      <c r="J49" s="16"/>
      <c r="K49" s="18"/>
      <c r="L49" s="19">
        <f t="shared" si="204"/>
        <v>0</v>
      </c>
      <c r="M49" s="16"/>
      <c r="N49" s="18">
        <v>64</v>
      </c>
      <c r="O49" s="19">
        <f t="shared" si="205"/>
        <v>7.9526400000000006</v>
      </c>
      <c r="P49" s="16"/>
      <c r="Q49" s="18">
        <v>15</v>
      </c>
      <c r="R49" s="19">
        <f t="shared" si="206"/>
        <v>1.8639000000000001</v>
      </c>
      <c r="S49" s="20">
        <f t="shared" si="207"/>
        <v>155</v>
      </c>
      <c r="T49" s="19">
        <f t="shared" si="208"/>
        <v>19.260300000000001</v>
      </c>
      <c r="U49" s="21">
        <f t="shared" si="209"/>
        <v>15</v>
      </c>
      <c r="V49" s="19">
        <f t="shared" si="210"/>
        <v>1.863900000000001</v>
      </c>
    </row>
    <row r="50" spans="1:22">
      <c r="A50" s="26" t="s">
        <v>13</v>
      </c>
      <c r="B50" s="26" t="s">
        <v>244</v>
      </c>
      <c r="C50" s="30">
        <v>10.9</v>
      </c>
      <c r="D50" s="27">
        <v>11.5</v>
      </c>
      <c r="E50" s="28">
        <v>30</v>
      </c>
      <c r="F50" s="16">
        <f t="shared" si="202"/>
        <v>3.7605000000000004</v>
      </c>
      <c r="G50" s="17"/>
      <c r="H50" s="18">
        <v>15</v>
      </c>
      <c r="I50" s="19">
        <f t="shared" si="203"/>
        <v>1.8802500000000002</v>
      </c>
      <c r="J50" s="16"/>
      <c r="K50" s="18">
        <v>18</v>
      </c>
      <c r="L50" s="19">
        <f t="shared" si="204"/>
        <v>2.2563</v>
      </c>
      <c r="M50" s="16"/>
      <c r="N50" s="18"/>
      <c r="O50" s="19">
        <f t="shared" si="205"/>
        <v>0</v>
      </c>
      <c r="P50" s="16"/>
      <c r="Q50" s="18"/>
      <c r="R50" s="19">
        <f t="shared" si="206"/>
        <v>0</v>
      </c>
      <c r="S50" s="20">
        <f t="shared" si="207"/>
        <v>33</v>
      </c>
      <c r="T50" s="19">
        <f t="shared" si="208"/>
        <v>4.1365499999999997</v>
      </c>
      <c r="U50" s="21">
        <f t="shared" si="209"/>
        <v>-3</v>
      </c>
      <c r="V50" s="19">
        <f t="shared" si="210"/>
        <v>-0.37604999999999933</v>
      </c>
    </row>
    <row r="51" spans="1:22">
      <c r="A51" s="26" t="s">
        <v>13</v>
      </c>
      <c r="B51" s="26" t="s">
        <v>244</v>
      </c>
      <c r="C51" s="30">
        <v>10.9</v>
      </c>
      <c r="D51" s="27">
        <v>11.7</v>
      </c>
      <c r="E51" s="28">
        <v>32</v>
      </c>
      <c r="F51" s="16">
        <f t="shared" si="202"/>
        <v>4.0809600000000001</v>
      </c>
      <c r="G51" s="17"/>
      <c r="H51" s="18">
        <v>15</v>
      </c>
      <c r="I51" s="19">
        <f t="shared" si="203"/>
        <v>1.9129500000000002</v>
      </c>
      <c r="J51" s="16"/>
      <c r="K51" s="18">
        <v>2</v>
      </c>
      <c r="L51" s="19">
        <f t="shared" si="204"/>
        <v>0.25506000000000001</v>
      </c>
      <c r="M51" s="16"/>
      <c r="N51" s="18"/>
      <c r="O51" s="19">
        <f t="shared" si="205"/>
        <v>0</v>
      </c>
      <c r="P51" s="16"/>
      <c r="Q51" s="18">
        <v>15</v>
      </c>
      <c r="R51" s="19">
        <f t="shared" si="206"/>
        <v>1.9129500000000002</v>
      </c>
      <c r="S51" s="20">
        <f t="shared" si="207"/>
        <v>32</v>
      </c>
      <c r="T51" s="19">
        <f t="shared" si="208"/>
        <v>4.0809600000000001</v>
      </c>
      <c r="U51" s="21">
        <f t="shared" si="209"/>
        <v>0</v>
      </c>
      <c r="V51" s="19">
        <f t="shared" si="210"/>
        <v>0</v>
      </c>
    </row>
    <row r="52" spans="1:22">
      <c r="A52" s="26" t="s">
        <v>13</v>
      </c>
      <c r="B52" s="26" t="s">
        <v>244</v>
      </c>
      <c r="C52" s="30">
        <v>10.9</v>
      </c>
      <c r="D52" s="27">
        <v>12</v>
      </c>
      <c r="E52" s="28">
        <v>96</v>
      </c>
      <c r="F52" s="16">
        <f t="shared" ref="F52" si="211">(C52*D52*E52/1000)</f>
        <v>12.556800000000001</v>
      </c>
      <c r="G52" s="17"/>
      <c r="H52" s="18">
        <v>50</v>
      </c>
      <c r="I52" s="19">
        <f t="shared" ref="I52" si="212">(C52*D52*H52/1000)</f>
        <v>6.5400000000000009</v>
      </c>
      <c r="J52" s="16"/>
      <c r="K52" s="18">
        <v>56</v>
      </c>
      <c r="L52" s="19">
        <f t="shared" ref="L52" si="213">(C52*D52*K52/1000)</f>
        <v>7.3248000000000015</v>
      </c>
      <c r="M52" s="16"/>
      <c r="N52" s="18"/>
      <c r="O52" s="19">
        <f t="shared" ref="O52" si="214">(C52*D52*N52/1000)</f>
        <v>0</v>
      </c>
      <c r="P52" s="16"/>
      <c r="Q52" s="18"/>
      <c r="R52" s="19">
        <f t="shared" ref="R52" si="215">(C52*D52*Q52/1000)</f>
        <v>0</v>
      </c>
      <c r="S52" s="20">
        <f t="shared" ref="S52" si="216">+H52+K52+Q52+N52</f>
        <v>106</v>
      </c>
      <c r="T52" s="19">
        <f t="shared" ref="T52" si="217">+I52+L52+R52+O52</f>
        <v>13.864800000000002</v>
      </c>
      <c r="U52" s="21">
        <f t="shared" ref="U52" si="218">E52-S52</f>
        <v>-10</v>
      </c>
      <c r="V52" s="19">
        <f t="shared" ref="V52" si="219">F52-T52</f>
        <v>-1.3080000000000016</v>
      </c>
    </row>
    <row r="53" spans="1:22">
      <c r="A53" s="26" t="s">
        <v>13</v>
      </c>
      <c r="B53" s="26" t="s">
        <v>244</v>
      </c>
      <c r="C53" s="30">
        <v>10.9</v>
      </c>
      <c r="D53" s="27">
        <v>8.6999999999999993</v>
      </c>
      <c r="E53" s="28"/>
      <c r="F53" s="16">
        <f t="shared" si="202"/>
        <v>0</v>
      </c>
      <c r="G53" s="17"/>
      <c r="H53" s="18"/>
      <c r="I53" s="19">
        <f t="shared" si="203"/>
        <v>0</v>
      </c>
      <c r="J53" s="16"/>
      <c r="K53" s="18"/>
      <c r="L53" s="19">
        <f t="shared" si="204"/>
        <v>0</v>
      </c>
      <c r="M53" s="16"/>
      <c r="N53" s="18"/>
      <c r="O53" s="19">
        <f t="shared" si="205"/>
        <v>0</v>
      </c>
      <c r="P53" s="16"/>
      <c r="Q53" s="18">
        <v>1</v>
      </c>
      <c r="R53" s="19">
        <f t="shared" si="206"/>
        <v>9.4829999999999998E-2</v>
      </c>
      <c r="S53" s="20">
        <f t="shared" si="207"/>
        <v>1</v>
      </c>
      <c r="T53" s="19">
        <f t="shared" si="208"/>
        <v>9.4829999999999998E-2</v>
      </c>
      <c r="U53" s="21">
        <f t="shared" si="209"/>
        <v>-1</v>
      </c>
      <c r="V53" s="19">
        <f t="shared" si="210"/>
        <v>-9.4829999999999998E-2</v>
      </c>
    </row>
    <row r="54" spans="1:22">
      <c r="A54" s="26"/>
      <c r="B54" s="26"/>
      <c r="C54" s="30"/>
      <c r="D54" s="27"/>
      <c r="E54" s="31">
        <f t="shared" ref="E54:F54" si="220">SUM(E45:E53)</f>
        <v>545</v>
      </c>
      <c r="F54" s="38">
        <f t="shared" si="220"/>
        <v>65.295360000000002</v>
      </c>
      <c r="G54" s="17"/>
      <c r="H54" s="31">
        <f t="shared" ref="H54" si="221">SUM(H45:H53)</f>
        <v>265</v>
      </c>
      <c r="I54" s="38">
        <f t="shared" ref="I54" si="222">SUM(I45:I53)</f>
        <v>31.642699999999998</v>
      </c>
      <c r="J54" s="16"/>
      <c r="K54" s="31">
        <f t="shared" ref="K54" si="223">SUM(K45:K53)</f>
        <v>160</v>
      </c>
      <c r="L54" s="38">
        <f t="shared" ref="L54" si="224">SUM(L45:L53)</f>
        <v>19.125140000000002</v>
      </c>
      <c r="M54" s="16"/>
      <c r="N54" s="31">
        <f t="shared" ref="N54" si="225">SUM(N45:N53)</f>
        <v>64</v>
      </c>
      <c r="O54" s="38">
        <f t="shared" ref="O54" si="226">SUM(O45:O53)</f>
        <v>7.9526400000000006</v>
      </c>
      <c r="P54" s="16"/>
      <c r="Q54" s="31">
        <f t="shared" ref="Q54" si="227">SUM(Q45:Q53)</f>
        <v>54</v>
      </c>
      <c r="R54" s="38">
        <f t="shared" ref="R54" si="228">SUM(R45:R53)</f>
        <v>6.6446400000000008</v>
      </c>
      <c r="S54" s="31">
        <f t="shared" ref="S54" si="229">SUM(S45:S53)</f>
        <v>543</v>
      </c>
      <c r="T54" s="38">
        <f t="shared" ref="T54" si="230">SUM(T45:T53)</f>
        <v>65.36511999999999</v>
      </c>
      <c r="U54" s="31">
        <f t="shared" ref="U54" si="231">SUM(U45:U53)</f>
        <v>2</v>
      </c>
      <c r="V54" s="38">
        <f t="shared" ref="V54" si="232">SUM(V45:V53)</f>
        <v>-6.9760000000000516E-2</v>
      </c>
    </row>
    <row r="55" spans="1:22">
      <c r="A55" s="33"/>
      <c r="B55" s="33"/>
      <c r="C55" s="34"/>
      <c r="D55" s="34"/>
      <c r="E55" s="34">
        <f>SUM(E6:E54)/2</f>
        <v>2740</v>
      </c>
      <c r="F55" s="35">
        <f>SUM(F6:F54)/2</f>
        <v>536.40571999999997</v>
      </c>
      <c r="H55" s="34">
        <f>SUM(H6:H54)/2</f>
        <v>1283</v>
      </c>
      <c r="I55" s="35">
        <f>SUM(I6:I54)/2</f>
        <v>235.89878500000003</v>
      </c>
      <c r="K55" s="34">
        <f>SUM(K6:K54)/2</f>
        <v>976</v>
      </c>
      <c r="L55" s="35">
        <f>SUM(L6:L54)/2</f>
        <v>211.27721499999996</v>
      </c>
      <c r="N55" s="34">
        <f>SUM(N6:N54)/2</f>
        <v>222</v>
      </c>
      <c r="O55" s="35">
        <f>SUM(O6:O54)/2</f>
        <v>51.043710000000004</v>
      </c>
      <c r="Q55" s="34">
        <f t="shared" ref="Q55:V55" si="233">SUM(Q6:Q54)/2</f>
        <v>87</v>
      </c>
      <c r="R55" s="35">
        <f t="shared" si="233"/>
        <v>15.577240000000003</v>
      </c>
      <c r="S55" s="34">
        <f t="shared" si="233"/>
        <v>2568</v>
      </c>
      <c r="T55" s="35">
        <f t="shared" si="233"/>
        <v>513.79695000000004</v>
      </c>
      <c r="U55" s="34">
        <f t="shared" si="233"/>
        <v>172</v>
      </c>
      <c r="V55" s="35">
        <f t="shared" si="233"/>
        <v>22.608770000000003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>
  <sheetPr codeName="Sheet67"/>
  <dimension ref="A1:X8"/>
  <sheetViews>
    <sheetView zoomScale="75" zoomScaleNormal="75" workbookViewId="0">
      <pane ySplit="5" topLeftCell="A6" activePane="bottomLeft" state="frozen"/>
      <selection pane="bottomLeft" activeCell="I25" sqref="I2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LOI-612  19.08.23</v>
      </c>
      <c r="D1" s="1"/>
      <c r="E1" s="2"/>
      <c r="F1" s="2"/>
      <c r="G1" s="143" t="s">
        <v>359</v>
      </c>
      <c r="H1" s="144"/>
      <c r="I1" s="145" t="s">
        <v>357</v>
      </c>
      <c r="J1" s="144"/>
      <c r="K1" s="3"/>
      <c r="L1" s="4"/>
      <c r="M1" s="4"/>
      <c r="N1" s="3"/>
      <c r="O1" s="4"/>
      <c r="P1" s="146" t="str">
        <f>+F2</f>
        <v>LOI-612  19.08.23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232</v>
      </c>
      <c r="B2" s="8"/>
      <c r="C2" s="9"/>
      <c r="D2" s="9"/>
      <c r="E2" s="10"/>
      <c r="F2" s="146" t="s">
        <v>358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LOI-612  19.08.23</v>
      </c>
      <c r="V2" s="146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24</v>
      </c>
      <c r="B6" s="26" t="s">
        <v>31</v>
      </c>
      <c r="C6" s="30">
        <v>10.199999999999999</v>
      </c>
      <c r="D6" s="27">
        <v>12</v>
      </c>
      <c r="E6" s="28">
        <v>1</v>
      </c>
      <c r="F6" s="16">
        <f t="shared" ref="F6" si="0">(C6*D6*E6/1000)</f>
        <v>0.12239999999999999</v>
      </c>
      <c r="G6" s="17" t="s">
        <v>93</v>
      </c>
      <c r="H6" s="18">
        <v>1</v>
      </c>
      <c r="I6" s="19">
        <f t="shared" ref="I6" si="1">(C6*D6*H6/1000)</f>
        <v>0.12239999999999999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16"/>
      <c r="Q6" s="18"/>
      <c r="R6" s="19">
        <f t="shared" ref="R6" si="4">(C6*D6*Q6/1000)</f>
        <v>0</v>
      </c>
      <c r="S6" s="20">
        <f t="shared" ref="S6:T6" si="5">+H6+K6+Q6+N6</f>
        <v>1</v>
      </c>
      <c r="T6" s="19">
        <f t="shared" si="5"/>
        <v>0.12239999999999999</v>
      </c>
      <c r="U6" s="21">
        <f t="shared" ref="U6:V6" si="6">E6-S6</f>
        <v>0</v>
      </c>
      <c r="V6" s="19">
        <f t="shared" si="6"/>
        <v>0</v>
      </c>
      <c r="X6" s="29"/>
    </row>
    <row r="7" spans="1:24">
      <c r="A7" s="26"/>
      <c r="B7" s="26"/>
      <c r="C7" s="30"/>
      <c r="D7" s="27"/>
      <c r="E7" s="31">
        <f>SUM(E6:E6)</f>
        <v>1</v>
      </c>
      <c r="F7" s="38">
        <f>SUM(F6:F6)</f>
        <v>0.12239999999999999</v>
      </c>
      <c r="G7" s="17" t="s">
        <v>342</v>
      </c>
      <c r="H7" s="31">
        <f>SUM(H6:H6)</f>
        <v>1</v>
      </c>
      <c r="I7" s="38">
        <f>SUM(I6:I6)</f>
        <v>0.12239999999999999</v>
      </c>
      <c r="J7" s="16"/>
      <c r="K7" s="31">
        <f>SUM(K6:K6)</f>
        <v>0</v>
      </c>
      <c r="L7" s="38">
        <f>SUM(L6:L6)</f>
        <v>0</v>
      </c>
      <c r="M7" s="16"/>
      <c r="N7" s="31">
        <f>SUM(N6:N6)</f>
        <v>0</v>
      </c>
      <c r="O7" s="38">
        <f>SUM(O6:O6)</f>
        <v>0</v>
      </c>
      <c r="P7" s="16"/>
      <c r="Q7" s="31">
        <f t="shared" ref="Q7:V7" si="7">SUM(Q6:Q6)</f>
        <v>0</v>
      </c>
      <c r="R7" s="38">
        <f t="shared" si="7"/>
        <v>0</v>
      </c>
      <c r="S7" s="31">
        <f t="shared" si="7"/>
        <v>1</v>
      </c>
      <c r="T7" s="38">
        <f t="shared" si="7"/>
        <v>0.12239999999999999</v>
      </c>
      <c r="U7" s="31">
        <f t="shared" si="7"/>
        <v>0</v>
      </c>
      <c r="V7" s="38">
        <f t="shared" si="7"/>
        <v>0</v>
      </c>
    </row>
    <row r="8" spans="1:24">
      <c r="A8" s="33"/>
      <c r="B8" s="33"/>
      <c r="C8" s="34"/>
      <c r="D8" s="34"/>
      <c r="E8" s="34">
        <f>SUM(E6:E7)/2</f>
        <v>1</v>
      </c>
      <c r="F8" s="35">
        <f>SUM(F6:F7)/2</f>
        <v>0.12239999999999999</v>
      </c>
      <c r="H8" s="34">
        <f>SUM(H6:H7)/2</f>
        <v>1</v>
      </c>
      <c r="I8" s="35">
        <f>SUM(I6:I7)/2</f>
        <v>0.12239999999999999</v>
      </c>
      <c r="K8" s="34">
        <f>SUM(K6:K7)/2</f>
        <v>0</v>
      </c>
      <c r="L8" s="35">
        <f>SUM(L6:L7)/2</f>
        <v>0</v>
      </c>
      <c r="N8" s="34">
        <f>SUM(N6:N7)/2</f>
        <v>0</v>
      </c>
      <c r="O8" s="35">
        <f>SUM(O6:O7)/2</f>
        <v>0</v>
      </c>
      <c r="Q8" s="34">
        <f t="shared" ref="Q8:V8" si="8">SUM(Q6:Q7)/2</f>
        <v>0</v>
      </c>
      <c r="R8" s="35">
        <f t="shared" si="8"/>
        <v>0</v>
      </c>
      <c r="S8" s="34">
        <f t="shared" si="8"/>
        <v>1</v>
      </c>
      <c r="T8" s="35">
        <f t="shared" si="8"/>
        <v>0.12239999999999999</v>
      </c>
      <c r="U8" s="34">
        <f t="shared" si="8"/>
        <v>0</v>
      </c>
      <c r="V8" s="35">
        <f t="shared" si="8"/>
        <v>0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>
  <sheetPr codeName="Sheet68"/>
  <dimension ref="A1:X12"/>
  <sheetViews>
    <sheetView zoomScale="75" zoomScaleNormal="75" workbookViewId="0">
      <pane ySplit="5" topLeftCell="A6" activePane="bottomLeft" state="frozen"/>
      <selection pane="bottomLeft" sqref="A1:D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LOI-709  12.08.23</v>
      </c>
      <c r="D1" s="1"/>
      <c r="E1" s="2"/>
      <c r="F1" s="2"/>
      <c r="G1" s="143" t="s">
        <v>364</v>
      </c>
      <c r="H1" s="144"/>
      <c r="I1" s="145" t="s">
        <v>365</v>
      </c>
      <c r="J1" s="144"/>
      <c r="K1" s="3"/>
      <c r="L1" s="4"/>
      <c r="M1" s="4"/>
      <c r="N1" s="3"/>
      <c r="O1" s="4"/>
      <c r="P1" s="146" t="str">
        <f>+F2</f>
        <v>LOI-709  12.08.23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366</v>
      </c>
      <c r="B2" s="8"/>
      <c r="C2" s="9"/>
      <c r="D2" s="9"/>
      <c r="E2" s="10"/>
      <c r="F2" s="146" t="s">
        <v>362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LOI-709  12.08.23</v>
      </c>
      <c r="V2" s="146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26</v>
      </c>
      <c r="C6" s="26">
        <v>8.3000000000000007</v>
      </c>
      <c r="D6" s="74">
        <v>9.3000000000000007</v>
      </c>
      <c r="E6" s="28">
        <v>81</v>
      </c>
      <c r="F6" s="16">
        <f t="shared" ref="F6:F11" si="0">(C6*D6*E6/1000)</f>
        <v>6.252390000000001</v>
      </c>
      <c r="G6" s="17" t="s">
        <v>93</v>
      </c>
      <c r="H6" s="18">
        <v>50</v>
      </c>
      <c r="I6" s="19">
        <f t="shared" ref="I6:I11" si="1">(C6*D6*H6/1000)</f>
        <v>3.8595000000000006</v>
      </c>
      <c r="J6" s="16" t="s">
        <v>89</v>
      </c>
      <c r="K6" s="18">
        <v>31</v>
      </c>
      <c r="L6" s="19">
        <f t="shared" ref="L6:L11" si="2">(C6*D6*K6/1000)</f>
        <v>2.3928900000000004</v>
      </c>
      <c r="M6" s="16"/>
      <c r="N6" s="18"/>
      <c r="O6" s="19">
        <f t="shared" ref="O6:O11" si="3">(C6*D6*N6/1000)</f>
        <v>0</v>
      </c>
      <c r="P6" s="16"/>
      <c r="Q6" s="18"/>
      <c r="R6" s="19">
        <f t="shared" ref="R6:R11" si="4">(C6*D6*Q6/1000)</f>
        <v>0</v>
      </c>
      <c r="S6" s="20">
        <f t="shared" ref="S6:S11" si="5">+H6+K6+Q6+N6</f>
        <v>81</v>
      </c>
      <c r="T6" s="19">
        <f t="shared" ref="T6:T11" si="6">+I6+L6+R6+O6</f>
        <v>6.252390000000001</v>
      </c>
      <c r="U6" s="21">
        <f t="shared" ref="U6:U11" si="7">E6-S6</f>
        <v>0</v>
      </c>
      <c r="V6" s="19">
        <f t="shared" ref="V6:V11" si="8">F6-T6</f>
        <v>0</v>
      </c>
      <c r="X6" s="29"/>
    </row>
    <row r="7" spans="1:24">
      <c r="A7" s="26" t="s">
        <v>14</v>
      </c>
      <c r="B7" s="26" t="s">
        <v>26</v>
      </c>
      <c r="C7" s="26">
        <v>8.3000000000000007</v>
      </c>
      <c r="D7" s="74">
        <v>10.3</v>
      </c>
      <c r="E7" s="28">
        <v>135</v>
      </c>
      <c r="F7" s="16">
        <f t="shared" si="0"/>
        <v>11.541150000000002</v>
      </c>
      <c r="G7" s="17" t="s">
        <v>342</v>
      </c>
      <c r="H7" s="18">
        <v>55</v>
      </c>
      <c r="I7" s="19">
        <f t="shared" si="1"/>
        <v>4.701950000000001</v>
      </c>
      <c r="J7" s="16" t="s">
        <v>342</v>
      </c>
      <c r="K7" s="18">
        <v>80</v>
      </c>
      <c r="L7" s="19">
        <f t="shared" si="2"/>
        <v>6.8392000000000008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135</v>
      </c>
      <c r="T7" s="19">
        <f t="shared" si="6"/>
        <v>11.541150000000002</v>
      </c>
      <c r="U7" s="21">
        <f t="shared" si="7"/>
        <v>0</v>
      </c>
      <c r="V7" s="19">
        <f t="shared" si="8"/>
        <v>0</v>
      </c>
    </row>
    <row r="8" spans="1:24">
      <c r="A8" s="26" t="s">
        <v>14</v>
      </c>
      <c r="B8" s="26" t="s">
        <v>26</v>
      </c>
      <c r="C8" s="26">
        <v>8.3000000000000007</v>
      </c>
      <c r="D8" s="74">
        <v>10.5</v>
      </c>
      <c r="E8" s="28">
        <v>72</v>
      </c>
      <c r="F8" s="16">
        <f t="shared" si="0"/>
        <v>6.2747999999999999</v>
      </c>
      <c r="G8" s="17"/>
      <c r="H8" s="18">
        <v>27</v>
      </c>
      <c r="I8" s="19">
        <f t="shared" si="1"/>
        <v>2.3530500000000001</v>
      </c>
      <c r="J8" s="16"/>
      <c r="K8" s="18">
        <v>45</v>
      </c>
      <c r="L8" s="19">
        <f t="shared" si="2"/>
        <v>3.9217500000000003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72</v>
      </c>
      <c r="T8" s="19">
        <f t="shared" si="6"/>
        <v>6.2748000000000008</v>
      </c>
      <c r="U8" s="21">
        <f t="shared" si="7"/>
        <v>0</v>
      </c>
      <c r="V8" s="19">
        <f t="shared" si="8"/>
        <v>0</v>
      </c>
    </row>
    <row r="9" spans="1:24">
      <c r="A9" s="26" t="s">
        <v>14</v>
      </c>
      <c r="B9" s="26" t="s">
        <v>26</v>
      </c>
      <c r="C9" s="26">
        <v>8.3000000000000007</v>
      </c>
      <c r="D9" s="74">
        <v>10.7</v>
      </c>
      <c r="E9" s="28">
        <v>108</v>
      </c>
      <c r="F9" s="16">
        <f t="shared" si="0"/>
        <v>9.5914799999999989</v>
      </c>
      <c r="G9" s="17"/>
      <c r="H9" s="18">
        <v>49</v>
      </c>
      <c r="I9" s="19">
        <f t="shared" si="1"/>
        <v>4.3516900000000005</v>
      </c>
      <c r="J9" s="16"/>
      <c r="K9" s="18">
        <v>59</v>
      </c>
      <c r="L9" s="19">
        <f t="shared" si="2"/>
        <v>5.2397900000000002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108</v>
      </c>
      <c r="T9" s="19">
        <f t="shared" si="6"/>
        <v>9.5914800000000007</v>
      </c>
      <c r="U9" s="21">
        <f t="shared" si="7"/>
        <v>0</v>
      </c>
      <c r="V9" s="19">
        <f t="shared" si="8"/>
        <v>0</v>
      </c>
    </row>
    <row r="10" spans="1:24">
      <c r="A10" s="26" t="s">
        <v>14</v>
      </c>
      <c r="B10" s="26" t="s">
        <v>26</v>
      </c>
      <c r="C10" s="26">
        <v>8.3000000000000007</v>
      </c>
      <c r="D10" s="74">
        <v>11</v>
      </c>
      <c r="E10" s="28">
        <v>36</v>
      </c>
      <c r="F10" s="16">
        <f t="shared" si="0"/>
        <v>3.2868000000000004</v>
      </c>
      <c r="G10" s="17"/>
      <c r="H10" s="18">
        <v>33</v>
      </c>
      <c r="I10" s="19">
        <f t="shared" si="1"/>
        <v>3.0129000000000006</v>
      </c>
      <c r="J10" s="16"/>
      <c r="K10" s="18">
        <v>3</v>
      </c>
      <c r="L10" s="19">
        <f t="shared" si="2"/>
        <v>0.27390000000000003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36</v>
      </c>
      <c r="T10" s="19">
        <f t="shared" si="6"/>
        <v>3.2868000000000004</v>
      </c>
      <c r="U10" s="21">
        <f t="shared" si="7"/>
        <v>0</v>
      </c>
      <c r="V10" s="19">
        <f t="shared" si="8"/>
        <v>0</v>
      </c>
    </row>
    <row r="11" spans="1:24">
      <c r="A11" s="26" t="s">
        <v>14</v>
      </c>
      <c r="B11" s="26" t="s">
        <v>26</v>
      </c>
      <c r="C11" s="26">
        <v>8.3000000000000007</v>
      </c>
      <c r="D11" s="74">
        <v>11.5</v>
      </c>
      <c r="E11" s="28">
        <v>108</v>
      </c>
      <c r="F11" s="16">
        <f t="shared" si="0"/>
        <v>10.3086</v>
      </c>
      <c r="G11" s="17"/>
      <c r="H11" s="18">
        <v>23</v>
      </c>
      <c r="I11" s="19">
        <f t="shared" si="1"/>
        <v>2.1953499999999999</v>
      </c>
      <c r="J11" s="16"/>
      <c r="K11" s="18">
        <f>73+12</f>
        <v>85</v>
      </c>
      <c r="L11" s="19">
        <f t="shared" si="2"/>
        <v>8.1132500000000007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108</v>
      </c>
      <c r="T11" s="19">
        <f t="shared" si="6"/>
        <v>10.3086</v>
      </c>
      <c r="U11" s="21">
        <f t="shared" si="7"/>
        <v>0</v>
      </c>
      <c r="V11" s="19">
        <f t="shared" si="8"/>
        <v>0</v>
      </c>
    </row>
    <row r="12" spans="1:24">
      <c r="A12" s="33"/>
      <c r="B12" s="33"/>
      <c r="C12" s="33"/>
      <c r="D12" s="75"/>
      <c r="E12" s="34">
        <f t="shared" ref="E12:F12" si="9">SUM(E6:E11)</f>
        <v>540</v>
      </c>
      <c r="F12" s="35">
        <f t="shared" si="9"/>
        <v>47.255220000000001</v>
      </c>
      <c r="H12" s="34">
        <f t="shared" ref="H12" si="10">SUM(H6:H11)</f>
        <v>237</v>
      </c>
      <c r="I12" s="35">
        <f t="shared" ref="I12" si="11">SUM(I6:I11)</f>
        <v>20.474440000000005</v>
      </c>
      <c r="K12" s="34">
        <f t="shared" ref="K12" si="12">SUM(K6:K11)</f>
        <v>303</v>
      </c>
      <c r="L12" s="35">
        <f t="shared" ref="L12" si="13">SUM(L6:L11)</f>
        <v>26.780780000000004</v>
      </c>
      <c r="N12" s="34">
        <f t="shared" ref="N12" si="14">SUM(N6:N11)</f>
        <v>0</v>
      </c>
      <c r="O12" s="35">
        <f t="shared" ref="O12" si="15">SUM(O6:O11)</f>
        <v>0</v>
      </c>
      <c r="Q12" s="34">
        <f t="shared" ref="Q12" si="16">SUM(Q6:Q11)</f>
        <v>0</v>
      </c>
      <c r="R12" s="35">
        <f t="shared" ref="R12" si="17">SUM(R6:R11)</f>
        <v>0</v>
      </c>
      <c r="S12" s="34">
        <f t="shared" ref="S12" si="18">SUM(S6:S11)</f>
        <v>540</v>
      </c>
      <c r="T12" s="35">
        <f t="shared" ref="T12" si="19">SUM(T6:T11)</f>
        <v>47.255220000000008</v>
      </c>
      <c r="U12" s="34">
        <f t="shared" ref="U12" si="20">SUM(U6:U11)</f>
        <v>0</v>
      </c>
      <c r="V12" s="35">
        <f t="shared" ref="V12" si="21">SUM(V6:V11)</f>
        <v>0</v>
      </c>
    </row>
  </sheetData>
  <sortState ref="D6:E11">
    <sortCondition ref="D6:D11"/>
  </sortState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>
  <sheetPr codeName="Sheet69"/>
  <dimension ref="A1:X40"/>
  <sheetViews>
    <sheetView zoomScale="75" zoomScaleNormal="75" workbookViewId="0">
      <pane ySplit="5" topLeftCell="A6" activePane="bottomLeft" state="frozen"/>
      <selection pane="bottomLeft" activeCell="O23" sqref="O2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LOI-710  12.08.23</v>
      </c>
      <c r="D1" s="1"/>
      <c r="E1" s="2"/>
      <c r="F1" s="2"/>
      <c r="G1" s="143" t="s">
        <v>364</v>
      </c>
      <c r="H1" s="144"/>
      <c r="I1" s="145" t="s">
        <v>365</v>
      </c>
      <c r="J1" s="144"/>
      <c r="K1" s="3"/>
      <c r="L1" s="4"/>
      <c r="M1" s="4"/>
      <c r="N1" s="3"/>
      <c r="O1" s="4"/>
      <c r="P1" s="146" t="str">
        <f>+F2</f>
        <v>LOI-710  12.08.23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366</v>
      </c>
      <c r="B2" s="8"/>
      <c r="C2" s="9"/>
      <c r="D2" s="9"/>
      <c r="E2" s="10"/>
      <c r="F2" s="146" t="s">
        <v>363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LOI-710  12.08.23</v>
      </c>
      <c r="V2" s="146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125</v>
      </c>
      <c r="C6" s="26">
        <v>27.3</v>
      </c>
      <c r="D6" s="74">
        <v>10.1</v>
      </c>
      <c r="E6" s="28">
        <v>108</v>
      </c>
      <c r="F6" s="16">
        <f t="shared" ref="F6:F7" si="0">(C6*D6*E6/1000)</f>
        <v>29.778840000000002</v>
      </c>
      <c r="G6" s="17" t="s">
        <v>288</v>
      </c>
      <c r="H6" s="18">
        <f>11+50</f>
        <v>61</v>
      </c>
      <c r="I6" s="19">
        <f t="shared" ref="I6:I7" si="1">(C6*D6*H6/1000)</f>
        <v>16.819530000000004</v>
      </c>
      <c r="J6" s="16" t="s">
        <v>111</v>
      </c>
      <c r="K6" s="18">
        <v>27</v>
      </c>
      <c r="L6" s="19">
        <f t="shared" ref="L6:L7" si="2">(C6*D6*K6/1000)</f>
        <v>7.4447100000000006</v>
      </c>
      <c r="M6" s="16" t="s">
        <v>93</v>
      </c>
      <c r="N6" s="18">
        <v>15</v>
      </c>
      <c r="O6" s="19">
        <f t="shared" ref="O6:O7" si="3">(C6*D6*N6/1000)</f>
        <v>4.1359500000000011</v>
      </c>
      <c r="P6" s="16"/>
      <c r="Q6" s="18"/>
      <c r="R6" s="19">
        <f t="shared" ref="R6:R7" si="4">(C6*D6*Q6/1000)</f>
        <v>0</v>
      </c>
      <c r="S6" s="20">
        <f t="shared" ref="S6:S7" si="5">+H6+K6+Q6+N6</f>
        <v>103</v>
      </c>
      <c r="T6" s="19">
        <f t="shared" ref="T6:T7" si="6">+I6+L6+R6+O6</f>
        <v>28.400190000000006</v>
      </c>
      <c r="U6" s="21">
        <f t="shared" ref="U6:U7" si="7">E6-S6</f>
        <v>5</v>
      </c>
      <c r="V6" s="19">
        <f t="shared" ref="V6:V7" si="8">F6-T6</f>
        <v>1.3786499999999968</v>
      </c>
      <c r="X6" s="29"/>
    </row>
    <row r="7" spans="1:24">
      <c r="A7" s="26" t="s">
        <v>13</v>
      </c>
      <c r="B7" s="26" t="s">
        <v>125</v>
      </c>
      <c r="C7" s="26">
        <v>27.3</v>
      </c>
      <c r="D7" s="74">
        <v>11.6</v>
      </c>
      <c r="E7" s="28">
        <v>70</v>
      </c>
      <c r="F7" s="16">
        <f t="shared" si="0"/>
        <v>22.167600000000004</v>
      </c>
      <c r="G7" s="17" t="s">
        <v>395</v>
      </c>
      <c r="H7" s="18">
        <v>21</v>
      </c>
      <c r="I7" s="19">
        <f t="shared" si="1"/>
        <v>6.6502799999999995</v>
      </c>
      <c r="J7" s="16" t="s">
        <v>395</v>
      </c>
      <c r="K7" s="18">
        <v>44</v>
      </c>
      <c r="L7" s="19">
        <f t="shared" si="2"/>
        <v>13.933920000000001</v>
      </c>
      <c r="M7" s="16" t="s">
        <v>397</v>
      </c>
      <c r="N7" s="18">
        <v>11</v>
      </c>
      <c r="O7" s="19">
        <f t="shared" si="3"/>
        <v>3.4834800000000001</v>
      </c>
      <c r="P7" s="16"/>
      <c r="Q7" s="18"/>
      <c r="R7" s="19">
        <f t="shared" si="4"/>
        <v>0</v>
      </c>
      <c r="S7" s="20">
        <f t="shared" si="5"/>
        <v>76</v>
      </c>
      <c r="T7" s="19">
        <f t="shared" si="6"/>
        <v>24.067679999999999</v>
      </c>
      <c r="U7" s="21">
        <f t="shared" si="7"/>
        <v>-6</v>
      </c>
      <c r="V7" s="19">
        <f t="shared" si="8"/>
        <v>-1.9000799999999956</v>
      </c>
    </row>
    <row r="8" spans="1:24">
      <c r="A8" s="36"/>
      <c r="B8" s="36"/>
      <c r="C8" s="36"/>
      <c r="D8" s="76"/>
      <c r="E8" s="31">
        <f t="shared" ref="E8:F8" si="9">SUM(E6:E7)</f>
        <v>178</v>
      </c>
      <c r="F8" s="77">
        <f t="shared" si="9"/>
        <v>51.94644000000001</v>
      </c>
      <c r="G8" s="17"/>
      <c r="H8" s="31">
        <f t="shared" ref="H8" si="10">SUM(H6:H7)</f>
        <v>82</v>
      </c>
      <c r="I8" s="77">
        <f t="shared" ref="I8" si="11">SUM(I6:I7)</f>
        <v>23.469810000000003</v>
      </c>
      <c r="J8" s="16"/>
      <c r="K8" s="31">
        <f t="shared" ref="K8" si="12">SUM(K6:K7)</f>
        <v>71</v>
      </c>
      <c r="L8" s="77">
        <f t="shared" ref="L8" si="13">SUM(L6:L7)</f>
        <v>21.378630000000001</v>
      </c>
      <c r="M8" s="16"/>
      <c r="N8" s="31">
        <f t="shared" ref="N8" si="14">SUM(N6:N7)</f>
        <v>26</v>
      </c>
      <c r="O8" s="77">
        <f t="shared" ref="O8" si="15">SUM(O6:O7)</f>
        <v>7.6194300000000013</v>
      </c>
      <c r="P8" s="16"/>
      <c r="Q8" s="31">
        <f t="shared" ref="Q8" si="16">SUM(Q6:Q7)</f>
        <v>0</v>
      </c>
      <c r="R8" s="77">
        <f t="shared" ref="R8" si="17">SUM(R6:R7)</f>
        <v>0</v>
      </c>
      <c r="S8" s="31">
        <f t="shared" ref="S8" si="18">SUM(S6:S7)</f>
        <v>179</v>
      </c>
      <c r="T8" s="77">
        <f t="shared" ref="T8" si="19">SUM(T6:T7)</f>
        <v>52.467870000000005</v>
      </c>
      <c r="U8" s="31">
        <f t="shared" ref="U8" si="20">SUM(U6:U7)</f>
        <v>-1</v>
      </c>
      <c r="V8" s="77">
        <f t="shared" ref="V8" si="21">SUM(V6:V7)</f>
        <v>-0.52142999999999873</v>
      </c>
    </row>
    <row r="9" spans="1:24">
      <c r="A9" s="26" t="s">
        <v>13</v>
      </c>
      <c r="B9" s="26" t="s">
        <v>126</v>
      </c>
      <c r="C9" s="26">
        <v>33.799999999999997</v>
      </c>
      <c r="D9" s="74">
        <v>7.3</v>
      </c>
      <c r="E9" s="28">
        <v>216</v>
      </c>
      <c r="F9" s="16">
        <f t="shared" ref="F9:F19" si="22">(C9*D9*E9/1000)</f>
        <v>53.295839999999998</v>
      </c>
      <c r="G9" s="16" t="s">
        <v>93</v>
      </c>
      <c r="H9" s="18">
        <v>22</v>
      </c>
      <c r="I9" s="19">
        <f t="shared" ref="I9:I19" si="23">(C9*D9*H9/1000)</f>
        <v>5.42828</v>
      </c>
      <c r="J9" s="16" t="s">
        <v>107</v>
      </c>
      <c r="K9" s="18">
        <f>65+4</f>
        <v>69</v>
      </c>
      <c r="L9" s="19">
        <f t="shared" ref="L9:L19" si="24">(C9*D9*K9/1000)</f>
        <v>17.025059999999996</v>
      </c>
      <c r="M9" s="16" t="s">
        <v>93</v>
      </c>
      <c r="N9" s="18">
        <f>26+4+89</f>
        <v>119</v>
      </c>
      <c r="O9" s="19">
        <f t="shared" ref="O9:O19" si="25">(C9*D9*N9/1000)</f>
        <v>29.362059999999996</v>
      </c>
      <c r="P9" s="16"/>
      <c r="Q9" s="18"/>
      <c r="R9" s="19">
        <f t="shared" ref="R9:R19" si="26">(C9*D9*Q9/1000)</f>
        <v>0</v>
      </c>
      <c r="S9" s="20">
        <f t="shared" ref="S9:S18" si="27">+H9+K9+Q9+N9</f>
        <v>210</v>
      </c>
      <c r="T9" s="19">
        <f t="shared" ref="T9:T19" si="28">+I9+L9+R9+O9</f>
        <v>51.815399999999997</v>
      </c>
      <c r="U9" s="21">
        <f t="shared" ref="U9:U19" si="29">E9-S9</f>
        <v>6</v>
      </c>
      <c r="V9" s="19">
        <f t="shared" ref="V9:V19" si="30">F9-T9</f>
        <v>1.4804400000000015</v>
      </c>
    </row>
    <row r="10" spans="1:24">
      <c r="A10" s="26" t="s">
        <v>13</v>
      </c>
      <c r="B10" s="26" t="s">
        <v>126</v>
      </c>
      <c r="C10" s="26">
        <v>33.799999999999997</v>
      </c>
      <c r="D10" s="74">
        <v>7.8</v>
      </c>
      <c r="E10" s="28">
        <v>10</v>
      </c>
      <c r="F10" s="16">
        <f t="shared" si="22"/>
        <v>2.6363999999999996</v>
      </c>
      <c r="G10" s="16" t="s">
        <v>394</v>
      </c>
      <c r="H10" s="18">
        <v>16</v>
      </c>
      <c r="I10" s="19">
        <f t="shared" si="23"/>
        <v>4.2182399999999998</v>
      </c>
      <c r="J10" s="16" t="s">
        <v>396</v>
      </c>
      <c r="K10" s="18">
        <v>0</v>
      </c>
      <c r="L10" s="19">
        <f t="shared" si="24"/>
        <v>0</v>
      </c>
      <c r="M10" s="16" t="s">
        <v>397</v>
      </c>
      <c r="N10" s="18"/>
      <c r="O10" s="19">
        <f t="shared" si="25"/>
        <v>0</v>
      </c>
      <c r="P10" s="16"/>
      <c r="Q10" s="18"/>
      <c r="R10" s="19">
        <f t="shared" si="26"/>
        <v>0</v>
      </c>
      <c r="S10" s="20">
        <f t="shared" si="27"/>
        <v>16</v>
      </c>
      <c r="T10" s="19">
        <f t="shared" si="28"/>
        <v>4.2182399999999998</v>
      </c>
      <c r="U10" s="21">
        <f t="shared" si="29"/>
        <v>-6</v>
      </c>
      <c r="V10" s="19">
        <f t="shared" si="30"/>
        <v>-1.5818400000000001</v>
      </c>
    </row>
    <row r="11" spans="1:24">
      <c r="A11" s="26" t="s">
        <v>13</v>
      </c>
      <c r="B11" s="26" t="s">
        <v>126</v>
      </c>
      <c r="C11" s="26">
        <v>33.799999999999997</v>
      </c>
      <c r="D11" s="74">
        <v>8.9</v>
      </c>
      <c r="E11" s="28">
        <v>173</v>
      </c>
      <c r="F11" s="16">
        <f t="shared" si="22"/>
        <v>52.04186</v>
      </c>
      <c r="G11" s="16" t="s">
        <v>86</v>
      </c>
      <c r="H11" s="18">
        <v>54</v>
      </c>
      <c r="I11" s="19">
        <f t="shared" si="23"/>
        <v>16.24428</v>
      </c>
      <c r="J11" s="16" t="s">
        <v>295</v>
      </c>
      <c r="K11" s="18">
        <f>53+6</f>
        <v>59</v>
      </c>
      <c r="L11" s="19">
        <f t="shared" si="24"/>
        <v>17.748380000000001</v>
      </c>
      <c r="M11" s="16" t="s">
        <v>86</v>
      </c>
      <c r="N11" s="18">
        <f>28+19+9</f>
        <v>56</v>
      </c>
      <c r="O11" s="19">
        <f t="shared" si="25"/>
        <v>16.84592</v>
      </c>
      <c r="P11" s="16"/>
      <c r="Q11" s="18"/>
      <c r="R11" s="19">
        <f t="shared" si="26"/>
        <v>0</v>
      </c>
      <c r="S11" s="20">
        <f t="shared" si="27"/>
        <v>169</v>
      </c>
      <c r="T11" s="19">
        <f t="shared" si="28"/>
        <v>50.83858</v>
      </c>
      <c r="U11" s="21">
        <f t="shared" si="29"/>
        <v>4</v>
      </c>
      <c r="V11" s="19">
        <f t="shared" si="30"/>
        <v>1.2032799999999995</v>
      </c>
    </row>
    <row r="12" spans="1:24">
      <c r="A12" s="26" t="s">
        <v>13</v>
      </c>
      <c r="B12" s="26" t="s">
        <v>126</v>
      </c>
      <c r="C12" s="26">
        <v>33.799999999999997</v>
      </c>
      <c r="D12" s="74">
        <v>9.9</v>
      </c>
      <c r="E12" s="28">
        <v>239</v>
      </c>
      <c r="F12" s="16">
        <f t="shared" si="22"/>
        <v>79.974180000000004</v>
      </c>
      <c r="G12" s="16" t="s">
        <v>394</v>
      </c>
      <c r="H12" s="18">
        <v>18</v>
      </c>
      <c r="I12" s="19">
        <f t="shared" si="23"/>
        <v>6.0231599999999998</v>
      </c>
      <c r="J12" s="16" t="s">
        <v>400</v>
      </c>
      <c r="K12" s="18"/>
      <c r="L12" s="19">
        <f t="shared" si="24"/>
        <v>0</v>
      </c>
      <c r="M12" s="16" t="s">
        <v>397</v>
      </c>
      <c r="N12" s="18">
        <v>5</v>
      </c>
      <c r="O12" s="19">
        <f t="shared" si="25"/>
        <v>1.6730999999999998</v>
      </c>
      <c r="P12" s="16"/>
      <c r="Q12" s="18"/>
      <c r="R12" s="19">
        <f t="shared" si="26"/>
        <v>0</v>
      </c>
      <c r="S12" s="20">
        <f t="shared" si="27"/>
        <v>23</v>
      </c>
      <c r="T12" s="19">
        <f t="shared" si="28"/>
        <v>7.6962599999999997</v>
      </c>
      <c r="U12" s="21">
        <f t="shared" si="29"/>
        <v>216</v>
      </c>
      <c r="V12" s="19">
        <f t="shared" si="30"/>
        <v>72.277920000000009</v>
      </c>
    </row>
    <row r="13" spans="1:24">
      <c r="A13" s="26" t="s">
        <v>13</v>
      </c>
      <c r="B13" s="26" t="s">
        <v>126</v>
      </c>
      <c r="C13" s="26">
        <v>33.799999999999997</v>
      </c>
      <c r="D13" s="74">
        <v>10.3</v>
      </c>
      <c r="E13" s="28">
        <v>12</v>
      </c>
      <c r="F13" s="16">
        <f t="shared" si="22"/>
        <v>4.1776800000000005</v>
      </c>
      <c r="G13" s="17" t="s">
        <v>86</v>
      </c>
      <c r="H13" s="18">
        <v>9</v>
      </c>
      <c r="I13" s="19">
        <f t="shared" si="23"/>
        <v>3.1332599999999999</v>
      </c>
      <c r="J13" s="16"/>
      <c r="K13" s="18"/>
      <c r="L13" s="19">
        <f t="shared" si="24"/>
        <v>0</v>
      </c>
      <c r="M13" s="16" t="s">
        <v>111</v>
      </c>
      <c r="N13" s="18">
        <v>3</v>
      </c>
      <c r="O13" s="19">
        <f t="shared" si="25"/>
        <v>1.0444200000000001</v>
      </c>
      <c r="P13" s="16"/>
      <c r="Q13" s="18"/>
      <c r="R13" s="19">
        <f t="shared" si="26"/>
        <v>0</v>
      </c>
      <c r="S13" s="20">
        <f t="shared" si="27"/>
        <v>12</v>
      </c>
      <c r="T13" s="19">
        <f t="shared" si="28"/>
        <v>4.1776800000000005</v>
      </c>
      <c r="U13" s="21">
        <f t="shared" si="29"/>
        <v>0</v>
      </c>
      <c r="V13" s="19">
        <f t="shared" si="30"/>
        <v>0</v>
      </c>
    </row>
    <row r="14" spans="1:24">
      <c r="A14" s="26" t="s">
        <v>13</v>
      </c>
      <c r="B14" s="26" t="s">
        <v>126</v>
      </c>
      <c r="C14" s="26">
        <v>33.799999999999997</v>
      </c>
      <c r="D14" s="74">
        <v>10.6</v>
      </c>
      <c r="E14" s="28">
        <v>101</v>
      </c>
      <c r="F14" s="16">
        <f t="shared" si="22"/>
        <v>36.186279999999996</v>
      </c>
      <c r="G14" s="17" t="s">
        <v>396</v>
      </c>
      <c r="H14" s="18">
        <f>42+30</f>
        <v>72</v>
      </c>
      <c r="I14" s="19">
        <f t="shared" si="23"/>
        <v>25.796159999999997</v>
      </c>
      <c r="J14" s="16"/>
      <c r="K14" s="18">
        <v>21</v>
      </c>
      <c r="L14" s="19">
        <f t="shared" si="24"/>
        <v>7.5238799999999992</v>
      </c>
      <c r="M14" s="16" t="s">
        <v>399</v>
      </c>
      <c r="N14" s="18">
        <f>4+4</f>
        <v>8</v>
      </c>
      <c r="O14" s="19">
        <f t="shared" si="25"/>
        <v>2.8662399999999999</v>
      </c>
      <c r="P14" s="16"/>
      <c r="Q14" s="18"/>
      <c r="R14" s="19">
        <f t="shared" si="26"/>
        <v>0</v>
      </c>
      <c r="S14" s="20">
        <f t="shared" si="27"/>
        <v>101</v>
      </c>
      <c r="T14" s="19">
        <f t="shared" si="28"/>
        <v>36.186279999999996</v>
      </c>
      <c r="U14" s="21">
        <f t="shared" si="29"/>
        <v>0</v>
      </c>
      <c r="V14" s="19">
        <f t="shared" si="30"/>
        <v>0</v>
      </c>
    </row>
    <row r="15" spans="1:24">
      <c r="A15" s="26" t="s">
        <v>13</v>
      </c>
      <c r="B15" s="26" t="s">
        <v>126</v>
      </c>
      <c r="C15" s="26">
        <v>33.799999999999997</v>
      </c>
      <c r="D15" s="74">
        <v>10.9</v>
      </c>
      <c r="E15" s="28">
        <v>5</v>
      </c>
      <c r="F15" s="16">
        <f t="shared" ref="F15:F18" si="31">(C15*D15*E15/1000)</f>
        <v>1.8420999999999998</v>
      </c>
      <c r="G15" s="16" t="s">
        <v>93</v>
      </c>
      <c r="H15" s="18">
        <v>3</v>
      </c>
      <c r="I15" s="19">
        <f t="shared" ref="I15:I18" si="32">(C15*D15*H15/1000)</f>
        <v>1.1052599999999997</v>
      </c>
      <c r="J15" s="16"/>
      <c r="K15" s="18"/>
      <c r="L15" s="19">
        <f t="shared" ref="L15:L18" si="33">(C15*D15*K15/1000)</f>
        <v>0</v>
      </c>
      <c r="M15" s="16"/>
      <c r="N15" s="18"/>
      <c r="O15" s="19">
        <f t="shared" ref="O15:O18" si="34">(C15*D15*N15/1000)</f>
        <v>0</v>
      </c>
      <c r="P15" s="16"/>
      <c r="Q15" s="18"/>
      <c r="R15" s="19">
        <f t="shared" ref="R15:R18" si="35">(C15*D15*Q15/1000)</f>
        <v>0</v>
      </c>
      <c r="S15" s="20">
        <f t="shared" si="27"/>
        <v>3</v>
      </c>
      <c r="T15" s="19">
        <f t="shared" ref="T15:T18" si="36">+I15+L15+R15+O15</f>
        <v>1.1052599999999997</v>
      </c>
      <c r="U15" s="21">
        <f t="shared" ref="U15:U18" si="37">E15-S15</f>
        <v>2</v>
      </c>
      <c r="V15" s="19">
        <f t="shared" ref="V15:V18" si="38">F15-T15</f>
        <v>0.73684000000000016</v>
      </c>
    </row>
    <row r="16" spans="1:24">
      <c r="A16" s="26" t="s">
        <v>13</v>
      </c>
      <c r="B16" s="26" t="s">
        <v>126</v>
      </c>
      <c r="C16" s="26">
        <v>33.799999999999997</v>
      </c>
      <c r="D16" s="74">
        <v>9.85</v>
      </c>
      <c r="E16" s="28"/>
      <c r="F16" s="16">
        <f t="shared" si="31"/>
        <v>0</v>
      </c>
      <c r="G16" s="16" t="s">
        <v>395</v>
      </c>
      <c r="H16" s="18">
        <v>119</v>
      </c>
      <c r="I16" s="19">
        <f t="shared" si="32"/>
        <v>39.618669999999995</v>
      </c>
      <c r="J16" s="16"/>
      <c r="K16" s="18">
        <v>62</v>
      </c>
      <c r="L16" s="19">
        <f t="shared" si="33"/>
        <v>20.641659999999995</v>
      </c>
      <c r="M16" s="16"/>
      <c r="N16" s="18">
        <f>9+5+5+16</f>
        <v>35</v>
      </c>
      <c r="O16" s="19">
        <f t="shared" si="34"/>
        <v>11.652549999999998</v>
      </c>
      <c r="P16" s="16"/>
      <c r="Q16" s="18"/>
      <c r="R16" s="19">
        <f t="shared" si="35"/>
        <v>0</v>
      </c>
      <c r="S16" s="20">
        <f t="shared" si="27"/>
        <v>216</v>
      </c>
      <c r="T16" s="19">
        <f t="shared" si="36"/>
        <v>71.912879999999987</v>
      </c>
      <c r="U16" s="21">
        <f t="shared" si="37"/>
        <v>-216</v>
      </c>
      <c r="V16" s="19">
        <f t="shared" si="38"/>
        <v>-71.912879999999987</v>
      </c>
    </row>
    <row r="17" spans="1:22">
      <c r="A17" s="26" t="s">
        <v>13</v>
      </c>
      <c r="B17" s="26" t="s">
        <v>126</v>
      </c>
      <c r="C17" s="26">
        <v>33.799999999999997</v>
      </c>
      <c r="D17" s="74">
        <v>10.7</v>
      </c>
      <c r="E17" s="28"/>
      <c r="F17" s="16">
        <f t="shared" si="31"/>
        <v>0</v>
      </c>
      <c r="G17" s="17"/>
      <c r="H17" s="18">
        <v>2</v>
      </c>
      <c r="I17" s="19">
        <f t="shared" si="32"/>
        <v>0.72331999999999996</v>
      </c>
      <c r="J17" s="16"/>
      <c r="K17" s="18"/>
      <c r="L17" s="19">
        <f t="shared" si="33"/>
        <v>0</v>
      </c>
      <c r="M17" s="16"/>
      <c r="N17" s="18"/>
      <c r="O17" s="19">
        <f t="shared" si="34"/>
        <v>0</v>
      </c>
      <c r="P17" s="16"/>
      <c r="Q17" s="18"/>
      <c r="R17" s="19">
        <f t="shared" si="35"/>
        <v>0</v>
      </c>
      <c r="S17" s="20">
        <f t="shared" si="27"/>
        <v>2</v>
      </c>
      <c r="T17" s="19">
        <f t="shared" si="36"/>
        <v>0.72331999999999996</v>
      </c>
      <c r="U17" s="21">
        <f t="shared" si="37"/>
        <v>-2</v>
      </c>
      <c r="V17" s="19">
        <f t="shared" si="38"/>
        <v>-0.72331999999999996</v>
      </c>
    </row>
    <row r="18" spans="1:22">
      <c r="A18" s="26" t="s">
        <v>13</v>
      </c>
      <c r="B18" s="26" t="s">
        <v>126</v>
      </c>
      <c r="C18" s="26">
        <v>33.799999999999997</v>
      </c>
      <c r="D18" s="74">
        <v>8.3000000000000007</v>
      </c>
      <c r="E18" s="28"/>
      <c r="F18" s="16">
        <f t="shared" si="31"/>
        <v>0</v>
      </c>
      <c r="G18" s="17"/>
      <c r="H18" s="18">
        <v>0</v>
      </c>
      <c r="I18" s="19">
        <f t="shared" si="32"/>
        <v>0</v>
      </c>
      <c r="J18" s="16"/>
      <c r="K18" s="18"/>
      <c r="L18" s="19">
        <f t="shared" si="33"/>
        <v>0</v>
      </c>
      <c r="M18" s="16"/>
      <c r="N18" s="18">
        <v>2</v>
      </c>
      <c r="O18" s="19">
        <f t="shared" si="34"/>
        <v>0.56108000000000002</v>
      </c>
      <c r="P18" s="16"/>
      <c r="Q18" s="18"/>
      <c r="R18" s="19">
        <f t="shared" si="35"/>
        <v>0</v>
      </c>
      <c r="S18" s="20">
        <f t="shared" si="27"/>
        <v>2</v>
      </c>
      <c r="T18" s="19">
        <f t="shared" si="36"/>
        <v>0.56108000000000002</v>
      </c>
      <c r="U18" s="21">
        <f t="shared" si="37"/>
        <v>-2</v>
      </c>
      <c r="V18" s="19">
        <f t="shared" si="38"/>
        <v>-0.56108000000000002</v>
      </c>
    </row>
    <row r="19" spans="1:22">
      <c r="A19" s="26" t="s">
        <v>13</v>
      </c>
      <c r="B19" s="26" t="s">
        <v>126</v>
      </c>
      <c r="C19" s="26">
        <v>33.799999999999997</v>
      </c>
      <c r="D19" s="74">
        <v>8.75</v>
      </c>
      <c r="E19" s="28"/>
      <c r="F19" s="16">
        <f t="shared" si="22"/>
        <v>0</v>
      </c>
      <c r="G19" s="17"/>
      <c r="H19" s="18">
        <v>0</v>
      </c>
      <c r="I19" s="19">
        <f t="shared" si="23"/>
        <v>0</v>
      </c>
      <c r="J19" s="16"/>
      <c r="K19" s="18">
        <v>5</v>
      </c>
      <c r="L19" s="19">
        <f t="shared" si="24"/>
        <v>1.47875</v>
      </c>
      <c r="M19" s="16"/>
      <c r="N19" s="18"/>
      <c r="O19" s="19">
        <f t="shared" si="25"/>
        <v>0</v>
      </c>
      <c r="P19" s="16"/>
      <c r="Q19" s="18"/>
      <c r="R19" s="19">
        <f t="shared" si="26"/>
        <v>0</v>
      </c>
      <c r="S19" s="20">
        <f t="shared" ref="S19" si="39">+H19+K19+Q19+N19</f>
        <v>5</v>
      </c>
      <c r="T19" s="19">
        <f t="shared" si="28"/>
        <v>1.47875</v>
      </c>
      <c r="U19" s="21">
        <f t="shared" si="29"/>
        <v>-5</v>
      </c>
      <c r="V19" s="19">
        <f t="shared" si="30"/>
        <v>-1.47875</v>
      </c>
    </row>
    <row r="20" spans="1:22">
      <c r="A20" s="36"/>
      <c r="B20" s="36"/>
      <c r="C20" s="36"/>
      <c r="D20" s="76"/>
      <c r="E20" s="31">
        <f>SUM(E9:E19)</f>
        <v>756</v>
      </c>
      <c r="F20" s="77">
        <f>SUM(F9:F19)</f>
        <v>230.15434000000002</v>
      </c>
      <c r="H20" s="31">
        <f>SUM(H9:H19)</f>
        <v>315</v>
      </c>
      <c r="I20" s="77">
        <f>SUM(I9:I19)</f>
        <v>102.29062999999999</v>
      </c>
      <c r="K20" s="31">
        <f>SUM(K9:K19)</f>
        <v>216</v>
      </c>
      <c r="L20" s="77">
        <f>SUM(L9:L19)</f>
        <v>64.417729999999992</v>
      </c>
      <c r="N20" s="31">
        <f>SUM(N9:N19)</f>
        <v>228</v>
      </c>
      <c r="O20" s="77">
        <f>SUM(O9:O19)</f>
        <v>64.005369999999985</v>
      </c>
      <c r="Q20" s="31">
        <f t="shared" ref="Q20:R20" si="40">SUM(Q9:Q19)</f>
        <v>0</v>
      </c>
      <c r="R20" s="77">
        <f t="shared" si="40"/>
        <v>0</v>
      </c>
      <c r="S20" s="31">
        <f>SUM(S9:S19)</f>
        <v>759</v>
      </c>
      <c r="T20" s="77">
        <f>SUM(T9:T19)</f>
        <v>230.71372999999994</v>
      </c>
      <c r="U20" s="31">
        <f>SUM(U9:U19)</f>
        <v>-3</v>
      </c>
      <c r="V20" s="77">
        <f>SUM(V9:V19)</f>
        <v>-0.55938999999998318</v>
      </c>
    </row>
    <row r="21" spans="1:22">
      <c r="A21" s="33"/>
      <c r="B21" s="33"/>
      <c r="C21" s="33"/>
      <c r="D21" s="75"/>
      <c r="E21" s="34">
        <f>SUM(E20,E8)</f>
        <v>934</v>
      </c>
      <c r="F21" s="77">
        <f>SUM(F20,F8)</f>
        <v>282.10078000000004</v>
      </c>
      <c r="H21" s="34">
        <f t="shared" ref="H21" si="41">SUM(H20,H8)</f>
        <v>397</v>
      </c>
      <c r="I21" s="77">
        <f t="shared" ref="I21" si="42">SUM(I20,I8)</f>
        <v>125.76043999999999</v>
      </c>
      <c r="K21" s="34">
        <f t="shared" ref="K21" si="43">SUM(K20,K8)</f>
        <v>287</v>
      </c>
      <c r="L21" s="77">
        <f t="shared" ref="L21" si="44">SUM(L20,L8)</f>
        <v>85.796359999999993</v>
      </c>
      <c r="N21" s="34">
        <f t="shared" ref="N21" si="45">SUM(N20,N8)</f>
        <v>254</v>
      </c>
      <c r="O21" s="77">
        <f t="shared" ref="O21" si="46">SUM(O20,O8)</f>
        <v>71.624799999999993</v>
      </c>
      <c r="Q21" s="34">
        <f t="shared" ref="Q21" si="47">SUM(Q20,Q8)</f>
        <v>0</v>
      </c>
      <c r="R21" s="77">
        <f t="shared" ref="R21" si="48">SUM(R20,R8)</f>
        <v>0</v>
      </c>
      <c r="S21" s="34">
        <f t="shared" ref="S21" si="49">SUM(S20,S8)</f>
        <v>938</v>
      </c>
      <c r="T21" s="77">
        <f t="shared" ref="T21" si="50">SUM(T20,T8)</f>
        <v>283.18159999999995</v>
      </c>
      <c r="U21" s="34">
        <f t="shared" ref="U21" si="51">SUM(U20,U8)</f>
        <v>-4</v>
      </c>
      <c r="V21" s="77">
        <f t="shared" ref="V21" si="52">SUM(V20,V8)</f>
        <v>-1.0808199999999819</v>
      </c>
    </row>
    <row r="28" spans="1:22">
      <c r="P28">
        <v>98</v>
      </c>
      <c r="Q28">
        <v>32.436999999999998</v>
      </c>
    </row>
    <row r="29" spans="1:22">
      <c r="A29" s="26">
        <v>33.799999999999997</v>
      </c>
      <c r="B29" s="74">
        <v>7.3</v>
      </c>
      <c r="C29">
        <v>4</v>
      </c>
      <c r="D29">
        <f>38+55</f>
        <v>93</v>
      </c>
      <c r="G29">
        <v>26</v>
      </c>
      <c r="H29">
        <v>65</v>
      </c>
      <c r="I29">
        <f>9+13</f>
        <v>22</v>
      </c>
      <c r="O29">
        <f>SUM(C29:N29)</f>
        <v>210</v>
      </c>
      <c r="P29">
        <v>121</v>
      </c>
      <c r="Q29">
        <v>32.423999999999999</v>
      </c>
      <c r="S29" s="19">
        <f>(A29*B29*O29/1000)</f>
        <v>51.815399999999997</v>
      </c>
      <c r="T29" s="74">
        <v>7.3</v>
      </c>
      <c r="U29">
        <v>121</v>
      </c>
      <c r="V29">
        <f>U29-O29</f>
        <v>-89</v>
      </c>
    </row>
    <row r="30" spans="1:22">
      <c r="A30" s="26">
        <v>33.799999999999997</v>
      </c>
      <c r="B30" s="74">
        <v>7.8</v>
      </c>
      <c r="I30">
        <v>16</v>
      </c>
      <c r="O30">
        <f t="shared" ref="O30:O39" si="53">SUM(C30:N30)</f>
        <v>16</v>
      </c>
      <c r="P30">
        <f>15+3</f>
        <v>18</v>
      </c>
      <c r="Q30" s="87">
        <f>4.771+1.034</f>
        <v>5.8049999999999997</v>
      </c>
      <c r="S30" s="19">
        <f t="shared" ref="S30:S39" si="54">(A30*B30*O30/1000)</f>
        <v>4.2182399999999998</v>
      </c>
      <c r="T30" s="74">
        <v>7.8</v>
      </c>
      <c r="U30">
        <v>16</v>
      </c>
      <c r="V30">
        <f t="shared" ref="V30:V39" si="55">U30-O30</f>
        <v>0</v>
      </c>
    </row>
    <row r="31" spans="1:22">
      <c r="A31" s="26">
        <v>33.799999999999997</v>
      </c>
      <c r="B31" s="74">
        <v>8.3000000000000007</v>
      </c>
      <c r="G31">
        <v>2</v>
      </c>
      <c r="O31">
        <f t="shared" si="53"/>
        <v>2</v>
      </c>
      <c r="P31">
        <v>19</v>
      </c>
      <c r="Q31" s="87">
        <v>5.7160000000000002</v>
      </c>
      <c r="S31" s="19">
        <f t="shared" si="54"/>
        <v>0.56108000000000002</v>
      </c>
      <c r="T31" s="74">
        <v>8.3000000000000007</v>
      </c>
      <c r="U31">
        <v>2</v>
      </c>
      <c r="V31">
        <f t="shared" si="55"/>
        <v>0</v>
      </c>
    </row>
    <row r="32" spans="1:22">
      <c r="A32" s="26">
        <v>33.799999999999997</v>
      </c>
      <c r="B32" s="74">
        <v>8.75</v>
      </c>
      <c r="C32">
        <v>5</v>
      </c>
      <c r="O32">
        <f t="shared" si="53"/>
        <v>5</v>
      </c>
      <c r="P32">
        <f>63+7</f>
        <v>70</v>
      </c>
      <c r="Q32" s="86">
        <f>17.852+2.208</f>
        <v>20.060000000000002</v>
      </c>
      <c r="S32" s="19">
        <f t="shared" si="54"/>
        <v>1.47875</v>
      </c>
      <c r="T32" s="74">
        <v>8.75</v>
      </c>
      <c r="U32">
        <v>10</v>
      </c>
      <c r="V32">
        <f t="shared" si="55"/>
        <v>5</v>
      </c>
    </row>
    <row r="33" spans="1:22">
      <c r="A33" s="26">
        <v>33.799999999999997</v>
      </c>
      <c r="B33" s="74">
        <v>8.9</v>
      </c>
      <c r="C33">
        <v>6</v>
      </c>
      <c r="E33">
        <v>9</v>
      </c>
      <c r="F33">
        <v>19</v>
      </c>
      <c r="G33">
        <v>28</v>
      </c>
      <c r="H33">
        <f>8+45</f>
        <v>53</v>
      </c>
      <c r="I33">
        <v>54</v>
      </c>
      <c r="O33">
        <f t="shared" si="53"/>
        <v>169</v>
      </c>
      <c r="P33">
        <v>118</v>
      </c>
      <c r="Q33" s="86">
        <v>31.981000000000002</v>
      </c>
      <c r="S33" s="19">
        <f t="shared" si="54"/>
        <v>50.83858</v>
      </c>
      <c r="T33" s="74">
        <v>8.9</v>
      </c>
      <c r="U33">
        <v>175</v>
      </c>
      <c r="V33">
        <f t="shared" si="55"/>
        <v>6</v>
      </c>
    </row>
    <row r="34" spans="1:22">
      <c r="A34" s="26">
        <v>33.799999999999997</v>
      </c>
      <c r="B34" s="74">
        <v>9.85</v>
      </c>
      <c r="C34">
        <f>46+16</f>
        <v>62</v>
      </c>
      <c r="D34">
        <v>16</v>
      </c>
      <c r="E34">
        <v>5</v>
      </c>
      <c r="G34">
        <f>9+5</f>
        <v>14</v>
      </c>
      <c r="K34">
        <f>21+27</f>
        <v>48</v>
      </c>
      <c r="L34">
        <v>14</v>
      </c>
      <c r="M34">
        <v>57</v>
      </c>
      <c r="O34">
        <f t="shared" si="53"/>
        <v>216</v>
      </c>
      <c r="P34">
        <f>9+83</f>
        <v>92</v>
      </c>
      <c r="Q34" s="86">
        <f>2.282+23.608</f>
        <v>25.89</v>
      </c>
      <c r="S34" s="19">
        <f t="shared" si="54"/>
        <v>71.912879999999987</v>
      </c>
      <c r="T34" s="74">
        <v>9.85</v>
      </c>
      <c r="U34">
        <v>262</v>
      </c>
      <c r="V34">
        <f t="shared" si="55"/>
        <v>46</v>
      </c>
    </row>
    <row r="35" spans="1:22">
      <c r="A35" s="26">
        <v>33.799999999999997</v>
      </c>
      <c r="B35" s="74">
        <v>9.9</v>
      </c>
      <c r="D35">
        <v>5</v>
      </c>
      <c r="K35">
        <v>9</v>
      </c>
      <c r="M35">
        <v>9</v>
      </c>
      <c r="O35">
        <f t="shared" si="53"/>
        <v>23</v>
      </c>
      <c r="P35">
        <f>10+20</f>
        <v>30</v>
      </c>
      <c r="Q35" s="86">
        <f>3.612+7.136</f>
        <v>10.748000000000001</v>
      </c>
      <c r="S35" s="19">
        <f t="shared" si="54"/>
        <v>7.6962600000000005</v>
      </c>
      <c r="T35" s="74">
        <v>9.9</v>
      </c>
      <c r="U35">
        <v>18</v>
      </c>
      <c r="V35">
        <f t="shared" si="55"/>
        <v>-5</v>
      </c>
    </row>
    <row r="36" spans="1:22">
      <c r="A36" s="26">
        <v>33.799999999999997</v>
      </c>
      <c r="B36" s="74">
        <v>10.3</v>
      </c>
      <c r="D36">
        <v>3</v>
      </c>
      <c r="K36">
        <v>6</v>
      </c>
      <c r="M36">
        <v>3</v>
      </c>
      <c r="O36">
        <f t="shared" si="53"/>
        <v>12</v>
      </c>
      <c r="P36">
        <v>96</v>
      </c>
      <c r="Q36" s="86">
        <v>32.942</v>
      </c>
      <c r="S36" s="19">
        <f t="shared" si="54"/>
        <v>4.1776800000000005</v>
      </c>
      <c r="T36" s="74">
        <v>10.3</v>
      </c>
      <c r="U36">
        <v>9</v>
      </c>
      <c r="V36">
        <f t="shared" si="55"/>
        <v>-3</v>
      </c>
    </row>
    <row r="37" spans="1:22">
      <c r="A37" s="26">
        <v>33.799999999999997</v>
      </c>
      <c r="B37" s="74">
        <v>10.6</v>
      </c>
      <c r="C37">
        <v>21</v>
      </c>
      <c r="D37">
        <v>4</v>
      </c>
      <c r="E37">
        <f>1+3</f>
        <v>4</v>
      </c>
      <c r="J37">
        <v>30</v>
      </c>
      <c r="K37">
        <v>28</v>
      </c>
      <c r="M37">
        <v>14</v>
      </c>
      <c r="O37">
        <f t="shared" si="53"/>
        <v>101</v>
      </c>
      <c r="P37">
        <v>14</v>
      </c>
      <c r="Q37" s="86">
        <v>4.6609999999999996</v>
      </c>
      <c r="S37" s="19">
        <f t="shared" si="54"/>
        <v>36.186279999999996</v>
      </c>
      <c r="T37" s="74">
        <v>10.6</v>
      </c>
      <c r="U37">
        <v>118</v>
      </c>
      <c r="V37">
        <f t="shared" si="55"/>
        <v>17</v>
      </c>
    </row>
    <row r="38" spans="1:22">
      <c r="A38" s="26">
        <v>33.799999999999997</v>
      </c>
      <c r="B38" s="74">
        <v>10.7</v>
      </c>
      <c r="K38">
        <v>2</v>
      </c>
      <c r="O38">
        <f t="shared" si="53"/>
        <v>2</v>
      </c>
      <c r="P38">
        <f>67+9+7</f>
        <v>83</v>
      </c>
      <c r="Q38" s="86">
        <f>22.234+3.358+2.457</f>
        <v>28.049000000000003</v>
      </c>
      <c r="S38" s="19">
        <f t="shared" si="54"/>
        <v>0.72331999999999996</v>
      </c>
      <c r="T38" s="74">
        <v>10.7</v>
      </c>
      <c r="U38">
        <v>2</v>
      </c>
      <c r="V38">
        <f t="shared" si="55"/>
        <v>0</v>
      </c>
    </row>
    <row r="39" spans="1:22">
      <c r="A39" s="26">
        <v>33.799999999999997</v>
      </c>
      <c r="B39" s="74">
        <v>10.9</v>
      </c>
      <c r="K39">
        <v>3</v>
      </c>
      <c r="O39">
        <f t="shared" si="53"/>
        <v>3</v>
      </c>
      <c r="P39">
        <f t="shared" ref="P39" si="56">SUM(P28:P38)</f>
        <v>759</v>
      </c>
      <c r="Q39">
        <f t="shared" ref="Q39" si="57">SUM(Q28:Q38)</f>
        <v>230.71299999999999</v>
      </c>
      <c r="S39" s="19">
        <f t="shared" si="54"/>
        <v>1.1052599999999997</v>
      </c>
      <c r="T39" s="74">
        <v>10.9</v>
      </c>
      <c r="U39">
        <v>3</v>
      </c>
      <c r="V39">
        <f t="shared" si="55"/>
        <v>0</v>
      </c>
    </row>
    <row r="40" spans="1:22">
      <c r="C40" s="50">
        <f t="shared" ref="C40:O40" si="58">SUM(C29:C39)</f>
        <v>98</v>
      </c>
      <c r="D40" s="50">
        <f t="shared" si="58"/>
        <v>121</v>
      </c>
      <c r="E40" s="50">
        <f t="shared" si="58"/>
        <v>18</v>
      </c>
      <c r="F40" s="50">
        <f t="shared" si="58"/>
        <v>19</v>
      </c>
      <c r="G40" s="50">
        <f t="shared" si="58"/>
        <v>70</v>
      </c>
      <c r="H40" s="50">
        <f t="shared" si="58"/>
        <v>118</v>
      </c>
      <c r="I40" s="50">
        <f t="shared" si="58"/>
        <v>92</v>
      </c>
      <c r="J40" s="50">
        <f t="shared" si="58"/>
        <v>30</v>
      </c>
      <c r="K40" s="50">
        <f t="shared" si="58"/>
        <v>96</v>
      </c>
      <c r="L40" s="50">
        <f t="shared" si="58"/>
        <v>14</v>
      </c>
      <c r="M40" s="50">
        <f t="shared" si="58"/>
        <v>83</v>
      </c>
      <c r="N40" s="50">
        <f t="shared" si="58"/>
        <v>0</v>
      </c>
      <c r="O40" s="50">
        <f t="shared" si="58"/>
        <v>759</v>
      </c>
      <c r="S40" s="50">
        <f>SUM(S29:S39)</f>
        <v>230.71373</v>
      </c>
      <c r="T40">
        <v>736</v>
      </c>
      <c r="U40">
        <v>736</v>
      </c>
    </row>
  </sheetData>
  <sortState ref="T29:U39">
    <sortCondition ref="T29:T39"/>
  </sortState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>
  <sheetPr codeName="Sheet70"/>
  <dimension ref="A1:X12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LOI-711  12.08.23</v>
      </c>
      <c r="D1" s="1"/>
      <c r="E1" s="2"/>
      <c r="F1" s="2"/>
      <c r="G1" s="143" t="s">
        <v>369</v>
      </c>
      <c r="H1" s="144"/>
      <c r="I1" s="145" t="s">
        <v>360</v>
      </c>
      <c r="J1" s="144"/>
      <c r="K1" s="3"/>
      <c r="L1" s="4"/>
      <c r="M1" s="4"/>
      <c r="N1" s="3"/>
      <c r="O1" s="4"/>
      <c r="P1" s="146" t="str">
        <f>+F2</f>
        <v>LOI-711  12.08.23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370</v>
      </c>
      <c r="B2" s="8"/>
      <c r="C2" s="9"/>
      <c r="D2" s="9"/>
      <c r="E2" s="10"/>
      <c r="F2" s="146" t="s">
        <v>368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LOI-711  12.08.23</v>
      </c>
      <c r="V2" s="146"/>
    </row>
    <row r="3" spans="1:24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126</v>
      </c>
      <c r="C6" s="26">
        <v>33.799999999999997</v>
      </c>
      <c r="D6" s="74">
        <v>10</v>
      </c>
      <c r="E6" s="28">
        <v>5</v>
      </c>
      <c r="F6" s="16">
        <f>(C6*D6*E6/1000)</f>
        <v>1.69</v>
      </c>
      <c r="G6" s="17" t="s">
        <v>93</v>
      </c>
      <c r="H6" s="18">
        <v>5</v>
      </c>
      <c r="I6" s="19">
        <f>(C6*D6*H6/1000)</f>
        <v>1.69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5</v>
      </c>
      <c r="T6" s="19">
        <f>+I6+L6+R6+O6</f>
        <v>1.69</v>
      </c>
      <c r="U6" s="21">
        <f>E6-S6</f>
        <v>0</v>
      </c>
      <c r="V6" s="19">
        <f>F6-T6</f>
        <v>0</v>
      </c>
    </row>
    <row r="7" spans="1:24">
      <c r="A7" s="36"/>
      <c r="B7" s="36"/>
      <c r="C7" s="36"/>
      <c r="D7" s="76"/>
      <c r="E7" s="31">
        <f t="shared" ref="E7:F7" si="0">SUM(E6)</f>
        <v>5</v>
      </c>
      <c r="F7" s="77">
        <f t="shared" si="0"/>
        <v>1.69</v>
      </c>
      <c r="G7" t="s">
        <v>419</v>
      </c>
      <c r="H7" s="31">
        <f t="shared" ref="H7" si="1">SUM(H6)</f>
        <v>5</v>
      </c>
      <c r="I7" s="77">
        <f t="shared" ref="I7" si="2">SUM(I6)</f>
        <v>1.69</v>
      </c>
      <c r="J7" s="16"/>
      <c r="K7" s="31">
        <f t="shared" ref="K7" si="3">SUM(K6)</f>
        <v>0</v>
      </c>
      <c r="L7" s="77">
        <f t="shared" ref="L7" si="4">SUM(L6)</f>
        <v>0</v>
      </c>
      <c r="M7" s="16"/>
      <c r="N7" s="31">
        <f t="shared" ref="N7" si="5">SUM(N6)</f>
        <v>0</v>
      </c>
      <c r="O7" s="77">
        <f t="shared" ref="O7" si="6">SUM(O6)</f>
        <v>0</v>
      </c>
      <c r="P7" s="16"/>
      <c r="Q7" s="31">
        <f t="shared" ref="Q7" si="7">SUM(Q6)</f>
        <v>0</v>
      </c>
      <c r="R7" s="77">
        <f t="shared" ref="R7" si="8">SUM(R6)</f>
        <v>0</v>
      </c>
      <c r="S7" s="31">
        <f t="shared" ref="S7" si="9">SUM(S6)</f>
        <v>5</v>
      </c>
      <c r="T7" s="77">
        <f t="shared" ref="T7" si="10">SUM(T6)</f>
        <v>1.69</v>
      </c>
      <c r="U7" s="31">
        <f t="shared" ref="U7" si="11">SUM(U6)</f>
        <v>0</v>
      </c>
      <c r="V7" s="77">
        <f t="shared" ref="V7" si="12">SUM(V6)</f>
        <v>0</v>
      </c>
    </row>
    <row r="8" spans="1:24">
      <c r="A8" s="33"/>
      <c r="B8" s="33"/>
      <c r="C8" s="33"/>
      <c r="D8" s="75"/>
      <c r="E8" s="34">
        <f>SUM(E7,E12)</f>
        <v>11</v>
      </c>
      <c r="F8" s="77">
        <f>SUM(F7,F12)</f>
        <v>2.4219999999999997</v>
      </c>
      <c r="H8" s="34">
        <f>SUM(H7,H12)</f>
        <v>5</v>
      </c>
      <c r="I8" s="77">
        <f>SUM(I7,I12)</f>
        <v>1.69</v>
      </c>
      <c r="K8" s="34">
        <f>SUM(K7,K12)</f>
        <v>0</v>
      </c>
      <c r="L8" s="77">
        <f>SUM(L7,L12)</f>
        <v>0</v>
      </c>
      <c r="N8" s="34">
        <f>SUM(N7,N12)</f>
        <v>0</v>
      </c>
      <c r="O8" s="77">
        <f>SUM(O7,O12)</f>
        <v>0</v>
      </c>
      <c r="Q8" s="34">
        <f t="shared" ref="Q8:V8" si="13">SUM(Q7,Q12)</f>
        <v>0</v>
      </c>
      <c r="R8" s="77">
        <f t="shared" si="13"/>
        <v>0</v>
      </c>
      <c r="S8" s="34">
        <f t="shared" si="13"/>
        <v>5</v>
      </c>
      <c r="T8" s="77">
        <f t="shared" si="13"/>
        <v>1.69</v>
      </c>
      <c r="U8" s="34">
        <f t="shared" si="13"/>
        <v>6</v>
      </c>
      <c r="V8" s="77">
        <f t="shared" si="13"/>
        <v>0.73199999999999998</v>
      </c>
    </row>
    <row r="11" spans="1:24" s="56" customFormat="1">
      <c r="A11" s="57" t="s">
        <v>13</v>
      </c>
      <c r="B11" s="57" t="s">
        <v>61</v>
      </c>
      <c r="C11" s="57">
        <v>12.2</v>
      </c>
      <c r="D11" s="83">
        <v>10</v>
      </c>
      <c r="E11" s="60">
        <v>6</v>
      </c>
      <c r="F11" s="61">
        <f>(C11*D11*E11/1000)</f>
        <v>0.73199999999999998</v>
      </c>
      <c r="G11" s="62"/>
      <c r="H11" s="63"/>
      <c r="I11" s="64">
        <f>(C11*D11*H11/1000)</f>
        <v>0</v>
      </c>
      <c r="J11" s="61"/>
      <c r="K11" s="63"/>
      <c r="L11" s="64">
        <f>(C11*D11*K11/1000)</f>
        <v>0</v>
      </c>
      <c r="M11" s="61"/>
      <c r="N11" s="63"/>
      <c r="O11" s="64">
        <f>(C11*D11*N11/1000)</f>
        <v>0</v>
      </c>
      <c r="P11" s="61"/>
      <c r="Q11" s="63"/>
      <c r="R11" s="64">
        <f>(C11*D11*Q11/1000)</f>
        <v>0</v>
      </c>
      <c r="S11" s="65">
        <f>+H11+K11+Q11+N11</f>
        <v>0</v>
      </c>
      <c r="T11" s="64">
        <f>+I11+L11+R11+O11</f>
        <v>0</v>
      </c>
      <c r="U11" s="42">
        <f>E11-S11</f>
        <v>6</v>
      </c>
      <c r="V11" s="64">
        <f>F11-T11</f>
        <v>0.73199999999999998</v>
      </c>
      <c r="X11" s="69"/>
    </row>
    <row r="12" spans="1:24" s="56" customFormat="1">
      <c r="A12" s="41"/>
      <c r="B12" s="41"/>
      <c r="C12" s="41"/>
      <c r="D12" s="84"/>
      <c r="E12" s="68">
        <f t="shared" ref="E12:F12" si="14">SUM(E11)</f>
        <v>6</v>
      </c>
      <c r="F12" s="85">
        <f t="shared" si="14"/>
        <v>0.73199999999999998</v>
      </c>
      <c r="G12" s="62"/>
      <c r="H12" s="68">
        <f t="shared" ref="H12" si="15">SUM(H11)</f>
        <v>0</v>
      </c>
      <c r="I12" s="85">
        <f t="shared" ref="I12" si="16">SUM(I11)</f>
        <v>0</v>
      </c>
      <c r="J12" s="61"/>
      <c r="K12" s="68">
        <f t="shared" ref="K12" si="17">SUM(K11)</f>
        <v>0</v>
      </c>
      <c r="L12" s="85">
        <f t="shared" ref="L12" si="18">SUM(L11)</f>
        <v>0</v>
      </c>
      <c r="M12" s="61"/>
      <c r="N12" s="68">
        <f t="shared" ref="N12" si="19">SUM(N11)</f>
        <v>0</v>
      </c>
      <c r="O12" s="85">
        <f t="shared" ref="O12" si="20">SUM(O11)</f>
        <v>0</v>
      </c>
      <c r="P12" s="61"/>
      <c r="Q12" s="68">
        <f t="shared" ref="Q12" si="21">SUM(Q11)</f>
        <v>0</v>
      </c>
      <c r="R12" s="85">
        <f t="shared" ref="R12" si="22">SUM(R11)</f>
        <v>0</v>
      </c>
      <c r="S12" s="68">
        <f t="shared" ref="S12" si="23">SUM(S11)</f>
        <v>0</v>
      </c>
      <c r="T12" s="85">
        <f t="shared" ref="T12" si="24">SUM(T11)</f>
        <v>0</v>
      </c>
      <c r="U12" s="68">
        <f t="shared" ref="U12" si="25">SUM(U11)</f>
        <v>6</v>
      </c>
      <c r="V12" s="85">
        <f t="shared" ref="V12" si="26">SUM(V11)</f>
        <v>0.73199999999999998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>
  <sheetPr codeName="Sheet71"/>
  <dimension ref="A1:X41"/>
  <sheetViews>
    <sheetView zoomScale="75" zoomScaleNormal="75" workbookViewId="0">
      <pane ySplit="5" topLeftCell="A6" activePane="bottomLeft" state="frozen"/>
      <selection pane="bottomLeft" activeCell="H6" sqref="H6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LOI-712  12.08.23</v>
      </c>
      <c r="D1" s="1"/>
      <c r="E1" s="2"/>
      <c r="F1" s="2"/>
      <c r="G1" s="143" t="s">
        <v>364</v>
      </c>
      <c r="H1" s="144"/>
      <c r="I1" s="145" t="s">
        <v>360</v>
      </c>
      <c r="J1" s="144"/>
      <c r="K1" s="3"/>
      <c r="L1" s="4"/>
      <c r="M1" s="4"/>
      <c r="N1" s="3"/>
      <c r="O1" s="4"/>
      <c r="P1" s="146" t="str">
        <f>+F2</f>
        <v>LOI-712  12.08.23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366</v>
      </c>
      <c r="B2" s="8"/>
      <c r="C2" s="9"/>
      <c r="D2" s="9"/>
      <c r="E2" s="10"/>
      <c r="F2" s="146" t="s">
        <v>372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LOI-712  12.08.23</v>
      </c>
      <c r="V2" s="146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25</v>
      </c>
      <c r="C6" s="26">
        <v>13.4</v>
      </c>
      <c r="D6" s="74">
        <v>10.9</v>
      </c>
      <c r="E6" s="28">
        <v>18</v>
      </c>
      <c r="F6" s="16">
        <f>(C6*D6*E6/1000)</f>
        <v>2.6290800000000001</v>
      </c>
      <c r="G6" s="17" t="s">
        <v>150</v>
      </c>
      <c r="H6" s="18">
        <v>18</v>
      </c>
      <c r="I6" s="19">
        <f>(C6*D6*H6/1000)</f>
        <v>2.6290800000000001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18</v>
      </c>
      <c r="T6" s="19">
        <f>+I6+L6+R6+O6</f>
        <v>2.6290800000000001</v>
      </c>
      <c r="U6" s="21">
        <f>E6-S6</f>
        <v>0</v>
      </c>
      <c r="V6" s="19">
        <f>F6-T6</f>
        <v>0</v>
      </c>
    </row>
    <row r="7" spans="1:24">
      <c r="A7" s="26" t="s">
        <v>13</v>
      </c>
      <c r="B7" s="26" t="s">
        <v>25</v>
      </c>
      <c r="C7" s="26">
        <v>13.4</v>
      </c>
      <c r="D7" s="74">
        <v>10.9</v>
      </c>
      <c r="E7" s="28"/>
      <c r="F7" s="16">
        <f t="shared" ref="F7:F9" si="0">(C7*D7*E7/1000)</f>
        <v>0</v>
      </c>
      <c r="G7" s="17" t="s">
        <v>417</v>
      </c>
      <c r="H7" s="18"/>
      <c r="I7" s="19">
        <f t="shared" ref="I7:I9" si="1">(C7*D7*H7/1000)</f>
        <v>0</v>
      </c>
      <c r="J7" s="16"/>
      <c r="K7" s="18"/>
      <c r="L7" s="19">
        <f t="shared" ref="L7:L9" si="2">(C7*D7*K7/1000)</f>
        <v>0</v>
      </c>
      <c r="M7" s="16"/>
      <c r="N7" s="18"/>
      <c r="O7" s="19">
        <f t="shared" ref="O7:O9" si="3">(C7*D7*N7/1000)</f>
        <v>0</v>
      </c>
      <c r="P7" s="16"/>
      <c r="Q7" s="18"/>
      <c r="R7" s="19">
        <f t="shared" ref="R7:R9" si="4">(C7*D7*Q7/1000)</f>
        <v>0</v>
      </c>
      <c r="S7" s="20">
        <f t="shared" ref="S7:S9" si="5">+H7+K7+Q7+N7</f>
        <v>0</v>
      </c>
      <c r="T7" s="19">
        <f t="shared" ref="T7:T9" si="6">+I7+L7+R7+O7</f>
        <v>0</v>
      </c>
      <c r="U7" s="21">
        <f t="shared" ref="U7:U9" si="7">E7-S7</f>
        <v>0</v>
      </c>
      <c r="V7" s="19">
        <f t="shared" ref="V7:V9" si="8">F7-T7</f>
        <v>0</v>
      </c>
    </row>
    <row r="8" spans="1:24">
      <c r="A8" s="26" t="s">
        <v>13</v>
      </c>
      <c r="B8" s="26" t="s">
        <v>25</v>
      </c>
      <c r="C8" s="26">
        <v>13.4</v>
      </c>
      <c r="D8" s="74"/>
      <c r="E8" s="28"/>
      <c r="F8" s="16">
        <f t="shared" si="0"/>
        <v>0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0</v>
      </c>
      <c r="V8" s="19">
        <f t="shared" si="8"/>
        <v>0</v>
      </c>
    </row>
    <row r="9" spans="1:24">
      <c r="A9" s="26" t="s">
        <v>13</v>
      </c>
      <c r="B9" s="26" t="s">
        <v>25</v>
      </c>
      <c r="C9" s="26">
        <v>13.4</v>
      </c>
      <c r="D9" s="74"/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0</v>
      </c>
      <c r="V9" s="19">
        <f t="shared" si="8"/>
        <v>0</v>
      </c>
    </row>
    <row r="10" spans="1:24">
      <c r="A10" s="36"/>
      <c r="B10" s="36"/>
      <c r="C10" s="36"/>
      <c r="D10" s="76"/>
      <c r="E10" s="31">
        <f t="shared" ref="E10:F10" si="9">SUM(E6:E9)</f>
        <v>18</v>
      </c>
      <c r="F10" s="77">
        <f t="shared" si="9"/>
        <v>2.6290800000000001</v>
      </c>
      <c r="G10" s="26"/>
      <c r="H10" s="31">
        <f t="shared" ref="H10" si="10">SUM(H6:H9)</f>
        <v>18</v>
      </c>
      <c r="I10" s="77">
        <f t="shared" ref="I10" si="11">SUM(I6:I9)</f>
        <v>2.6290800000000001</v>
      </c>
      <c r="J10" s="26"/>
      <c r="K10" s="31">
        <f t="shared" ref="K10" si="12">SUM(K6:K9)</f>
        <v>0</v>
      </c>
      <c r="L10" s="77">
        <f t="shared" ref="L10" si="13">SUM(L6:L9)</f>
        <v>0</v>
      </c>
      <c r="M10" s="26"/>
      <c r="N10" s="31">
        <f t="shared" ref="N10" si="14">SUM(N6:N9)</f>
        <v>0</v>
      </c>
      <c r="O10" s="77">
        <f t="shared" ref="O10" si="15">SUM(O6:O9)</f>
        <v>0</v>
      </c>
      <c r="P10" s="26"/>
      <c r="Q10" s="31">
        <f t="shared" ref="Q10" si="16">SUM(Q6:Q9)</f>
        <v>0</v>
      </c>
      <c r="R10" s="77">
        <f t="shared" ref="R10" si="17">SUM(R6:R9)</f>
        <v>0</v>
      </c>
      <c r="S10" s="31">
        <f t="shared" ref="S10" si="18">SUM(S6:S9)</f>
        <v>18</v>
      </c>
      <c r="T10" s="77">
        <f t="shared" ref="T10" si="19">SUM(T6:T9)</f>
        <v>2.6290800000000001</v>
      </c>
      <c r="U10" s="31">
        <f t="shared" ref="U10" si="20">SUM(U6:U9)</f>
        <v>0</v>
      </c>
      <c r="V10" s="77">
        <f t="shared" ref="V10" si="21">SUM(V6:V9)</f>
        <v>0</v>
      </c>
    </row>
    <row r="11" spans="1:24">
      <c r="A11" s="26" t="s">
        <v>13</v>
      </c>
      <c r="B11" s="26" t="s">
        <v>31</v>
      </c>
      <c r="C11" s="26">
        <v>10.199999999999999</v>
      </c>
      <c r="D11" s="74">
        <v>10.9</v>
      </c>
      <c r="E11" s="28">
        <v>8</v>
      </c>
      <c r="F11" s="16">
        <f>(C11*D11*E11/1000)</f>
        <v>0.8894399999999999</v>
      </c>
      <c r="G11" s="17" t="s">
        <v>150</v>
      </c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0</v>
      </c>
      <c r="T11" s="19">
        <f>+I11+L11+R11+O11</f>
        <v>0</v>
      </c>
      <c r="U11" s="21">
        <f>E11-S11</f>
        <v>8</v>
      </c>
      <c r="V11" s="19">
        <f>F11-T11</f>
        <v>0.8894399999999999</v>
      </c>
    </row>
    <row r="12" spans="1:24">
      <c r="A12" s="26" t="s">
        <v>13</v>
      </c>
      <c r="B12" s="26" t="s">
        <v>31</v>
      </c>
      <c r="C12" s="26">
        <v>10.199999999999999</v>
      </c>
      <c r="D12" s="74">
        <v>12</v>
      </c>
      <c r="E12" s="28"/>
      <c r="F12" s="16">
        <f t="shared" ref="F12:F14" si="22">(C12*D12*E12/1000)</f>
        <v>0</v>
      </c>
      <c r="G12" s="17" t="s">
        <v>417</v>
      </c>
      <c r="H12" s="18">
        <v>7</v>
      </c>
      <c r="I12" s="19">
        <f t="shared" ref="I12:I14" si="23">(C12*D12*H12/1000)</f>
        <v>0.85680000000000001</v>
      </c>
      <c r="J12" s="16"/>
      <c r="K12" s="18"/>
      <c r="L12" s="19">
        <f t="shared" ref="L12:L14" si="24">(C12*D12*K12/1000)</f>
        <v>0</v>
      </c>
      <c r="M12" s="16"/>
      <c r="N12" s="18"/>
      <c r="O12" s="19">
        <f t="shared" ref="O12:O14" si="25">(C12*D12*N12/1000)</f>
        <v>0</v>
      </c>
      <c r="P12" s="16"/>
      <c r="Q12" s="18"/>
      <c r="R12" s="19">
        <f t="shared" ref="R12:R14" si="26">(C12*D12*Q12/1000)</f>
        <v>0</v>
      </c>
      <c r="S12" s="20">
        <f t="shared" ref="S12:S14" si="27">+H12+K12+Q12+N12</f>
        <v>7</v>
      </c>
      <c r="T12" s="19">
        <f t="shared" ref="T12:T14" si="28">+I12+L12+R12+O12</f>
        <v>0.85680000000000001</v>
      </c>
      <c r="U12" s="21">
        <f t="shared" ref="U12:U14" si="29">E12-S12</f>
        <v>-7</v>
      </c>
      <c r="V12" s="19">
        <f t="shared" ref="V12:V14" si="30">F12-T12</f>
        <v>-0.85680000000000001</v>
      </c>
    </row>
    <row r="13" spans="1:24">
      <c r="A13" s="26" t="s">
        <v>13</v>
      </c>
      <c r="B13" s="26" t="s">
        <v>31</v>
      </c>
      <c r="C13" s="26">
        <v>10.199999999999999</v>
      </c>
      <c r="D13" s="74">
        <v>9.8000000000000007</v>
      </c>
      <c r="E13" s="28"/>
      <c r="F13" s="16">
        <f t="shared" si="22"/>
        <v>0</v>
      </c>
      <c r="G13" s="17"/>
      <c r="H13" s="18">
        <v>2</v>
      </c>
      <c r="I13" s="19">
        <f t="shared" si="23"/>
        <v>0.19991999999999999</v>
      </c>
      <c r="J13" s="16"/>
      <c r="K13" s="18"/>
      <c r="L13" s="19">
        <f t="shared" si="24"/>
        <v>0</v>
      </c>
      <c r="M13" s="16"/>
      <c r="N13" s="18"/>
      <c r="O13" s="19">
        <f t="shared" si="25"/>
        <v>0</v>
      </c>
      <c r="P13" s="16"/>
      <c r="Q13" s="18"/>
      <c r="R13" s="19">
        <f t="shared" si="26"/>
        <v>0</v>
      </c>
      <c r="S13" s="20">
        <f t="shared" si="27"/>
        <v>2</v>
      </c>
      <c r="T13" s="19">
        <f t="shared" si="28"/>
        <v>0.19991999999999999</v>
      </c>
      <c r="U13" s="21">
        <f t="shared" si="29"/>
        <v>-2</v>
      </c>
      <c r="V13" s="19">
        <f t="shared" si="30"/>
        <v>-0.19991999999999999</v>
      </c>
    </row>
    <row r="14" spans="1:24">
      <c r="A14" s="26" t="s">
        <v>13</v>
      </c>
      <c r="B14" s="26" t="s">
        <v>31</v>
      </c>
      <c r="C14" s="26">
        <v>10.199999999999999</v>
      </c>
      <c r="D14" s="74">
        <v>9.5</v>
      </c>
      <c r="E14" s="28"/>
      <c r="F14" s="16">
        <f t="shared" si="22"/>
        <v>0</v>
      </c>
      <c r="G14" s="17"/>
      <c r="H14" s="18">
        <v>1</v>
      </c>
      <c r="I14" s="19">
        <f t="shared" si="23"/>
        <v>9.6899999999999986E-2</v>
      </c>
      <c r="J14" s="16"/>
      <c r="K14" s="18"/>
      <c r="L14" s="19">
        <f t="shared" si="24"/>
        <v>0</v>
      </c>
      <c r="M14" s="16"/>
      <c r="N14" s="18"/>
      <c r="O14" s="19">
        <f t="shared" si="25"/>
        <v>0</v>
      </c>
      <c r="P14" s="16"/>
      <c r="Q14" s="18"/>
      <c r="R14" s="19">
        <f t="shared" si="26"/>
        <v>0</v>
      </c>
      <c r="S14" s="20">
        <f t="shared" si="27"/>
        <v>1</v>
      </c>
      <c r="T14" s="19">
        <f t="shared" si="28"/>
        <v>9.6899999999999986E-2</v>
      </c>
      <c r="U14" s="21">
        <f t="shared" si="29"/>
        <v>-1</v>
      </c>
      <c r="V14" s="19">
        <f t="shared" si="30"/>
        <v>-9.6899999999999986E-2</v>
      </c>
    </row>
    <row r="15" spans="1:24">
      <c r="A15" s="36"/>
      <c r="B15" s="36"/>
      <c r="C15" s="36"/>
      <c r="D15" s="76"/>
      <c r="E15" s="31">
        <f t="shared" ref="E15:F15" si="31">SUM(E11:E14)</f>
        <v>8</v>
      </c>
      <c r="F15" s="77">
        <f t="shared" si="31"/>
        <v>0.8894399999999999</v>
      </c>
      <c r="G15" s="26"/>
      <c r="H15" s="31">
        <f t="shared" ref="H15" si="32">SUM(H11:H14)</f>
        <v>10</v>
      </c>
      <c r="I15" s="77">
        <f t="shared" ref="I15" si="33">SUM(I11:I14)</f>
        <v>1.1536199999999999</v>
      </c>
      <c r="J15" s="26"/>
      <c r="K15" s="31">
        <f t="shared" ref="K15" si="34">SUM(K11:K14)</f>
        <v>0</v>
      </c>
      <c r="L15" s="77">
        <f t="shared" ref="L15" si="35">SUM(L11:L14)</f>
        <v>0</v>
      </c>
      <c r="M15" s="26"/>
      <c r="N15" s="31">
        <f t="shared" ref="N15" si="36">SUM(N11:N14)</f>
        <v>0</v>
      </c>
      <c r="O15" s="77">
        <f t="shared" ref="O15" si="37">SUM(O11:O14)</f>
        <v>0</v>
      </c>
      <c r="P15" s="26"/>
      <c r="Q15" s="31">
        <f t="shared" ref="Q15" si="38">SUM(Q11:Q14)</f>
        <v>0</v>
      </c>
      <c r="R15" s="77">
        <f t="shared" ref="R15" si="39">SUM(R11:R14)</f>
        <v>0</v>
      </c>
      <c r="S15" s="31">
        <f t="shared" ref="S15" si="40">SUM(S11:S14)</f>
        <v>10</v>
      </c>
      <c r="T15" s="77">
        <f t="shared" ref="T15" si="41">SUM(T11:T14)</f>
        <v>1.1536199999999999</v>
      </c>
      <c r="U15" s="31">
        <f t="shared" ref="U15" si="42">SUM(U11:U14)</f>
        <v>-2</v>
      </c>
      <c r="V15" s="77">
        <f t="shared" ref="V15" si="43">SUM(V11:V14)</f>
        <v>-0.26418000000000008</v>
      </c>
    </row>
    <row r="16" spans="1:24">
      <c r="A16" s="26" t="s">
        <v>14</v>
      </c>
      <c r="B16" s="26" t="s">
        <v>35</v>
      </c>
      <c r="C16" s="26">
        <v>6.85</v>
      </c>
      <c r="D16" s="74">
        <v>8.4</v>
      </c>
      <c r="E16" s="28">
        <v>216</v>
      </c>
      <c r="F16" s="16">
        <f t="shared" ref="F16:F17" si="44">(C16*D16*E16/1000)</f>
        <v>12.42864</v>
      </c>
      <c r="G16" s="16" t="s">
        <v>89</v>
      </c>
      <c r="H16" s="18">
        <f>25+80</f>
        <v>105</v>
      </c>
      <c r="I16" s="19">
        <f t="shared" ref="I16:I17" si="45">(C16*D16*H16/1000)</f>
        <v>6.0416999999999996</v>
      </c>
      <c r="J16" s="17" t="s">
        <v>150</v>
      </c>
      <c r="K16" s="18">
        <v>111</v>
      </c>
      <c r="L16" s="19">
        <f t="shared" ref="L16:L17" si="46">(C16*D16*K16/1000)</f>
        <v>6.3869399999999992</v>
      </c>
      <c r="M16" s="16"/>
      <c r="N16" s="18"/>
      <c r="O16" s="19">
        <f t="shared" ref="O16:O17" si="47">(C16*D16*N16/1000)</f>
        <v>0</v>
      </c>
      <c r="P16" s="16"/>
      <c r="Q16" s="18"/>
      <c r="R16" s="19">
        <f t="shared" ref="R16:R17" si="48">(C16*D16*Q16/1000)</f>
        <v>0</v>
      </c>
      <c r="S16" s="20">
        <f t="shared" ref="S16:S17" si="49">+H16+K16+Q16+N16</f>
        <v>216</v>
      </c>
      <c r="T16" s="19">
        <f t="shared" ref="T16:T17" si="50">+I16+L16+R16+O16</f>
        <v>12.428639999999998</v>
      </c>
      <c r="U16" s="21">
        <f t="shared" ref="U16:U17" si="51">E16-S16</f>
        <v>0</v>
      </c>
      <c r="V16" s="19">
        <f t="shared" ref="V16:V17" si="52">F16-T16</f>
        <v>0</v>
      </c>
      <c r="X16" s="29"/>
    </row>
    <row r="17" spans="1:22">
      <c r="A17" s="26" t="s">
        <v>14</v>
      </c>
      <c r="B17" s="26" t="s">
        <v>35</v>
      </c>
      <c r="C17" s="26">
        <v>6.85</v>
      </c>
      <c r="D17" s="74">
        <v>11.2</v>
      </c>
      <c r="E17" s="28">
        <v>143</v>
      </c>
      <c r="F17" s="16">
        <f t="shared" si="44"/>
        <v>10.970959999999998</v>
      </c>
      <c r="G17" s="16" t="s">
        <v>409</v>
      </c>
      <c r="H17" s="18">
        <v>80</v>
      </c>
      <c r="I17" s="19">
        <f t="shared" si="45"/>
        <v>6.1375999999999982</v>
      </c>
      <c r="J17" s="17" t="s">
        <v>415</v>
      </c>
      <c r="K17" s="18">
        <v>63</v>
      </c>
      <c r="L17" s="19">
        <f t="shared" si="46"/>
        <v>4.833359999999999</v>
      </c>
      <c r="M17" s="16"/>
      <c r="N17" s="18"/>
      <c r="O17" s="19">
        <f t="shared" si="47"/>
        <v>0</v>
      </c>
      <c r="P17" s="16"/>
      <c r="Q17" s="18"/>
      <c r="R17" s="19">
        <f t="shared" si="48"/>
        <v>0</v>
      </c>
      <c r="S17" s="20">
        <f t="shared" si="49"/>
        <v>143</v>
      </c>
      <c r="T17" s="19">
        <f t="shared" si="50"/>
        <v>10.970959999999998</v>
      </c>
      <c r="U17" s="21">
        <f t="shared" si="51"/>
        <v>0</v>
      </c>
      <c r="V17" s="19">
        <f t="shared" si="52"/>
        <v>0</v>
      </c>
    </row>
    <row r="18" spans="1:22">
      <c r="A18" s="36"/>
      <c r="B18" s="36"/>
      <c r="C18" s="36"/>
      <c r="D18" s="76"/>
      <c r="E18" s="31">
        <f>SUM(E16:E17)</f>
        <v>359</v>
      </c>
      <c r="F18" s="77">
        <f>SUM(F16:F17)</f>
        <v>23.3996</v>
      </c>
      <c r="G18" s="17"/>
      <c r="H18" s="31">
        <f>SUM(H16:H17)</f>
        <v>185</v>
      </c>
      <c r="I18" s="77">
        <f>SUM(I16:I17)</f>
        <v>12.179299999999998</v>
      </c>
      <c r="J18" s="16"/>
      <c r="K18" s="31">
        <f>SUM(K16:K17)</f>
        <v>174</v>
      </c>
      <c r="L18" s="77">
        <f>SUM(L16:L17)</f>
        <v>11.220299999999998</v>
      </c>
      <c r="M18" s="16"/>
      <c r="N18" s="31">
        <f>SUM(N16:N17)</f>
        <v>0</v>
      </c>
      <c r="O18" s="77">
        <f>SUM(O16:O17)</f>
        <v>0</v>
      </c>
      <c r="P18" s="16"/>
      <c r="Q18" s="31">
        <f t="shared" ref="Q18:V18" si="53">SUM(Q16:Q17)</f>
        <v>0</v>
      </c>
      <c r="R18" s="77">
        <f t="shared" si="53"/>
        <v>0</v>
      </c>
      <c r="S18" s="31">
        <f t="shared" si="53"/>
        <v>359</v>
      </c>
      <c r="T18" s="77">
        <f t="shared" si="53"/>
        <v>23.399599999999996</v>
      </c>
      <c r="U18" s="31">
        <f t="shared" si="53"/>
        <v>0</v>
      </c>
      <c r="V18" s="77">
        <f t="shared" si="53"/>
        <v>0</v>
      </c>
    </row>
    <row r="19" spans="1:22">
      <c r="A19" s="26" t="s">
        <v>14</v>
      </c>
      <c r="B19" s="26" t="s">
        <v>25</v>
      </c>
      <c r="C19" s="26">
        <v>13.4</v>
      </c>
      <c r="D19" s="74">
        <v>6.15</v>
      </c>
      <c r="E19" s="28">
        <v>46</v>
      </c>
      <c r="F19" s="16">
        <f t="shared" ref="F19:F30" si="54">(C19*D19*E19/1000)</f>
        <v>3.7908600000000008</v>
      </c>
      <c r="G19" s="17" t="s">
        <v>93</v>
      </c>
      <c r="H19" s="18">
        <v>9</v>
      </c>
      <c r="I19" s="19">
        <f t="shared" ref="I19:I30" si="55">(C19*D19*H19/1000)</f>
        <v>0.74169000000000007</v>
      </c>
      <c r="J19" s="16" t="s">
        <v>89</v>
      </c>
      <c r="K19" s="18">
        <v>32</v>
      </c>
      <c r="L19" s="19">
        <f t="shared" ref="L19:L30" si="56">(C19*D19*K19/1000)</f>
        <v>2.6371200000000004</v>
      </c>
      <c r="M19" s="17" t="s">
        <v>93</v>
      </c>
      <c r="N19" s="18">
        <v>3</v>
      </c>
      <c r="O19" s="19">
        <f t="shared" ref="O19:O30" si="57">(C19*D19*N19/1000)</f>
        <v>0.24723000000000001</v>
      </c>
      <c r="P19" s="16"/>
      <c r="Q19" s="18"/>
      <c r="R19" s="19">
        <f t="shared" ref="R19:R30" si="58">(C19*D19*Q19/1000)</f>
        <v>0</v>
      </c>
      <c r="S19" s="20">
        <f t="shared" ref="S19:S30" si="59">+H19+K19+Q19+N19</f>
        <v>44</v>
      </c>
      <c r="T19" s="19">
        <f t="shared" ref="T19:T30" si="60">+I19+L19+R19+O19</f>
        <v>3.6260400000000006</v>
      </c>
      <c r="U19" s="21">
        <f t="shared" ref="U19:U30" si="61">E19-S19</f>
        <v>2</v>
      </c>
      <c r="V19" s="19">
        <f t="shared" ref="V19:V30" si="62">F19-T19</f>
        <v>0.16482000000000019</v>
      </c>
    </row>
    <row r="20" spans="1:22">
      <c r="A20" s="26" t="s">
        <v>14</v>
      </c>
      <c r="B20" s="26" t="s">
        <v>25</v>
      </c>
      <c r="C20" s="26">
        <v>13.4</v>
      </c>
      <c r="D20" s="74">
        <v>8.75</v>
      </c>
      <c r="E20" s="28">
        <v>19</v>
      </c>
      <c r="F20" s="16">
        <f t="shared" si="54"/>
        <v>2.2277499999999999</v>
      </c>
      <c r="G20" s="17" t="s">
        <v>417</v>
      </c>
      <c r="H20" s="18">
        <v>7</v>
      </c>
      <c r="I20" s="19">
        <f t="shared" si="55"/>
        <v>0.82074999999999998</v>
      </c>
      <c r="J20" s="16" t="s">
        <v>418</v>
      </c>
      <c r="K20" s="18">
        <f>3+6</f>
        <v>9</v>
      </c>
      <c r="L20" s="19">
        <f t="shared" si="56"/>
        <v>1.05525</v>
      </c>
      <c r="M20" t="s">
        <v>419</v>
      </c>
      <c r="N20" s="18">
        <v>2</v>
      </c>
      <c r="O20" s="19">
        <f t="shared" si="57"/>
        <v>0.23449999999999999</v>
      </c>
      <c r="P20" s="16"/>
      <c r="Q20" s="18"/>
      <c r="R20" s="19">
        <f t="shared" si="58"/>
        <v>0</v>
      </c>
      <c r="S20" s="20">
        <f t="shared" si="59"/>
        <v>18</v>
      </c>
      <c r="T20" s="19">
        <f t="shared" si="60"/>
        <v>2.1105</v>
      </c>
      <c r="U20" s="21">
        <f t="shared" si="61"/>
        <v>1</v>
      </c>
      <c r="V20" s="19">
        <f t="shared" si="62"/>
        <v>0.11724999999999985</v>
      </c>
    </row>
    <row r="21" spans="1:22">
      <c r="A21" s="26" t="s">
        <v>14</v>
      </c>
      <c r="B21" s="26" t="s">
        <v>25</v>
      </c>
      <c r="C21" s="26">
        <v>13.4</v>
      </c>
      <c r="D21" s="74">
        <v>10.4</v>
      </c>
      <c r="E21" s="28">
        <v>139</v>
      </c>
      <c r="F21" s="16">
        <f t="shared" si="54"/>
        <v>19.371040000000001</v>
      </c>
      <c r="G21" s="17"/>
      <c r="H21" s="18">
        <v>43</v>
      </c>
      <c r="I21" s="19">
        <f t="shared" si="55"/>
        <v>5.9924800000000005</v>
      </c>
      <c r="J21" s="16"/>
      <c r="K21" s="18">
        <v>58</v>
      </c>
      <c r="L21" s="19">
        <f t="shared" si="56"/>
        <v>8.0828800000000012</v>
      </c>
      <c r="M21" s="16"/>
      <c r="N21" s="18">
        <v>24</v>
      </c>
      <c r="O21" s="19">
        <f t="shared" si="57"/>
        <v>3.3446400000000005</v>
      </c>
      <c r="P21" s="16"/>
      <c r="Q21" s="18"/>
      <c r="R21" s="19">
        <f t="shared" si="58"/>
        <v>0</v>
      </c>
      <c r="S21" s="20">
        <f t="shared" si="59"/>
        <v>125</v>
      </c>
      <c r="T21" s="19">
        <f t="shared" si="60"/>
        <v>17.420000000000002</v>
      </c>
      <c r="U21" s="21">
        <f t="shared" si="61"/>
        <v>14</v>
      </c>
      <c r="V21" s="19">
        <f t="shared" si="62"/>
        <v>1.951039999999999</v>
      </c>
    </row>
    <row r="22" spans="1:22">
      <c r="A22" s="26" t="s">
        <v>14</v>
      </c>
      <c r="B22" s="26" t="s">
        <v>25</v>
      </c>
      <c r="C22" s="26">
        <v>13.4</v>
      </c>
      <c r="D22" s="74">
        <v>11.4</v>
      </c>
      <c r="E22" s="28">
        <v>8</v>
      </c>
      <c r="F22" s="16">
        <f t="shared" ref="F22:F29" si="63">(C22*D22*E22/1000)</f>
        <v>1.2220800000000001</v>
      </c>
      <c r="G22" s="17"/>
      <c r="H22" s="18">
        <v>4</v>
      </c>
      <c r="I22" s="19">
        <f t="shared" ref="I22:I29" si="64">(C22*D22*H22/1000)</f>
        <v>0.61104000000000003</v>
      </c>
      <c r="J22" s="16"/>
      <c r="K22" s="18">
        <v>4</v>
      </c>
      <c r="L22" s="19">
        <f t="shared" ref="L22:L29" si="65">(C22*D22*K22/1000)</f>
        <v>0.61104000000000003</v>
      </c>
      <c r="M22" s="16"/>
      <c r="N22" s="18"/>
      <c r="O22" s="19">
        <f t="shared" ref="O22:O29" si="66">(C22*D22*N22/1000)</f>
        <v>0</v>
      </c>
      <c r="P22" s="16"/>
      <c r="Q22" s="18"/>
      <c r="R22" s="19">
        <f t="shared" ref="R22:R29" si="67">(C22*D22*Q22/1000)</f>
        <v>0</v>
      </c>
      <c r="S22" s="20">
        <f t="shared" ref="S22:S29" si="68">+H22+K22+Q22+N22</f>
        <v>8</v>
      </c>
      <c r="T22" s="19">
        <f t="shared" ref="T22:T29" si="69">+I22+L22+R22+O22</f>
        <v>1.2220800000000001</v>
      </c>
      <c r="U22" s="21">
        <f t="shared" ref="U22:U29" si="70">E22-S22</f>
        <v>0</v>
      </c>
      <c r="V22" s="19">
        <f t="shared" ref="V22:V29" si="71">F22-T22</f>
        <v>0</v>
      </c>
    </row>
    <row r="23" spans="1:22">
      <c r="A23" s="26" t="s">
        <v>14</v>
      </c>
      <c r="B23" s="26" t="s">
        <v>25</v>
      </c>
      <c r="C23" s="26">
        <v>13.4</v>
      </c>
      <c r="D23" s="74">
        <v>10</v>
      </c>
      <c r="E23" s="28"/>
      <c r="F23" s="16">
        <f t="shared" si="63"/>
        <v>0</v>
      </c>
      <c r="G23" s="17"/>
      <c r="H23" s="18"/>
      <c r="I23" s="19">
        <f t="shared" si="64"/>
        <v>0</v>
      </c>
      <c r="J23" s="16"/>
      <c r="K23" s="18"/>
      <c r="L23" s="19">
        <f t="shared" si="65"/>
        <v>0</v>
      </c>
      <c r="M23" s="16"/>
      <c r="N23" s="18">
        <v>14</v>
      </c>
      <c r="O23" s="19">
        <f t="shared" si="66"/>
        <v>1.8759999999999999</v>
      </c>
      <c r="P23" s="16"/>
      <c r="Q23" s="18"/>
      <c r="R23" s="19">
        <f t="shared" si="67"/>
        <v>0</v>
      </c>
      <c r="S23" s="20">
        <f t="shared" si="68"/>
        <v>14</v>
      </c>
      <c r="T23" s="19">
        <f t="shared" si="69"/>
        <v>1.8759999999999999</v>
      </c>
      <c r="U23" s="21">
        <f t="shared" si="70"/>
        <v>-14</v>
      </c>
      <c r="V23" s="19">
        <f t="shared" si="71"/>
        <v>-1.8759999999999999</v>
      </c>
    </row>
    <row r="24" spans="1:22">
      <c r="A24" s="26" t="s">
        <v>14</v>
      </c>
      <c r="B24" s="26" t="s">
        <v>25</v>
      </c>
      <c r="C24" s="26">
        <v>13.4</v>
      </c>
      <c r="D24" s="74">
        <v>10.5</v>
      </c>
      <c r="E24" s="28"/>
      <c r="F24" s="16">
        <f t="shared" si="63"/>
        <v>0</v>
      </c>
      <c r="G24" s="17"/>
      <c r="H24" s="18"/>
      <c r="I24" s="19">
        <f t="shared" si="64"/>
        <v>0</v>
      </c>
      <c r="J24" s="16"/>
      <c r="K24" s="18"/>
      <c r="L24" s="19">
        <f t="shared" si="65"/>
        <v>0</v>
      </c>
      <c r="M24" s="16"/>
      <c r="N24" s="18">
        <v>2</v>
      </c>
      <c r="O24" s="19">
        <f t="shared" si="66"/>
        <v>0.28140000000000004</v>
      </c>
      <c r="P24" s="16"/>
      <c r="Q24" s="18"/>
      <c r="R24" s="19">
        <f t="shared" si="67"/>
        <v>0</v>
      </c>
      <c r="S24" s="20">
        <f t="shared" si="68"/>
        <v>2</v>
      </c>
      <c r="T24" s="19">
        <f t="shared" si="69"/>
        <v>0.28140000000000004</v>
      </c>
      <c r="U24" s="21">
        <f t="shared" si="70"/>
        <v>-2</v>
      </c>
      <c r="V24" s="19">
        <f t="shared" si="71"/>
        <v>-0.28140000000000004</v>
      </c>
    </row>
    <row r="25" spans="1:22">
      <c r="A25" s="26" t="s">
        <v>14</v>
      </c>
      <c r="B25" s="26" t="s">
        <v>25</v>
      </c>
      <c r="C25" s="26">
        <v>13.4</v>
      </c>
      <c r="D25" s="74">
        <v>12</v>
      </c>
      <c r="E25" s="28"/>
      <c r="F25" s="16">
        <f t="shared" si="63"/>
        <v>0</v>
      </c>
      <c r="G25" s="17"/>
      <c r="H25" s="18"/>
      <c r="I25" s="19">
        <f t="shared" si="64"/>
        <v>0</v>
      </c>
      <c r="J25" s="16"/>
      <c r="K25" s="18"/>
      <c r="L25" s="19">
        <f t="shared" si="65"/>
        <v>0</v>
      </c>
      <c r="M25" s="16"/>
      <c r="N25" s="18">
        <v>1</v>
      </c>
      <c r="O25" s="19">
        <f t="shared" si="66"/>
        <v>0.1608</v>
      </c>
      <c r="P25" s="16"/>
      <c r="Q25" s="18"/>
      <c r="R25" s="19">
        <f t="shared" si="67"/>
        <v>0</v>
      </c>
      <c r="S25" s="20">
        <f t="shared" si="68"/>
        <v>1</v>
      </c>
      <c r="T25" s="19">
        <f t="shared" si="69"/>
        <v>0.1608</v>
      </c>
      <c r="U25" s="21">
        <f t="shared" si="70"/>
        <v>-1</v>
      </c>
      <c r="V25" s="19">
        <f t="shared" si="71"/>
        <v>-0.1608</v>
      </c>
    </row>
    <row r="26" spans="1:22">
      <c r="A26" s="26" t="s">
        <v>14</v>
      </c>
      <c r="B26" s="26" t="s">
        <v>25</v>
      </c>
      <c r="C26" s="26">
        <v>13.4</v>
      </c>
      <c r="D26" s="74">
        <v>9.8000000000000007</v>
      </c>
      <c r="E26" s="28"/>
      <c r="F26" s="16">
        <f t="shared" si="63"/>
        <v>0</v>
      </c>
      <c r="G26" s="17"/>
      <c r="H26" s="18"/>
      <c r="I26" s="19">
        <f t="shared" si="64"/>
        <v>0</v>
      </c>
      <c r="J26" s="16"/>
      <c r="K26" s="18"/>
      <c r="L26" s="19">
        <f t="shared" si="65"/>
        <v>0</v>
      </c>
      <c r="M26" s="16"/>
      <c r="N26" s="18">
        <v>2</v>
      </c>
      <c r="O26" s="19">
        <f t="shared" si="66"/>
        <v>0.26264000000000004</v>
      </c>
      <c r="P26" s="16"/>
      <c r="Q26" s="18"/>
      <c r="R26" s="19">
        <f t="shared" si="67"/>
        <v>0</v>
      </c>
      <c r="S26" s="20">
        <f t="shared" si="68"/>
        <v>2</v>
      </c>
      <c r="T26" s="19">
        <f t="shared" si="69"/>
        <v>0.26264000000000004</v>
      </c>
      <c r="U26" s="21">
        <f t="shared" si="70"/>
        <v>-2</v>
      </c>
      <c r="V26" s="19">
        <f t="shared" si="71"/>
        <v>-0.26264000000000004</v>
      </c>
    </row>
    <row r="27" spans="1:22">
      <c r="A27" s="26" t="s">
        <v>14</v>
      </c>
      <c r="B27" s="26" t="s">
        <v>25</v>
      </c>
      <c r="C27" s="26">
        <v>13.4</v>
      </c>
      <c r="D27" s="74">
        <v>9.1999999999999993</v>
      </c>
      <c r="E27" s="28"/>
      <c r="F27" s="16">
        <f t="shared" si="63"/>
        <v>0</v>
      </c>
      <c r="G27" s="17"/>
      <c r="H27" s="18"/>
      <c r="I27" s="19">
        <f t="shared" si="64"/>
        <v>0</v>
      </c>
      <c r="J27" s="16"/>
      <c r="K27" s="18"/>
      <c r="L27" s="19">
        <f t="shared" si="65"/>
        <v>0</v>
      </c>
      <c r="M27" s="16"/>
      <c r="N27" s="18">
        <v>1</v>
      </c>
      <c r="O27" s="19">
        <f t="shared" si="66"/>
        <v>0.12327999999999999</v>
      </c>
      <c r="P27" s="16"/>
      <c r="Q27" s="18"/>
      <c r="R27" s="19">
        <f t="shared" si="67"/>
        <v>0</v>
      </c>
      <c r="S27" s="20">
        <f t="shared" si="68"/>
        <v>1</v>
      </c>
      <c r="T27" s="19">
        <f t="shared" si="69"/>
        <v>0.12327999999999999</v>
      </c>
      <c r="U27" s="21">
        <f t="shared" si="70"/>
        <v>-1</v>
      </c>
      <c r="V27" s="19">
        <f t="shared" si="71"/>
        <v>-0.12327999999999999</v>
      </c>
    </row>
    <row r="28" spans="1:22">
      <c r="A28" s="26" t="s">
        <v>14</v>
      </c>
      <c r="B28" s="26" t="s">
        <v>25</v>
      </c>
      <c r="C28" s="26">
        <v>13.4</v>
      </c>
      <c r="D28" s="74"/>
      <c r="E28" s="28"/>
      <c r="F28" s="16">
        <f t="shared" si="63"/>
        <v>0</v>
      </c>
      <c r="G28" s="17"/>
      <c r="H28" s="18"/>
      <c r="I28" s="19">
        <f t="shared" si="64"/>
        <v>0</v>
      </c>
      <c r="J28" s="16"/>
      <c r="K28" s="18"/>
      <c r="L28" s="19">
        <f t="shared" si="65"/>
        <v>0</v>
      </c>
      <c r="M28" s="16"/>
      <c r="N28" s="18"/>
      <c r="O28" s="19">
        <f t="shared" si="66"/>
        <v>0</v>
      </c>
      <c r="P28" s="16"/>
      <c r="Q28" s="18"/>
      <c r="R28" s="19">
        <f t="shared" si="67"/>
        <v>0</v>
      </c>
      <c r="S28" s="20">
        <f t="shared" si="68"/>
        <v>0</v>
      </c>
      <c r="T28" s="19">
        <f t="shared" si="69"/>
        <v>0</v>
      </c>
      <c r="U28" s="21">
        <f t="shared" si="70"/>
        <v>0</v>
      </c>
      <c r="V28" s="19">
        <f t="shared" si="71"/>
        <v>0</v>
      </c>
    </row>
    <row r="29" spans="1:22">
      <c r="A29" s="26" t="s">
        <v>14</v>
      </c>
      <c r="B29" s="26" t="s">
        <v>25</v>
      </c>
      <c r="C29" s="26">
        <v>13.4</v>
      </c>
      <c r="D29" s="74"/>
      <c r="E29" s="28"/>
      <c r="F29" s="16">
        <f t="shared" si="63"/>
        <v>0</v>
      </c>
      <c r="G29" s="17"/>
      <c r="H29" s="18"/>
      <c r="I29" s="19">
        <f t="shared" si="64"/>
        <v>0</v>
      </c>
      <c r="J29" s="16"/>
      <c r="K29" s="18"/>
      <c r="L29" s="19">
        <f t="shared" si="65"/>
        <v>0</v>
      </c>
      <c r="M29" s="16"/>
      <c r="N29" s="18"/>
      <c r="O29" s="19">
        <f t="shared" si="66"/>
        <v>0</v>
      </c>
      <c r="P29" s="16"/>
      <c r="Q29" s="18"/>
      <c r="R29" s="19">
        <f t="shared" si="67"/>
        <v>0</v>
      </c>
      <c r="S29" s="20">
        <f t="shared" si="68"/>
        <v>0</v>
      </c>
      <c r="T29" s="19">
        <f t="shared" si="69"/>
        <v>0</v>
      </c>
      <c r="U29" s="21">
        <f t="shared" si="70"/>
        <v>0</v>
      </c>
      <c r="V29" s="19">
        <f t="shared" si="71"/>
        <v>0</v>
      </c>
    </row>
    <row r="30" spans="1:22">
      <c r="A30" s="26" t="s">
        <v>14</v>
      </c>
      <c r="B30" s="26" t="s">
        <v>25</v>
      </c>
      <c r="C30" s="26">
        <v>13.4</v>
      </c>
      <c r="D30" s="74"/>
      <c r="E30" s="28"/>
      <c r="F30" s="16">
        <f t="shared" si="54"/>
        <v>0</v>
      </c>
      <c r="G30" s="17"/>
      <c r="H30" s="18"/>
      <c r="I30" s="19">
        <f t="shared" si="55"/>
        <v>0</v>
      </c>
      <c r="J30" s="16"/>
      <c r="K30" s="18"/>
      <c r="L30" s="19">
        <f t="shared" si="56"/>
        <v>0</v>
      </c>
      <c r="M30" s="16"/>
      <c r="N30" s="18"/>
      <c r="O30" s="19">
        <f t="shared" si="57"/>
        <v>0</v>
      </c>
      <c r="P30" s="16"/>
      <c r="Q30" s="18"/>
      <c r="R30" s="19">
        <f t="shared" si="58"/>
        <v>0</v>
      </c>
      <c r="S30" s="20">
        <f t="shared" si="59"/>
        <v>0</v>
      </c>
      <c r="T30" s="19">
        <f t="shared" si="60"/>
        <v>0</v>
      </c>
      <c r="U30" s="21">
        <f t="shared" si="61"/>
        <v>0</v>
      </c>
      <c r="V30" s="19">
        <f t="shared" si="62"/>
        <v>0</v>
      </c>
    </row>
    <row r="31" spans="1:22">
      <c r="A31" s="36"/>
      <c r="B31" s="36"/>
      <c r="C31" s="36"/>
      <c r="D31" s="76"/>
      <c r="E31" s="31">
        <f t="shared" ref="E31:F31" si="72">SUM(E19:E30)</f>
        <v>212</v>
      </c>
      <c r="F31" s="77">
        <f t="shared" si="72"/>
        <v>26.611730000000001</v>
      </c>
      <c r="G31" s="17"/>
      <c r="H31" s="31">
        <f t="shared" ref="H31" si="73">SUM(H19:H30)</f>
        <v>63</v>
      </c>
      <c r="I31" s="77">
        <f t="shared" ref="I31" si="74">SUM(I19:I30)</f>
        <v>8.1659600000000019</v>
      </c>
      <c r="J31" s="16"/>
      <c r="K31" s="31">
        <f t="shared" ref="K31" si="75">SUM(K19:K30)</f>
        <v>103</v>
      </c>
      <c r="L31" s="77">
        <f t="shared" ref="L31" si="76">SUM(L19:L30)</f>
        <v>12.386290000000002</v>
      </c>
      <c r="M31" s="16"/>
      <c r="N31" s="31">
        <f t="shared" ref="N31" si="77">SUM(N19:N30)</f>
        <v>49</v>
      </c>
      <c r="O31" s="77">
        <f t="shared" ref="O31" si="78">SUM(O19:O30)</f>
        <v>6.5304900000000004</v>
      </c>
      <c r="P31" s="16"/>
      <c r="Q31" s="31">
        <f t="shared" ref="Q31" si="79">SUM(Q19:Q30)</f>
        <v>0</v>
      </c>
      <c r="R31" s="77">
        <f t="shared" ref="R31" si="80">SUM(R19:R30)</f>
        <v>0</v>
      </c>
      <c r="S31" s="31">
        <f t="shared" ref="S31" si="81">SUM(S19:S30)</f>
        <v>215</v>
      </c>
      <c r="T31" s="77">
        <f t="shared" ref="T31" si="82">SUM(T19:T30)</f>
        <v>27.082740000000008</v>
      </c>
      <c r="U31" s="31">
        <f t="shared" ref="U31" si="83">SUM(U19:U30)</f>
        <v>-3</v>
      </c>
      <c r="V31" s="77">
        <f t="shared" ref="V31" si="84">SUM(V19:V30)</f>
        <v>-0.47101000000000093</v>
      </c>
    </row>
    <row r="32" spans="1:22">
      <c r="A32" s="26" t="s">
        <v>14</v>
      </c>
      <c r="B32" s="26" t="s">
        <v>34</v>
      </c>
      <c r="C32" s="26">
        <v>5.76</v>
      </c>
      <c r="D32" s="74">
        <v>9</v>
      </c>
      <c r="E32" s="28">
        <v>108</v>
      </c>
      <c r="F32" s="16">
        <f t="shared" ref="F32:F34" si="85">(C32*D32*E32/1000)</f>
        <v>5.5987199999999993</v>
      </c>
      <c r="G32" s="17" t="s">
        <v>150</v>
      </c>
      <c r="H32" s="18">
        <v>38</v>
      </c>
      <c r="I32" s="19">
        <f t="shared" ref="I32:I34" si="86">(C32*D32*H32/1000)</f>
        <v>1.9699199999999999</v>
      </c>
      <c r="J32" s="16" t="s">
        <v>93</v>
      </c>
      <c r="K32" s="18">
        <v>70</v>
      </c>
      <c r="L32" s="19">
        <f t="shared" ref="L32:L34" si="87">(C32*D32*K32/1000)</f>
        <v>3.6287999999999996</v>
      </c>
      <c r="M32" s="16"/>
      <c r="N32" s="18"/>
      <c r="O32" s="19">
        <f t="shared" ref="O32:O34" si="88">(C32*D32*N32/1000)</f>
        <v>0</v>
      </c>
      <c r="P32" s="16"/>
      <c r="Q32" s="18"/>
      <c r="R32" s="19">
        <f t="shared" ref="R32:R34" si="89">(C32*D32*Q32/1000)</f>
        <v>0</v>
      </c>
      <c r="S32" s="20">
        <f t="shared" ref="S32:S34" si="90">+H32+K32+Q32+N32</f>
        <v>108</v>
      </c>
      <c r="T32" s="19">
        <f t="shared" ref="T32:T34" si="91">+I32+L32+R32+O32</f>
        <v>5.5987199999999993</v>
      </c>
      <c r="U32" s="21">
        <f t="shared" ref="U32:U34" si="92">E32-S32</f>
        <v>0</v>
      </c>
      <c r="V32" s="19">
        <f t="shared" ref="V32:V34" si="93">F32-T32</f>
        <v>0</v>
      </c>
    </row>
    <row r="33" spans="1:22">
      <c r="A33" s="26" t="s">
        <v>14</v>
      </c>
      <c r="B33" s="26" t="s">
        <v>34</v>
      </c>
      <c r="C33" s="26">
        <v>5.76</v>
      </c>
      <c r="D33" s="74">
        <v>9.5</v>
      </c>
      <c r="E33" s="28">
        <v>78</v>
      </c>
      <c r="F33" s="16">
        <f t="shared" si="85"/>
        <v>4.26816</v>
      </c>
      <c r="G33" s="17" t="s">
        <v>415</v>
      </c>
      <c r="H33" s="18">
        <v>62</v>
      </c>
      <c r="I33" s="19">
        <f t="shared" si="86"/>
        <v>3.3926399999999997</v>
      </c>
      <c r="J33" s="16" t="s">
        <v>415</v>
      </c>
      <c r="K33" s="18">
        <v>22</v>
      </c>
      <c r="L33" s="19">
        <f t="shared" si="87"/>
        <v>1.20384</v>
      </c>
      <c r="M33" s="16"/>
      <c r="N33" s="18"/>
      <c r="O33" s="19">
        <f t="shared" si="88"/>
        <v>0</v>
      </c>
      <c r="P33" s="16"/>
      <c r="Q33" s="18"/>
      <c r="R33" s="19">
        <f t="shared" si="89"/>
        <v>0</v>
      </c>
      <c r="S33" s="20">
        <f t="shared" si="90"/>
        <v>84</v>
      </c>
      <c r="T33" s="19">
        <f t="shared" si="91"/>
        <v>4.5964799999999997</v>
      </c>
      <c r="U33" s="21">
        <f t="shared" si="92"/>
        <v>-6</v>
      </c>
      <c r="V33" s="19">
        <f t="shared" si="93"/>
        <v>-0.32831999999999972</v>
      </c>
    </row>
    <row r="34" spans="1:22">
      <c r="A34" s="26" t="s">
        <v>14</v>
      </c>
      <c r="B34" s="26" t="s">
        <v>34</v>
      </c>
      <c r="C34" s="26">
        <v>5.76</v>
      </c>
      <c r="D34" s="74">
        <v>12</v>
      </c>
      <c r="E34" s="28">
        <v>28</v>
      </c>
      <c r="F34" s="16">
        <f t="shared" si="85"/>
        <v>1.9353600000000002</v>
      </c>
      <c r="G34" s="17"/>
      <c r="H34" s="18">
        <v>10</v>
      </c>
      <c r="I34" s="19">
        <f t="shared" si="86"/>
        <v>0.69120000000000004</v>
      </c>
      <c r="J34" s="16"/>
      <c r="K34" s="18">
        <v>14</v>
      </c>
      <c r="L34" s="19">
        <f t="shared" si="87"/>
        <v>0.9676800000000001</v>
      </c>
      <c r="M34" s="16"/>
      <c r="N34" s="18"/>
      <c r="O34" s="19">
        <f t="shared" si="88"/>
        <v>0</v>
      </c>
      <c r="P34" s="16"/>
      <c r="Q34" s="18"/>
      <c r="R34" s="19">
        <f t="shared" si="89"/>
        <v>0</v>
      </c>
      <c r="S34" s="20">
        <f t="shared" si="90"/>
        <v>24</v>
      </c>
      <c r="T34" s="19">
        <f t="shared" si="91"/>
        <v>1.6588800000000001</v>
      </c>
      <c r="U34" s="21">
        <f t="shared" si="92"/>
        <v>4</v>
      </c>
      <c r="V34" s="19">
        <f t="shared" si="93"/>
        <v>0.27648000000000006</v>
      </c>
    </row>
    <row r="35" spans="1:22">
      <c r="A35" s="36"/>
      <c r="B35" s="36"/>
      <c r="C35" s="36"/>
      <c r="D35" s="76"/>
      <c r="E35" s="31">
        <f t="shared" ref="E35:F35" si="94">SUM(E32:E34)</f>
        <v>214</v>
      </c>
      <c r="F35" s="77">
        <f t="shared" si="94"/>
        <v>11.802239999999998</v>
      </c>
      <c r="G35" s="26"/>
      <c r="H35" s="31">
        <f t="shared" ref="H35" si="95">SUM(H32:H34)</f>
        <v>110</v>
      </c>
      <c r="I35" s="77">
        <f t="shared" ref="I35" si="96">SUM(I32:I34)</f>
        <v>6.0537599999999996</v>
      </c>
      <c r="J35" s="26"/>
      <c r="K35" s="31">
        <f t="shared" ref="K35" si="97">SUM(K32:K34)</f>
        <v>106</v>
      </c>
      <c r="L35" s="77">
        <f t="shared" ref="L35" si="98">SUM(L32:L34)</f>
        <v>5.8003199999999993</v>
      </c>
      <c r="M35" s="26"/>
      <c r="N35" s="31">
        <f t="shared" ref="N35" si="99">SUM(N32:N34)</f>
        <v>0</v>
      </c>
      <c r="O35" s="77">
        <f t="shared" ref="O35" si="100">SUM(O32:O34)</f>
        <v>0</v>
      </c>
      <c r="P35" s="26"/>
      <c r="Q35" s="31">
        <f t="shared" ref="Q35" si="101">SUM(Q32:Q34)</f>
        <v>0</v>
      </c>
      <c r="R35" s="77">
        <f t="shared" ref="R35" si="102">SUM(R32:R34)</f>
        <v>0</v>
      </c>
      <c r="S35" s="31">
        <f t="shared" ref="S35" si="103">SUM(S32:S34)</f>
        <v>216</v>
      </c>
      <c r="T35" s="77">
        <f t="shared" ref="T35" si="104">SUM(T32:T34)</f>
        <v>11.85408</v>
      </c>
      <c r="U35" s="31">
        <f t="shared" ref="U35" si="105">SUM(U32:U34)</f>
        <v>-2</v>
      </c>
      <c r="V35" s="77">
        <f t="shared" ref="V35" si="106">SUM(V32:V34)</f>
        <v>-5.1839999999999664E-2</v>
      </c>
    </row>
    <row r="36" spans="1:22">
      <c r="A36" s="26"/>
      <c r="B36" s="26"/>
      <c r="C36" s="26"/>
      <c r="D36" s="26"/>
      <c r="E36" s="31">
        <f>SUM(E35,E31,E18,E15,E10,E41)</f>
        <v>819</v>
      </c>
      <c r="F36" s="38">
        <f>SUM(F35,F31,F18,F15,F10,F41)</f>
        <v>66.139561999999998</v>
      </c>
      <c r="G36" s="26"/>
      <c r="H36" s="31">
        <f>SUM(H35,H31,H18,H15,H10,H41)</f>
        <v>386</v>
      </c>
      <c r="I36" s="38">
        <f>SUM(I35,I31,I18,I15,I10,I41)</f>
        <v>30.181719999999999</v>
      </c>
      <c r="J36" s="26"/>
      <c r="K36" s="31">
        <f>SUM(K35,K31,K18,K15,K10,K41)</f>
        <v>383</v>
      </c>
      <c r="L36" s="38">
        <f>SUM(L35,L31,L18,L15,L10,L41)</f>
        <v>29.40691</v>
      </c>
      <c r="M36" s="26"/>
      <c r="N36" s="31">
        <f>SUM(N35,N31,N18,N15,N10,N41)</f>
        <v>49</v>
      </c>
      <c r="O36" s="38">
        <f>SUM(O35,O31,O18,O15,O10,O41)</f>
        <v>6.5304900000000004</v>
      </c>
      <c r="P36" s="26"/>
      <c r="Q36" s="31">
        <f t="shared" ref="Q36:V36" si="107">SUM(Q35,Q31,Q18,Q15,Q10,Q41)</f>
        <v>0</v>
      </c>
      <c r="R36" s="38">
        <f t="shared" si="107"/>
        <v>0</v>
      </c>
      <c r="S36" s="31">
        <f t="shared" si="107"/>
        <v>818</v>
      </c>
      <c r="T36" s="38">
        <f t="shared" si="107"/>
        <v>66.119119999999995</v>
      </c>
      <c r="U36" s="31">
        <f t="shared" si="107"/>
        <v>1</v>
      </c>
      <c r="V36" s="38">
        <f t="shared" si="107"/>
        <v>2.0441999999999294E-2</v>
      </c>
    </row>
    <row r="40" spans="1:22">
      <c r="A40" s="26" t="s">
        <v>13</v>
      </c>
      <c r="B40" s="26" t="s">
        <v>45</v>
      </c>
      <c r="C40" s="26">
        <v>9.26</v>
      </c>
      <c r="D40" s="74">
        <v>10.9</v>
      </c>
      <c r="E40" s="28">
        <v>8</v>
      </c>
      <c r="F40" s="16">
        <f>(C40*D40*E40/1000)</f>
        <v>0.80747199999999997</v>
      </c>
      <c r="G40" s="17"/>
      <c r="H40" s="18"/>
      <c r="I40" s="19">
        <f>(C40*D40*H40/1000)</f>
        <v>0</v>
      </c>
      <c r="J40" s="16"/>
      <c r="K40" s="18"/>
      <c r="L40" s="19">
        <f>(C40*D40*K40/1000)</f>
        <v>0</v>
      </c>
      <c r="M40" s="16"/>
      <c r="N40" s="18"/>
      <c r="O40" s="19">
        <f>(C40*D40*N40/1000)</f>
        <v>0</v>
      </c>
      <c r="P40" s="16"/>
      <c r="Q40" s="18"/>
      <c r="R40" s="19">
        <f>(C40*D40*Q40/1000)</f>
        <v>0</v>
      </c>
      <c r="S40" s="20">
        <f>+H40+K40+Q40+N40</f>
        <v>0</v>
      </c>
      <c r="T40" s="19">
        <f>+I40+L40+R40+O40</f>
        <v>0</v>
      </c>
      <c r="U40" s="21">
        <f>E40-S40</f>
        <v>8</v>
      </c>
      <c r="V40" s="19">
        <f>F40-T40</f>
        <v>0.80747199999999997</v>
      </c>
    </row>
    <row r="41" spans="1:22">
      <c r="A41" s="36"/>
      <c r="B41" s="36"/>
      <c r="C41" s="36"/>
      <c r="D41" s="76"/>
      <c r="E41" s="31">
        <f t="shared" ref="E41:F41" si="108">SUM(E40)</f>
        <v>8</v>
      </c>
      <c r="F41" s="77">
        <f t="shared" si="108"/>
        <v>0.80747199999999997</v>
      </c>
      <c r="G41" s="26"/>
      <c r="H41" s="31">
        <f t="shared" ref="H41" si="109">SUM(H40)</f>
        <v>0</v>
      </c>
      <c r="I41" s="77">
        <f t="shared" ref="I41" si="110">SUM(I40)</f>
        <v>0</v>
      </c>
      <c r="J41" s="26"/>
      <c r="K41" s="31">
        <f t="shared" ref="K41" si="111">SUM(K40)</f>
        <v>0</v>
      </c>
      <c r="L41" s="77">
        <f t="shared" ref="L41" si="112">SUM(L40)</f>
        <v>0</v>
      </c>
      <c r="M41" s="26"/>
      <c r="N41" s="31">
        <f t="shared" ref="N41" si="113">SUM(N40)</f>
        <v>0</v>
      </c>
      <c r="O41" s="77">
        <f t="shared" ref="O41" si="114">SUM(O40)</f>
        <v>0</v>
      </c>
      <c r="P41" s="26"/>
      <c r="Q41" s="31">
        <f t="shared" ref="Q41" si="115">SUM(Q40)</f>
        <v>0</v>
      </c>
      <c r="R41" s="77">
        <f t="shared" ref="R41" si="116">SUM(R40)</f>
        <v>0</v>
      </c>
      <c r="S41" s="31">
        <f t="shared" ref="S41" si="117">SUM(S40)</f>
        <v>0</v>
      </c>
      <c r="T41" s="77">
        <f t="shared" ref="T41" si="118">SUM(T40)</f>
        <v>0</v>
      </c>
      <c r="U41" s="31">
        <f t="shared" ref="U41" si="119">SUM(U40)</f>
        <v>8</v>
      </c>
      <c r="V41" s="77">
        <f t="shared" ref="V41" si="120">SUM(V40)</f>
        <v>0.80747199999999997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>
  <sheetPr codeName="Sheet72"/>
  <dimension ref="A1:X48"/>
  <sheetViews>
    <sheetView zoomScale="75" zoomScaleNormal="75" workbookViewId="0">
      <pane ySplit="5" topLeftCell="A6" activePane="bottomLeft" state="frozen"/>
      <selection pane="bottomLeft" activeCell="I10" sqref="I1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LOI-713  12.08.23</v>
      </c>
      <c r="D1" s="1"/>
      <c r="E1" s="2"/>
      <c r="F1" s="2"/>
      <c r="G1" s="143" t="s">
        <v>153</v>
      </c>
      <c r="H1" s="144"/>
      <c r="I1" s="145" t="s">
        <v>360</v>
      </c>
      <c r="J1" s="144"/>
      <c r="K1" s="3"/>
      <c r="L1" s="4"/>
      <c r="M1" s="4"/>
      <c r="N1" s="3"/>
      <c r="O1" s="4"/>
      <c r="P1" s="146" t="str">
        <f>+F2</f>
        <v>LOI-713  12.08.23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263</v>
      </c>
      <c r="B2" s="8"/>
      <c r="C2" s="9"/>
      <c r="D2" s="9"/>
      <c r="E2" s="10"/>
      <c r="F2" s="146" t="s">
        <v>373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LOI-713  12.08.23</v>
      </c>
      <c r="V2" s="146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25</v>
      </c>
      <c r="C6" s="26">
        <v>13.4</v>
      </c>
      <c r="D6" s="74">
        <v>11.2</v>
      </c>
      <c r="E6" s="28">
        <v>4</v>
      </c>
      <c r="F6" s="16">
        <f>(C6*D6*E6/1000)</f>
        <v>0.60031999999999996</v>
      </c>
      <c r="G6" s="16" t="s">
        <v>93</v>
      </c>
      <c r="H6" s="18">
        <v>4</v>
      </c>
      <c r="I6" s="19">
        <f>(C6*D6*H6/1000)</f>
        <v>0.60031999999999996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4</v>
      </c>
      <c r="T6" s="19">
        <f>+I6+L6+R6+O6</f>
        <v>0.60031999999999996</v>
      </c>
      <c r="U6" s="21">
        <f>E6-S6</f>
        <v>0</v>
      </c>
      <c r="V6" s="19">
        <f>F6-T6</f>
        <v>0</v>
      </c>
    </row>
    <row r="7" spans="1:24">
      <c r="A7" s="36"/>
      <c r="B7" s="36"/>
      <c r="C7" s="36"/>
      <c r="D7" s="76"/>
      <c r="E7" s="31">
        <f t="shared" ref="E7:F7" si="0">SUM(E6)</f>
        <v>4</v>
      </c>
      <c r="F7" s="77">
        <f t="shared" si="0"/>
        <v>0.60031999999999996</v>
      </c>
      <c r="G7" s="16" t="s">
        <v>415</v>
      </c>
      <c r="H7" s="31">
        <f t="shared" ref="H7" si="1">SUM(H6)</f>
        <v>4</v>
      </c>
      <c r="I7" s="77">
        <f t="shared" ref="I7" si="2">SUM(I6)</f>
        <v>0.60031999999999996</v>
      </c>
      <c r="J7" s="26"/>
      <c r="K7" s="31">
        <f t="shared" ref="K7" si="3">SUM(K6)</f>
        <v>0</v>
      </c>
      <c r="L7" s="77">
        <f t="shared" ref="L7" si="4">SUM(L6)</f>
        <v>0</v>
      </c>
      <c r="M7" s="26"/>
      <c r="N7" s="31">
        <f t="shared" ref="N7" si="5">SUM(N6)</f>
        <v>0</v>
      </c>
      <c r="O7" s="77">
        <f t="shared" ref="O7" si="6">SUM(O6)</f>
        <v>0</v>
      </c>
      <c r="P7" s="26"/>
      <c r="Q7" s="31">
        <f t="shared" ref="Q7" si="7">SUM(Q6)</f>
        <v>0</v>
      </c>
      <c r="R7" s="77">
        <f t="shared" ref="R7" si="8">SUM(R6)</f>
        <v>0</v>
      </c>
      <c r="S7" s="31">
        <f t="shared" ref="S7" si="9">SUM(S6)</f>
        <v>4</v>
      </c>
      <c r="T7" s="77">
        <f t="shared" ref="T7" si="10">SUM(T6)</f>
        <v>0.60031999999999996</v>
      </c>
      <c r="U7" s="31">
        <f t="shared" ref="U7" si="11">SUM(U6)</f>
        <v>0</v>
      </c>
      <c r="V7" s="77">
        <f t="shared" ref="V7" si="12">SUM(V6)</f>
        <v>0</v>
      </c>
    </row>
    <row r="8" spans="1:24">
      <c r="A8" s="26" t="s">
        <v>13</v>
      </c>
      <c r="B8" s="26" t="s">
        <v>34</v>
      </c>
      <c r="C8" s="26">
        <v>5.76</v>
      </c>
      <c r="D8" s="74">
        <v>12</v>
      </c>
      <c r="E8" s="28">
        <v>2</v>
      </c>
      <c r="F8" s="16">
        <f>(C8*D8*E8/1000)</f>
        <v>0.13824</v>
      </c>
      <c r="G8" s="17" t="s">
        <v>150</v>
      </c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2</v>
      </c>
      <c r="V8" s="19">
        <f>F8-T8</f>
        <v>0.13824</v>
      </c>
    </row>
    <row r="9" spans="1:24">
      <c r="A9" s="26" t="s">
        <v>13</v>
      </c>
      <c r="B9" s="26" t="s">
        <v>34</v>
      </c>
      <c r="C9" s="26">
        <v>5.76</v>
      </c>
      <c r="D9" s="74">
        <v>10</v>
      </c>
      <c r="E9" s="28"/>
      <c r="F9" s="16">
        <f>(C9*D9*E9/1000)</f>
        <v>0</v>
      </c>
      <c r="G9" s="17" t="s">
        <v>417</v>
      </c>
      <c r="H9" s="18">
        <v>3</v>
      </c>
      <c r="I9" s="19">
        <f>(C9*D9*H9/1000)</f>
        <v>0.17279999999999998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3</v>
      </c>
      <c r="T9" s="19">
        <f>+I9+L9+R9+O9</f>
        <v>0.17279999999999998</v>
      </c>
      <c r="U9" s="21">
        <f>E9-S9</f>
        <v>-3</v>
      </c>
      <c r="V9" s="19">
        <f>F9-T9</f>
        <v>-0.17279999999999998</v>
      </c>
    </row>
    <row r="10" spans="1:24">
      <c r="A10" s="36"/>
      <c r="B10" s="36"/>
      <c r="C10" s="36"/>
      <c r="D10" s="76"/>
      <c r="E10" s="31">
        <f t="shared" ref="E10:F10" si="13">SUM(E8:E9)</f>
        <v>2</v>
      </c>
      <c r="F10" s="77">
        <f t="shared" si="13"/>
        <v>0.13824</v>
      </c>
      <c r="G10" s="17"/>
      <c r="H10" s="31">
        <f t="shared" ref="H10" si="14">SUM(H8:H9)</f>
        <v>3</v>
      </c>
      <c r="I10" s="77">
        <f t="shared" ref="I10" si="15">SUM(I8:I9)</f>
        <v>0.17279999999999998</v>
      </c>
      <c r="J10" s="26"/>
      <c r="K10" s="31">
        <f t="shared" ref="K10" si="16">SUM(K8:K9)</f>
        <v>0</v>
      </c>
      <c r="L10" s="77">
        <f t="shared" ref="L10" si="17">SUM(L8:L9)</f>
        <v>0</v>
      </c>
      <c r="M10" s="26"/>
      <c r="N10" s="31">
        <f t="shared" ref="N10" si="18">SUM(N8:N9)</f>
        <v>0</v>
      </c>
      <c r="O10" s="77">
        <f t="shared" ref="O10" si="19">SUM(O8:O9)</f>
        <v>0</v>
      </c>
      <c r="P10" s="26"/>
      <c r="Q10" s="31">
        <f t="shared" ref="Q10" si="20">SUM(Q8:Q9)</f>
        <v>0</v>
      </c>
      <c r="R10" s="77">
        <f t="shared" ref="R10" si="21">SUM(R8:R9)</f>
        <v>0</v>
      </c>
      <c r="S10" s="31">
        <f t="shared" ref="S10" si="22">SUM(S8:S9)</f>
        <v>3</v>
      </c>
      <c r="T10" s="77">
        <f t="shared" ref="T10" si="23">SUM(T8:T9)</f>
        <v>0.17279999999999998</v>
      </c>
      <c r="U10" s="31">
        <f t="shared" ref="U10" si="24">SUM(U8:U9)</f>
        <v>-1</v>
      </c>
      <c r="V10" s="77">
        <f t="shared" ref="V10" si="25">SUM(V8:V9)</f>
        <v>-3.455999999999998E-2</v>
      </c>
    </row>
    <row r="11" spans="1:24">
      <c r="A11" s="26" t="s">
        <v>13</v>
      </c>
      <c r="B11" s="26" t="s">
        <v>58</v>
      </c>
      <c r="C11" s="26">
        <v>7.34</v>
      </c>
      <c r="D11" s="74">
        <v>12</v>
      </c>
      <c r="E11" s="28">
        <v>3</v>
      </c>
      <c r="F11" s="16">
        <f>(C11*D11*E11/1000)</f>
        <v>0.26424000000000003</v>
      </c>
      <c r="G11" s="17" t="s">
        <v>150</v>
      </c>
      <c r="H11" s="18">
        <v>1</v>
      </c>
      <c r="I11" s="19">
        <f>(C11*D11*H11/1000)</f>
        <v>8.8079999999999992E-2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1</v>
      </c>
      <c r="T11" s="19">
        <f>+I11+L11+R11+O11</f>
        <v>8.8079999999999992E-2</v>
      </c>
      <c r="U11" s="21">
        <f>E11-S11</f>
        <v>2</v>
      </c>
      <c r="V11" s="19">
        <f>F11-T11</f>
        <v>0.17616000000000004</v>
      </c>
      <c r="X11" s="29"/>
    </row>
    <row r="12" spans="1:24">
      <c r="A12" s="26" t="s">
        <v>13</v>
      </c>
      <c r="B12" s="26" t="s">
        <v>58</v>
      </c>
      <c r="C12" s="26">
        <v>7.34</v>
      </c>
      <c r="D12" s="74">
        <v>8.3000000000000007</v>
      </c>
      <c r="E12" s="28"/>
      <c r="F12" s="16">
        <f t="shared" ref="F12:F13" si="26">(C12*D12*E12/1000)</f>
        <v>0</v>
      </c>
      <c r="G12" s="17" t="s">
        <v>417</v>
      </c>
      <c r="H12" s="18">
        <v>1</v>
      </c>
      <c r="I12" s="19">
        <f t="shared" ref="I12:I13" si="27">(C12*D12*H12/1000)</f>
        <v>6.0922000000000004E-2</v>
      </c>
      <c r="J12" s="16"/>
      <c r="K12" s="18"/>
      <c r="L12" s="19">
        <f t="shared" ref="L12:L13" si="28">(C12*D12*K12/1000)</f>
        <v>0</v>
      </c>
      <c r="M12" s="16"/>
      <c r="N12" s="18"/>
      <c r="O12" s="19">
        <f t="shared" ref="O12:O13" si="29">(C12*D12*N12/1000)</f>
        <v>0</v>
      </c>
      <c r="P12" s="16"/>
      <c r="Q12" s="18"/>
      <c r="R12" s="19">
        <f t="shared" ref="R12:R13" si="30">(C12*D12*Q12/1000)</f>
        <v>0</v>
      </c>
      <c r="S12" s="20">
        <f t="shared" ref="S12:S13" si="31">+H12+K12+Q12+N12</f>
        <v>1</v>
      </c>
      <c r="T12" s="19">
        <f t="shared" ref="T12:T13" si="32">+I12+L12+R12+O12</f>
        <v>6.0922000000000004E-2</v>
      </c>
      <c r="U12" s="21">
        <f t="shared" ref="U12:U13" si="33">E12-S12</f>
        <v>-1</v>
      </c>
      <c r="V12" s="19">
        <f t="shared" ref="V12:V13" si="34">F12-T12</f>
        <v>-6.0922000000000004E-2</v>
      </c>
      <c r="X12" s="29"/>
    </row>
    <row r="13" spans="1:24">
      <c r="A13" s="26" t="s">
        <v>13</v>
      </c>
      <c r="B13" s="26" t="s">
        <v>58</v>
      </c>
      <c r="C13" s="26">
        <v>7.34</v>
      </c>
      <c r="D13" s="74">
        <v>9.5</v>
      </c>
      <c r="E13" s="28"/>
      <c r="F13" s="16">
        <f t="shared" si="26"/>
        <v>0</v>
      </c>
      <c r="G13" s="17"/>
      <c r="H13" s="18">
        <v>2</v>
      </c>
      <c r="I13" s="19">
        <f t="shared" si="27"/>
        <v>0.13946</v>
      </c>
      <c r="J13" s="16"/>
      <c r="K13" s="18"/>
      <c r="L13" s="19">
        <f t="shared" si="28"/>
        <v>0</v>
      </c>
      <c r="M13" s="16"/>
      <c r="N13" s="18"/>
      <c r="O13" s="19">
        <f t="shared" si="29"/>
        <v>0</v>
      </c>
      <c r="P13" s="16"/>
      <c r="Q13" s="18"/>
      <c r="R13" s="19">
        <f t="shared" si="30"/>
        <v>0</v>
      </c>
      <c r="S13" s="20">
        <f t="shared" si="31"/>
        <v>2</v>
      </c>
      <c r="T13" s="19">
        <f t="shared" si="32"/>
        <v>0.13946</v>
      </c>
      <c r="U13" s="21">
        <f t="shared" si="33"/>
        <v>-2</v>
      </c>
      <c r="V13" s="19">
        <f t="shared" si="34"/>
        <v>-0.13946</v>
      </c>
      <c r="X13" s="29"/>
    </row>
    <row r="14" spans="1:24">
      <c r="A14" s="36"/>
      <c r="B14" s="36"/>
      <c r="C14" s="36"/>
      <c r="D14" s="76"/>
      <c r="E14" s="31">
        <f t="shared" ref="E14:F14" si="35">SUM(E11:E13)</f>
        <v>3</v>
      </c>
      <c r="F14" s="77">
        <f t="shared" si="35"/>
        <v>0.26424000000000003</v>
      </c>
      <c r="G14" s="17"/>
      <c r="H14" s="31">
        <f t="shared" ref="H14" si="36">SUM(H11:H13)</f>
        <v>4</v>
      </c>
      <c r="I14" s="77">
        <f t="shared" ref="I14" si="37">SUM(I11:I13)</f>
        <v>0.288462</v>
      </c>
      <c r="J14" s="16"/>
      <c r="K14" s="31">
        <f t="shared" ref="K14" si="38">SUM(K11:K13)</f>
        <v>0</v>
      </c>
      <c r="L14" s="77">
        <f t="shared" ref="L14" si="39">SUM(L11:L13)</f>
        <v>0</v>
      </c>
      <c r="M14" s="16"/>
      <c r="N14" s="31">
        <f t="shared" ref="N14" si="40">SUM(N11:N13)</f>
        <v>0</v>
      </c>
      <c r="O14" s="77">
        <f t="shared" ref="O14" si="41">SUM(O11:O13)</f>
        <v>0</v>
      </c>
      <c r="P14" s="16"/>
      <c r="Q14" s="31">
        <f t="shared" ref="Q14" si="42">SUM(Q11:Q13)</f>
        <v>0</v>
      </c>
      <c r="R14" s="77">
        <f t="shared" ref="R14" si="43">SUM(R11:R13)</f>
        <v>0</v>
      </c>
      <c r="S14" s="31">
        <f t="shared" ref="S14" si="44">SUM(S11:S13)</f>
        <v>4</v>
      </c>
      <c r="T14" s="77">
        <f t="shared" ref="T14" si="45">SUM(T11:T13)</f>
        <v>0.288462</v>
      </c>
      <c r="U14" s="31">
        <f t="shared" ref="U14" si="46">SUM(U11:U13)</f>
        <v>-1</v>
      </c>
      <c r="V14" s="77">
        <f t="shared" ref="V14" si="47">SUM(V11:V13)</f>
        <v>-2.4221999999999966E-2</v>
      </c>
    </row>
    <row r="15" spans="1:24" s="107" customFormat="1">
      <c r="A15" s="97" t="s">
        <v>13</v>
      </c>
      <c r="B15" s="97" t="s">
        <v>26</v>
      </c>
      <c r="C15" s="97">
        <v>8.3000000000000007</v>
      </c>
      <c r="D15" s="109">
        <v>11.2</v>
      </c>
      <c r="E15" s="100">
        <v>5</v>
      </c>
      <c r="F15" s="101">
        <f>(C15*D15*E15/1000)</f>
        <v>0.46480000000000005</v>
      </c>
      <c r="G15" s="16" t="s">
        <v>111</v>
      </c>
      <c r="H15" s="103">
        <v>5</v>
      </c>
      <c r="I15" s="104">
        <f>(C15*D15*H15/1000)</f>
        <v>0.46480000000000005</v>
      </c>
      <c r="J15" s="101"/>
      <c r="K15" s="103"/>
      <c r="L15" s="104">
        <f>(C15*D15*K15/1000)</f>
        <v>0</v>
      </c>
      <c r="M15" s="101"/>
      <c r="N15" s="103"/>
      <c r="O15" s="104">
        <f>(C15*D15*N15/1000)</f>
        <v>0</v>
      </c>
      <c r="P15" s="101"/>
      <c r="Q15" s="103"/>
      <c r="R15" s="104">
        <f>(C15*D15*Q15/1000)</f>
        <v>0</v>
      </c>
      <c r="S15" s="105">
        <f>+H15+K15+Q15+N15</f>
        <v>5</v>
      </c>
      <c r="T15" s="104">
        <f>+I15+L15+R15+O15</f>
        <v>0.46480000000000005</v>
      </c>
      <c r="U15" s="106">
        <f>E15-S15</f>
        <v>0</v>
      </c>
      <c r="V15" s="104">
        <f>F15-T15</f>
        <v>0</v>
      </c>
    </row>
    <row r="16" spans="1:24" s="107" customFormat="1">
      <c r="A16" s="36"/>
      <c r="B16" s="36"/>
      <c r="C16" s="36"/>
      <c r="D16" s="76"/>
      <c r="E16" s="31">
        <f t="shared" ref="E16:F16" si="48">SUM(E15)</f>
        <v>5</v>
      </c>
      <c r="F16" s="77">
        <f t="shared" si="48"/>
        <v>0.46480000000000005</v>
      </c>
      <c r="G16" s="16" t="s">
        <v>424</v>
      </c>
      <c r="H16" s="31">
        <f t="shared" ref="H16:I16" si="49">SUM(H15)</f>
        <v>5</v>
      </c>
      <c r="I16" s="77">
        <f t="shared" si="49"/>
        <v>0.46480000000000005</v>
      </c>
      <c r="J16" s="97"/>
      <c r="K16" s="31">
        <f t="shared" ref="K16:L16" si="50">SUM(K15)</f>
        <v>0</v>
      </c>
      <c r="L16" s="77">
        <f t="shared" si="50"/>
        <v>0</v>
      </c>
      <c r="M16" s="97"/>
      <c r="N16" s="31">
        <f t="shared" ref="N16:O16" si="51">SUM(N15)</f>
        <v>0</v>
      </c>
      <c r="O16" s="77">
        <f t="shared" si="51"/>
        <v>0</v>
      </c>
      <c r="P16" s="97"/>
      <c r="Q16" s="31">
        <f t="shared" ref="Q16:V16" si="52">SUM(Q15)</f>
        <v>0</v>
      </c>
      <c r="R16" s="77">
        <f t="shared" si="52"/>
        <v>0</v>
      </c>
      <c r="S16" s="31">
        <f t="shared" si="52"/>
        <v>5</v>
      </c>
      <c r="T16" s="77">
        <f t="shared" si="52"/>
        <v>0.46480000000000005</v>
      </c>
      <c r="U16" s="31">
        <f t="shared" si="52"/>
        <v>0</v>
      </c>
      <c r="V16" s="77">
        <f t="shared" si="52"/>
        <v>0</v>
      </c>
    </row>
    <row r="17" spans="1:22" s="107" customFormat="1">
      <c r="A17" s="97" t="s">
        <v>13</v>
      </c>
      <c r="B17" s="97" t="s">
        <v>37</v>
      </c>
      <c r="C17" s="97">
        <v>9.61</v>
      </c>
      <c r="D17" s="109">
        <v>10.5</v>
      </c>
      <c r="E17" s="100">
        <v>1</v>
      </c>
      <c r="F17" s="101">
        <f>(C17*D17*E17/1000)</f>
        <v>0.10090499999999999</v>
      </c>
      <c r="G17" s="16" t="s">
        <v>111</v>
      </c>
      <c r="H17" s="103"/>
      <c r="I17" s="104">
        <f>(C17*D17*H17/1000)</f>
        <v>0</v>
      </c>
      <c r="J17" s="101"/>
      <c r="K17" s="103"/>
      <c r="L17" s="104">
        <f>(C17*D17*K17/1000)</f>
        <v>0</v>
      </c>
      <c r="M17" s="101"/>
      <c r="N17" s="103"/>
      <c r="O17" s="104">
        <f>(C17*D17*N17/1000)</f>
        <v>0</v>
      </c>
      <c r="P17" s="101"/>
      <c r="Q17" s="103"/>
      <c r="R17" s="104">
        <f>(C17*D17*Q17/1000)</f>
        <v>0</v>
      </c>
      <c r="S17" s="105">
        <f>+H17+K17+Q17+N17</f>
        <v>0</v>
      </c>
      <c r="T17" s="104">
        <f>+I17+L17+R17+O17</f>
        <v>0</v>
      </c>
      <c r="U17" s="106">
        <f>E17-S17</f>
        <v>1</v>
      </c>
      <c r="V17" s="104">
        <f>F17-T17</f>
        <v>0.10090499999999999</v>
      </c>
    </row>
    <row r="18" spans="1:22" s="107" customFormat="1">
      <c r="A18" s="97" t="s">
        <v>13</v>
      </c>
      <c r="B18" s="97" t="s">
        <v>37</v>
      </c>
      <c r="C18" s="97">
        <v>9.61</v>
      </c>
      <c r="D18" s="109">
        <v>10</v>
      </c>
      <c r="E18" s="100"/>
      <c r="F18" s="101">
        <f t="shared" ref="F18:F19" si="53">(C18*D18*E18/1000)</f>
        <v>0</v>
      </c>
      <c r="G18" s="16" t="s">
        <v>424</v>
      </c>
      <c r="H18" s="103">
        <v>1</v>
      </c>
      <c r="I18" s="104">
        <f t="shared" ref="I18:I19" si="54">(C18*D18*H18/1000)</f>
        <v>9.6099999999999991E-2</v>
      </c>
      <c r="J18" s="101"/>
      <c r="K18" s="103"/>
      <c r="L18" s="104">
        <f t="shared" ref="L18:L19" si="55">(C18*D18*K18/1000)</f>
        <v>0</v>
      </c>
      <c r="M18" s="101"/>
      <c r="N18" s="103"/>
      <c r="O18" s="104">
        <f t="shared" ref="O18:O19" si="56">(C18*D18*N18/1000)</f>
        <v>0</v>
      </c>
      <c r="P18" s="101"/>
      <c r="Q18" s="103"/>
      <c r="R18" s="104">
        <f t="shared" ref="R18:R19" si="57">(C18*D18*Q18/1000)</f>
        <v>0</v>
      </c>
      <c r="S18" s="105">
        <f t="shared" ref="S18:S19" si="58">+H18+K18+Q18+N18</f>
        <v>1</v>
      </c>
      <c r="T18" s="104">
        <f t="shared" ref="T18:T19" si="59">+I18+L18+R18+O18</f>
        <v>9.6099999999999991E-2</v>
      </c>
      <c r="U18" s="106">
        <f t="shared" ref="U18:U19" si="60">E18-S18</f>
        <v>-1</v>
      </c>
      <c r="V18" s="104">
        <f t="shared" ref="V18:V19" si="61">F18-T18</f>
        <v>-9.6099999999999991E-2</v>
      </c>
    </row>
    <row r="19" spans="1:22" s="107" customFormat="1">
      <c r="A19" s="97" t="s">
        <v>13</v>
      </c>
      <c r="B19" s="97" t="s">
        <v>37</v>
      </c>
      <c r="C19" s="97">
        <v>9.61</v>
      </c>
      <c r="D19" s="109">
        <v>9.8000000000000007</v>
      </c>
      <c r="E19" s="100"/>
      <c r="F19" s="101">
        <f t="shared" si="53"/>
        <v>0</v>
      </c>
      <c r="G19" s="16"/>
      <c r="H19" s="103">
        <v>1</v>
      </c>
      <c r="I19" s="104">
        <f t="shared" si="54"/>
        <v>9.4177999999999998E-2</v>
      </c>
      <c r="J19" s="101"/>
      <c r="K19" s="103"/>
      <c r="L19" s="104">
        <f t="shared" si="55"/>
        <v>0</v>
      </c>
      <c r="M19" s="101"/>
      <c r="N19" s="103"/>
      <c r="O19" s="104">
        <f t="shared" si="56"/>
        <v>0</v>
      </c>
      <c r="P19" s="101"/>
      <c r="Q19" s="103"/>
      <c r="R19" s="104">
        <f t="shared" si="57"/>
        <v>0</v>
      </c>
      <c r="S19" s="105">
        <f t="shared" si="58"/>
        <v>1</v>
      </c>
      <c r="T19" s="104">
        <f t="shared" si="59"/>
        <v>9.4177999999999998E-2</v>
      </c>
      <c r="U19" s="106">
        <f t="shared" si="60"/>
        <v>-1</v>
      </c>
      <c r="V19" s="104">
        <f t="shared" si="61"/>
        <v>-9.4177999999999998E-2</v>
      </c>
    </row>
    <row r="20" spans="1:22" s="107" customFormat="1">
      <c r="A20" s="36"/>
      <c r="B20" s="36"/>
      <c r="C20" s="36"/>
      <c r="D20" s="76"/>
      <c r="E20" s="31">
        <f>SUM(E17:E19)</f>
        <v>1</v>
      </c>
      <c r="F20" s="77">
        <f>SUM(F17:F19)</f>
        <v>0.10090499999999999</v>
      </c>
      <c r="G20" s="16"/>
      <c r="H20" s="31">
        <f>SUM(H17:H19)</f>
        <v>2</v>
      </c>
      <c r="I20" s="77">
        <f>SUM(I17:I19)</f>
        <v>0.190278</v>
      </c>
      <c r="J20" s="101"/>
      <c r="K20" s="31">
        <f>SUM(K17:K19)</f>
        <v>0</v>
      </c>
      <c r="L20" s="77">
        <f>SUM(L17:L19)</f>
        <v>0</v>
      </c>
      <c r="M20" s="101"/>
      <c r="N20" s="31">
        <f>SUM(N17:N19)</f>
        <v>0</v>
      </c>
      <c r="O20" s="77">
        <f>SUM(O17:O19)</f>
        <v>0</v>
      </c>
      <c r="P20" s="101"/>
      <c r="Q20" s="31">
        <f t="shared" ref="Q20:V20" si="62">SUM(Q17:Q19)</f>
        <v>0</v>
      </c>
      <c r="R20" s="77">
        <f t="shared" si="62"/>
        <v>0</v>
      </c>
      <c r="S20" s="31">
        <f t="shared" si="62"/>
        <v>2</v>
      </c>
      <c r="T20" s="77">
        <f t="shared" si="62"/>
        <v>0.190278</v>
      </c>
      <c r="U20" s="31">
        <f t="shared" si="62"/>
        <v>-1</v>
      </c>
      <c r="V20" s="77">
        <f t="shared" si="62"/>
        <v>-8.9372999999999994E-2</v>
      </c>
    </row>
    <row r="21" spans="1:22">
      <c r="A21" s="26" t="s">
        <v>13</v>
      </c>
      <c r="B21" s="26" t="s">
        <v>125</v>
      </c>
      <c r="C21" s="26">
        <v>27.3</v>
      </c>
      <c r="D21" s="74">
        <v>8.9</v>
      </c>
      <c r="E21" s="28">
        <v>4</v>
      </c>
      <c r="F21" s="16">
        <f>(C21*D21*E21/1000)</f>
        <v>0.97188000000000008</v>
      </c>
      <c r="G21" s="17" t="s">
        <v>88</v>
      </c>
      <c r="H21" s="18"/>
      <c r="I21" s="19">
        <f>(C21*D21*H21/1000)</f>
        <v>0</v>
      </c>
      <c r="J21" s="16" t="s">
        <v>86</v>
      </c>
      <c r="K21" s="18">
        <v>4</v>
      </c>
      <c r="L21" s="19">
        <f>(C21*D21*K21/1000)</f>
        <v>0.97188000000000008</v>
      </c>
      <c r="M21" s="16"/>
      <c r="N21" s="18"/>
      <c r="O21" s="19">
        <f>(C21*D21*N21/1000)</f>
        <v>0</v>
      </c>
      <c r="P21" s="16"/>
      <c r="Q21" s="18"/>
      <c r="R21" s="19">
        <f>(C21*D21*Q21/1000)</f>
        <v>0</v>
      </c>
      <c r="S21" s="20">
        <f t="shared" ref="S21:T24" si="63">+H21+K21+Q21+N21</f>
        <v>4</v>
      </c>
      <c r="T21" s="19">
        <f t="shared" si="63"/>
        <v>0.97188000000000008</v>
      </c>
      <c r="U21" s="21">
        <f t="shared" ref="U21:V24" si="64">E21-S21</f>
        <v>0</v>
      </c>
      <c r="V21" s="19">
        <f t="shared" si="64"/>
        <v>0</v>
      </c>
    </row>
    <row r="22" spans="1:22">
      <c r="A22" s="26" t="s">
        <v>13</v>
      </c>
      <c r="B22" s="26" t="s">
        <v>125</v>
      </c>
      <c r="C22" s="26">
        <v>27.3</v>
      </c>
      <c r="D22" s="74">
        <v>11.4</v>
      </c>
      <c r="E22" s="28">
        <v>4</v>
      </c>
      <c r="F22" s="16">
        <f>(C22*D22*E22/1000)</f>
        <v>1.2448800000000002</v>
      </c>
      <c r="G22" s="17" t="s">
        <v>394</v>
      </c>
      <c r="H22" s="18"/>
      <c r="I22" s="19">
        <f>(C22*D22*H22/1000)</f>
        <v>0</v>
      </c>
      <c r="J22" s="16" t="s">
        <v>394</v>
      </c>
      <c r="K22" s="18">
        <v>4</v>
      </c>
      <c r="L22" s="19">
        <f>(C22*D22*K22/1000)</f>
        <v>1.2448800000000002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 t="shared" si="63"/>
        <v>4</v>
      </c>
      <c r="T22" s="19">
        <f t="shared" si="63"/>
        <v>1.2448800000000002</v>
      </c>
      <c r="U22" s="21">
        <f t="shared" si="64"/>
        <v>0</v>
      </c>
      <c r="V22" s="19">
        <f t="shared" si="64"/>
        <v>0</v>
      </c>
    </row>
    <row r="23" spans="1:22">
      <c r="A23" s="26" t="s">
        <v>13</v>
      </c>
      <c r="B23" s="26" t="s">
        <v>125</v>
      </c>
      <c r="C23" s="26">
        <v>27.3</v>
      </c>
      <c r="D23" s="74">
        <v>11.8</v>
      </c>
      <c r="E23" s="28">
        <v>8</v>
      </c>
      <c r="F23" s="16">
        <f>(C23*D23*E23/1000)</f>
        <v>2.5771200000000003</v>
      </c>
      <c r="G23" s="17"/>
      <c r="H23" s="18"/>
      <c r="I23" s="19">
        <f>(C23*D23*H23/1000)</f>
        <v>0</v>
      </c>
      <c r="J23" s="16"/>
      <c r="K23" s="18">
        <v>8</v>
      </c>
      <c r="L23" s="19">
        <f>(C23*D23*K23/1000)</f>
        <v>2.5771200000000003</v>
      </c>
      <c r="M23" s="16"/>
      <c r="N23" s="18"/>
      <c r="O23" s="19">
        <f>(C23*D23*N23/1000)</f>
        <v>0</v>
      </c>
      <c r="P23" s="16"/>
      <c r="Q23" s="18"/>
      <c r="R23" s="19">
        <f>(C23*D23*Q23/1000)</f>
        <v>0</v>
      </c>
      <c r="S23" s="20">
        <f t="shared" ref="S23" si="65">+H23+K23+Q23+N23</f>
        <v>8</v>
      </c>
      <c r="T23" s="19">
        <f t="shared" ref="T23" si="66">+I23+L23+R23+O23</f>
        <v>2.5771200000000003</v>
      </c>
      <c r="U23" s="21">
        <f t="shared" ref="U23" si="67">E23-S23</f>
        <v>0</v>
      </c>
      <c r="V23" s="19">
        <f t="shared" ref="V23" si="68">F23-T23</f>
        <v>0</v>
      </c>
    </row>
    <row r="24" spans="1:22">
      <c r="A24" s="26" t="s">
        <v>13</v>
      </c>
      <c r="B24" s="26" t="s">
        <v>125</v>
      </c>
      <c r="C24" s="26">
        <v>27.3</v>
      </c>
      <c r="D24" s="74">
        <v>11.1</v>
      </c>
      <c r="E24" s="28">
        <v>4</v>
      </c>
      <c r="F24" s="16">
        <f>(C24*D24*E24/1000)</f>
        <v>1.2121199999999999</v>
      </c>
      <c r="G24" s="17"/>
      <c r="H24" s="18">
        <v>4</v>
      </c>
      <c r="I24" s="19">
        <f>(C24*D24*H24/1000)</f>
        <v>1.2121199999999999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 t="shared" si="63"/>
        <v>4</v>
      </c>
      <c r="T24" s="19">
        <f t="shared" si="63"/>
        <v>1.2121199999999999</v>
      </c>
      <c r="U24" s="21">
        <f t="shared" si="64"/>
        <v>0</v>
      </c>
      <c r="V24" s="19">
        <f t="shared" si="64"/>
        <v>0</v>
      </c>
    </row>
    <row r="25" spans="1:22">
      <c r="A25" s="36"/>
      <c r="B25" s="36"/>
      <c r="C25" s="36"/>
      <c r="D25" s="76"/>
      <c r="E25" s="31">
        <f t="shared" ref="E25:F25" si="69">SUM(E21:E24)</f>
        <v>20</v>
      </c>
      <c r="F25" s="77">
        <f t="shared" si="69"/>
        <v>6.0060000000000002</v>
      </c>
      <c r="G25" s="17"/>
      <c r="H25" s="31">
        <f t="shared" ref="H25" si="70">SUM(H21:H24)</f>
        <v>4</v>
      </c>
      <c r="I25" s="77">
        <f t="shared" ref="I25" si="71">SUM(I21:I24)</f>
        <v>1.2121199999999999</v>
      </c>
      <c r="J25" s="16"/>
      <c r="K25" s="31">
        <f t="shared" ref="K25" si="72">SUM(K21:K24)</f>
        <v>16</v>
      </c>
      <c r="L25" s="77">
        <f t="shared" ref="L25" si="73">SUM(L21:L24)</f>
        <v>4.7938800000000006</v>
      </c>
      <c r="M25" s="16"/>
      <c r="N25" s="31">
        <f t="shared" ref="N25" si="74">SUM(N21:N24)</f>
        <v>0</v>
      </c>
      <c r="O25" s="77">
        <f t="shared" ref="O25" si="75">SUM(O21:O24)</f>
        <v>0</v>
      </c>
      <c r="P25" s="16"/>
      <c r="Q25" s="31">
        <f t="shared" ref="Q25" si="76">SUM(Q21:Q24)</f>
        <v>0</v>
      </c>
      <c r="R25" s="77">
        <f t="shared" ref="R25" si="77">SUM(R21:R24)</f>
        <v>0</v>
      </c>
      <c r="S25" s="31">
        <f t="shared" ref="S25" si="78">SUM(S21:S24)</f>
        <v>20</v>
      </c>
      <c r="T25" s="77">
        <f t="shared" ref="T25" si="79">SUM(T21:T24)</f>
        <v>6.0060000000000002</v>
      </c>
      <c r="U25" s="31">
        <f t="shared" ref="U25" si="80">SUM(U21:U24)</f>
        <v>0</v>
      </c>
      <c r="V25" s="77">
        <f t="shared" ref="V25" si="81">SUM(V21:V24)</f>
        <v>0</v>
      </c>
    </row>
    <row r="26" spans="1:22">
      <c r="A26" s="26" t="s">
        <v>13</v>
      </c>
      <c r="B26" s="26" t="s">
        <v>18</v>
      </c>
      <c r="C26" s="26">
        <v>16.600000000000001</v>
      </c>
      <c r="D26" s="74">
        <v>8.3000000000000007</v>
      </c>
      <c r="E26" s="28">
        <v>8</v>
      </c>
      <c r="F26" s="16">
        <f>(C26*D26*E26/1000)</f>
        <v>1.1022400000000003</v>
      </c>
      <c r="G26" s="16" t="s">
        <v>93</v>
      </c>
      <c r="H26" s="18">
        <v>8</v>
      </c>
      <c r="I26" s="19">
        <f>(C26*D26*H26/1000)</f>
        <v>1.1022400000000003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+H26+K26+Q26+N26</f>
        <v>8</v>
      </c>
      <c r="T26" s="19">
        <f>+I26+L26+R26+O26</f>
        <v>1.1022400000000003</v>
      </c>
      <c r="U26" s="21">
        <f>E26-S26</f>
        <v>0</v>
      </c>
      <c r="V26" s="19">
        <f>F26-T26</f>
        <v>0</v>
      </c>
    </row>
    <row r="27" spans="1:22">
      <c r="A27" s="26" t="s">
        <v>13</v>
      </c>
      <c r="B27" s="26" t="s">
        <v>18</v>
      </c>
      <c r="C27" s="26">
        <v>16.600000000000001</v>
      </c>
      <c r="D27" s="74">
        <v>10.5</v>
      </c>
      <c r="E27" s="28">
        <v>4</v>
      </c>
      <c r="F27" s="16">
        <f>(C27*D27*E27/1000)</f>
        <v>0.69720000000000004</v>
      </c>
      <c r="G27" s="16" t="s">
        <v>409</v>
      </c>
      <c r="H27" s="18">
        <v>4</v>
      </c>
      <c r="I27" s="19">
        <f>(C27*D27*H27/1000)</f>
        <v>0.69720000000000004</v>
      </c>
      <c r="J27" s="16"/>
      <c r="K27" s="18"/>
      <c r="L27" s="19">
        <f>(C27*D27*K27/1000)</f>
        <v>0</v>
      </c>
      <c r="M27" s="16"/>
      <c r="N27" s="18"/>
      <c r="O27" s="19">
        <f>(C27*D27*N27/1000)</f>
        <v>0</v>
      </c>
      <c r="P27" s="16"/>
      <c r="Q27" s="18"/>
      <c r="R27" s="19">
        <f>(C27*D27*Q27/1000)</f>
        <v>0</v>
      </c>
      <c r="S27" s="20">
        <f>+H27+K27+Q27+N27</f>
        <v>4</v>
      </c>
      <c r="T27" s="19">
        <f>+I27+L27+R27+O27</f>
        <v>0.69720000000000004</v>
      </c>
      <c r="U27" s="21">
        <f>E27-S27</f>
        <v>0</v>
      </c>
      <c r="V27" s="19">
        <f>F27-T27</f>
        <v>0</v>
      </c>
    </row>
    <row r="28" spans="1:22">
      <c r="A28" s="36"/>
      <c r="B28" s="36"/>
      <c r="C28" s="36"/>
      <c r="D28" s="76"/>
      <c r="E28" s="31">
        <f t="shared" ref="E28:F28" si="82">SUM(E26:E27)</f>
        <v>12</v>
      </c>
      <c r="F28" s="77">
        <f t="shared" si="82"/>
        <v>1.7994400000000004</v>
      </c>
      <c r="H28" s="31">
        <f t="shared" ref="H28" si="83">SUM(H26:H27)</f>
        <v>12</v>
      </c>
      <c r="I28" s="77">
        <f t="shared" ref="I28" si="84">SUM(I26:I27)</f>
        <v>1.7994400000000004</v>
      </c>
      <c r="K28" s="31">
        <f t="shared" ref="K28" si="85">SUM(K26:K27)</f>
        <v>0</v>
      </c>
      <c r="L28" s="77">
        <f t="shared" ref="L28" si="86">SUM(L26:L27)</f>
        <v>0</v>
      </c>
      <c r="N28" s="31">
        <f t="shared" ref="N28" si="87">SUM(N26:N27)</f>
        <v>0</v>
      </c>
      <c r="O28" s="77">
        <f t="shared" ref="O28" si="88">SUM(O26:O27)</f>
        <v>0</v>
      </c>
      <c r="Q28" s="31">
        <f t="shared" ref="Q28" si="89">SUM(Q26:Q27)</f>
        <v>0</v>
      </c>
      <c r="R28" s="77">
        <f t="shared" ref="R28" si="90">SUM(R26:R27)</f>
        <v>0</v>
      </c>
      <c r="S28" s="31">
        <f t="shared" ref="S28" si="91">SUM(S26:S27)</f>
        <v>12</v>
      </c>
      <c r="T28" s="77">
        <f t="shared" ref="T28" si="92">SUM(T26:T27)</f>
        <v>1.7994400000000004</v>
      </c>
      <c r="U28" s="31">
        <f t="shared" ref="U28" si="93">SUM(U26:U27)</f>
        <v>0</v>
      </c>
      <c r="V28" s="77">
        <f t="shared" ref="V28" si="94">SUM(V26:V27)</f>
        <v>0</v>
      </c>
    </row>
    <row r="29" spans="1:22">
      <c r="A29" s="26" t="s">
        <v>13</v>
      </c>
      <c r="B29" s="26" t="s">
        <v>47</v>
      </c>
      <c r="C29" s="26">
        <v>18.2</v>
      </c>
      <c r="D29" s="74">
        <v>9.4</v>
      </c>
      <c r="E29" s="28">
        <v>11</v>
      </c>
      <c r="F29" s="16">
        <f>(C29*D29*E29/1000)</f>
        <v>1.8818800000000002</v>
      </c>
      <c r="G29" s="17" t="s">
        <v>93</v>
      </c>
      <c r="H29" s="18">
        <v>11</v>
      </c>
      <c r="I29" s="19">
        <f>(C29*D29*H29/1000)</f>
        <v>1.8818800000000002</v>
      </c>
      <c r="J29" s="16"/>
      <c r="K29" s="18"/>
      <c r="L29" s="19">
        <f>(C29*D29*K29/1000)</f>
        <v>0</v>
      </c>
      <c r="M29" s="16"/>
      <c r="N29" s="18"/>
      <c r="O29" s="19">
        <f>(C29*D29*N29/1000)</f>
        <v>0</v>
      </c>
      <c r="P29" s="16"/>
      <c r="Q29" s="18"/>
      <c r="R29" s="19">
        <f>(C29*D29*Q29/1000)</f>
        <v>0</v>
      </c>
      <c r="S29" s="20">
        <f>+H29+K29+Q29+N29</f>
        <v>11</v>
      </c>
      <c r="T29" s="19">
        <f>+I29+L29+R29+O29</f>
        <v>1.8818800000000002</v>
      </c>
      <c r="U29" s="21">
        <f>E29-S29</f>
        <v>0</v>
      </c>
      <c r="V29" s="19">
        <f>F29-T29</f>
        <v>0</v>
      </c>
    </row>
    <row r="30" spans="1:22">
      <c r="A30" s="36"/>
      <c r="B30" s="36"/>
      <c r="C30" s="36"/>
      <c r="D30" s="76"/>
      <c r="E30" s="31">
        <f t="shared" ref="E30:F30" si="95">SUM(E29)</f>
        <v>11</v>
      </c>
      <c r="F30" s="77">
        <f t="shared" si="95"/>
        <v>1.8818800000000002</v>
      </c>
      <c r="G30" t="s">
        <v>419</v>
      </c>
      <c r="H30" s="31">
        <f t="shared" ref="H30" si="96">SUM(H29)</f>
        <v>11</v>
      </c>
      <c r="I30" s="77">
        <f t="shared" ref="I30" si="97">SUM(I29)</f>
        <v>1.8818800000000002</v>
      </c>
      <c r="K30" s="31">
        <f t="shared" ref="K30" si="98">SUM(K29)</f>
        <v>0</v>
      </c>
      <c r="L30" s="77">
        <f t="shared" ref="L30" si="99">SUM(L29)</f>
        <v>0</v>
      </c>
      <c r="N30" s="31">
        <f t="shared" ref="N30" si="100">SUM(N29)</f>
        <v>0</v>
      </c>
      <c r="O30" s="77">
        <f t="shared" ref="O30" si="101">SUM(O29)</f>
        <v>0</v>
      </c>
      <c r="Q30" s="31">
        <f t="shared" ref="Q30" si="102">SUM(Q29)</f>
        <v>0</v>
      </c>
      <c r="R30" s="77">
        <f t="shared" ref="R30" si="103">SUM(R29)</f>
        <v>0</v>
      </c>
      <c r="S30" s="31">
        <f t="shared" ref="S30" si="104">SUM(S29)</f>
        <v>11</v>
      </c>
      <c r="T30" s="77">
        <f t="shared" ref="T30" si="105">SUM(T29)</f>
        <v>1.8818800000000002</v>
      </c>
      <c r="U30" s="31">
        <f t="shared" ref="U30" si="106">SUM(U29)</f>
        <v>0</v>
      </c>
      <c r="V30" s="77">
        <f t="shared" ref="V30" si="107">SUM(V29)</f>
        <v>0</v>
      </c>
    </row>
    <row r="31" spans="1:22">
      <c r="A31" s="26" t="s">
        <v>13</v>
      </c>
      <c r="B31" s="26" t="s">
        <v>75</v>
      </c>
      <c r="C31" s="26">
        <v>31.6</v>
      </c>
      <c r="D31" s="74">
        <v>8</v>
      </c>
      <c r="E31" s="28">
        <v>4</v>
      </c>
      <c r="F31" s="16">
        <f>(C31*D31*E31/1000)</f>
        <v>1.0112000000000001</v>
      </c>
      <c r="G31" s="16" t="s">
        <v>86</v>
      </c>
      <c r="H31" s="18">
        <v>4</v>
      </c>
      <c r="I31" s="19">
        <f>(C31*D31*H31/1000)</f>
        <v>1.0112000000000001</v>
      </c>
      <c r="J31" s="16"/>
      <c r="K31" s="18"/>
      <c r="L31" s="19">
        <f>(C31*D31*K31/1000)</f>
        <v>0</v>
      </c>
      <c r="M31" s="16"/>
      <c r="N31" s="18"/>
      <c r="O31" s="19">
        <f>(C31*D31*N31/1000)</f>
        <v>0</v>
      </c>
      <c r="P31" s="16"/>
      <c r="Q31" s="18"/>
      <c r="R31" s="19">
        <f>(C31*D31*Q31/1000)</f>
        <v>0</v>
      </c>
      <c r="S31" s="20">
        <f>+H31+K31+Q31+N31</f>
        <v>4</v>
      </c>
      <c r="T31" s="19">
        <f>+I31+L31+R31+O31</f>
        <v>1.0112000000000001</v>
      </c>
      <c r="U31" s="21">
        <f>E31-S31</f>
        <v>0</v>
      </c>
      <c r="V31" s="19">
        <f>F31-T31</f>
        <v>0</v>
      </c>
    </row>
    <row r="32" spans="1:22">
      <c r="A32" s="26" t="s">
        <v>13</v>
      </c>
      <c r="B32" s="26" t="s">
        <v>75</v>
      </c>
      <c r="C32" s="26">
        <v>31.6</v>
      </c>
      <c r="D32" s="74">
        <v>11.6</v>
      </c>
      <c r="E32" s="28">
        <v>2</v>
      </c>
      <c r="F32" s="16">
        <f>(C32*D32*E32/1000)</f>
        <v>0.73311999999999999</v>
      </c>
      <c r="G32" s="16" t="s">
        <v>394</v>
      </c>
      <c r="H32" s="18">
        <v>2</v>
      </c>
      <c r="I32" s="19">
        <f>(C32*D32*H32/1000)</f>
        <v>0.73311999999999999</v>
      </c>
      <c r="J32" s="16"/>
      <c r="K32" s="18"/>
      <c r="L32" s="19">
        <f>(C32*D32*K32/1000)</f>
        <v>0</v>
      </c>
      <c r="M32" s="16"/>
      <c r="N32" s="18"/>
      <c r="O32" s="19">
        <f>(C32*D32*N32/1000)</f>
        <v>0</v>
      </c>
      <c r="P32" s="16"/>
      <c r="Q32" s="18"/>
      <c r="R32" s="19">
        <f>(C32*D32*Q32/1000)</f>
        <v>0</v>
      </c>
      <c r="S32" s="20">
        <f>+H32+K32+Q32+N32</f>
        <v>2</v>
      </c>
      <c r="T32" s="19">
        <f>+I32+L32+R32+O32</f>
        <v>0.73311999999999999</v>
      </c>
      <c r="U32" s="21">
        <f>E32-S32</f>
        <v>0</v>
      </c>
      <c r="V32" s="19">
        <f>F32-T32</f>
        <v>0</v>
      </c>
    </row>
    <row r="33" spans="1:22">
      <c r="A33" s="36"/>
      <c r="B33" s="36"/>
      <c r="C33" s="36"/>
      <c r="D33" s="76"/>
      <c r="E33" s="31">
        <f t="shared" ref="E33:F33" si="108">SUM(E31:E32)</f>
        <v>6</v>
      </c>
      <c r="F33" s="77">
        <f t="shared" si="108"/>
        <v>1.7443200000000001</v>
      </c>
      <c r="H33" s="31">
        <f t="shared" ref="H33" si="109">SUM(H31:H32)</f>
        <v>6</v>
      </c>
      <c r="I33" s="77">
        <f t="shared" ref="I33" si="110">SUM(I31:I32)</f>
        <v>1.7443200000000001</v>
      </c>
      <c r="K33" s="31">
        <f t="shared" ref="K33" si="111">SUM(K31:K32)</f>
        <v>0</v>
      </c>
      <c r="L33" s="77">
        <f t="shared" ref="L33" si="112">SUM(L31:L32)</f>
        <v>0</v>
      </c>
      <c r="N33" s="31">
        <f t="shared" ref="N33" si="113">SUM(N31:N32)</f>
        <v>0</v>
      </c>
      <c r="O33" s="77">
        <f t="shared" ref="O33" si="114">SUM(O31:O32)</f>
        <v>0</v>
      </c>
      <c r="Q33" s="31">
        <f t="shared" ref="Q33" si="115">SUM(Q31:Q32)</f>
        <v>0</v>
      </c>
      <c r="R33" s="77">
        <f t="shared" ref="R33" si="116">SUM(R31:R32)</f>
        <v>0</v>
      </c>
      <c r="S33" s="31">
        <f t="shared" ref="S33" si="117">SUM(S31:S32)</f>
        <v>6</v>
      </c>
      <c r="T33" s="77">
        <f t="shared" ref="T33" si="118">SUM(T31:T32)</f>
        <v>1.7443200000000001</v>
      </c>
      <c r="U33" s="31">
        <f t="shared" ref="U33" si="119">SUM(U31:U32)</f>
        <v>0</v>
      </c>
      <c r="V33" s="77">
        <f t="shared" ref="V33" si="120">SUM(V31:V32)</f>
        <v>0</v>
      </c>
    </row>
    <row r="34" spans="1:22">
      <c r="A34" s="26" t="s">
        <v>13</v>
      </c>
      <c r="B34" s="26" t="s">
        <v>161</v>
      </c>
      <c r="C34" s="26">
        <v>44.2</v>
      </c>
      <c r="D34" s="74">
        <v>5.8</v>
      </c>
      <c r="E34" s="28">
        <v>8</v>
      </c>
      <c r="F34" s="16">
        <f>(C34*D34*E34/1000)</f>
        <v>2.0508800000000003</v>
      </c>
      <c r="G34" s="16" t="s">
        <v>93</v>
      </c>
      <c r="H34" s="18">
        <v>8</v>
      </c>
      <c r="I34" s="19">
        <f>(C34*D34*H34/1000)</f>
        <v>2.0508800000000003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+H34+K34+Q34+N34</f>
        <v>8</v>
      </c>
      <c r="T34" s="19">
        <f>+I34+L34+R34+O34</f>
        <v>2.0508800000000003</v>
      </c>
      <c r="U34" s="21">
        <f>E34-S34</f>
        <v>0</v>
      </c>
      <c r="V34" s="19">
        <f>F34-T34</f>
        <v>0</v>
      </c>
    </row>
    <row r="35" spans="1:22">
      <c r="A35" s="26" t="s">
        <v>13</v>
      </c>
      <c r="B35" s="26" t="s">
        <v>161</v>
      </c>
      <c r="C35" s="26">
        <v>44.2</v>
      </c>
      <c r="D35" s="74">
        <v>9.8000000000000007</v>
      </c>
      <c r="E35" s="28">
        <v>8</v>
      </c>
      <c r="F35" s="16">
        <f>(C35*D35*E35/1000)</f>
        <v>3.4652800000000008</v>
      </c>
      <c r="G35" s="16" t="s">
        <v>391</v>
      </c>
      <c r="H35" s="18">
        <v>8</v>
      </c>
      <c r="I35" s="19">
        <f>(C35*D35*H35/1000)</f>
        <v>3.4652800000000008</v>
      </c>
      <c r="J35" s="16"/>
      <c r="K35" s="18"/>
      <c r="L35" s="19">
        <f>(C35*D35*K35/1000)</f>
        <v>0</v>
      </c>
      <c r="M35" s="16"/>
      <c r="N35" s="18"/>
      <c r="O35" s="19">
        <f>(C35*D35*N35/1000)</f>
        <v>0</v>
      </c>
      <c r="P35" s="16"/>
      <c r="Q35" s="18"/>
      <c r="R35" s="19">
        <f>(C35*D35*Q35/1000)</f>
        <v>0</v>
      </c>
      <c r="S35" s="20">
        <f>+H35+K35+Q35+N35</f>
        <v>8</v>
      </c>
      <c r="T35" s="19">
        <f>+I35+L35+R35+O35</f>
        <v>3.4652800000000008</v>
      </c>
      <c r="U35" s="21">
        <f>E35-S35</f>
        <v>0</v>
      </c>
      <c r="V35" s="19">
        <f>F35-T35</f>
        <v>0</v>
      </c>
    </row>
    <row r="36" spans="1:22">
      <c r="A36" s="36"/>
      <c r="B36" s="36"/>
      <c r="C36" s="36"/>
      <c r="D36" s="76"/>
      <c r="E36" s="31">
        <f t="shared" ref="E36:F36" si="121">SUM(E34:E35)</f>
        <v>16</v>
      </c>
      <c r="F36" s="77">
        <f t="shared" si="121"/>
        <v>5.5161600000000011</v>
      </c>
      <c r="H36" s="31">
        <f t="shared" ref="H36" si="122">SUM(H34:H35)</f>
        <v>16</v>
      </c>
      <c r="I36" s="77">
        <f t="shared" ref="I36" si="123">SUM(I34:I35)</f>
        <v>5.5161600000000011</v>
      </c>
      <c r="K36" s="31">
        <f t="shared" ref="K36" si="124">SUM(K34:K35)</f>
        <v>0</v>
      </c>
      <c r="L36" s="77">
        <f t="shared" ref="L36" si="125">SUM(L34:L35)</f>
        <v>0</v>
      </c>
      <c r="N36" s="31">
        <f t="shared" ref="N36" si="126">SUM(N34:N35)</f>
        <v>0</v>
      </c>
      <c r="O36" s="77">
        <f t="shared" ref="O36" si="127">SUM(O34:O35)</f>
        <v>0</v>
      </c>
      <c r="Q36" s="31">
        <f t="shared" ref="Q36" si="128">SUM(Q34:Q35)</f>
        <v>0</v>
      </c>
      <c r="R36" s="77">
        <f t="shared" ref="R36" si="129">SUM(R34:R35)</f>
        <v>0</v>
      </c>
      <c r="S36" s="31">
        <f t="shared" ref="S36" si="130">SUM(S34:S35)</f>
        <v>16</v>
      </c>
      <c r="T36" s="77">
        <f t="shared" ref="T36" si="131">SUM(T34:T35)</f>
        <v>5.5161600000000011</v>
      </c>
      <c r="U36" s="31">
        <f t="shared" ref="U36" si="132">SUM(U34:U35)</f>
        <v>0</v>
      </c>
      <c r="V36" s="77">
        <f t="shared" ref="V36" si="133">SUM(V34:V35)</f>
        <v>0</v>
      </c>
    </row>
    <row r="37" spans="1:22">
      <c r="A37" s="26" t="s">
        <v>13</v>
      </c>
      <c r="B37" s="26" t="s">
        <v>127</v>
      </c>
      <c r="C37" s="26">
        <v>35.9</v>
      </c>
      <c r="D37" s="74">
        <v>7.7</v>
      </c>
      <c r="E37" s="28">
        <v>10</v>
      </c>
      <c r="F37" s="16">
        <f>(C37*D37*E37/1000)</f>
        <v>2.7643</v>
      </c>
      <c r="G37" s="16" t="s">
        <v>93</v>
      </c>
      <c r="H37" s="18">
        <v>10</v>
      </c>
      <c r="I37" s="19">
        <f>(C37*D37*H37/1000)</f>
        <v>2.7643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>+H37+K37+Q37+N37</f>
        <v>10</v>
      </c>
      <c r="T37" s="19">
        <f>+I37+L37+R37+O37</f>
        <v>2.7643</v>
      </c>
      <c r="U37" s="21">
        <f>E37-S37</f>
        <v>0</v>
      </c>
      <c r="V37" s="19">
        <f>F37-T37</f>
        <v>0</v>
      </c>
    </row>
    <row r="38" spans="1:22">
      <c r="A38" s="36"/>
      <c r="B38" s="36"/>
      <c r="C38" s="36"/>
      <c r="D38" s="76"/>
      <c r="E38" s="31">
        <f t="shared" ref="E38:F38" si="134">SUM(E37)</f>
        <v>10</v>
      </c>
      <c r="F38" s="77">
        <f t="shared" si="134"/>
        <v>2.7643</v>
      </c>
      <c r="G38" s="16" t="s">
        <v>391</v>
      </c>
      <c r="H38" s="31">
        <f t="shared" ref="H38" si="135">SUM(H37)</f>
        <v>10</v>
      </c>
      <c r="I38" s="77">
        <f t="shared" ref="I38" si="136">SUM(I37)</f>
        <v>2.7643</v>
      </c>
      <c r="K38" s="31">
        <f t="shared" ref="K38" si="137">SUM(K37)</f>
        <v>0</v>
      </c>
      <c r="L38" s="77">
        <f t="shared" ref="L38" si="138">SUM(L37)</f>
        <v>0</v>
      </c>
      <c r="N38" s="31">
        <f t="shared" ref="N38" si="139">SUM(N37)</f>
        <v>0</v>
      </c>
      <c r="O38" s="77">
        <f t="shared" ref="O38" si="140">SUM(O37)</f>
        <v>0</v>
      </c>
      <c r="Q38" s="31">
        <f t="shared" ref="Q38" si="141">SUM(Q37)</f>
        <v>0</v>
      </c>
      <c r="R38" s="77">
        <f t="shared" ref="R38" si="142">SUM(R37)</f>
        <v>0</v>
      </c>
      <c r="S38" s="31">
        <f t="shared" ref="S38" si="143">SUM(S37)</f>
        <v>10</v>
      </c>
      <c r="T38" s="77">
        <f t="shared" ref="T38" si="144">SUM(T37)</f>
        <v>2.7643</v>
      </c>
      <c r="U38" s="31">
        <f t="shared" ref="U38" si="145">SUM(U37)</f>
        <v>0</v>
      </c>
      <c r="V38" s="77">
        <f t="shared" ref="V38" si="146">SUM(V37)</f>
        <v>0</v>
      </c>
    </row>
    <row r="39" spans="1:22">
      <c r="A39" s="26" t="s">
        <v>13</v>
      </c>
      <c r="B39" s="26" t="s">
        <v>128</v>
      </c>
      <c r="C39" s="26">
        <v>40.1</v>
      </c>
      <c r="D39" s="74">
        <v>5.5</v>
      </c>
      <c r="E39" s="28">
        <v>8</v>
      </c>
      <c r="F39" s="16">
        <f>(C39*D39*E39/1000)</f>
        <v>1.7644000000000002</v>
      </c>
      <c r="G39" s="16" t="s">
        <v>93</v>
      </c>
      <c r="H39" s="18">
        <v>8</v>
      </c>
      <c r="I39" s="19">
        <f>(C39*D39*H39/1000)</f>
        <v>1.7644000000000002</v>
      </c>
      <c r="J39" s="16"/>
      <c r="K39" s="18"/>
      <c r="L39" s="19">
        <f>(C39*D39*K39/1000)</f>
        <v>0</v>
      </c>
      <c r="M39" s="16"/>
      <c r="N39" s="18"/>
      <c r="O39" s="19">
        <f>(C39*D39*N39/1000)</f>
        <v>0</v>
      </c>
      <c r="P39" s="16"/>
      <c r="Q39" s="18"/>
      <c r="R39" s="19">
        <f>(C39*D39*Q39/1000)</f>
        <v>0</v>
      </c>
      <c r="S39" s="20">
        <f>+H39+K39+Q39+N39</f>
        <v>8</v>
      </c>
      <c r="T39" s="19">
        <f>+I39+L39+R39+O39</f>
        <v>1.7644000000000002</v>
      </c>
      <c r="U39" s="21">
        <f>E39-S39</f>
        <v>0</v>
      </c>
      <c r="V39" s="19">
        <f>F39-T39</f>
        <v>0</v>
      </c>
    </row>
    <row r="40" spans="1:22">
      <c r="A40" s="36"/>
      <c r="B40" s="36"/>
      <c r="C40" s="36"/>
      <c r="D40" s="76"/>
      <c r="E40" s="31">
        <f t="shared" ref="E40:F40" si="147">SUM(E39)</f>
        <v>8</v>
      </c>
      <c r="F40" s="77">
        <f t="shared" si="147"/>
        <v>1.7644000000000002</v>
      </c>
      <c r="G40" s="16" t="s">
        <v>394</v>
      </c>
      <c r="H40" s="31">
        <f t="shared" ref="H40" si="148">SUM(H39)</f>
        <v>8</v>
      </c>
      <c r="I40" s="77">
        <f t="shared" ref="I40" si="149">SUM(I39)</f>
        <v>1.7644000000000002</v>
      </c>
      <c r="K40" s="31">
        <f t="shared" ref="K40" si="150">SUM(K39)</f>
        <v>0</v>
      </c>
      <c r="L40" s="77">
        <f t="shared" ref="L40" si="151">SUM(L39)</f>
        <v>0</v>
      </c>
      <c r="N40" s="31">
        <f t="shared" ref="N40" si="152">SUM(N39)</f>
        <v>0</v>
      </c>
      <c r="O40" s="77">
        <f t="shared" ref="O40" si="153">SUM(O39)</f>
        <v>0</v>
      </c>
      <c r="Q40" s="31">
        <f t="shared" ref="Q40" si="154">SUM(Q39)</f>
        <v>0</v>
      </c>
      <c r="R40" s="77">
        <f t="shared" ref="R40" si="155">SUM(R39)</f>
        <v>0</v>
      </c>
      <c r="S40" s="31">
        <f t="shared" ref="S40" si="156">SUM(S39)</f>
        <v>8</v>
      </c>
      <c r="T40" s="77">
        <f t="shared" ref="T40" si="157">SUM(T39)</f>
        <v>1.7644000000000002</v>
      </c>
      <c r="U40" s="31">
        <f t="shared" ref="U40" si="158">SUM(U39)</f>
        <v>0</v>
      </c>
      <c r="V40" s="77">
        <f t="shared" ref="V40" si="159">SUM(V39)</f>
        <v>0</v>
      </c>
    </row>
    <row r="41" spans="1:22">
      <c r="A41" s="33"/>
      <c r="B41" s="33"/>
      <c r="C41" s="33"/>
      <c r="D41" s="75"/>
      <c r="E41" s="34">
        <f t="shared" ref="E41:F41" si="160">SUM(E40,E38,E36,E33,E30,E28,E25,E20,E16,E14,E10,E7)</f>
        <v>98</v>
      </c>
      <c r="F41" s="77">
        <f t="shared" si="160"/>
        <v>23.045005000000003</v>
      </c>
      <c r="H41" s="34">
        <f t="shared" ref="H41" si="161">SUM(H40,H38,H36,H33,H30,H28,H25,H20,H16,H14,H10,H7)</f>
        <v>85</v>
      </c>
      <c r="I41" s="77">
        <f t="shared" ref="I41" si="162">SUM(I40,I38,I36,I33,I30,I28,I25,I20,I16,I14,I10,I7)</f>
        <v>18.399280000000001</v>
      </c>
      <c r="K41" s="34">
        <f t="shared" ref="K41" si="163">SUM(K40,K38,K36,K33,K30,K28,K25,K20,K16,K14,K10,K7)</f>
        <v>16</v>
      </c>
      <c r="L41" s="77">
        <f t="shared" ref="L41" si="164">SUM(L40,L38,L36,L33,L30,L28,L25,L20,L16,L14,L10,L7)</f>
        <v>4.7938800000000006</v>
      </c>
      <c r="N41" s="34">
        <f t="shared" ref="N41" si="165">SUM(N40,N38,N36,N33,N30,N28,N25,N20,N16,N14,N10,N7)</f>
        <v>0</v>
      </c>
      <c r="O41" s="77">
        <f t="shared" ref="O41" si="166">SUM(O40,O38,O36,O33,O30,O28,O25,O20,O16,O14,O10,O7)</f>
        <v>0</v>
      </c>
      <c r="Q41" s="34">
        <f t="shared" ref="Q41" si="167">SUM(Q40,Q38,Q36,Q33,Q30,Q28,Q25,Q20,Q16,Q14,Q10,Q7)</f>
        <v>0</v>
      </c>
      <c r="R41" s="77">
        <f t="shared" ref="R41" si="168">SUM(R40,R38,R36,R33,R30,R28,R25,R20,R16,R14,R10,R7)</f>
        <v>0</v>
      </c>
      <c r="S41" s="34">
        <f t="shared" ref="S41" si="169">SUM(S40,S38,S36,S33,S30,S28,S25,S20,S16,S14,S10,S7)</f>
        <v>101</v>
      </c>
      <c r="T41" s="77">
        <f t="shared" ref="T41" si="170">SUM(T40,T38,T36,T33,T30,T28,T25,T20,T16,T14,T10,T7)</f>
        <v>23.193159999999999</v>
      </c>
      <c r="U41" s="34">
        <f t="shared" ref="U41" si="171">SUM(U40,U38,U36,U33,U30,U28,U25,U20,U16,U14,U10,U7)</f>
        <v>-3</v>
      </c>
      <c r="V41" s="77">
        <f t="shared" ref="V41" si="172">SUM(V40,V38,V36,V33,V30,V28,V25,V20,V16,V14,V10,V7)</f>
        <v>-0.14815499999999993</v>
      </c>
    </row>
    <row r="46" spans="1:22" s="56" customFormat="1">
      <c r="A46" s="57" t="s">
        <v>13</v>
      </c>
      <c r="B46" s="57" t="s">
        <v>61</v>
      </c>
      <c r="C46" s="57">
        <v>12.2</v>
      </c>
      <c r="D46" s="83">
        <v>8.5</v>
      </c>
      <c r="E46" s="60">
        <v>16</v>
      </c>
      <c r="F46" s="61">
        <f>(C46*D46*E46/1000)</f>
        <v>1.6591999999999998</v>
      </c>
      <c r="G46" s="62"/>
      <c r="H46" s="63"/>
      <c r="I46" s="64">
        <f>(C46*D46*H46/1000)</f>
        <v>0</v>
      </c>
      <c r="J46" s="61"/>
      <c r="K46" s="63"/>
      <c r="L46" s="64">
        <f>(C46*D46*K46/1000)</f>
        <v>0</v>
      </c>
      <c r="M46" s="61"/>
      <c r="N46" s="63"/>
      <c r="O46" s="64">
        <f>(C46*D46*N46/1000)</f>
        <v>0</v>
      </c>
      <c r="P46" s="61"/>
      <c r="Q46" s="63"/>
      <c r="R46" s="64">
        <f>(C46*D46*Q46/1000)</f>
        <v>0</v>
      </c>
      <c r="S46" s="65">
        <f>+H46+K46+Q46+N46</f>
        <v>0</v>
      </c>
      <c r="T46" s="64">
        <f>+I46+L46+R46+O46</f>
        <v>0</v>
      </c>
      <c r="U46" s="42">
        <f>E46-S46</f>
        <v>16</v>
      </c>
      <c r="V46" s="64">
        <f>F46-T46</f>
        <v>1.6591999999999998</v>
      </c>
    </row>
    <row r="47" spans="1:22" s="56" customFormat="1">
      <c r="A47" s="57" t="s">
        <v>13</v>
      </c>
      <c r="B47" s="57" t="s">
        <v>61</v>
      </c>
      <c r="C47" s="57">
        <v>12.2</v>
      </c>
      <c r="D47" s="83">
        <v>10</v>
      </c>
      <c r="E47" s="60">
        <v>2</v>
      </c>
      <c r="F47" s="61">
        <f>(C47*D47*E47/1000)</f>
        <v>0.24399999999999999</v>
      </c>
      <c r="G47" s="62"/>
      <c r="H47" s="63"/>
      <c r="I47" s="64">
        <f>(C47*D47*H47/1000)</f>
        <v>0</v>
      </c>
      <c r="J47" s="61"/>
      <c r="K47" s="63"/>
      <c r="L47" s="64">
        <f>(C47*D47*K47/1000)</f>
        <v>0</v>
      </c>
      <c r="M47" s="61"/>
      <c r="N47" s="63"/>
      <c r="O47" s="64">
        <f>(C47*D47*N47/1000)</f>
        <v>0</v>
      </c>
      <c r="P47" s="61"/>
      <c r="Q47" s="63"/>
      <c r="R47" s="64">
        <f>(C47*D47*Q47/1000)</f>
        <v>0</v>
      </c>
      <c r="S47" s="65">
        <f>+H47+K47+Q47+N47</f>
        <v>0</v>
      </c>
      <c r="T47" s="64">
        <f>+I47+L47+R47+O47</f>
        <v>0</v>
      </c>
      <c r="U47" s="42">
        <f>E47-S47</f>
        <v>2</v>
      </c>
      <c r="V47" s="64">
        <f>F47-T47</f>
        <v>0.24399999999999999</v>
      </c>
    </row>
    <row r="48" spans="1:22" s="56" customFormat="1">
      <c r="A48" s="41"/>
      <c r="B48" s="41"/>
      <c r="C48" s="41"/>
      <c r="D48" s="84"/>
      <c r="E48" s="68">
        <f t="shared" ref="E48:F48" si="173">SUM(E46:E47)</f>
        <v>18</v>
      </c>
      <c r="F48" s="85">
        <f t="shared" si="173"/>
        <v>1.9031999999999998</v>
      </c>
      <c r="G48" s="62"/>
      <c r="H48" s="68">
        <f t="shared" ref="H48" si="174">SUM(H46:H47)</f>
        <v>0</v>
      </c>
      <c r="I48" s="85">
        <f t="shared" ref="I48" si="175">SUM(I46:I47)</f>
        <v>0</v>
      </c>
      <c r="J48" s="61"/>
      <c r="K48" s="68">
        <f t="shared" ref="K48" si="176">SUM(K46:K47)</f>
        <v>0</v>
      </c>
      <c r="L48" s="85">
        <f t="shared" ref="L48" si="177">SUM(L46:L47)</f>
        <v>0</v>
      </c>
      <c r="M48" s="61"/>
      <c r="N48" s="68">
        <f t="shared" ref="N48" si="178">SUM(N46:N47)</f>
        <v>0</v>
      </c>
      <c r="O48" s="85">
        <f t="shared" ref="O48" si="179">SUM(O46:O47)</f>
        <v>0</v>
      </c>
      <c r="P48" s="61"/>
      <c r="Q48" s="68">
        <f t="shared" ref="Q48" si="180">SUM(Q46:Q47)</f>
        <v>0</v>
      </c>
      <c r="R48" s="85">
        <f t="shared" ref="R48" si="181">SUM(R46:R47)</f>
        <v>0</v>
      </c>
      <c r="S48" s="68">
        <f t="shared" ref="S48" si="182">SUM(S46:S47)</f>
        <v>0</v>
      </c>
      <c r="T48" s="85">
        <f t="shared" ref="T48" si="183">SUM(T46:T47)</f>
        <v>0</v>
      </c>
      <c r="U48" s="68">
        <f t="shared" ref="U48" si="184">SUM(U46:U47)</f>
        <v>18</v>
      </c>
      <c r="V48" s="85">
        <f t="shared" ref="V48" si="185">SUM(V46:V47)</f>
        <v>1.9031999999999998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>
  <sheetPr codeName="Sheet73"/>
  <dimension ref="A1:X93"/>
  <sheetViews>
    <sheetView zoomScale="75" zoomScaleNormal="75" workbookViewId="0">
      <pane ySplit="5" topLeftCell="A24" activePane="bottomLeft" state="frozen"/>
      <selection pane="bottomLeft" activeCell="G37" sqref="G37:G38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LOI-714  12.08.23</v>
      </c>
      <c r="D1" s="1"/>
      <c r="E1" s="2"/>
      <c r="F1" s="2"/>
      <c r="G1" s="143" t="s">
        <v>364</v>
      </c>
      <c r="H1" s="144"/>
      <c r="I1" s="145" t="s">
        <v>375</v>
      </c>
      <c r="J1" s="144"/>
      <c r="K1" s="3"/>
      <c r="L1" s="4"/>
      <c r="M1" s="4"/>
      <c r="N1" s="3"/>
      <c r="O1" s="4"/>
      <c r="P1" s="146" t="str">
        <f>+F2</f>
        <v>LOI-714  12.08.23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366</v>
      </c>
      <c r="B2" s="8"/>
      <c r="C2" s="9"/>
      <c r="D2" s="9"/>
      <c r="E2" s="10"/>
      <c r="F2" s="146" t="s">
        <v>374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LOI-714  12.08.23</v>
      </c>
      <c r="V2" s="146"/>
    </row>
    <row r="3" spans="1:22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26">
        <v>9.26</v>
      </c>
      <c r="D6" s="74">
        <v>10.9</v>
      </c>
      <c r="E6" s="28">
        <v>8</v>
      </c>
      <c r="F6" s="16">
        <f>(C6*D6*E6/1000)</f>
        <v>0.80747199999999997</v>
      </c>
      <c r="G6" s="16" t="s">
        <v>111</v>
      </c>
      <c r="H6" s="18">
        <v>8</v>
      </c>
      <c r="I6" s="19">
        <f>(C6*D6*H6/1000)</f>
        <v>0.80747199999999997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8</v>
      </c>
      <c r="T6" s="19">
        <f>+I6+L6+R6+O6</f>
        <v>0.80747199999999997</v>
      </c>
      <c r="U6" s="21">
        <f>E6-S6</f>
        <v>0</v>
      </c>
      <c r="V6" s="19">
        <f>F6-T6</f>
        <v>0</v>
      </c>
    </row>
    <row r="7" spans="1:22">
      <c r="A7" s="36"/>
      <c r="B7" s="36"/>
      <c r="C7" s="36"/>
      <c r="D7" s="76"/>
      <c r="E7" s="31">
        <f t="shared" ref="E7:F7" si="0">SUM(E6)</f>
        <v>8</v>
      </c>
      <c r="F7" s="77">
        <f t="shared" si="0"/>
        <v>0.80747199999999997</v>
      </c>
      <c r="G7" s="16" t="s">
        <v>426</v>
      </c>
      <c r="H7" s="31">
        <f t="shared" ref="H7" si="1">SUM(H6)</f>
        <v>8</v>
      </c>
      <c r="I7" s="77">
        <f t="shared" ref="I7" si="2">SUM(I6)</f>
        <v>0.80747199999999997</v>
      </c>
      <c r="J7" s="26"/>
      <c r="K7" s="31">
        <f t="shared" ref="K7" si="3">SUM(K6)</f>
        <v>0</v>
      </c>
      <c r="L7" s="77">
        <f t="shared" ref="L7" si="4">SUM(L6)</f>
        <v>0</v>
      </c>
      <c r="M7" s="26"/>
      <c r="N7" s="31">
        <f t="shared" ref="N7" si="5">SUM(N6)</f>
        <v>0</v>
      </c>
      <c r="O7" s="77">
        <f t="shared" ref="O7" si="6">SUM(O6)</f>
        <v>0</v>
      </c>
      <c r="P7" s="26"/>
      <c r="Q7" s="31">
        <f t="shared" ref="Q7" si="7">SUM(Q6)</f>
        <v>0</v>
      </c>
      <c r="R7" s="77">
        <f t="shared" ref="R7" si="8">SUM(R6)</f>
        <v>0</v>
      </c>
      <c r="S7" s="31">
        <f t="shared" ref="S7" si="9">SUM(S6)</f>
        <v>8</v>
      </c>
      <c r="T7" s="77">
        <f t="shared" ref="T7" si="10">SUM(T6)</f>
        <v>0.80747199999999997</v>
      </c>
      <c r="U7" s="31">
        <f t="shared" ref="U7" si="11">SUM(U6)</f>
        <v>0</v>
      </c>
      <c r="V7" s="77">
        <f t="shared" ref="V7" si="12">SUM(V6)</f>
        <v>0</v>
      </c>
    </row>
    <row r="8" spans="1:22">
      <c r="A8" s="26" t="s">
        <v>13</v>
      </c>
      <c r="B8" s="26" t="s">
        <v>25</v>
      </c>
      <c r="C8" s="26">
        <v>13.4</v>
      </c>
      <c r="D8" s="74">
        <v>10.9</v>
      </c>
      <c r="E8" s="28">
        <v>18</v>
      </c>
      <c r="F8" s="16">
        <f>(C8*D8*E8/1000)</f>
        <v>2.6290800000000001</v>
      </c>
      <c r="G8" s="16" t="s">
        <v>93</v>
      </c>
      <c r="H8" s="18">
        <v>18</v>
      </c>
      <c r="I8" s="19">
        <f>(C8*D8*H8/1000)</f>
        <v>2.6290800000000001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18</v>
      </c>
      <c r="T8" s="19">
        <f>+I8+L8+R8+O8</f>
        <v>2.6290800000000001</v>
      </c>
      <c r="U8" s="21">
        <f>E8-S8</f>
        <v>0</v>
      </c>
      <c r="V8" s="19">
        <f>F8-T8</f>
        <v>0</v>
      </c>
    </row>
    <row r="9" spans="1:22">
      <c r="A9" s="36"/>
      <c r="B9" s="36"/>
      <c r="C9" s="36"/>
      <c r="D9" s="76"/>
      <c r="E9" s="31">
        <f t="shared" ref="E9:F9" si="13">SUM(E8)</f>
        <v>18</v>
      </c>
      <c r="F9" s="77">
        <f t="shared" si="13"/>
        <v>2.6290800000000001</v>
      </c>
      <c r="G9" s="16" t="s">
        <v>469</v>
      </c>
      <c r="H9" s="31">
        <f t="shared" ref="H9" si="14">SUM(H8)</f>
        <v>18</v>
      </c>
      <c r="I9" s="77">
        <f t="shared" ref="I9" si="15">SUM(I8)</f>
        <v>2.6290800000000001</v>
      </c>
      <c r="J9" s="26"/>
      <c r="K9" s="31">
        <f t="shared" ref="K9" si="16">SUM(K8)</f>
        <v>0</v>
      </c>
      <c r="L9" s="77">
        <f t="shared" ref="L9" si="17">SUM(L8)</f>
        <v>0</v>
      </c>
      <c r="M9" s="26"/>
      <c r="N9" s="31">
        <f t="shared" ref="N9" si="18">SUM(N8)</f>
        <v>0</v>
      </c>
      <c r="O9" s="77">
        <f t="shared" ref="O9" si="19">SUM(O8)</f>
        <v>0</v>
      </c>
      <c r="P9" s="26"/>
      <c r="Q9" s="31">
        <f t="shared" ref="Q9" si="20">SUM(Q8)</f>
        <v>0</v>
      </c>
      <c r="R9" s="77">
        <f t="shared" ref="R9" si="21">SUM(R8)</f>
        <v>0</v>
      </c>
      <c r="S9" s="31">
        <f t="shared" ref="S9" si="22">SUM(S8)</f>
        <v>18</v>
      </c>
      <c r="T9" s="77">
        <f t="shared" ref="T9" si="23">SUM(T8)</f>
        <v>2.6290800000000001</v>
      </c>
      <c r="U9" s="31">
        <f t="shared" ref="U9" si="24">SUM(U8)</f>
        <v>0</v>
      </c>
      <c r="V9" s="77">
        <f t="shared" ref="V9" si="25">SUM(V8)</f>
        <v>0</v>
      </c>
    </row>
    <row r="10" spans="1:22">
      <c r="A10" s="26" t="s">
        <v>13</v>
      </c>
      <c r="B10" s="26" t="s">
        <v>125</v>
      </c>
      <c r="C10" s="26">
        <v>27.3</v>
      </c>
      <c r="D10" s="74">
        <v>10.1</v>
      </c>
      <c r="E10" s="28">
        <v>108</v>
      </c>
      <c r="F10" s="16">
        <f>(C10*D10*E10/1000)</f>
        <v>29.778840000000002</v>
      </c>
      <c r="G10" s="16" t="s">
        <v>295</v>
      </c>
      <c r="H10" s="18">
        <v>16</v>
      </c>
      <c r="I10" s="19">
        <f>(C10*D10*H10/1000)</f>
        <v>4.4116800000000005</v>
      </c>
      <c r="J10" s="16" t="s">
        <v>111</v>
      </c>
      <c r="K10" s="18">
        <v>30</v>
      </c>
      <c r="L10" s="19">
        <f>(C10*D10*K10/1000)</f>
        <v>8.2719000000000023</v>
      </c>
      <c r="M10" s="16" t="s">
        <v>93</v>
      </c>
      <c r="N10" s="18">
        <v>5</v>
      </c>
      <c r="O10" s="19">
        <f>(C10*D10*N10/1000)</f>
        <v>1.3786500000000002</v>
      </c>
      <c r="P10" s="16" t="s">
        <v>89</v>
      </c>
      <c r="Q10" s="18">
        <f>43+5</f>
        <v>48</v>
      </c>
      <c r="R10" s="19">
        <f>(C10*D10*Q10/1000)</f>
        <v>13.235040000000001</v>
      </c>
      <c r="S10" s="20">
        <f>+H10+K10+Q10+N10</f>
        <v>99</v>
      </c>
      <c r="T10" s="19">
        <f>+I10+L10+R10+O10</f>
        <v>27.297270000000005</v>
      </c>
      <c r="U10" s="21">
        <f>E10-S10</f>
        <v>9</v>
      </c>
      <c r="V10" s="19">
        <f>F10-T10</f>
        <v>2.4815699999999978</v>
      </c>
    </row>
    <row r="11" spans="1:22">
      <c r="A11" s="26" t="s">
        <v>13</v>
      </c>
      <c r="B11" s="26" t="s">
        <v>125</v>
      </c>
      <c r="C11" s="26">
        <v>27.3</v>
      </c>
      <c r="D11" s="74">
        <v>11.6</v>
      </c>
      <c r="E11" s="28">
        <v>72</v>
      </c>
      <c r="F11" s="16">
        <f t="shared" ref="F11:F17" si="26">(C11*D11*E11/1000)</f>
        <v>22.80096</v>
      </c>
      <c r="G11" s="16" t="s">
        <v>421</v>
      </c>
      <c r="H11" s="18">
        <v>20</v>
      </c>
      <c r="I11" s="19">
        <f t="shared" ref="I11:I17" si="27">(C11*D11*H11/1000)</f>
        <v>6.3336000000000006</v>
      </c>
      <c r="J11" s="16" t="s">
        <v>426</v>
      </c>
      <c r="K11" s="18">
        <v>19</v>
      </c>
      <c r="L11" s="19">
        <f t="shared" ref="L11:L17" si="28">(C11*D11*K11/1000)</f>
        <v>6.0169199999999998</v>
      </c>
      <c r="M11" s="16" t="s">
        <v>454</v>
      </c>
      <c r="N11" s="18">
        <v>9</v>
      </c>
      <c r="O11" s="19">
        <f t="shared" ref="O11:O17" si="29">(C11*D11*N11/1000)</f>
        <v>2.85012</v>
      </c>
      <c r="P11" s="16" t="s">
        <v>456</v>
      </c>
      <c r="Q11" s="18">
        <f>9+2+5</f>
        <v>16</v>
      </c>
      <c r="R11" s="19">
        <f t="shared" ref="R11:R17" si="30">(C11*D11*Q11/1000)</f>
        <v>5.0668800000000003</v>
      </c>
      <c r="S11" s="20">
        <f t="shared" ref="S11:S17" si="31">+H11+K11+Q11+N11</f>
        <v>64</v>
      </c>
      <c r="T11" s="19">
        <f t="shared" ref="T11:T17" si="32">+I11+L11+R11+O11</f>
        <v>20.267520000000001</v>
      </c>
      <c r="U11" s="21">
        <f t="shared" ref="U11:U17" si="33">E11-S11</f>
        <v>8</v>
      </c>
      <c r="V11" s="19">
        <f t="shared" ref="V11:V17" si="34">F11-T11</f>
        <v>2.5334399999999988</v>
      </c>
    </row>
    <row r="12" spans="1:22">
      <c r="A12" s="26" t="s">
        <v>13</v>
      </c>
      <c r="B12" s="26" t="s">
        <v>125</v>
      </c>
      <c r="C12" s="26">
        <v>27.3</v>
      </c>
      <c r="D12" s="74">
        <v>8.9</v>
      </c>
      <c r="E12" s="28"/>
      <c r="F12" s="16">
        <f t="shared" si="26"/>
        <v>0</v>
      </c>
      <c r="G12" s="16"/>
      <c r="H12" s="18"/>
      <c r="I12" s="19">
        <f t="shared" si="27"/>
        <v>0</v>
      </c>
      <c r="J12" s="16"/>
      <c r="K12" s="18"/>
      <c r="L12" s="19">
        <f t="shared" si="28"/>
        <v>0</v>
      </c>
      <c r="M12" s="16"/>
      <c r="N12" s="18"/>
      <c r="O12" s="19">
        <f t="shared" si="29"/>
        <v>0</v>
      </c>
      <c r="P12" s="16" t="s">
        <v>325</v>
      </c>
      <c r="Q12" s="18">
        <v>9</v>
      </c>
      <c r="R12" s="19">
        <f t="shared" si="30"/>
        <v>2.1867300000000003</v>
      </c>
      <c r="S12" s="20">
        <f t="shared" si="31"/>
        <v>9</v>
      </c>
      <c r="T12" s="19">
        <f t="shared" si="32"/>
        <v>2.1867300000000003</v>
      </c>
      <c r="U12" s="21">
        <f t="shared" si="33"/>
        <v>-9</v>
      </c>
      <c r="V12" s="19">
        <f t="shared" si="34"/>
        <v>-2.1867300000000003</v>
      </c>
    </row>
    <row r="13" spans="1:22">
      <c r="A13" s="26" t="s">
        <v>13</v>
      </c>
      <c r="B13" s="26" t="s">
        <v>125</v>
      </c>
      <c r="C13" s="26">
        <v>27.3</v>
      </c>
      <c r="D13" s="74">
        <v>7.77</v>
      </c>
      <c r="E13" s="28"/>
      <c r="F13" s="16">
        <f t="shared" si="26"/>
        <v>0</v>
      </c>
      <c r="G13" s="16"/>
      <c r="H13" s="18"/>
      <c r="I13" s="19">
        <f t="shared" si="27"/>
        <v>0</v>
      </c>
      <c r="J13" s="16"/>
      <c r="K13" s="18"/>
      <c r="L13" s="19">
        <f t="shared" si="28"/>
        <v>0</v>
      </c>
      <c r="M13" s="16"/>
      <c r="N13" s="18"/>
      <c r="O13" s="19">
        <f t="shared" si="29"/>
        <v>0</v>
      </c>
      <c r="P13" s="16" t="s">
        <v>465</v>
      </c>
      <c r="Q13" s="18">
        <v>5</v>
      </c>
      <c r="R13" s="19">
        <f t="shared" si="30"/>
        <v>1.060605</v>
      </c>
      <c r="S13" s="20">
        <f t="shared" si="31"/>
        <v>5</v>
      </c>
      <c r="T13" s="19">
        <f t="shared" si="32"/>
        <v>1.060605</v>
      </c>
      <c r="U13" s="21">
        <f t="shared" si="33"/>
        <v>-5</v>
      </c>
      <c r="V13" s="19">
        <f t="shared" si="34"/>
        <v>-1.060605</v>
      </c>
    </row>
    <row r="14" spans="1:22">
      <c r="A14" s="26" t="s">
        <v>13</v>
      </c>
      <c r="B14" s="26" t="s">
        <v>125</v>
      </c>
      <c r="C14" s="26">
        <v>27.3</v>
      </c>
      <c r="D14" s="74">
        <v>3.9350000000000001</v>
      </c>
      <c r="E14" s="28"/>
      <c r="F14" s="16">
        <f t="shared" si="26"/>
        <v>0</v>
      </c>
      <c r="G14" s="16"/>
      <c r="H14" s="18"/>
      <c r="I14" s="19">
        <f t="shared" si="27"/>
        <v>0</v>
      </c>
      <c r="J14" s="16"/>
      <c r="K14" s="18"/>
      <c r="L14" s="19">
        <f t="shared" si="28"/>
        <v>0</v>
      </c>
      <c r="M14" s="16"/>
      <c r="N14" s="18"/>
      <c r="O14" s="19">
        <f t="shared" si="29"/>
        <v>0</v>
      </c>
      <c r="P14" s="16"/>
      <c r="Q14" s="18">
        <v>1</v>
      </c>
      <c r="R14" s="19">
        <f t="shared" si="30"/>
        <v>0.10742549999999999</v>
      </c>
      <c r="S14" s="20">
        <f t="shared" si="31"/>
        <v>1</v>
      </c>
      <c r="T14" s="19">
        <f t="shared" si="32"/>
        <v>0.10742549999999999</v>
      </c>
      <c r="U14" s="21">
        <f t="shared" si="33"/>
        <v>-1</v>
      </c>
      <c r="V14" s="19">
        <f t="shared" si="34"/>
        <v>-0.10742549999999999</v>
      </c>
    </row>
    <row r="15" spans="1:22">
      <c r="A15" s="26" t="s">
        <v>13</v>
      </c>
      <c r="B15" s="26" t="s">
        <v>125</v>
      </c>
      <c r="C15" s="26">
        <v>27.3</v>
      </c>
      <c r="D15" s="74">
        <v>5.0999999999999996</v>
      </c>
      <c r="E15" s="28"/>
      <c r="F15" s="16">
        <f t="shared" si="26"/>
        <v>0</v>
      </c>
      <c r="G15" s="16"/>
      <c r="H15" s="18"/>
      <c r="I15" s="19">
        <f t="shared" si="27"/>
        <v>0</v>
      </c>
      <c r="J15" s="16"/>
      <c r="K15" s="18"/>
      <c r="L15" s="19">
        <f t="shared" si="28"/>
        <v>0</v>
      </c>
      <c r="M15" s="16"/>
      <c r="N15" s="18"/>
      <c r="O15" s="19">
        <f t="shared" si="29"/>
        <v>0</v>
      </c>
      <c r="P15" s="16"/>
      <c r="Q15" s="18">
        <v>11</v>
      </c>
      <c r="R15" s="19">
        <f t="shared" si="30"/>
        <v>1.5315300000000001</v>
      </c>
      <c r="S15" s="20">
        <f t="shared" si="31"/>
        <v>11</v>
      </c>
      <c r="T15" s="19">
        <f t="shared" si="32"/>
        <v>1.5315300000000001</v>
      </c>
      <c r="U15" s="21">
        <f t="shared" si="33"/>
        <v>-11</v>
      </c>
      <c r="V15" s="19">
        <f t="shared" si="34"/>
        <v>-1.5315300000000001</v>
      </c>
    </row>
    <row r="16" spans="1:22">
      <c r="A16" s="26" t="s">
        <v>13</v>
      </c>
      <c r="B16" s="26" t="s">
        <v>125</v>
      </c>
      <c r="C16" s="26">
        <v>27.3</v>
      </c>
      <c r="D16" s="74">
        <v>3.95</v>
      </c>
      <c r="E16" s="28"/>
      <c r="F16" s="16">
        <f t="shared" si="26"/>
        <v>0</v>
      </c>
      <c r="G16" s="16"/>
      <c r="H16" s="18"/>
      <c r="I16" s="19">
        <f t="shared" si="27"/>
        <v>0</v>
      </c>
      <c r="J16" s="16"/>
      <c r="K16" s="18"/>
      <c r="L16" s="19">
        <f t="shared" si="28"/>
        <v>0</v>
      </c>
      <c r="M16" s="16"/>
      <c r="N16" s="18"/>
      <c r="O16" s="19">
        <f t="shared" si="29"/>
        <v>0</v>
      </c>
      <c r="P16" s="16"/>
      <c r="Q16" s="18">
        <v>4</v>
      </c>
      <c r="R16" s="19">
        <f t="shared" si="30"/>
        <v>0.43134000000000006</v>
      </c>
      <c r="S16" s="20">
        <f t="shared" si="31"/>
        <v>4</v>
      </c>
      <c r="T16" s="19">
        <f t="shared" si="32"/>
        <v>0.43134000000000006</v>
      </c>
      <c r="U16" s="21">
        <f t="shared" si="33"/>
        <v>-4</v>
      </c>
      <c r="V16" s="19">
        <f t="shared" si="34"/>
        <v>-0.43134000000000006</v>
      </c>
    </row>
    <row r="17" spans="1:24">
      <c r="A17" s="26" t="s">
        <v>13</v>
      </c>
      <c r="B17" s="26" t="s">
        <v>125</v>
      </c>
      <c r="C17" s="26">
        <v>27.3</v>
      </c>
      <c r="D17" s="74"/>
      <c r="E17" s="28"/>
      <c r="F17" s="16">
        <f t="shared" si="26"/>
        <v>0</v>
      </c>
      <c r="G17" s="16"/>
      <c r="H17" s="18"/>
      <c r="I17" s="19">
        <f t="shared" si="27"/>
        <v>0</v>
      </c>
      <c r="J17" s="16"/>
      <c r="K17" s="18"/>
      <c r="L17" s="19">
        <f t="shared" si="28"/>
        <v>0</v>
      </c>
      <c r="M17" s="16"/>
      <c r="N17" s="18"/>
      <c r="O17" s="19">
        <f t="shared" si="29"/>
        <v>0</v>
      </c>
      <c r="P17" s="16"/>
      <c r="Q17" s="18"/>
      <c r="R17" s="19">
        <f t="shared" si="30"/>
        <v>0</v>
      </c>
      <c r="S17" s="20">
        <f t="shared" si="31"/>
        <v>0</v>
      </c>
      <c r="T17" s="19">
        <f t="shared" si="32"/>
        <v>0</v>
      </c>
      <c r="U17" s="21">
        <f t="shared" si="33"/>
        <v>0</v>
      </c>
      <c r="V17" s="19">
        <f t="shared" si="34"/>
        <v>0</v>
      </c>
    </row>
    <row r="18" spans="1:24">
      <c r="A18" s="26" t="s">
        <v>13</v>
      </c>
      <c r="B18" s="26" t="s">
        <v>125</v>
      </c>
      <c r="C18" s="26">
        <v>27.3</v>
      </c>
      <c r="D18" s="74"/>
      <c r="E18" s="28"/>
      <c r="F18" s="16">
        <f>(C18*D18*E18/1000)</f>
        <v>0</v>
      </c>
      <c r="G18" s="16"/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0</v>
      </c>
      <c r="V18" s="19">
        <f>F18-T18</f>
        <v>0</v>
      </c>
    </row>
    <row r="19" spans="1:24">
      <c r="A19" s="36"/>
      <c r="B19" s="36"/>
      <c r="C19" s="36"/>
      <c r="D19" s="76"/>
      <c r="E19" s="31">
        <f t="shared" ref="E19:F19" si="35">SUM(E10:E18)</f>
        <v>180</v>
      </c>
      <c r="F19" s="77">
        <f t="shared" si="35"/>
        <v>52.579800000000006</v>
      </c>
      <c r="G19" s="17"/>
      <c r="H19" s="31">
        <f t="shared" ref="H19" si="36">SUM(H10:H18)</f>
        <v>36</v>
      </c>
      <c r="I19" s="77">
        <f t="shared" ref="I19" si="37">SUM(I10:I18)</f>
        <v>10.745280000000001</v>
      </c>
      <c r="J19" s="16"/>
      <c r="K19" s="31">
        <f t="shared" ref="K19" si="38">SUM(K10:K18)</f>
        <v>49</v>
      </c>
      <c r="L19" s="77">
        <f t="shared" ref="L19" si="39">SUM(L10:L18)</f>
        <v>14.288820000000001</v>
      </c>
      <c r="M19" s="16"/>
      <c r="N19" s="31">
        <f t="shared" ref="N19" si="40">SUM(N10:N18)</f>
        <v>14</v>
      </c>
      <c r="O19" s="77">
        <f t="shared" ref="O19" si="41">SUM(O10:O18)</f>
        <v>4.2287699999999999</v>
      </c>
      <c r="P19" s="16"/>
      <c r="Q19" s="31">
        <f t="shared" ref="Q19" si="42">SUM(Q10:Q18)</f>
        <v>94</v>
      </c>
      <c r="R19" s="77">
        <f t="shared" ref="R19" si="43">SUM(R10:R18)</f>
        <v>23.619550500000003</v>
      </c>
      <c r="S19" s="31">
        <f t="shared" ref="S19" si="44">SUM(S10:S18)</f>
        <v>193</v>
      </c>
      <c r="T19" s="77">
        <f t="shared" ref="T19" si="45">SUM(T10:T18)</f>
        <v>52.882420500000002</v>
      </c>
      <c r="U19" s="31">
        <f t="shared" ref="U19" si="46">SUM(U10:U18)</f>
        <v>-13</v>
      </c>
      <c r="V19" s="77">
        <f t="shared" ref="V19" si="47">SUM(V10:V18)</f>
        <v>-0.30262050000000373</v>
      </c>
      <c r="X19" s="29"/>
    </row>
    <row r="20" spans="1:24" ht="15.6">
      <c r="A20" s="26" t="s">
        <v>13</v>
      </c>
      <c r="B20" s="26" t="s">
        <v>126</v>
      </c>
      <c r="C20" s="26">
        <v>33.799999999999997</v>
      </c>
      <c r="D20" s="74">
        <v>7.3</v>
      </c>
      <c r="E20" s="28">
        <v>316</v>
      </c>
      <c r="F20" s="16">
        <f>(C20*D20*E20/1000)</f>
        <v>77.969839999999991</v>
      </c>
      <c r="G20" s="16" t="s">
        <v>89</v>
      </c>
      <c r="H20" s="18">
        <v>108</v>
      </c>
      <c r="I20" s="19">
        <f>(C20*D20*H20/1000)</f>
        <v>26.647919999999999</v>
      </c>
      <c r="J20" s="110" t="s">
        <v>93</v>
      </c>
      <c r="K20" s="18">
        <v>12</v>
      </c>
      <c r="L20" s="19">
        <f>(C20*D20*K20/1000)</f>
        <v>2.9608799999999995</v>
      </c>
      <c r="M20" s="16" t="s">
        <v>449</v>
      </c>
      <c r="N20" s="18">
        <f>36+132</f>
        <v>168</v>
      </c>
      <c r="O20" s="19">
        <f>(C20*D20*N20/1000)</f>
        <v>41.45232</v>
      </c>
      <c r="P20" s="16" t="s">
        <v>93</v>
      </c>
      <c r="Q20" s="18">
        <v>26</v>
      </c>
      <c r="R20" s="19">
        <f>(C20*D20*Q20/1000)</f>
        <v>6.4152399999999998</v>
      </c>
      <c r="S20" s="20">
        <f>+H20+K20+Q20+N20</f>
        <v>314</v>
      </c>
      <c r="T20" s="19">
        <f>+I20+L20+R20+O20</f>
        <v>77.47636</v>
      </c>
      <c r="U20" s="21">
        <f>E20-S20</f>
        <v>2</v>
      </c>
      <c r="V20" s="19">
        <f>F20-T20</f>
        <v>0.49347999999999104</v>
      </c>
    </row>
    <row r="21" spans="1:24" ht="15.6">
      <c r="A21" s="26" t="s">
        <v>13</v>
      </c>
      <c r="B21" s="26" t="s">
        <v>126</v>
      </c>
      <c r="C21" s="26">
        <v>33.799999999999997</v>
      </c>
      <c r="D21" s="74">
        <v>7.2</v>
      </c>
      <c r="E21" s="28"/>
      <c r="F21" s="16">
        <f>(C21*D21*E21/1000)</f>
        <v>0</v>
      </c>
      <c r="G21" s="16" t="s">
        <v>444</v>
      </c>
      <c r="H21" s="18"/>
      <c r="I21" s="19">
        <f>(C21*D21*H21/1000)</f>
        <v>0</v>
      </c>
      <c r="J21" s="110" t="s">
        <v>444</v>
      </c>
      <c r="K21" s="18"/>
      <c r="L21" s="19">
        <f>(C21*D21*K21/1000)</f>
        <v>0</v>
      </c>
      <c r="M21" s="16" t="s">
        <v>450</v>
      </c>
      <c r="N21" s="18"/>
      <c r="O21" s="19">
        <f>(C21*D21*N21/1000)</f>
        <v>0</v>
      </c>
      <c r="P21" s="16" t="s">
        <v>451</v>
      </c>
      <c r="Q21" s="18">
        <v>2</v>
      </c>
      <c r="R21" s="19">
        <f>(C21*D21*Q21/1000)</f>
        <v>0.48671999999999999</v>
      </c>
      <c r="S21" s="20">
        <f>+H21+K21+Q21+N21</f>
        <v>2</v>
      </c>
      <c r="T21" s="19">
        <f>+I21+L21+R21+O21</f>
        <v>0.48671999999999999</v>
      </c>
      <c r="U21" s="21">
        <f>E21-S21</f>
        <v>-2</v>
      </c>
      <c r="V21" s="19">
        <f>F21-T21</f>
        <v>-0.48671999999999999</v>
      </c>
    </row>
    <row r="22" spans="1:24" ht="15.6">
      <c r="A22" s="36"/>
      <c r="B22" s="36"/>
      <c r="C22" s="36"/>
      <c r="D22" s="76"/>
      <c r="E22" s="31">
        <f t="shared" ref="E22:F22" si="48">SUM(E20:E21)</f>
        <v>316</v>
      </c>
      <c r="F22" s="77">
        <f t="shared" si="48"/>
        <v>77.969839999999991</v>
      </c>
      <c r="G22" s="16"/>
      <c r="H22" s="31">
        <f t="shared" ref="H22" si="49">SUM(H20:H21)</f>
        <v>108</v>
      </c>
      <c r="I22" s="77">
        <f t="shared" ref="I22" si="50">SUM(I20:I21)</f>
        <v>26.647919999999999</v>
      </c>
      <c r="J22" s="110"/>
      <c r="K22" s="31">
        <f t="shared" ref="K22" si="51">SUM(K20:K21)</f>
        <v>12</v>
      </c>
      <c r="L22" s="77">
        <f t="shared" ref="L22" si="52">SUM(L20:L21)</f>
        <v>2.9608799999999995</v>
      </c>
      <c r="M22" s="16"/>
      <c r="N22" s="31">
        <f t="shared" ref="N22" si="53">SUM(N20:N21)</f>
        <v>168</v>
      </c>
      <c r="O22" s="77">
        <f t="shared" ref="O22" si="54">SUM(O20:O21)</f>
        <v>41.45232</v>
      </c>
      <c r="P22" s="16"/>
      <c r="Q22" s="31">
        <f t="shared" ref="Q22" si="55">SUM(Q20:Q21)</f>
        <v>28</v>
      </c>
      <c r="R22" s="77">
        <f t="shared" ref="R22" si="56">SUM(R20:R21)</f>
        <v>6.9019599999999999</v>
      </c>
      <c r="S22" s="31">
        <f t="shared" ref="S22" si="57">SUM(S20:S21)</f>
        <v>316</v>
      </c>
      <c r="T22" s="77">
        <f t="shared" ref="T22" si="58">SUM(T20:T21)</f>
        <v>77.963080000000005</v>
      </c>
      <c r="U22" s="31">
        <f t="shared" ref="U22" si="59">SUM(U20:U21)</f>
        <v>0</v>
      </c>
      <c r="V22" s="77">
        <f t="shared" ref="V22" si="60">SUM(V20:V21)</f>
        <v>6.7599999999910509E-3</v>
      </c>
    </row>
    <row r="23" spans="1:24">
      <c r="A23" s="26" t="s">
        <v>13</v>
      </c>
      <c r="B23" s="26" t="s">
        <v>31</v>
      </c>
      <c r="C23" s="26">
        <v>10.199999999999999</v>
      </c>
      <c r="D23" s="74">
        <v>10.9</v>
      </c>
      <c r="E23" s="28">
        <v>8</v>
      </c>
      <c r="F23" s="16">
        <f>(C23*D23*E23/1000)</f>
        <v>0.8894399999999999</v>
      </c>
      <c r="G23" s="16" t="s">
        <v>111</v>
      </c>
      <c r="H23" s="18"/>
      <c r="I23" s="19">
        <f>(C23*D23*H23/1000)</f>
        <v>0</v>
      </c>
      <c r="J23" s="16"/>
      <c r="K23" s="18"/>
      <c r="L23" s="19">
        <f>(C23*D23*K23/1000)</f>
        <v>0</v>
      </c>
      <c r="M23" s="16"/>
      <c r="N23" s="18"/>
      <c r="O23" s="19">
        <f>(C23*D23*N23/1000)</f>
        <v>0</v>
      </c>
      <c r="P23" s="16"/>
      <c r="Q23" s="18"/>
      <c r="R23" s="19">
        <f>(C23*D23*Q23/1000)</f>
        <v>0</v>
      </c>
      <c r="S23" s="20">
        <f>+H23+K23+Q23+N23</f>
        <v>0</v>
      </c>
      <c r="T23" s="19">
        <f>+I23+L23+R23+O23</f>
        <v>0</v>
      </c>
      <c r="U23" s="21">
        <f>E23-S23</f>
        <v>8</v>
      </c>
      <c r="V23" s="19">
        <f>F23-T23</f>
        <v>0.8894399999999999</v>
      </c>
    </row>
    <row r="24" spans="1:24">
      <c r="A24" s="26" t="s">
        <v>13</v>
      </c>
      <c r="B24" s="26" t="s">
        <v>31</v>
      </c>
      <c r="C24" s="26">
        <v>10.199999999999999</v>
      </c>
      <c r="D24" s="74">
        <v>11</v>
      </c>
      <c r="E24" s="28"/>
      <c r="F24" s="16">
        <f>(C24*D24*E24/1000)</f>
        <v>0</v>
      </c>
      <c r="G24" s="16" t="s">
        <v>426</v>
      </c>
      <c r="H24" s="18">
        <v>8</v>
      </c>
      <c r="I24" s="19">
        <f>(C24*D24*H24/1000)</f>
        <v>0.89759999999999995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8</v>
      </c>
      <c r="T24" s="19">
        <f>+I24+L24+R24+O24</f>
        <v>0.89759999999999995</v>
      </c>
      <c r="U24" s="21">
        <f>E24-S24</f>
        <v>-8</v>
      </c>
      <c r="V24" s="19">
        <f>F24-T24</f>
        <v>-0.89759999999999995</v>
      </c>
    </row>
    <row r="25" spans="1:24">
      <c r="A25" s="36"/>
      <c r="B25" s="36"/>
      <c r="C25" s="36"/>
      <c r="D25" s="76"/>
      <c r="E25" s="31">
        <f t="shared" ref="E25:F25" si="61">SUM(E23:E24)</f>
        <v>8</v>
      </c>
      <c r="F25" s="77">
        <f t="shared" si="61"/>
        <v>0.8894399999999999</v>
      </c>
      <c r="G25" s="16"/>
      <c r="H25" s="31">
        <f t="shared" ref="H25" si="62">SUM(H23:H24)</f>
        <v>8</v>
      </c>
      <c r="I25" s="77">
        <f t="shared" ref="I25" si="63">SUM(I23:I24)</f>
        <v>0.89759999999999995</v>
      </c>
      <c r="J25" s="16"/>
      <c r="K25" s="31">
        <f t="shared" ref="K25" si="64">SUM(K23:K24)</f>
        <v>0</v>
      </c>
      <c r="L25" s="77">
        <f t="shared" ref="L25" si="65">SUM(L23:L24)</f>
        <v>0</v>
      </c>
      <c r="M25" s="16"/>
      <c r="N25" s="31">
        <f t="shared" ref="N25" si="66">SUM(N23:N24)</f>
        <v>0</v>
      </c>
      <c r="O25" s="77">
        <f t="shared" ref="O25" si="67">SUM(O23:O24)</f>
        <v>0</v>
      </c>
      <c r="P25" s="16"/>
      <c r="Q25" s="31">
        <f t="shared" ref="Q25" si="68">SUM(Q23:Q24)</f>
        <v>0</v>
      </c>
      <c r="R25" s="77">
        <f t="shared" ref="R25" si="69">SUM(R23:R24)</f>
        <v>0</v>
      </c>
      <c r="S25" s="31">
        <f t="shared" ref="S25" si="70">SUM(S23:S24)</f>
        <v>8</v>
      </c>
      <c r="T25" s="77">
        <f t="shared" ref="T25" si="71">SUM(T23:T24)</f>
        <v>0.89759999999999995</v>
      </c>
      <c r="U25" s="31">
        <f t="shared" ref="U25" si="72">SUM(U23:U24)</f>
        <v>0</v>
      </c>
      <c r="V25" s="77">
        <f t="shared" ref="V25" si="73">SUM(V23:V24)</f>
        <v>-8.1600000000000561E-3</v>
      </c>
    </row>
    <row r="26" spans="1:24">
      <c r="A26" s="26" t="s">
        <v>13</v>
      </c>
      <c r="B26" s="26" t="s">
        <v>123</v>
      </c>
      <c r="C26" s="26">
        <v>21.6</v>
      </c>
      <c r="D26" s="74">
        <v>8.9</v>
      </c>
      <c r="E26" s="28">
        <v>28</v>
      </c>
      <c r="F26" s="16">
        <f>(C26*D26*E26/1000)</f>
        <v>5.3827199999999999</v>
      </c>
      <c r="G26" s="17" t="s">
        <v>93</v>
      </c>
      <c r="H26" s="18"/>
      <c r="I26" s="19">
        <f>(C26*D26*H26/1000)</f>
        <v>0</v>
      </c>
      <c r="J26" s="16" t="s">
        <v>114</v>
      </c>
      <c r="K26" s="18">
        <v>23</v>
      </c>
      <c r="L26" s="19">
        <f>(C26*D26*K26/1000)</f>
        <v>4.4215200000000001</v>
      </c>
      <c r="M26" s="16" t="s">
        <v>93</v>
      </c>
      <c r="N26" s="18">
        <v>5</v>
      </c>
      <c r="O26" s="19">
        <f>(C26*D26*N26/1000)</f>
        <v>0.96120000000000005</v>
      </c>
      <c r="P26" s="16"/>
      <c r="Q26" s="18"/>
      <c r="R26" s="19">
        <f>(C26*D26*Q26/1000)</f>
        <v>0</v>
      </c>
      <c r="S26" s="20">
        <f t="shared" ref="S26:T28" si="74">+H26+K26+Q26+N26</f>
        <v>28</v>
      </c>
      <c r="T26" s="19">
        <f t="shared" si="74"/>
        <v>5.3827199999999999</v>
      </c>
      <c r="U26" s="21">
        <f t="shared" ref="U26:V28" si="75">E26-S26</f>
        <v>0</v>
      </c>
      <c r="V26" s="19">
        <f t="shared" si="75"/>
        <v>0</v>
      </c>
    </row>
    <row r="27" spans="1:24">
      <c r="A27" s="26" t="s">
        <v>13</v>
      </c>
      <c r="B27" s="26" t="s">
        <v>123</v>
      </c>
      <c r="C27" s="26">
        <v>21.6</v>
      </c>
      <c r="D27" s="74">
        <v>10</v>
      </c>
      <c r="E27" s="28">
        <v>216</v>
      </c>
      <c r="F27" s="16">
        <f>(C27*D27*E27/1000)</f>
        <v>46.655999999999999</v>
      </c>
      <c r="G27" t="s">
        <v>419</v>
      </c>
      <c r="H27" s="18">
        <v>56</v>
      </c>
      <c r="I27" s="19">
        <f>(C27*D27*H27/1000)</f>
        <v>12.096</v>
      </c>
      <c r="J27" s="16" t="s">
        <v>420</v>
      </c>
      <c r="K27" s="18">
        <f>19+56</f>
        <v>75</v>
      </c>
      <c r="L27" s="19">
        <f>(C27*D27*K27/1000)</f>
        <v>16.2</v>
      </c>
      <c r="M27" s="16" t="s">
        <v>421</v>
      </c>
      <c r="N27" s="18">
        <f>9+76</f>
        <v>85</v>
      </c>
      <c r="O27" s="19">
        <f>(C27*D27*N27/1000)</f>
        <v>18.36</v>
      </c>
      <c r="P27" s="16"/>
      <c r="Q27" s="18"/>
      <c r="R27" s="19">
        <f>(C27*D27*Q27/1000)</f>
        <v>0</v>
      </c>
      <c r="S27" s="20">
        <f t="shared" si="74"/>
        <v>216</v>
      </c>
      <c r="T27" s="19">
        <f t="shared" si="74"/>
        <v>46.655999999999999</v>
      </c>
      <c r="U27" s="21">
        <f t="shared" si="75"/>
        <v>0</v>
      </c>
      <c r="V27" s="19">
        <f t="shared" si="75"/>
        <v>0</v>
      </c>
    </row>
    <row r="28" spans="1:24">
      <c r="A28" s="26" t="s">
        <v>13</v>
      </c>
      <c r="B28" s="26" t="s">
        <v>123</v>
      </c>
      <c r="C28" s="26">
        <v>21.6</v>
      </c>
      <c r="D28" s="74">
        <v>11.2</v>
      </c>
      <c r="E28" s="28">
        <v>20</v>
      </c>
      <c r="F28" s="16">
        <f>(C28*D28*E28/1000)</f>
        <v>4.8384</v>
      </c>
      <c r="G28" s="17"/>
      <c r="H28" s="18"/>
      <c r="I28" s="19">
        <f>(C28*D28*H28/1000)</f>
        <v>0</v>
      </c>
      <c r="J28" s="16"/>
      <c r="K28" s="18"/>
      <c r="L28" s="19">
        <f>(C28*D28*K28/1000)</f>
        <v>0</v>
      </c>
      <c r="M28" s="16"/>
      <c r="N28" s="18">
        <v>20</v>
      </c>
      <c r="O28" s="19">
        <f>(C28*D28*N28/1000)</f>
        <v>4.8384</v>
      </c>
      <c r="P28" s="16"/>
      <c r="Q28" s="18"/>
      <c r="R28" s="19">
        <f>(C28*D28*Q28/1000)</f>
        <v>0</v>
      </c>
      <c r="S28" s="20">
        <f t="shared" si="74"/>
        <v>20</v>
      </c>
      <c r="T28" s="19">
        <f t="shared" si="74"/>
        <v>4.8384</v>
      </c>
      <c r="U28" s="21">
        <f t="shared" si="75"/>
        <v>0</v>
      </c>
      <c r="V28" s="19">
        <f t="shared" si="75"/>
        <v>0</v>
      </c>
    </row>
    <row r="29" spans="1:24">
      <c r="A29" s="36"/>
      <c r="B29" s="36"/>
      <c r="C29" s="36"/>
      <c r="D29" s="76"/>
      <c r="E29" s="31">
        <f t="shared" ref="E29:F29" si="76">SUM(E26:E28)</f>
        <v>264</v>
      </c>
      <c r="F29" s="77">
        <f t="shared" si="76"/>
        <v>56.877119999999998</v>
      </c>
      <c r="G29" s="17"/>
      <c r="H29" s="31">
        <f t="shared" ref="H29" si="77">SUM(H26:H28)</f>
        <v>56</v>
      </c>
      <c r="I29" s="77">
        <f t="shared" ref="I29" si="78">SUM(I26:I28)</f>
        <v>12.096</v>
      </c>
      <c r="J29" s="16"/>
      <c r="K29" s="31">
        <f t="shared" ref="K29" si="79">SUM(K26:K28)</f>
        <v>98</v>
      </c>
      <c r="L29" s="77">
        <f t="shared" ref="L29" si="80">SUM(L26:L28)</f>
        <v>20.62152</v>
      </c>
      <c r="M29" s="16"/>
      <c r="N29" s="31">
        <f t="shared" ref="N29" si="81">SUM(N26:N28)</f>
        <v>110</v>
      </c>
      <c r="O29" s="77">
        <f t="shared" ref="O29" si="82">SUM(O26:O28)</f>
        <v>24.159600000000001</v>
      </c>
      <c r="P29" s="16"/>
      <c r="Q29" s="31">
        <f t="shared" ref="Q29" si="83">SUM(Q26:Q28)</f>
        <v>0</v>
      </c>
      <c r="R29" s="77">
        <f t="shared" ref="R29" si="84">SUM(R26:R28)</f>
        <v>0</v>
      </c>
      <c r="S29" s="31">
        <f t="shared" ref="S29" si="85">SUM(S26:S28)</f>
        <v>264</v>
      </c>
      <c r="T29" s="77">
        <f t="shared" ref="T29" si="86">SUM(T26:T28)</f>
        <v>56.877119999999998</v>
      </c>
      <c r="U29" s="31">
        <f t="shared" ref="U29" si="87">SUM(U26:U28)</f>
        <v>0</v>
      </c>
      <c r="V29" s="77">
        <f t="shared" ref="V29" si="88">SUM(V26:V28)</f>
        <v>0</v>
      </c>
    </row>
    <row r="30" spans="1:24">
      <c r="A30" s="26" t="s">
        <v>14</v>
      </c>
      <c r="B30" s="26" t="s">
        <v>35</v>
      </c>
      <c r="C30" s="26">
        <v>6.85</v>
      </c>
      <c r="D30" s="74">
        <v>8.4</v>
      </c>
      <c r="E30" s="28">
        <v>216</v>
      </c>
      <c r="F30" s="16">
        <f>(C30*D30*E30/1000)</f>
        <v>12.42864</v>
      </c>
      <c r="G30" s="17" t="s">
        <v>150</v>
      </c>
      <c r="H30" s="18">
        <v>90</v>
      </c>
      <c r="I30" s="19">
        <f>(C30*D30*H30/1000)</f>
        <v>5.1786000000000003</v>
      </c>
      <c r="J30" s="17" t="s">
        <v>93</v>
      </c>
      <c r="K30" s="18">
        <v>115</v>
      </c>
      <c r="L30" s="19">
        <f>(C30*D30*K30/1000)</f>
        <v>6.6170999999999998</v>
      </c>
      <c r="M30" s="16" t="s">
        <v>89</v>
      </c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205</v>
      </c>
      <c r="T30" s="19">
        <f>+I30+L30+R30+O30</f>
        <v>11.7957</v>
      </c>
      <c r="U30" s="21">
        <f>E30-S30</f>
        <v>11</v>
      </c>
      <c r="V30" s="19">
        <f>F30-T30</f>
        <v>0.63293999999999961</v>
      </c>
    </row>
    <row r="31" spans="1:24">
      <c r="A31" s="26" t="s">
        <v>14</v>
      </c>
      <c r="B31" s="26" t="s">
        <v>35</v>
      </c>
      <c r="C31" s="26">
        <v>6.85</v>
      </c>
      <c r="D31" s="74">
        <v>11.2</v>
      </c>
      <c r="E31" s="28">
        <v>216</v>
      </c>
      <c r="F31" s="16">
        <f t="shared" ref="F31:F34" si="89">(C31*D31*E31/1000)</f>
        <v>16.571519999999996</v>
      </c>
      <c r="G31" s="17" t="s">
        <v>417</v>
      </c>
      <c r="H31" s="18">
        <v>78</v>
      </c>
      <c r="I31" s="19">
        <f t="shared" ref="I31:I34" si="90">(C31*D31*H31/1000)</f>
        <v>5.9841599999999993</v>
      </c>
      <c r="J31" s="17" t="s">
        <v>417</v>
      </c>
      <c r="K31" s="18">
        <f t="shared" ref="K31" si="91">20+90</f>
        <v>110</v>
      </c>
      <c r="L31" s="19">
        <f t="shared" ref="L31:L34" si="92">(C31*D31*K31/1000)</f>
        <v>8.4391999999999996</v>
      </c>
      <c r="M31" s="16" t="s">
        <v>418</v>
      </c>
      <c r="N31" s="18"/>
      <c r="O31" s="19">
        <f t="shared" ref="O31:O34" si="93">(C31*D31*N31/1000)</f>
        <v>0</v>
      </c>
      <c r="P31" s="16"/>
      <c r="Q31" s="18"/>
      <c r="R31" s="19">
        <f t="shared" ref="R31:R34" si="94">(C31*D31*Q31/1000)</f>
        <v>0</v>
      </c>
      <c r="S31" s="20">
        <f t="shared" ref="S31:S34" si="95">+H31+K31+Q31+N31</f>
        <v>188</v>
      </c>
      <c r="T31" s="19">
        <f t="shared" ref="T31:T34" si="96">+I31+L31+R31+O31</f>
        <v>14.423359999999999</v>
      </c>
      <c r="U31" s="21">
        <f t="shared" ref="U31:U34" si="97">E31-S31</f>
        <v>28</v>
      </c>
      <c r="V31" s="19">
        <f t="shared" ref="V31:V34" si="98">F31-T31</f>
        <v>2.1481599999999972</v>
      </c>
    </row>
    <row r="32" spans="1:24">
      <c r="A32" s="26" t="s">
        <v>14</v>
      </c>
      <c r="B32" s="26" t="s">
        <v>35</v>
      </c>
      <c r="C32" s="26">
        <v>6.85</v>
      </c>
      <c r="D32" s="74">
        <v>8.1</v>
      </c>
      <c r="E32" s="28"/>
      <c r="F32" s="16">
        <f t="shared" si="89"/>
        <v>0</v>
      </c>
      <c r="G32" s="17"/>
      <c r="H32" s="18"/>
      <c r="I32" s="19">
        <f t="shared" si="90"/>
        <v>0</v>
      </c>
      <c r="J32" s="17"/>
      <c r="K32" s="18"/>
      <c r="L32" s="19">
        <f t="shared" si="92"/>
        <v>0</v>
      </c>
      <c r="M32" s="16"/>
      <c r="N32" s="18">
        <v>3</v>
      </c>
      <c r="O32" s="19">
        <f t="shared" si="93"/>
        <v>0.16645499999999999</v>
      </c>
      <c r="P32" s="16"/>
      <c r="Q32" s="18"/>
      <c r="R32" s="19">
        <f t="shared" si="94"/>
        <v>0</v>
      </c>
      <c r="S32" s="20">
        <f t="shared" si="95"/>
        <v>3</v>
      </c>
      <c r="T32" s="19">
        <f t="shared" si="96"/>
        <v>0.16645499999999999</v>
      </c>
      <c r="U32" s="21">
        <f t="shared" si="97"/>
        <v>-3</v>
      </c>
      <c r="V32" s="19">
        <f t="shared" si="98"/>
        <v>-0.16645499999999999</v>
      </c>
    </row>
    <row r="33" spans="1:22">
      <c r="A33" s="26" t="s">
        <v>14</v>
      </c>
      <c r="B33" s="26" t="s">
        <v>35</v>
      </c>
      <c r="C33" s="26">
        <v>6.85</v>
      </c>
      <c r="D33" s="74">
        <v>12</v>
      </c>
      <c r="E33" s="28"/>
      <c r="F33" s="16">
        <f t="shared" si="89"/>
        <v>0</v>
      </c>
      <c r="G33" s="17"/>
      <c r="H33" s="18"/>
      <c r="I33" s="19">
        <f t="shared" si="90"/>
        <v>0</v>
      </c>
      <c r="J33" s="17"/>
      <c r="K33" s="18"/>
      <c r="L33" s="19">
        <f t="shared" si="92"/>
        <v>0</v>
      </c>
      <c r="M33" s="16"/>
      <c r="N33" s="18">
        <v>28</v>
      </c>
      <c r="O33" s="19">
        <f t="shared" si="93"/>
        <v>2.3015999999999996</v>
      </c>
      <c r="P33" s="16"/>
      <c r="Q33" s="18"/>
      <c r="R33" s="19">
        <f t="shared" si="94"/>
        <v>0</v>
      </c>
      <c r="S33" s="20">
        <f t="shared" si="95"/>
        <v>28</v>
      </c>
      <c r="T33" s="19">
        <f t="shared" si="96"/>
        <v>2.3015999999999996</v>
      </c>
      <c r="U33" s="21">
        <f t="shared" si="97"/>
        <v>-28</v>
      </c>
      <c r="V33" s="19">
        <f t="shared" si="98"/>
        <v>-2.3015999999999996</v>
      </c>
    </row>
    <row r="34" spans="1:22">
      <c r="A34" s="26" t="s">
        <v>14</v>
      </c>
      <c r="B34" s="26" t="s">
        <v>35</v>
      </c>
      <c r="C34" s="26">
        <v>6.85</v>
      </c>
      <c r="D34" s="74">
        <v>10</v>
      </c>
      <c r="E34" s="28"/>
      <c r="F34" s="16">
        <f t="shared" si="89"/>
        <v>0</v>
      </c>
      <c r="G34" s="17"/>
      <c r="H34" s="18"/>
      <c r="I34" s="19">
        <f t="shared" si="90"/>
        <v>0</v>
      </c>
      <c r="J34" s="17"/>
      <c r="K34" s="18"/>
      <c r="L34" s="19">
        <f t="shared" si="92"/>
        <v>0</v>
      </c>
      <c r="M34" s="16"/>
      <c r="N34" s="18">
        <v>4</v>
      </c>
      <c r="O34" s="19">
        <f t="shared" si="93"/>
        <v>0.27400000000000002</v>
      </c>
      <c r="P34" s="16"/>
      <c r="Q34" s="18"/>
      <c r="R34" s="19">
        <f t="shared" si="94"/>
        <v>0</v>
      </c>
      <c r="S34" s="20">
        <f t="shared" si="95"/>
        <v>4</v>
      </c>
      <c r="T34" s="19">
        <f t="shared" si="96"/>
        <v>0.27400000000000002</v>
      </c>
      <c r="U34" s="21">
        <f t="shared" si="97"/>
        <v>-4</v>
      </c>
      <c r="V34" s="19">
        <f t="shared" si="98"/>
        <v>-0.27400000000000002</v>
      </c>
    </row>
    <row r="35" spans="1:22">
      <c r="A35" s="26" t="s">
        <v>14</v>
      </c>
      <c r="B35" s="26" t="s">
        <v>35</v>
      </c>
      <c r="C35" s="26">
        <v>6.85</v>
      </c>
      <c r="D35" s="74">
        <v>11</v>
      </c>
      <c r="E35" s="28"/>
      <c r="F35" s="16">
        <f>(C35*D35*E35/1000)</f>
        <v>0</v>
      </c>
      <c r="G35" s="17"/>
      <c r="H35" s="18"/>
      <c r="I35" s="19">
        <f>(C35*D35*H35/1000)</f>
        <v>0</v>
      </c>
      <c r="J35" s="17"/>
      <c r="K35" s="18"/>
      <c r="L35" s="19">
        <f>(C35*D35*K35/1000)</f>
        <v>0</v>
      </c>
      <c r="M35" s="16"/>
      <c r="N35" s="18">
        <v>1</v>
      </c>
      <c r="O35" s="19">
        <f>(C35*D35*N35/1000)</f>
        <v>7.535E-2</v>
      </c>
      <c r="P35" s="16"/>
      <c r="Q35" s="18"/>
      <c r="R35" s="19">
        <f>(C35*D35*Q35/1000)</f>
        <v>0</v>
      </c>
      <c r="S35" s="20">
        <f>+H35+K35+Q35+N35</f>
        <v>1</v>
      </c>
      <c r="T35" s="19">
        <f>+I35+L35+R35+O35</f>
        <v>7.535E-2</v>
      </c>
      <c r="U35" s="21">
        <f>E35-S35</f>
        <v>-1</v>
      </c>
      <c r="V35" s="19">
        <f>F35-T35</f>
        <v>-7.535E-2</v>
      </c>
    </row>
    <row r="36" spans="1:22">
      <c r="A36" s="36"/>
      <c r="B36" s="36"/>
      <c r="C36" s="36"/>
      <c r="D36" s="76"/>
      <c r="E36" s="31">
        <f>SUM(E30:E35)</f>
        <v>432</v>
      </c>
      <c r="F36" s="77">
        <f>SUM(F30:F35)</f>
        <v>29.000159999999994</v>
      </c>
      <c r="G36" s="26"/>
      <c r="H36" s="31">
        <f>SUM(H30:H35)</f>
        <v>168</v>
      </c>
      <c r="I36" s="77">
        <f>SUM(I30:I35)</f>
        <v>11.162759999999999</v>
      </c>
      <c r="J36" s="26"/>
      <c r="K36" s="31">
        <f t="shared" ref="K36" si="99">SUM(K30:K35)</f>
        <v>225</v>
      </c>
      <c r="L36" s="77">
        <f t="shared" ref="L36" si="100">SUM(L30:L35)</f>
        <v>15.0563</v>
      </c>
      <c r="M36" s="26"/>
      <c r="N36" s="31">
        <f t="shared" ref="N36" si="101">SUM(N30:N35)</f>
        <v>36</v>
      </c>
      <c r="O36" s="77">
        <f t="shared" ref="O36" si="102">SUM(O30:O35)</f>
        <v>2.8174049999999995</v>
      </c>
      <c r="P36" s="26"/>
      <c r="Q36" s="31">
        <f t="shared" ref="Q36" si="103">SUM(Q30:Q35)</f>
        <v>0</v>
      </c>
      <c r="R36" s="77">
        <f t="shared" ref="R36" si="104">SUM(R30:R35)</f>
        <v>0</v>
      </c>
      <c r="S36" s="31">
        <f t="shared" ref="S36" si="105">SUM(S30:S35)</f>
        <v>429</v>
      </c>
      <c r="T36" s="77">
        <f t="shared" ref="T36" si="106">SUM(T30:T35)</f>
        <v>29.036465</v>
      </c>
      <c r="U36" s="31">
        <f t="shared" ref="U36" si="107">SUM(U30:U35)</f>
        <v>3</v>
      </c>
      <c r="V36" s="77">
        <f t="shared" ref="V36" si="108">SUM(V30:V35)</f>
        <v>-3.6305000000002891E-2</v>
      </c>
    </row>
    <row r="37" spans="1:22">
      <c r="A37" s="26" t="s">
        <v>14</v>
      </c>
      <c r="B37" s="26" t="s">
        <v>25</v>
      </c>
      <c r="C37" s="26">
        <v>13.4</v>
      </c>
      <c r="D37" s="74">
        <v>10.4</v>
      </c>
      <c r="E37" s="28">
        <v>200</v>
      </c>
      <c r="F37" s="16">
        <f>(C37*D37*E37/1000)</f>
        <v>27.872000000000003</v>
      </c>
      <c r="G37" s="17" t="s">
        <v>114</v>
      </c>
      <c r="H37" s="18">
        <f>45+155</f>
        <v>200</v>
      </c>
      <c r="I37" s="19">
        <f>(C37*D37*H37/1000)</f>
        <v>27.872000000000003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>+H37+K37+Q37+N37</f>
        <v>200</v>
      </c>
      <c r="T37" s="19">
        <f>+I37+L37+R37+O37</f>
        <v>27.872000000000003</v>
      </c>
      <c r="U37" s="21">
        <f>E37-S37</f>
        <v>0</v>
      </c>
      <c r="V37" s="19">
        <f>F37-T37</f>
        <v>0</v>
      </c>
    </row>
    <row r="38" spans="1:22">
      <c r="A38" s="36"/>
      <c r="B38" s="36"/>
      <c r="C38" s="36"/>
      <c r="D38" s="76"/>
      <c r="E38" s="31">
        <f t="shared" ref="E38:F38" si="109">SUM(E37)</f>
        <v>200</v>
      </c>
      <c r="F38" s="77">
        <f t="shared" si="109"/>
        <v>27.872000000000003</v>
      </c>
      <c r="G38" s="26" t="s">
        <v>469</v>
      </c>
      <c r="H38" s="31">
        <f t="shared" ref="H38" si="110">SUM(H37)</f>
        <v>200</v>
      </c>
      <c r="I38" s="77">
        <f t="shared" ref="I38" si="111">SUM(I37)</f>
        <v>27.872000000000003</v>
      </c>
      <c r="J38" s="26"/>
      <c r="K38" s="31">
        <f t="shared" ref="K38" si="112">SUM(K37)</f>
        <v>0</v>
      </c>
      <c r="L38" s="77">
        <f t="shared" ref="L38" si="113">SUM(L37)</f>
        <v>0</v>
      </c>
      <c r="M38" s="26"/>
      <c r="N38" s="31">
        <f t="shared" ref="N38" si="114">SUM(N37)</f>
        <v>0</v>
      </c>
      <c r="O38" s="77">
        <f t="shared" ref="O38" si="115">SUM(O37)</f>
        <v>0</v>
      </c>
      <c r="P38" s="26"/>
      <c r="Q38" s="31">
        <f t="shared" ref="Q38" si="116">SUM(Q37)</f>
        <v>0</v>
      </c>
      <c r="R38" s="77">
        <f t="shared" ref="R38" si="117">SUM(R37)</f>
        <v>0</v>
      </c>
      <c r="S38" s="31">
        <f t="shared" ref="S38" si="118">SUM(S37)</f>
        <v>200</v>
      </c>
      <c r="T38" s="77">
        <f t="shared" ref="T38" si="119">SUM(T37)</f>
        <v>27.872000000000003</v>
      </c>
      <c r="U38" s="31">
        <f t="shared" ref="U38" si="120">SUM(U37)</f>
        <v>0</v>
      </c>
      <c r="V38" s="77">
        <f t="shared" ref="V38" si="121">SUM(V37)</f>
        <v>0</v>
      </c>
    </row>
    <row r="39" spans="1:22">
      <c r="A39" s="26" t="s">
        <v>14</v>
      </c>
      <c r="B39" s="26" t="s">
        <v>34</v>
      </c>
      <c r="C39" s="26">
        <v>5.76</v>
      </c>
      <c r="D39" s="74">
        <v>9</v>
      </c>
      <c r="E39" s="28">
        <v>108</v>
      </c>
      <c r="F39" s="16">
        <f>(C39*D39*E39/1000)</f>
        <v>5.5987199999999993</v>
      </c>
      <c r="G39" s="17" t="s">
        <v>93</v>
      </c>
      <c r="H39" s="18">
        <v>92</v>
      </c>
      <c r="I39" s="19">
        <f>(C39*D39*H39/1000)</f>
        <v>4.7692800000000002</v>
      </c>
      <c r="J39" s="17" t="s">
        <v>93</v>
      </c>
      <c r="K39" s="18">
        <v>1</v>
      </c>
      <c r="L39" s="19">
        <f>(C39*D39*K39/1000)</f>
        <v>5.1839999999999997E-2</v>
      </c>
      <c r="M39" s="16" t="s">
        <v>89</v>
      </c>
      <c r="N39" s="18"/>
      <c r="O39" s="19">
        <f>(C39*D39*N39/1000)</f>
        <v>0</v>
      </c>
      <c r="P39" s="16"/>
      <c r="Q39" s="18"/>
      <c r="R39" s="19">
        <f>(C39*D39*Q39/1000)</f>
        <v>0</v>
      </c>
      <c r="S39" s="20">
        <f>+H39+K39+Q39+N39</f>
        <v>93</v>
      </c>
      <c r="T39" s="19">
        <f>+I39+L39+R39+O39</f>
        <v>4.8211200000000005</v>
      </c>
      <c r="U39" s="21">
        <f>E39-S39</f>
        <v>15</v>
      </c>
      <c r="V39" s="19">
        <f>F39-T39</f>
        <v>0.77759999999999874</v>
      </c>
    </row>
    <row r="40" spans="1:22">
      <c r="A40" s="26" t="s">
        <v>14</v>
      </c>
      <c r="B40" s="26" t="s">
        <v>34</v>
      </c>
      <c r="C40" s="26">
        <v>5.76</v>
      </c>
      <c r="D40" s="74">
        <v>9.5</v>
      </c>
      <c r="E40" s="28">
        <v>108</v>
      </c>
      <c r="F40" s="16">
        <f t="shared" ref="F40:F44" si="122">(C40*D40*E40/1000)</f>
        <v>5.9097600000000003</v>
      </c>
      <c r="G40" s="17" t="s">
        <v>417</v>
      </c>
      <c r="H40" s="18">
        <v>81</v>
      </c>
      <c r="I40" s="19">
        <f t="shared" ref="I40:I44" si="123">(C40*D40*H40/1000)</f>
        <v>4.4323199999999998</v>
      </c>
      <c r="J40" s="26" t="s">
        <v>419</v>
      </c>
      <c r="K40" s="18">
        <v>15</v>
      </c>
      <c r="L40" s="19">
        <f t="shared" ref="L40:L44" si="124">(C40*D40*K40/1000)</f>
        <v>0.82079999999999997</v>
      </c>
      <c r="M40" s="16" t="s">
        <v>448</v>
      </c>
      <c r="N40" s="18"/>
      <c r="O40" s="19">
        <f t="shared" ref="O40:O44" si="125">(C40*D40*N40/1000)</f>
        <v>0</v>
      </c>
      <c r="P40" s="16"/>
      <c r="Q40" s="18"/>
      <c r="R40" s="19">
        <f t="shared" ref="R40:R44" si="126">(C40*D40*Q40/1000)</f>
        <v>0</v>
      </c>
      <c r="S40" s="20">
        <f t="shared" ref="S40:S44" si="127">+H40+K40+Q40+N40</f>
        <v>96</v>
      </c>
      <c r="T40" s="19">
        <f t="shared" ref="T40:T44" si="128">+I40+L40+R40+O40</f>
        <v>5.25312</v>
      </c>
      <c r="U40" s="21">
        <f t="shared" ref="U40:U44" si="129">E40-S40</f>
        <v>12</v>
      </c>
      <c r="V40" s="19">
        <f t="shared" ref="V40:V44" si="130">F40-T40</f>
        <v>0.65664000000000033</v>
      </c>
    </row>
    <row r="41" spans="1:22">
      <c r="A41" s="26" t="s">
        <v>14</v>
      </c>
      <c r="B41" s="26" t="s">
        <v>34</v>
      </c>
      <c r="C41" s="26">
        <v>5.76</v>
      </c>
      <c r="D41" s="74">
        <v>8.4</v>
      </c>
      <c r="E41" s="28"/>
      <c r="F41" s="16">
        <f t="shared" si="122"/>
        <v>0</v>
      </c>
      <c r="G41" s="17"/>
      <c r="H41" s="18"/>
      <c r="I41" s="19">
        <f t="shared" si="123"/>
        <v>0</v>
      </c>
      <c r="J41" s="26"/>
      <c r="K41" s="18"/>
      <c r="L41" s="19">
        <f t="shared" si="124"/>
        <v>0</v>
      </c>
      <c r="M41" s="16"/>
      <c r="N41" s="18">
        <v>2</v>
      </c>
      <c r="O41" s="19">
        <f t="shared" si="125"/>
        <v>9.6768000000000007E-2</v>
      </c>
      <c r="P41" s="16"/>
      <c r="Q41" s="18"/>
      <c r="R41" s="19">
        <f t="shared" si="126"/>
        <v>0</v>
      </c>
      <c r="S41" s="20">
        <f t="shared" si="127"/>
        <v>2</v>
      </c>
      <c r="T41" s="19">
        <f t="shared" si="128"/>
        <v>9.6768000000000007E-2</v>
      </c>
      <c r="U41" s="21">
        <f t="shared" si="129"/>
        <v>-2</v>
      </c>
      <c r="V41" s="19">
        <f t="shared" si="130"/>
        <v>-9.6768000000000007E-2</v>
      </c>
    </row>
    <row r="42" spans="1:22">
      <c r="A42" s="26" t="s">
        <v>14</v>
      </c>
      <c r="B42" s="26" t="s">
        <v>34</v>
      </c>
      <c r="C42" s="26">
        <v>5.76</v>
      </c>
      <c r="D42" s="74">
        <v>8.5</v>
      </c>
      <c r="E42" s="28"/>
      <c r="F42" s="16">
        <f t="shared" si="122"/>
        <v>0</v>
      </c>
      <c r="G42" s="17"/>
      <c r="H42" s="18"/>
      <c r="I42" s="19">
        <f t="shared" si="123"/>
        <v>0</v>
      </c>
      <c r="J42" s="26"/>
      <c r="K42" s="18"/>
      <c r="L42" s="19">
        <f t="shared" si="124"/>
        <v>0</v>
      </c>
      <c r="M42" s="16"/>
      <c r="N42" s="18">
        <v>10</v>
      </c>
      <c r="O42" s="19">
        <f t="shared" si="125"/>
        <v>0.48960000000000004</v>
      </c>
      <c r="P42" s="16"/>
      <c r="Q42" s="18"/>
      <c r="R42" s="19">
        <f t="shared" si="126"/>
        <v>0</v>
      </c>
      <c r="S42" s="20">
        <f t="shared" si="127"/>
        <v>10</v>
      </c>
      <c r="T42" s="19">
        <f t="shared" si="128"/>
        <v>0.48960000000000004</v>
      </c>
      <c r="U42" s="21">
        <f t="shared" si="129"/>
        <v>-10</v>
      </c>
      <c r="V42" s="19">
        <f t="shared" si="130"/>
        <v>-0.48960000000000004</v>
      </c>
    </row>
    <row r="43" spans="1:22">
      <c r="A43" s="26" t="s">
        <v>14</v>
      </c>
      <c r="B43" s="26" t="s">
        <v>34</v>
      </c>
      <c r="C43" s="26">
        <v>5.76</v>
      </c>
      <c r="D43" s="74">
        <v>9.3000000000000007</v>
      </c>
      <c r="E43" s="28"/>
      <c r="F43" s="16">
        <f t="shared" si="122"/>
        <v>0</v>
      </c>
      <c r="G43" s="17"/>
      <c r="H43" s="18"/>
      <c r="I43" s="19">
        <f t="shared" si="123"/>
        <v>0</v>
      </c>
      <c r="J43" s="26"/>
      <c r="K43" s="18"/>
      <c r="L43" s="19">
        <f t="shared" si="124"/>
        <v>0</v>
      </c>
      <c r="M43" s="16"/>
      <c r="N43" s="18">
        <v>5</v>
      </c>
      <c r="O43" s="19">
        <f t="shared" si="125"/>
        <v>0.26784000000000002</v>
      </c>
      <c r="P43" s="16"/>
      <c r="Q43" s="18"/>
      <c r="R43" s="19">
        <f t="shared" si="126"/>
        <v>0</v>
      </c>
      <c r="S43" s="20">
        <f t="shared" si="127"/>
        <v>5</v>
      </c>
      <c r="T43" s="19">
        <f t="shared" si="128"/>
        <v>0.26784000000000002</v>
      </c>
      <c r="U43" s="21">
        <f t="shared" si="129"/>
        <v>-5</v>
      </c>
      <c r="V43" s="19">
        <f t="shared" si="130"/>
        <v>-0.26784000000000002</v>
      </c>
    </row>
    <row r="44" spans="1:22">
      <c r="A44" s="26" t="s">
        <v>14</v>
      </c>
      <c r="B44" s="26" t="s">
        <v>34</v>
      </c>
      <c r="C44" s="26">
        <v>5.76</v>
      </c>
      <c r="D44" s="74">
        <v>11</v>
      </c>
      <c r="E44" s="28"/>
      <c r="F44" s="16">
        <f t="shared" si="122"/>
        <v>0</v>
      </c>
      <c r="G44" s="17"/>
      <c r="H44" s="18"/>
      <c r="I44" s="19">
        <f t="shared" si="123"/>
        <v>0</v>
      </c>
      <c r="J44" s="26"/>
      <c r="K44" s="18"/>
      <c r="L44" s="19">
        <f t="shared" si="124"/>
        <v>0</v>
      </c>
      <c r="M44" s="16"/>
      <c r="N44" s="18">
        <v>7</v>
      </c>
      <c r="O44" s="19">
        <f t="shared" si="125"/>
        <v>0.44351999999999997</v>
      </c>
      <c r="P44" s="16"/>
      <c r="Q44" s="18"/>
      <c r="R44" s="19">
        <f t="shared" si="126"/>
        <v>0</v>
      </c>
      <c r="S44" s="20">
        <f t="shared" si="127"/>
        <v>7</v>
      </c>
      <c r="T44" s="19">
        <f t="shared" si="128"/>
        <v>0.44351999999999997</v>
      </c>
      <c r="U44" s="21">
        <f t="shared" si="129"/>
        <v>-7</v>
      </c>
      <c r="V44" s="19">
        <f t="shared" si="130"/>
        <v>-0.44351999999999997</v>
      </c>
    </row>
    <row r="45" spans="1:22">
      <c r="A45" s="26" t="s">
        <v>14</v>
      </c>
      <c r="B45" s="26" t="s">
        <v>34</v>
      </c>
      <c r="C45" s="26">
        <v>5.76</v>
      </c>
      <c r="D45" s="74">
        <v>11.5</v>
      </c>
      <c r="E45" s="28"/>
      <c r="F45" s="16">
        <f>(C45*D45*E45/1000)</f>
        <v>0</v>
      </c>
      <c r="G45" s="17"/>
      <c r="H45" s="18"/>
      <c r="I45" s="19">
        <f>(C45*D45*H45/1000)</f>
        <v>0</v>
      </c>
      <c r="J45" s="26"/>
      <c r="K45" s="18"/>
      <c r="L45" s="19">
        <f>(C45*D45*K45/1000)</f>
        <v>0</v>
      </c>
      <c r="M45" s="16"/>
      <c r="N45" s="18">
        <v>4</v>
      </c>
      <c r="O45" s="19">
        <f>(C45*D45*N45/1000)</f>
        <v>0.26495999999999997</v>
      </c>
      <c r="P45" s="16"/>
      <c r="Q45" s="18"/>
      <c r="R45" s="19">
        <f>(C45*D45*Q45/1000)</f>
        <v>0</v>
      </c>
      <c r="S45" s="20">
        <f>+H45+K45+Q45+N45</f>
        <v>4</v>
      </c>
      <c r="T45" s="19">
        <f>+I45+L45+R45+O45</f>
        <v>0.26495999999999997</v>
      </c>
      <c r="U45" s="21">
        <f>E45-S45</f>
        <v>-4</v>
      </c>
      <c r="V45" s="19">
        <f>F45-T45</f>
        <v>-0.26495999999999997</v>
      </c>
    </row>
    <row r="46" spans="1:22">
      <c r="A46" s="36"/>
      <c r="B46" s="36"/>
      <c r="C46" s="36"/>
      <c r="D46" s="76"/>
      <c r="E46" s="31">
        <f t="shared" ref="E46:F46" si="131">SUM(E39:E45)</f>
        <v>216</v>
      </c>
      <c r="F46" s="77">
        <f t="shared" si="131"/>
        <v>11.508479999999999</v>
      </c>
      <c r="G46" s="26"/>
      <c r="H46" s="31">
        <f t="shared" ref="H46" si="132">SUM(H39:H45)</f>
        <v>173</v>
      </c>
      <c r="I46" s="77">
        <f t="shared" ref="I46" si="133">SUM(I39:I45)</f>
        <v>9.2015999999999991</v>
      </c>
      <c r="J46" s="26"/>
      <c r="K46" s="31">
        <f t="shared" ref="K46" si="134">SUM(K39:K45)</f>
        <v>16</v>
      </c>
      <c r="L46" s="77">
        <f t="shared" ref="L46" si="135">SUM(L39:L45)</f>
        <v>0.87263999999999997</v>
      </c>
      <c r="M46" s="26"/>
      <c r="N46" s="31">
        <f t="shared" ref="N46" si="136">SUM(N39:N45)</f>
        <v>28</v>
      </c>
      <c r="O46" s="77">
        <f t="shared" ref="O46" si="137">SUM(O39:O45)</f>
        <v>1.5626880000000001</v>
      </c>
      <c r="P46" s="26"/>
      <c r="Q46" s="31">
        <f t="shared" ref="Q46" si="138">SUM(Q39:Q45)</f>
        <v>0</v>
      </c>
      <c r="R46" s="77">
        <f t="shared" ref="R46" si="139">SUM(R39:R45)</f>
        <v>0</v>
      </c>
      <c r="S46" s="31">
        <f t="shared" ref="S46" si="140">SUM(S39:S45)</f>
        <v>217</v>
      </c>
      <c r="T46" s="77">
        <f t="shared" ref="T46" si="141">SUM(T39:T45)</f>
        <v>11.636927999999999</v>
      </c>
      <c r="U46" s="31">
        <f t="shared" ref="U46" si="142">SUM(U39:U45)</f>
        <v>-1</v>
      </c>
      <c r="V46" s="77">
        <f t="shared" ref="V46" si="143">SUM(V39:V45)</f>
        <v>-0.12844800000000095</v>
      </c>
    </row>
    <row r="47" spans="1:22">
      <c r="A47" s="26" t="s">
        <v>14</v>
      </c>
      <c r="B47" s="26" t="s">
        <v>26</v>
      </c>
      <c r="C47" s="26">
        <v>8.3000000000000007</v>
      </c>
      <c r="D47" s="74">
        <v>9.3000000000000007</v>
      </c>
      <c r="E47" s="28">
        <v>162</v>
      </c>
      <c r="F47" s="16">
        <f t="shared" ref="F47:F58" si="144">(C47*D47*E47/1000)</f>
        <v>12.504780000000002</v>
      </c>
      <c r="G47" s="16" t="s">
        <v>111</v>
      </c>
      <c r="H47" s="18">
        <v>54</v>
      </c>
      <c r="I47" s="19">
        <f t="shared" ref="I47:I58" si="145">(C47*D47*H47/1000)</f>
        <v>4.1682600000000001</v>
      </c>
      <c r="J47" s="16" t="s">
        <v>293</v>
      </c>
      <c r="K47" s="18">
        <f>48+2+60</f>
        <v>110</v>
      </c>
      <c r="L47" s="19">
        <f t="shared" ref="L47:L58" si="146">(C47*D47*K47/1000)</f>
        <v>8.4909000000000017</v>
      </c>
      <c r="M47" s="16" t="s">
        <v>111</v>
      </c>
      <c r="N47" s="18">
        <v>7</v>
      </c>
      <c r="O47" s="19">
        <f t="shared" ref="O47:O58" si="147">(C47*D47*N47/1000)</f>
        <v>0.54033000000000009</v>
      </c>
      <c r="P47" s="16"/>
      <c r="Q47" s="18"/>
      <c r="R47" s="19">
        <f t="shared" ref="R47:R58" si="148">(C47*D47*Q47/1000)</f>
        <v>0</v>
      </c>
      <c r="S47" s="20">
        <f t="shared" ref="S47:S58" si="149">+H47+K47+Q47+N47</f>
        <v>171</v>
      </c>
      <c r="T47" s="19">
        <f t="shared" ref="T47:T58" si="150">+I47+L47+R47+O47</f>
        <v>13.199490000000003</v>
      </c>
      <c r="U47" s="21">
        <f t="shared" ref="U47:U58" si="151">E47-S47</f>
        <v>-9</v>
      </c>
      <c r="V47" s="19">
        <f t="shared" ref="V47:V58" si="152">F47-T47</f>
        <v>-0.6947100000000006</v>
      </c>
    </row>
    <row r="48" spans="1:22">
      <c r="A48" s="26" t="s">
        <v>14</v>
      </c>
      <c r="B48" s="26" t="s">
        <v>26</v>
      </c>
      <c r="C48" s="26">
        <v>8.3000000000000007</v>
      </c>
      <c r="D48" s="74">
        <v>10.3</v>
      </c>
      <c r="E48" s="28">
        <v>270</v>
      </c>
      <c r="F48" s="16">
        <f t="shared" si="144"/>
        <v>23.082300000000004</v>
      </c>
      <c r="G48" s="16" t="s">
        <v>424</v>
      </c>
      <c r="H48" s="18">
        <v>27</v>
      </c>
      <c r="I48" s="19">
        <f t="shared" si="145"/>
        <v>2.3082300000000004</v>
      </c>
      <c r="J48" s="16" t="s">
        <v>425</v>
      </c>
      <c r="K48" s="18">
        <f>120+32</f>
        <v>152</v>
      </c>
      <c r="L48" s="19">
        <f t="shared" si="146"/>
        <v>12.994480000000001</v>
      </c>
      <c r="M48" s="16" t="s">
        <v>426</v>
      </c>
      <c r="N48" s="18">
        <v>27</v>
      </c>
      <c r="O48" s="19">
        <f t="shared" si="147"/>
        <v>2.3082300000000004</v>
      </c>
      <c r="P48" s="16"/>
      <c r="Q48" s="18"/>
      <c r="R48" s="19">
        <f t="shared" si="148"/>
        <v>0</v>
      </c>
      <c r="S48" s="20">
        <f t="shared" si="149"/>
        <v>206</v>
      </c>
      <c r="T48" s="19">
        <f t="shared" si="150"/>
        <v>17.610940000000003</v>
      </c>
      <c r="U48" s="21">
        <f t="shared" si="151"/>
        <v>64</v>
      </c>
      <c r="V48" s="19">
        <f t="shared" si="152"/>
        <v>5.4713600000000007</v>
      </c>
    </row>
    <row r="49" spans="1:22">
      <c r="A49" s="26" t="s">
        <v>14</v>
      </c>
      <c r="B49" s="26" t="s">
        <v>26</v>
      </c>
      <c r="C49" s="26">
        <v>8.3000000000000007</v>
      </c>
      <c r="D49" s="74">
        <v>10.5</v>
      </c>
      <c r="E49" s="28">
        <v>144</v>
      </c>
      <c r="F49" s="16">
        <f t="shared" si="144"/>
        <v>12.5496</v>
      </c>
      <c r="G49" s="17"/>
      <c r="H49" s="18">
        <v>85</v>
      </c>
      <c r="I49" s="19">
        <f t="shared" si="145"/>
        <v>7.4077500000000009</v>
      </c>
      <c r="J49" s="16" t="s">
        <v>64</v>
      </c>
      <c r="K49" s="18">
        <v>30</v>
      </c>
      <c r="L49" s="19">
        <f t="shared" si="146"/>
        <v>2.6145</v>
      </c>
      <c r="M49" s="16"/>
      <c r="N49" s="18">
        <v>26</v>
      </c>
      <c r="O49" s="19">
        <f t="shared" si="147"/>
        <v>2.2659000000000002</v>
      </c>
      <c r="P49" s="16"/>
      <c r="Q49" s="18"/>
      <c r="R49" s="19">
        <f t="shared" si="148"/>
        <v>0</v>
      </c>
      <c r="S49" s="20">
        <f t="shared" si="149"/>
        <v>141</v>
      </c>
      <c r="T49" s="19">
        <f t="shared" si="150"/>
        <v>12.288150000000002</v>
      </c>
      <c r="U49" s="21">
        <f t="shared" si="151"/>
        <v>3</v>
      </c>
      <c r="V49" s="19">
        <f t="shared" si="152"/>
        <v>0.26144999999999818</v>
      </c>
    </row>
    <row r="50" spans="1:22">
      <c r="A50" s="26" t="s">
        <v>14</v>
      </c>
      <c r="B50" s="26" t="s">
        <v>26</v>
      </c>
      <c r="C50" s="26">
        <v>8.3000000000000007</v>
      </c>
      <c r="D50" s="74">
        <v>10.7</v>
      </c>
      <c r="E50" s="28">
        <v>216</v>
      </c>
      <c r="F50" s="16">
        <f t="shared" si="144"/>
        <v>19.182959999999998</v>
      </c>
      <c r="G50" s="17"/>
      <c r="H50" s="18">
        <f>30+87</f>
        <v>117</v>
      </c>
      <c r="I50" s="19">
        <f t="shared" si="145"/>
        <v>10.39077</v>
      </c>
      <c r="J50" s="16" t="s">
        <v>425</v>
      </c>
      <c r="K50" s="18">
        <f>30+62</f>
        <v>92</v>
      </c>
      <c r="L50" s="19">
        <f t="shared" si="146"/>
        <v>8.1705199999999998</v>
      </c>
      <c r="M50" s="16"/>
      <c r="N50" s="18"/>
      <c r="O50" s="19">
        <f t="shared" si="147"/>
        <v>0</v>
      </c>
      <c r="P50" s="16"/>
      <c r="Q50" s="18"/>
      <c r="R50" s="19">
        <f t="shared" si="148"/>
        <v>0</v>
      </c>
      <c r="S50" s="20">
        <f t="shared" si="149"/>
        <v>209</v>
      </c>
      <c r="T50" s="19">
        <f t="shared" si="150"/>
        <v>18.56129</v>
      </c>
      <c r="U50" s="21">
        <f t="shared" si="151"/>
        <v>7</v>
      </c>
      <c r="V50" s="19">
        <f t="shared" si="152"/>
        <v>0.62166999999999817</v>
      </c>
    </row>
    <row r="51" spans="1:22">
      <c r="A51" s="26" t="s">
        <v>14</v>
      </c>
      <c r="B51" s="26" t="s">
        <v>26</v>
      </c>
      <c r="C51" s="26">
        <v>8.3000000000000007</v>
      </c>
      <c r="D51" s="74">
        <v>11</v>
      </c>
      <c r="E51" s="28">
        <v>72</v>
      </c>
      <c r="F51" s="16">
        <f t="shared" si="144"/>
        <v>6.5736000000000008</v>
      </c>
      <c r="G51" s="17"/>
      <c r="H51" s="18"/>
      <c r="I51" s="19">
        <f t="shared" si="145"/>
        <v>0</v>
      </c>
      <c r="J51" s="16"/>
      <c r="K51" s="18">
        <f>40+30</f>
        <v>70</v>
      </c>
      <c r="L51" s="19">
        <f t="shared" si="146"/>
        <v>6.3910000000000009</v>
      </c>
      <c r="M51" s="16"/>
      <c r="N51" s="18">
        <v>16</v>
      </c>
      <c r="O51" s="19">
        <f t="shared" si="147"/>
        <v>1.4608000000000001</v>
      </c>
      <c r="P51" s="16"/>
      <c r="Q51" s="18"/>
      <c r="R51" s="19">
        <f t="shared" si="148"/>
        <v>0</v>
      </c>
      <c r="S51" s="20">
        <f t="shared" si="149"/>
        <v>86</v>
      </c>
      <c r="T51" s="19">
        <f t="shared" si="150"/>
        <v>7.8518000000000008</v>
      </c>
      <c r="U51" s="21">
        <f t="shared" si="151"/>
        <v>-14</v>
      </c>
      <c r="V51" s="19">
        <f t="shared" si="152"/>
        <v>-1.2782</v>
      </c>
    </row>
    <row r="52" spans="1:22">
      <c r="A52" s="26" t="s">
        <v>14</v>
      </c>
      <c r="B52" s="26" t="s">
        <v>26</v>
      </c>
      <c r="C52" s="26">
        <v>8.3000000000000007</v>
      </c>
      <c r="D52" s="74">
        <v>11.5</v>
      </c>
      <c r="E52" s="28">
        <v>216</v>
      </c>
      <c r="F52" s="16">
        <f t="shared" ref="F52:F57" si="153">(C52*D52*E52/1000)</f>
        <v>20.6172</v>
      </c>
      <c r="G52" s="17"/>
      <c r="H52" s="18">
        <v>20</v>
      </c>
      <c r="I52" s="19">
        <f t="shared" ref="I52:I57" si="154">(C52*D52*H52/1000)</f>
        <v>1.909</v>
      </c>
      <c r="J52" s="16"/>
      <c r="K52" s="18">
        <f>104+38</f>
        <v>142</v>
      </c>
      <c r="L52" s="19">
        <f t="shared" ref="L52:L57" si="155">(C52*D52*K52/1000)</f>
        <v>13.553900000000001</v>
      </c>
      <c r="M52" s="16"/>
      <c r="N52" s="18">
        <f>61+29</f>
        <v>90</v>
      </c>
      <c r="O52" s="19">
        <f t="shared" ref="O52:O57" si="156">(C52*D52*N52/1000)</f>
        <v>8.5905000000000005</v>
      </c>
      <c r="P52" s="16"/>
      <c r="Q52" s="18"/>
      <c r="R52" s="19">
        <f t="shared" ref="R52:R57" si="157">(C52*D52*Q52/1000)</f>
        <v>0</v>
      </c>
      <c r="S52" s="20">
        <f t="shared" ref="S52:S57" si="158">+H52+K52+Q52+N52</f>
        <v>252</v>
      </c>
      <c r="T52" s="19">
        <f t="shared" ref="T52:T57" si="159">+I52+L52+R52+O52</f>
        <v>24.053400000000003</v>
      </c>
      <c r="U52" s="21">
        <f t="shared" ref="U52:U57" si="160">E52-S52</f>
        <v>-36</v>
      </c>
      <c r="V52" s="19">
        <f t="shared" ref="V52:V57" si="161">F52-T52</f>
        <v>-3.436200000000003</v>
      </c>
    </row>
    <row r="53" spans="1:22">
      <c r="A53" s="26" t="s">
        <v>14</v>
      </c>
      <c r="B53" s="26" t="s">
        <v>26</v>
      </c>
      <c r="C53" s="26">
        <v>8.3000000000000007</v>
      </c>
      <c r="D53" s="74">
        <v>8</v>
      </c>
      <c r="E53" s="28"/>
      <c r="F53" s="16">
        <f t="shared" si="153"/>
        <v>0</v>
      </c>
      <c r="G53" s="17"/>
      <c r="H53" s="18"/>
      <c r="I53" s="19">
        <f t="shared" si="154"/>
        <v>0</v>
      </c>
      <c r="J53" s="16"/>
      <c r="K53" s="18">
        <v>2</v>
      </c>
      <c r="L53" s="19">
        <f t="shared" si="155"/>
        <v>0.1328</v>
      </c>
      <c r="M53" s="16"/>
      <c r="N53" s="18">
        <v>6</v>
      </c>
      <c r="O53" s="19">
        <f t="shared" si="156"/>
        <v>0.39840000000000003</v>
      </c>
      <c r="P53" s="16"/>
      <c r="Q53" s="18"/>
      <c r="R53" s="19">
        <f t="shared" si="157"/>
        <v>0</v>
      </c>
      <c r="S53" s="20">
        <f t="shared" si="158"/>
        <v>8</v>
      </c>
      <c r="T53" s="19">
        <f t="shared" si="159"/>
        <v>0.53120000000000001</v>
      </c>
      <c r="U53" s="21">
        <f t="shared" si="160"/>
        <v>-8</v>
      </c>
      <c r="V53" s="19">
        <f t="shared" si="161"/>
        <v>-0.53120000000000001</v>
      </c>
    </row>
    <row r="54" spans="1:22">
      <c r="A54" s="26" t="s">
        <v>14</v>
      </c>
      <c r="B54" s="26" t="s">
        <v>26</v>
      </c>
      <c r="C54" s="26">
        <v>8.3000000000000007</v>
      </c>
      <c r="D54" s="74">
        <v>8.5</v>
      </c>
      <c r="E54" s="28"/>
      <c r="F54" s="16">
        <f t="shared" si="153"/>
        <v>0</v>
      </c>
      <c r="G54" s="17"/>
      <c r="H54" s="18"/>
      <c r="I54" s="19">
        <f t="shared" si="154"/>
        <v>0</v>
      </c>
      <c r="J54" s="16"/>
      <c r="K54" s="18">
        <v>5</v>
      </c>
      <c r="L54" s="19">
        <f t="shared" si="155"/>
        <v>0.35275000000000006</v>
      </c>
      <c r="M54" s="16"/>
      <c r="N54" s="18">
        <v>5</v>
      </c>
      <c r="O54" s="19">
        <f t="shared" si="156"/>
        <v>0.35275000000000006</v>
      </c>
      <c r="P54" s="16"/>
      <c r="Q54" s="18"/>
      <c r="R54" s="19">
        <f t="shared" si="157"/>
        <v>0</v>
      </c>
      <c r="S54" s="20">
        <f t="shared" si="158"/>
        <v>10</v>
      </c>
      <c r="T54" s="19">
        <f t="shared" si="159"/>
        <v>0.70550000000000013</v>
      </c>
      <c r="U54" s="21">
        <f t="shared" si="160"/>
        <v>-10</v>
      </c>
      <c r="V54" s="19">
        <f t="shared" si="161"/>
        <v>-0.70550000000000013</v>
      </c>
    </row>
    <row r="55" spans="1:22">
      <c r="A55" s="26" t="s">
        <v>14</v>
      </c>
      <c r="B55" s="26" t="s">
        <v>26</v>
      </c>
      <c r="C55" s="26">
        <v>8.3000000000000007</v>
      </c>
      <c r="D55" s="74"/>
      <c r="E55" s="28"/>
      <c r="F55" s="16">
        <f t="shared" ref="F55:F56" si="162">(C55*D55*E55/1000)</f>
        <v>0</v>
      </c>
      <c r="G55" s="17"/>
      <c r="H55" s="18"/>
      <c r="I55" s="19">
        <f t="shared" ref="I55:I56" si="163">(C55*D55*H55/1000)</f>
        <v>0</v>
      </c>
      <c r="J55" s="16"/>
      <c r="K55" s="18"/>
      <c r="L55" s="19">
        <f t="shared" ref="L55:L56" si="164">(C55*D55*K55/1000)</f>
        <v>0</v>
      </c>
      <c r="M55" s="16"/>
      <c r="N55" s="18"/>
      <c r="O55" s="19">
        <f t="shared" ref="O55:O56" si="165">(C55*D55*N55/1000)</f>
        <v>0</v>
      </c>
      <c r="P55" s="16"/>
      <c r="Q55" s="18"/>
      <c r="R55" s="19">
        <f t="shared" ref="R55:R56" si="166">(C55*D55*Q55/1000)</f>
        <v>0</v>
      </c>
      <c r="S55" s="20">
        <f t="shared" ref="S55:S56" si="167">+H55+K55+Q55+N55</f>
        <v>0</v>
      </c>
      <c r="T55" s="19">
        <f t="shared" ref="T55:T56" si="168">+I55+L55+R55+O55</f>
        <v>0</v>
      </c>
      <c r="U55" s="21">
        <f t="shared" ref="U55:U56" si="169">E55-S55</f>
        <v>0</v>
      </c>
      <c r="V55" s="19">
        <f t="shared" ref="V55:V56" si="170">F55-T55</f>
        <v>0</v>
      </c>
    </row>
    <row r="56" spans="1:22">
      <c r="A56" s="26" t="s">
        <v>14</v>
      </c>
      <c r="B56" s="26" t="s">
        <v>26</v>
      </c>
      <c r="C56" s="26">
        <v>8.3000000000000007</v>
      </c>
      <c r="D56" s="74"/>
      <c r="E56" s="28"/>
      <c r="F56" s="16">
        <f t="shared" si="162"/>
        <v>0</v>
      </c>
      <c r="G56" s="17"/>
      <c r="H56" s="18"/>
      <c r="I56" s="19">
        <f t="shared" si="163"/>
        <v>0</v>
      </c>
      <c r="J56" s="16"/>
      <c r="K56" s="18"/>
      <c r="L56" s="19">
        <f t="shared" si="164"/>
        <v>0</v>
      </c>
      <c r="M56" s="16"/>
      <c r="N56" s="18"/>
      <c r="O56" s="19">
        <f t="shared" si="165"/>
        <v>0</v>
      </c>
      <c r="P56" s="16"/>
      <c r="Q56" s="18"/>
      <c r="R56" s="19">
        <f t="shared" si="166"/>
        <v>0</v>
      </c>
      <c r="S56" s="20">
        <f t="shared" si="167"/>
        <v>0</v>
      </c>
      <c r="T56" s="19">
        <f t="shared" si="168"/>
        <v>0</v>
      </c>
      <c r="U56" s="21">
        <f t="shared" si="169"/>
        <v>0</v>
      </c>
      <c r="V56" s="19">
        <f t="shared" si="170"/>
        <v>0</v>
      </c>
    </row>
    <row r="57" spans="1:22">
      <c r="A57" s="26" t="s">
        <v>14</v>
      </c>
      <c r="B57" s="26" t="s">
        <v>26</v>
      </c>
      <c r="C57" s="26">
        <v>8.3000000000000007</v>
      </c>
      <c r="D57" s="74"/>
      <c r="E57" s="28"/>
      <c r="F57" s="16">
        <f t="shared" si="153"/>
        <v>0</v>
      </c>
      <c r="G57" s="17"/>
      <c r="H57" s="18"/>
      <c r="I57" s="19">
        <f t="shared" si="154"/>
        <v>0</v>
      </c>
      <c r="J57" s="16"/>
      <c r="K57" s="18"/>
      <c r="L57" s="19">
        <f t="shared" si="155"/>
        <v>0</v>
      </c>
      <c r="M57" s="16"/>
      <c r="N57" s="18"/>
      <c r="O57" s="19">
        <f t="shared" si="156"/>
        <v>0</v>
      </c>
      <c r="P57" s="16"/>
      <c r="Q57" s="18"/>
      <c r="R57" s="19">
        <f t="shared" si="157"/>
        <v>0</v>
      </c>
      <c r="S57" s="20">
        <f t="shared" si="158"/>
        <v>0</v>
      </c>
      <c r="T57" s="19">
        <f t="shared" si="159"/>
        <v>0</v>
      </c>
      <c r="U57" s="21">
        <f t="shared" si="160"/>
        <v>0</v>
      </c>
      <c r="V57" s="19">
        <f t="shared" si="161"/>
        <v>0</v>
      </c>
    </row>
    <row r="58" spans="1:22">
      <c r="A58" s="26" t="s">
        <v>14</v>
      </c>
      <c r="B58" s="26" t="s">
        <v>26</v>
      </c>
      <c r="C58" s="26">
        <v>8.3000000000000007</v>
      </c>
      <c r="D58" s="74"/>
      <c r="E58" s="28"/>
      <c r="F58" s="16">
        <f t="shared" si="144"/>
        <v>0</v>
      </c>
      <c r="G58" s="17"/>
      <c r="H58" s="18"/>
      <c r="I58" s="19">
        <f t="shared" si="145"/>
        <v>0</v>
      </c>
      <c r="J58" s="16"/>
      <c r="K58" s="18"/>
      <c r="L58" s="19">
        <f t="shared" si="146"/>
        <v>0</v>
      </c>
      <c r="M58" s="16"/>
      <c r="N58" s="18"/>
      <c r="O58" s="19">
        <f t="shared" si="147"/>
        <v>0</v>
      </c>
      <c r="P58" s="16"/>
      <c r="Q58" s="18"/>
      <c r="R58" s="19">
        <f t="shared" si="148"/>
        <v>0</v>
      </c>
      <c r="S58" s="20">
        <f t="shared" si="149"/>
        <v>0</v>
      </c>
      <c r="T58" s="19">
        <f t="shared" si="150"/>
        <v>0</v>
      </c>
      <c r="U58" s="21">
        <f t="shared" si="151"/>
        <v>0</v>
      </c>
      <c r="V58" s="19">
        <f t="shared" si="152"/>
        <v>0</v>
      </c>
    </row>
    <row r="59" spans="1:22">
      <c r="A59" s="36"/>
      <c r="B59" s="36"/>
      <c r="C59" s="36"/>
      <c r="D59" s="76"/>
      <c r="E59" s="31">
        <f t="shared" ref="E59:F59" si="171">SUM(E47:E58)</f>
        <v>1080</v>
      </c>
      <c r="F59" s="77">
        <f t="shared" si="171"/>
        <v>94.510440000000003</v>
      </c>
      <c r="G59" s="26"/>
      <c r="H59" s="31">
        <f t="shared" ref="H59" si="172">SUM(H47:H58)</f>
        <v>303</v>
      </c>
      <c r="I59" s="77">
        <f t="shared" ref="I59" si="173">SUM(I47:I58)</f>
        <v>26.184010000000001</v>
      </c>
      <c r="J59" s="26"/>
      <c r="K59" s="31">
        <f t="shared" ref="K59" si="174">SUM(K47:K58)</f>
        <v>603</v>
      </c>
      <c r="L59" s="77">
        <f t="shared" ref="L59" si="175">SUM(L47:L58)</f>
        <v>52.700850000000003</v>
      </c>
      <c r="M59" s="26"/>
      <c r="N59" s="31">
        <f t="shared" ref="N59" si="176">SUM(N47:N58)</f>
        <v>177</v>
      </c>
      <c r="O59" s="77">
        <f t="shared" ref="O59" si="177">SUM(O47:O58)</f>
        <v>15.916910000000003</v>
      </c>
      <c r="P59" s="26"/>
      <c r="Q59" s="31">
        <f t="shared" ref="Q59" si="178">SUM(Q47:Q58)</f>
        <v>0</v>
      </c>
      <c r="R59" s="77">
        <f t="shared" ref="R59" si="179">SUM(R47:R58)</f>
        <v>0</v>
      </c>
      <c r="S59" s="31">
        <f t="shared" ref="S59" si="180">SUM(S47:S58)</f>
        <v>1083</v>
      </c>
      <c r="T59" s="77">
        <f t="shared" ref="T59" si="181">SUM(T47:T58)</f>
        <v>94.801770000000019</v>
      </c>
      <c r="U59" s="31">
        <f t="shared" ref="U59" si="182">SUM(U47:U58)</f>
        <v>-3</v>
      </c>
      <c r="V59" s="77">
        <f t="shared" ref="V59" si="183">SUM(V47:V58)</f>
        <v>-0.29133000000000675</v>
      </c>
    </row>
    <row r="60" spans="1:22">
      <c r="A60" s="26" t="s">
        <v>14</v>
      </c>
      <c r="B60" s="26" t="s">
        <v>45</v>
      </c>
      <c r="C60" s="26">
        <v>9.26</v>
      </c>
      <c r="D60" s="74">
        <v>9.1999999999999993</v>
      </c>
      <c r="E60" s="28">
        <v>222</v>
      </c>
      <c r="F60" s="16">
        <f t="shared" ref="F60:F65" si="184">(C60*D60*E60/1000)</f>
        <v>18.912624000000001</v>
      </c>
      <c r="G60" s="17" t="s">
        <v>295</v>
      </c>
      <c r="H60" s="18">
        <v>119</v>
      </c>
      <c r="I60" s="19">
        <f t="shared" ref="I60:I65" si="185">(C60*D60*H60/1000)</f>
        <v>10.137848</v>
      </c>
      <c r="J60" s="16" t="s">
        <v>111</v>
      </c>
      <c r="K60" s="18">
        <v>104</v>
      </c>
      <c r="L60" s="19">
        <f t="shared" ref="L60:L65" si="186">(C60*D60*K60/1000)</f>
        <v>8.8599679999999985</v>
      </c>
      <c r="M60" s="16"/>
      <c r="N60" s="18"/>
      <c r="O60" s="19">
        <f t="shared" ref="O60:O65" si="187">(C60*D60*N60/1000)</f>
        <v>0</v>
      </c>
      <c r="P60" s="16"/>
      <c r="Q60" s="18"/>
      <c r="R60" s="19">
        <f t="shared" ref="R60:R65" si="188">(C60*D60*Q60/1000)</f>
        <v>0</v>
      </c>
      <c r="S60" s="20">
        <f t="shared" ref="S60:S65" si="189">+H60+K60+Q60+N60</f>
        <v>223</v>
      </c>
      <c r="T60" s="19">
        <f t="shared" ref="T60:T65" si="190">+I60+L60+R60+O60</f>
        <v>18.997816</v>
      </c>
      <c r="U60" s="21">
        <f t="shared" ref="U60:U65" si="191">E60-S60</f>
        <v>-1</v>
      </c>
      <c r="V60" s="19">
        <f t="shared" ref="V60:V65" si="192">F60-T60</f>
        <v>-8.5191999999999268E-2</v>
      </c>
    </row>
    <row r="61" spans="1:22">
      <c r="A61" s="26" t="s">
        <v>14</v>
      </c>
      <c r="B61" s="26" t="s">
        <v>45</v>
      </c>
      <c r="C61" s="26">
        <v>9.26</v>
      </c>
      <c r="D61" s="74">
        <v>10.3</v>
      </c>
      <c r="E61" s="28">
        <v>216</v>
      </c>
      <c r="F61" s="16">
        <f t="shared" si="184"/>
        <v>20.601648000000001</v>
      </c>
      <c r="G61" s="17" t="s">
        <v>426</v>
      </c>
      <c r="H61" s="18">
        <f>15+93</f>
        <v>108</v>
      </c>
      <c r="I61" s="19">
        <f t="shared" si="185"/>
        <v>10.300824</v>
      </c>
      <c r="J61" s="16" t="s">
        <v>427</v>
      </c>
      <c r="K61" s="18">
        <f>2+87</f>
        <v>89</v>
      </c>
      <c r="L61" s="19">
        <f t="shared" si="186"/>
        <v>8.4886420000000005</v>
      </c>
      <c r="M61" s="16"/>
      <c r="N61" s="18"/>
      <c r="O61" s="19">
        <f t="shared" si="187"/>
        <v>0</v>
      </c>
      <c r="P61" s="16"/>
      <c r="Q61" s="18"/>
      <c r="R61" s="19">
        <f t="shared" si="188"/>
        <v>0</v>
      </c>
      <c r="S61" s="20">
        <f t="shared" si="189"/>
        <v>197</v>
      </c>
      <c r="T61" s="19">
        <f t="shared" si="190"/>
        <v>18.789466000000001</v>
      </c>
      <c r="U61" s="21">
        <f t="shared" si="191"/>
        <v>19</v>
      </c>
      <c r="V61" s="19">
        <f t="shared" si="192"/>
        <v>1.812182</v>
      </c>
    </row>
    <row r="62" spans="1:22">
      <c r="A62" s="26" t="s">
        <v>14</v>
      </c>
      <c r="B62" s="26" t="s">
        <v>45</v>
      </c>
      <c r="C62" s="26">
        <v>9.26</v>
      </c>
      <c r="D62" s="74">
        <v>10.4</v>
      </c>
      <c r="E62" s="28">
        <v>8</v>
      </c>
      <c r="F62" s="16">
        <f t="shared" ref="F62:F64" si="193">(C62*D62*E62/1000)</f>
        <v>0.77043200000000001</v>
      </c>
      <c r="G62" s="17"/>
      <c r="H62" s="18"/>
      <c r="I62" s="19">
        <f t="shared" ref="I62:I64" si="194">(C62*D62*H62/1000)</f>
        <v>0</v>
      </c>
      <c r="J62" s="16"/>
      <c r="K62" s="18">
        <v>4</v>
      </c>
      <c r="L62" s="19">
        <f t="shared" ref="L62:L64" si="195">(C62*D62*K62/1000)</f>
        <v>0.385216</v>
      </c>
      <c r="M62" s="16"/>
      <c r="N62" s="18"/>
      <c r="O62" s="19">
        <f t="shared" ref="O62:O64" si="196">(C62*D62*N62/1000)</f>
        <v>0</v>
      </c>
      <c r="P62" s="16"/>
      <c r="Q62" s="18"/>
      <c r="R62" s="19">
        <f t="shared" ref="R62:R64" si="197">(C62*D62*Q62/1000)</f>
        <v>0</v>
      </c>
      <c r="S62" s="20">
        <f t="shared" ref="S62:S64" si="198">+H62+K62+Q62+N62</f>
        <v>4</v>
      </c>
      <c r="T62" s="19">
        <f t="shared" ref="T62:T64" si="199">+I62+L62+R62+O62</f>
        <v>0.385216</v>
      </c>
      <c r="U62" s="21">
        <f t="shared" ref="U62:U64" si="200">E62-S62</f>
        <v>4</v>
      </c>
      <c r="V62" s="19">
        <f t="shared" ref="V62:V64" si="201">F62-T62</f>
        <v>0.385216</v>
      </c>
    </row>
    <row r="63" spans="1:22">
      <c r="A63" s="26" t="s">
        <v>14</v>
      </c>
      <c r="B63" s="26" t="s">
        <v>45</v>
      </c>
      <c r="C63" s="26">
        <v>9.26</v>
      </c>
      <c r="D63" s="74">
        <v>11</v>
      </c>
      <c r="E63" s="28"/>
      <c r="F63" s="16">
        <f t="shared" si="193"/>
        <v>0</v>
      </c>
      <c r="G63" s="17"/>
      <c r="H63" s="18"/>
      <c r="I63" s="19">
        <f t="shared" si="194"/>
        <v>0</v>
      </c>
      <c r="J63" s="16"/>
      <c r="K63" s="18">
        <v>3</v>
      </c>
      <c r="L63" s="19">
        <f t="shared" si="195"/>
        <v>0.30557999999999996</v>
      </c>
      <c r="M63" s="16"/>
      <c r="N63" s="18"/>
      <c r="O63" s="19">
        <f t="shared" si="196"/>
        <v>0</v>
      </c>
      <c r="P63" s="16"/>
      <c r="Q63" s="18"/>
      <c r="R63" s="19">
        <f t="shared" si="197"/>
        <v>0</v>
      </c>
      <c r="S63" s="20">
        <f t="shared" si="198"/>
        <v>3</v>
      </c>
      <c r="T63" s="19">
        <f t="shared" si="199"/>
        <v>0.30557999999999996</v>
      </c>
      <c r="U63" s="21">
        <f t="shared" si="200"/>
        <v>-3</v>
      </c>
      <c r="V63" s="19">
        <f t="shared" si="201"/>
        <v>-0.30557999999999996</v>
      </c>
    </row>
    <row r="64" spans="1:22">
      <c r="A64" s="26" t="s">
        <v>14</v>
      </c>
      <c r="B64" s="26" t="s">
        <v>45</v>
      </c>
      <c r="C64" s="26">
        <v>9.26</v>
      </c>
      <c r="D64" s="74">
        <v>11.7</v>
      </c>
      <c r="E64" s="28"/>
      <c r="F64" s="16">
        <f t="shared" si="193"/>
        <v>0</v>
      </c>
      <c r="G64" s="17"/>
      <c r="H64" s="18"/>
      <c r="I64" s="19">
        <f t="shared" si="194"/>
        <v>0</v>
      </c>
      <c r="J64" s="16"/>
      <c r="K64" s="18">
        <v>2</v>
      </c>
      <c r="L64" s="19">
        <f t="shared" si="195"/>
        <v>0.21668399999999996</v>
      </c>
      <c r="M64" s="16"/>
      <c r="N64" s="18"/>
      <c r="O64" s="19">
        <f t="shared" si="196"/>
        <v>0</v>
      </c>
      <c r="P64" s="16"/>
      <c r="Q64" s="18"/>
      <c r="R64" s="19">
        <f t="shared" si="197"/>
        <v>0</v>
      </c>
      <c r="S64" s="20">
        <f t="shared" si="198"/>
        <v>2</v>
      </c>
      <c r="T64" s="19">
        <f t="shared" si="199"/>
        <v>0.21668399999999996</v>
      </c>
      <c r="U64" s="21">
        <f t="shared" si="200"/>
        <v>-2</v>
      </c>
      <c r="V64" s="19">
        <f t="shared" si="201"/>
        <v>-0.21668399999999996</v>
      </c>
    </row>
    <row r="65" spans="1:22">
      <c r="A65" s="26" t="s">
        <v>14</v>
      </c>
      <c r="B65" s="26" t="s">
        <v>45</v>
      </c>
      <c r="C65" s="26">
        <v>9.26</v>
      </c>
      <c r="D65" s="74">
        <v>12</v>
      </c>
      <c r="E65" s="28"/>
      <c r="F65" s="16">
        <f t="shared" si="184"/>
        <v>0</v>
      </c>
      <c r="G65" s="17"/>
      <c r="H65" s="18"/>
      <c r="I65" s="19">
        <f t="shared" si="185"/>
        <v>0</v>
      </c>
      <c r="J65" s="16"/>
      <c r="K65" s="18">
        <v>17</v>
      </c>
      <c r="L65" s="19">
        <f t="shared" si="186"/>
        <v>1.8890400000000001</v>
      </c>
      <c r="M65" s="16"/>
      <c r="N65" s="18"/>
      <c r="O65" s="19">
        <f t="shared" si="187"/>
        <v>0</v>
      </c>
      <c r="P65" s="16"/>
      <c r="Q65" s="18"/>
      <c r="R65" s="19">
        <f t="shared" si="188"/>
        <v>0</v>
      </c>
      <c r="S65" s="20">
        <f t="shared" si="189"/>
        <v>17</v>
      </c>
      <c r="T65" s="19">
        <f t="shared" si="190"/>
        <v>1.8890400000000001</v>
      </c>
      <c r="U65" s="21">
        <f t="shared" si="191"/>
        <v>-17</v>
      </c>
      <c r="V65" s="19">
        <f t="shared" si="192"/>
        <v>-1.8890400000000001</v>
      </c>
    </row>
    <row r="66" spans="1:22">
      <c r="A66" s="36"/>
      <c r="B66" s="36"/>
      <c r="C66" s="36"/>
      <c r="D66" s="76"/>
      <c r="E66" s="31">
        <f>SUM(E60:E65)</f>
        <v>446</v>
      </c>
      <c r="F66" s="77">
        <f>SUM(F60:F65)</f>
        <v>40.284704000000005</v>
      </c>
      <c r="G66" s="26"/>
      <c r="H66" s="31">
        <f>SUM(H60:H65)</f>
        <v>227</v>
      </c>
      <c r="I66" s="77">
        <f>SUM(I60:I65)</f>
        <v>20.438672</v>
      </c>
      <c r="J66" s="26"/>
      <c r="K66" s="31">
        <f t="shared" ref="K66" si="202">SUM(K60:K65)</f>
        <v>219</v>
      </c>
      <c r="L66" s="77">
        <f t="shared" ref="L66" si="203">SUM(L60:L65)</f>
        <v>20.145130000000002</v>
      </c>
      <c r="M66" s="26"/>
      <c r="N66" s="31">
        <f t="shared" ref="N66" si="204">SUM(N60:N65)</f>
        <v>0</v>
      </c>
      <c r="O66" s="77">
        <f t="shared" ref="O66" si="205">SUM(O60:O65)</f>
        <v>0</v>
      </c>
      <c r="P66" s="26"/>
      <c r="Q66" s="31">
        <f t="shared" ref="Q66" si="206">SUM(Q60:Q65)</f>
        <v>0</v>
      </c>
      <c r="R66" s="77">
        <f t="shared" ref="R66" si="207">SUM(R60:R65)</f>
        <v>0</v>
      </c>
      <c r="S66" s="31">
        <f t="shared" ref="S66" si="208">SUM(S60:S65)</f>
        <v>446</v>
      </c>
      <c r="T66" s="77">
        <f t="shared" ref="T66" si="209">SUM(T60:T65)</f>
        <v>40.583802000000006</v>
      </c>
      <c r="U66" s="31">
        <f t="shared" ref="U66" si="210">SUM(U60:U65)</f>
        <v>0</v>
      </c>
      <c r="V66" s="77">
        <f t="shared" ref="V66" si="211">SUM(V60:V65)</f>
        <v>-0.29909799999999942</v>
      </c>
    </row>
    <row r="67" spans="1:22">
      <c r="A67" s="26" t="s">
        <v>14</v>
      </c>
      <c r="B67" s="26" t="s">
        <v>61</v>
      </c>
      <c r="C67" s="26">
        <v>12.2</v>
      </c>
      <c r="D67" s="74">
        <v>9.1</v>
      </c>
      <c r="E67" s="28">
        <v>432</v>
      </c>
      <c r="F67" s="16">
        <f>(C67*D67*E67/1000)</f>
        <v>47.960639999999998</v>
      </c>
      <c r="G67" s="17" t="s">
        <v>295</v>
      </c>
      <c r="H67" s="18">
        <v>108</v>
      </c>
      <c r="I67" s="19">
        <f>(C67*D67*H67/1000)</f>
        <v>11.990159999999999</v>
      </c>
      <c r="J67" s="16" t="s">
        <v>111</v>
      </c>
      <c r="K67" s="18">
        <v>107</v>
      </c>
      <c r="L67" s="19">
        <f>(C67*D67*K67/1000)</f>
        <v>11.87914</v>
      </c>
      <c r="M67" s="16" t="s">
        <v>295</v>
      </c>
      <c r="N67" s="18">
        <f>167+36</f>
        <v>203</v>
      </c>
      <c r="O67" s="19">
        <f>(C67*D67*N67/1000)</f>
        <v>22.537059999999997</v>
      </c>
      <c r="P67" s="16"/>
      <c r="Q67" s="18"/>
      <c r="R67" s="19">
        <f>(C67*D67*Q67/1000)</f>
        <v>0</v>
      </c>
      <c r="S67" s="20">
        <f>+H67+K67+Q67+N67</f>
        <v>418</v>
      </c>
      <c r="T67" s="19">
        <f>+I67+L67+R67+O67</f>
        <v>46.406359999999992</v>
      </c>
      <c r="U67" s="21">
        <f>E67-S67</f>
        <v>14</v>
      </c>
      <c r="V67" s="19">
        <f>F67-T67</f>
        <v>1.5542800000000057</v>
      </c>
    </row>
    <row r="68" spans="1:22">
      <c r="A68" s="26" t="s">
        <v>14</v>
      </c>
      <c r="B68" s="26" t="s">
        <v>61</v>
      </c>
      <c r="C68" s="26">
        <v>12.2</v>
      </c>
      <c r="D68" s="74">
        <v>9.3000000000000007</v>
      </c>
      <c r="E68" s="28"/>
      <c r="F68" s="16">
        <f t="shared" ref="F68:F78" si="212">(C68*D68*E68/1000)</f>
        <v>0</v>
      </c>
      <c r="G68" s="17" t="s">
        <v>426</v>
      </c>
      <c r="H68" s="18"/>
      <c r="I68" s="19">
        <f t="shared" ref="I68:I78" si="213">(C68*D68*H68/1000)</f>
        <v>0</v>
      </c>
      <c r="J68" s="16" t="s">
        <v>427</v>
      </c>
      <c r="K68" s="18">
        <v>1</v>
      </c>
      <c r="L68" s="19">
        <f t="shared" ref="L68:L78" si="214">(C68*D68*K68/1000)</f>
        <v>0.11346000000000001</v>
      </c>
      <c r="M68" s="16" t="s">
        <v>427</v>
      </c>
      <c r="N68" s="18"/>
      <c r="O68" s="19">
        <f t="shared" ref="O68:O78" si="215">(C68*D68*N68/1000)</f>
        <v>0</v>
      </c>
      <c r="P68" s="16"/>
      <c r="Q68" s="18"/>
      <c r="R68" s="19">
        <f t="shared" ref="R68:R78" si="216">(C68*D68*Q68/1000)</f>
        <v>0</v>
      </c>
      <c r="S68" s="20">
        <f t="shared" ref="S68:S78" si="217">+H68+K68+Q68+N68</f>
        <v>1</v>
      </c>
      <c r="T68" s="19">
        <f t="shared" ref="T68:T78" si="218">+I68+L68+R68+O68</f>
        <v>0.11346000000000001</v>
      </c>
      <c r="U68" s="21">
        <f t="shared" ref="U68:U78" si="219">E68-S68</f>
        <v>-1</v>
      </c>
      <c r="V68" s="19">
        <f t="shared" ref="V68:V78" si="220">F68-T68</f>
        <v>-0.11346000000000001</v>
      </c>
    </row>
    <row r="69" spans="1:22">
      <c r="A69" s="26" t="s">
        <v>14</v>
      </c>
      <c r="B69" s="26" t="s">
        <v>61</v>
      </c>
      <c r="C69" s="26">
        <v>12.2</v>
      </c>
      <c r="D69" s="74">
        <v>9</v>
      </c>
      <c r="E69" s="28"/>
      <c r="F69" s="16">
        <f t="shared" si="212"/>
        <v>0</v>
      </c>
      <c r="G69" s="17"/>
      <c r="H69" s="18"/>
      <c r="I69" s="19">
        <f t="shared" si="213"/>
        <v>0</v>
      </c>
      <c r="J69" s="16"/>
      <c r="K69" s="18">
        <v>6</v>
      </c>
      <c r="L69" s="19">
        <f t="shared" si="214"/>
        <v>0.65879999999999994</v>
      </c>
      <c r="M69" s="16"/>
      <c r="N69" s="18"/>
      <c r="O69" s="19">
        <f t="shared" si="215"/>
        <v>0</v>
      </c>
      <c r="P69" s="16"/>
      <c r="Q69" s="18"/>
      <c r="R69" s="19">
        <f t="shared" si="216"/>
        <v>0</v>
      </c>
      <c r="S69" s="20">
        <f t="shared" si="217"/>
        <v>6</v>
      </c>
      <c r="T69" s="19">
        <f t="shared" si="218"/>
        <v>0.65879999999999994</v>
      </c>
      <c r="U69" s="21">
        <f t="shared" si="219"/>
        <v>-6</v>
      </c>
      <c r="V69" s="19">
        <f t="shared" si="220"/>
        <v>-0.65879999999999994</v>
      </c>
    </row>
    <row r="70" spans="1:22">
      <c r="A70" s="26" t="s">
        <v>14</v>
      </c>
      <c r="B70" s="26" t="s">
        <v>61</v>
      </c>
      <c r="C70" s="26">
        <v>12.2</v>
      </c>
      <c r="D70" s="74">
        <v>8.9</v>
      </c>
      <c r="E70" s="28"/>
      <c r="F70" s="16">
        <f t="shared" ref="F70:F77" si="221">(C70*D70*E70/1000)</f>
        <v>0</v>
      </c>
      <c r="G70" s="17"/>
      <c r="H70" s="18"/>
      <c r="I70" s="19">
        <f t="shared" ref="I70:I77" si="222">(C70*D70*H70/1000)</f>
        <v>0</v>
      </c>
      <c r="J70" s="16"/>
      <c r="K70" s="18"/>
      <c r="L70" s="19">
        <f t="shared" ref="L70:L77" si="223">(C70*D70*K70/1000)</f>
        <v>0</v>
      </c>
      <c r="M70" s="16"/>
      <c r="N70" s="18">
        <v>1</v>
      </c>
      <c r="O70" s="19">
        <f t="shared" ref="O70:O77" si="224">(C70*D70*N70/1000)</f>
        <v>0.10858</v>
      </c>
      <c r="P70" s="16"/>
      <c r="Q70" s="18"/>
      <c r="R70" s="19">
        <f t="shared" ref="R70:R77" si="225">(C70*D70*Q70/1000)</f>
        <v>0</v>
      </c>
      <c r="S70" s="20">
        <f t="shared" ref="S70:S77" si="226">+H70+K70+Q70+N70</f>
        <v>1</v>
      </c>
      <c r="T70" s="19">
        <f t="shared" ref="T70:T77" si="227">+I70+L70+R70+O70</f>
        <v>0.10858</v>
      </c>
      <c r="U70" s="21">
        <f t="shared" ref="U70:U77" si="228">E70-S70</f>
        <v>-1</v>
      </c>
      <c r="V70" s="19">
        <f t="shared" ref="V70:V77" si="229">F70-T70</f>
        <v>-0.10858</v>
      </c>
    </row>
    <row r="71" spans="1:22">
      <c r="A71" s="26" t="s">
        <v>14</v>
      </c>
      <c r="B71" s="26" t="s">
        <v>61</v>
      </c>
      <c r="C71" s="26">
        <v>12.2</v>
      </c>
      <c r="D71" s="74">
        <v>10.5</v>
      </c>
      <c r="E71" s="28"/>
      <c r="F71" s="16">
        <f t="shared" si="221"/>
        <v>0</v>
      </c>
      <c r="G71" s="17"/>
      <c r="H71" s="18"/>
      <c r="I71" s="19">
        <f t="shared" si="222"/>
        <v>0</v>
      </c>
      <c r="J71" s="16"/>
      <c r="K71" s="18"/>
      <c r="L71" s="19">
        <f t="shared" si="223"/>
        <v>0</v>
      </c>
      <c r="M71" s="16"/>
      <c r="N71" s="18">
        <v>1</v>
      </c>
      <c r="O71" s="19">
        <f t="shared" si="224"/>
        <v>0.12809999999999999</v>
      </c>
      <c r="P71" s="16"/>
      <c r="Q71" s="18"/>
      <c r="R71" s="19">
        <f t="shared" si="225"/>
        <v>0</v>
      </c>
      <c r="S71" s="20">
        <f t="shared" si="226"/>
        <v>1</v>
      </c>
      <c r="T71" s="19">
        <f t="shared" si="227"/>
        <v>0.12809999999999999</v>
      </c>
      <c r="U71" s="21">
        <f t="shared" si="228"/>
        <v>-1</v>
      </c>
      <c r="V71" s="19">
        <f t="shared" si="229"/>
        <v>-0.12809999999999999</v>
      </c>
    </row>
    <row r="72" spans="1:22">
      <c r="A72" s="26" t="s">
        <v>14</v>
      </c>
      <c r="B72" s="26" t="s">
        <v>61</v>
      </c>
      <c r="C72" s="26">
        <v>12.2</v>
      </c>
      <c r="D72" s="74">
        <v>10.9</v>
      </c>
      <c r="E72" s="28"/>
      <c r="F72" s="16">
        <f t="shared" si="221"/>
        <v>0</v>
      </c>
      <c r="G72" s="17"/>
      <c r="H72" s="18"/>
      <c r="I72" s="19">
        <f t="shared" si="222"/>
        <v>0</v>
      </c>
      <c r="J72" s="16"/>
      <c r="K72" s="18"/>
      <c r="L72" s="19">
        <f t="shared" si="223"/>
        <v>0</v>
      </c>
      <c r="M72" s="16"/>
      <c r="N72" s="18">
        <v>5</v>
      </c>
      <c r="O72" s="19">
        <f t="shared" si="224"/>
        <v>0.66489999999999994</v>
      </c>
      <c r="P72" s="16"/>
      <c r="Q72" s="18"/>
      <c r="R72" s="19">
        <f t="shared" si="225"/>
        <v>0</v>
      </c>
      <c r="S72" s="20">
        <f t="shared" si="226"/>
        <v>5</v>
      </c>
      <c r="T72" s="19">
        <f t="shared" si="227"/>
        <v>0.66489999999999994</v>
      </c>
      <c r="U72" s="21">
        <f t="shared" si="228"/>
        <v>-5</v>
      </c>
      <c r="V72" s="19">
        <f t="shared" si="229"/>
        <v>-0.66489999999999994</v>
      </c>
    </row>
    <row r="73" spans="1:22">
      <c r="A73" s="26" t="s">
        <v>14</v>
      </c>
      <c r="B73" s="26" t="s">
        <v>61</v>
      </c>
      <c r="C73" s="26">
        <v>12.2</v>
      </c>
      <c r="D73" s="74">
        <v>11</v>
      </c>
      <c r="E73" s="28"/>
      <c r="F73" s="16">
        <f t="shared" si="221"/>
        <v>0</v>
      </c>
      <c r="G73" s="17"/>
      <c r="H73" s="18"/>
      <c r="I73" s="19">
        <f t="shared" si="222"/>
        <v>0</v>
      </c>
      <c r="J73" s="16"/>
      <c r="K73" s="18"/>
      <c r="L73" s="19">
        <f t="shared" si="223"/>
        <v>0</v>
      </c>
      <c r="M73" s="16" t="s">
        <v>295</v>
      </c>
      <c r="N73" s="18">
        <v>1</v>
      </c>
      <c r="O73" s="19">
        <f t="shared" si="224"/>
        <v>0.13419999999999999</v>
      </c>
      <c r="P73" s="16"/>
      <c r="Q73" s="18"/>
      <c r="R73" s="19">
        <f t="shared" si="225"/>
        <v>0</v>
      </c>
      <c r="S73" s="20">
        <f t="shared" si="226"/>
        <v>1</v>
      </c>
      <c r="T73" s="19">
        <f t="shared" si="227"/>
        <v>0.13419999999999999</v>
      </c>
      <c r="U73" s="21">
        <f t="shared" si="228"/>
        <v>-1</v>
      </c>
      <c r="V73" s="19">
        <f t="shared" si="229"/>
        <v>-0.13419999999999999</v>
      </c>
    </row>
    <row r="74" spans="1:22">
      <c r="A74" s="26" t="s">
        <v>14</v>
      </c>
      <c r="B74" s="26" t="s">
        <v>61</v>
      </c>
      <c r="C74" s="26">
        <v>12.2</v>
      </c>
      <c r="D74" s="74">
        <v>11.2</v>
      </c>
      <c r="E74" s="28"/>
      <c r="F74" s="16">
        <f t="shared" si="221"/>
        <v>0</v>
      </c>
      <c r="G74" s="17"/>
      <c r="H74" s="18"/>
      <c r="I74" s="19">
        <f t="shared" si="222"/>
        <v>0</v>
      </c>
      <c r="J74" s="16"/>
      <c r="K74" s="18"/>
      <c r="L74" s="19">
        <f t="shared" si="223"/>
        <v>0</v>
      </c>
      <c r="M74" s="16" t="s">
        <v>428</v>
      </c>
      <c r="N74" s="18">
        <v>1</v>
      </c>
      <c r="O74" s="19">
        <f t="shared" si="224"/>
        <v>0.13663999999999998</v>
      </c>
      <c r="P74" s="16"/>
      <c r="Q74" s="18"/>
      <c r="R74" s="19">
        <f t="shared" si="225"/>
        <v>0</v>
      </c>
      <c r="S74" s="20">
        <f t="shared" si="226"/>
        <v>1</v>
      </c>
      <c r="T74" s="19">
        <f t="shared" si="227"/>
        <v>0.13663999999999998</v>
      </c>
      <c r="U74" s="21">
        <f t="shared" si="228"/>
        <v>-1</v>
      </c>
      <c r="V74" s="19">
        <f t="shared" si="229"/>
        <v>-0.13663999999999998</v>
      </c>
    </row>
    <row r="75" spans="1:22">
      <c r="A75" s="26" t="s">
        <v>14</v>
      </c>
      <c r="B75" s="26" t="s">
        <v>61</v>
      </c>
      <c r="C75" s="26">
        <v>12.2</v>
      </c>
      <c r="D75" s="74">
        <v>11.5</v>
      </c>
      <c r="E75" s="28"/>
      <c r="F75" s="16">
        <f t="shared" si="221"/>
        <v>0</v>
      </c>
      <c r="G75" s="17"/>
      <c r="H75" s="18"/>
      <c r="I75" s="19">
        <f t="shared" si="222"/>
        <v>0</v>
      </c>
      <c r="J75" s="16"/>
      <c r="K75" s="18"/>
      <c r="L75" s="19">
        <f t="shared" si="223"/>
        <v>0</v>
      </c>
      <c r="M75" s="16"/>
      <c r="N75" s="18">
        <v>3</v>
      </c>
      <c r="O75" s="19">
        <f t="shared" si="224"/>
        <v>0.4209</v>
      </c>
      <c r="P75" s="16"/>
      <c r="Q75" s="18"/>
      <c r="R75" s="19">
        <f t="shared" si="225"/>
        <v>0</v>
      </c>
      <c r="S75" s="20">
        <f t="shared" si="226"/>
        <v>3</v>
      </c>
      <c r="T75" s="19">
        <f t="shared" si="227"/>
        <v>0.4209</v>
      </c>
      <c r="U75" s="21">
        <f t="shared" si="228"/>
        <v>-3</v>
      </c>
      <c r="V75" s="19">
        <f t="shared" si="229"/>
        <v>-0.4209</v>
      </c>
    </row>
    <row r="76" spans="1:22">
      <c r="A76" s="26" t="s">
        <v>14</v>
      </c>
      <c r="B76" s="26" t="s">
        <v>61</v>
      </c>
      <c r="C76" s="26">
        <v>12.2</v>
      </c>
      <c r="D76" s="74">
        <v>12</v>
      </c>
      <c r="E76" s="28"/>
      <c r="F76" s="16">
        <f t="shared" si="221"/>
        <v>0</v>
      </c>
      <c r="G76" s="17"/>
      <c r="H76" s="18"/>
      <c r="I76" s="19">
        <f t="shared" si="222"/>
        <v>0</v>
      </c>
      <c r="J76" s="16"/>
      <c r="K76" s="18"/>
      <c r="L76" s="19">
        <f t="shared" si="223"/>
        <v>0</v>
      </c>
      <c r="M76" s="16"/>
      <c r="N76" s="18">
        <v>27</v>
      </c>
      <c r="O76" s="19">
        <f t="shared" si="224"/>
        <v>3.9527999999999994</v>
      </c>
      <c r="P76" s="16"/>
      <c r="Q76" s="18"/>
      <c r="R76" s="19">
        <f t="shared" si="225"/>
        <v>0</v>
      </c>
      <c r="S76" s="20">
        <f t="shared" si="226"/>
        <v>27</v>
      </c>
      <c r="T76" s="19">
        <f t="shared" si="227"/>
        <v>3.9527999999999994</v>
      </c>
      <c r="U76" s="21">
        <f t="shared" si="228"/>
        <v>-27</v>
      </c>
      <c r="V76" s="19">
        <f t="shared" si="229"/>
        <v>-3.9527999999999994</v>
      </c>
    </row>
    <row r="77" spans="1:22">
      <c r="A77" s="26" t="s">
        <v>14</v>
      </c>
      <c r="B77" s="26" t="s">
        <v>61</v>
      </c>
      <c r="C77" s="26">
        <v>12.2</v>
      </c>
      <c r="D77" s="74">
        <v>11.7</v>
      </c>
      <c r="E77" s="28"/>
      <c r="F77" s="16">
        <f t="shared" si="221"/>
        <v>0</v>
      </c>
      <c r="G77" s="17"/>
      <c r="H77" s="18"/>
      <c r="I77" s="19">
        <f t="shared" si="222"/>
        <v>0</v>
      </c>
      <c r="J77" s="16"/>
      <c r="K77" s="18"/>
      <c r="L77" s="19">
        <f t="shared" si="223"/>
        <v>0</v>
      </c>
      <c r="M77" s="16"/>
      <c r="N77" s="18">
        <v>2</v>
      </c>
      <c r="O77" s="19">
        <f t="shared" si="224"/>
        <v>0.28547999999999996</v>
      </c>
      <c r="P77" s="16"/>
      <c r="Q77" s="18"/>
      <c r="R77" s="19">
        <f t="shared" si="225"/>
        <v>0</v>
      </c>
      <c r="S77" s="20">
        <f t="shared" si="226"/>
        <v>2</v>
      </c>
      <c r="T77" s="19">
        <f t="shared" si="227"/>
        <v>0.28547999999999996</v>
      </c>
      <c r="U77" s="21">
        <f t="shared" si="228"/>
        <v>-2</v>
      </c>
      <c r="V77" s="19">
        <f t="shared" si="229"/>
        <v>-0.28547999999999996</v>
      </c>
    </row>
    <row r="78" spans="1:22">
      <c r="A78" s="26" t="s">
        <v>14</v>
      </c>
      <c r="B78" s="26" t="s">
        <v>61</v>
      </c>
      <c r="C78" s="26">
        <v>12.2</v>
      </c>
      <c r="D78" s="74">
        <v>11.3</v>
      </c>
      <c r="E78" s="28"/>
      <c r="F78" s="16">
        <f t="shared" si="212"/>
        <v>0</v>
      </c>
      <c r="G78" s="17"/>
      <c r="H78" s="18"/>
      <c r="I78" s="19">
        <f t="shared" si="213"/>
        <v>0</v>
      </c>
      <c r="J78" s="16"/>
      <c r="K78" s="18"/>
      <c r="L78" s="19">
        <f t="shared" si="214"/>
        <v>0</v>
      </c>
      <c r="M78" s="16"/>
      <c r="N78" s="18">
        <v>1</v>
      </c>
      <c r="O78" s="19">
        <f t="shared" si="215"/>
        <v>0.13786000000000001</v>
      </c>
      <c r="P78" s="16"/>
      <c r="Q78" s="18"/>
      <c r="R78" s="19">
        <f t="shared" si="216"/>
        <v>0</v>
      </c>
      <c r="S78" s="20">
        <f t="shared" si="217"/>
        <v>1</v>
      </c>
      <c r="T78" s="19">
        <f t="shared" si="218"/>
        <v>0.13786000000000001</v>
      </c>
      <c r="U78" s="21">
        <f t="shared" si="219"/>
        <v>-1</v>
      </c>
      <c r="V78" s="19">
        <f t="shared" si="220"/>
        <v>-0.13786000000000001</v>
      </c>
    </row>
    <row r="79" spans="1:22">
      <c r="A79" s="36"/>
      <c r="B79" s="36"/>
      <c r="C79" s="36"/>
      <c r="D79" s="76"/>
      <c r="E79" s="31">
        <f t="shared" ref="E79:F79" si="230">SUM(E67:E78)</f>
        <v>432</v>
      </c>
      <c r="F79" s="77">
        <f t="shared" si="230"/>
        <v>47.960639999999998</v>
      </c>
      <c r="G79" s="17"/>
      <c r="H79" s="31">
        <f t="shared" ref="H79" si="231">SUM(H67:H78)</f>
        <v>108</v>
      </c>
      <c r="I79" s="77">
        <f t="shared" ref="I79" si="232">SUM(I67:I78)</f>
        <v>11.990159999999999</v>
      </c>
      <c r="J79" s="16"/>
      <c r="K79" s="31">
        <f t="shared" ref="K79" si="233">SUM(K67:K78)</f>
        <v>114</v>
      </c>
      <c r="L79" s="77">
        <f t="shared" ref="L79" si="234">SUM(L67:L78)</f>
        <v>12.651399999999999</v>
      </c>
      <c r="M79" s="26"/>
      <c r="N79" s="31">
        <f t="shared" ref="N79" si="235">SUM(N67:N78)</f>
        <v>245</v>
      </c>
      <c r="O79" s="77">
        <f t="shared" ref="O79" si="236">SUM(O67:O78)</f>
        <v>28.506519999999995</v>
      </c>
      <c r="P79" s="26"/>
      <c r="Q79" s="31">
        <f t="shared" ref="Q79" si="237">SUM(Q67:Q78)</f>
        <v>0</v>
      </c>
      <c r="R79" s="77">
        <f t="shared" ref="R79" si="238">SUM(R67:R78)</f>
        <v>0</v>
      </c>
      <c r="S79" s="31">
        <f t="shared" ref="S79" si="239">SUM(S67:S78)</f>
        <v>467</v>
      </c>
      <c r="T79" s="77">
        <f t="shared" ref="T79" si="240">SUM(T67:T78)</f>
        <v>53.148080000000007</v>
      </c>
      <c r="U79" s="31">
        <f>SUM(U67:U78)</f>
        <v>-35</v>
      </c>
      <c r="V79" s="77">
        <f t="shared" ref="V79" si="241">SUM(V67:V78)</f>
        <v>-5.1874399999999934</v>
      </c>
    </row>
    <row r="80" spans="1:22">
      <c r="A80" s="26" t="s">
        <v>14</v>
      </c>
      <c r="B80" s="26" t="s">
        <v>49</v>
      </c>
      <c r="C80" s="26">
        <v>14.7</v>
      </c>
      <c r="D80" s="74">
        <v>7.5</v>
      </c>
      <c r="E80" s="28">
        <v>108</v>
      </c>
      <c r="F80" s="16">
        <f t="shared" ref="F80:F86" si="242">(C80*D80*E80/1000)</f>
        <v>11.907</v>
      </c>
      <c r="G80" s="17" t="s">
        <v>111</v>
      </c>
      <c r="H80" s="18"/>
      <c r="I80" s="19">
        <f t="shared" ref="I80:I86" si="243">(C80*D80*H80/1000)</f>
        <v>0</v>
      </c>
      <c r="J80" s="16" t="s">
        <v>93</v>
      </c>
      <c r="K80" s="18">
        <v>65</v>
      </c>
      <c r="L80" s="19">
        <f t="shared" ref="L80:L86" si="244">(C80*D80*K80/1000)</f>
        <v>7.1662499999999998</v>
      </c>
      <c r="M80" s="16" t="s">
        <v>86</v>
      </c>
      <c r="N80" s="18">
        <v>42</v>
      </c>
      <c r="O80" s="19">
        <f t="shared" ref="O80:O86" si="245">(C80*D80*N80/1000)</f>
        <v>4.6304999999999996</v>
      </c>
      <c r="P80" s="16" t="s">
        <v>89</v>
      </c>
      <c r="Q80" s="18"/>
      <c r="R80" s="19">
        <f t="shared" ref="R80:R86" si="246">(C80*D80*Q80/1000)</f>
        <v>0</v>
      </c>
      <c r="S80" s="20">
        <f t="shared" ref="S80:S86" si="247">+H80+K80+Q80+N80</f>
        <v>107</v>
      </c>
      <c r="T80" s="19">
        <f t="shared" ref="T80:T86" si="248">+I80+L80+R80+O80</f>
        <v>11.796749999999999</v>
      </c>
      <c r="U80" s="21">
        <f t="shared" ref="U80:U86" si="249">E80-S80</f>
        <v>1</v>
      </c>
      <c r="V80" s="19">
        <f t="shared" ref="V80:V86" si="250">F80-T80</f>
        <v>0.11025000000000063</v>
      </c>
    </row>
    <row r="81" spans="1:22">
      <c r="A81" s="26" t="s">
        <v>14</v>
      </c>
      <c r="B81" s="26" t="s">
        <v>49</v>
      </c>
      <c r="C81" s="26">
        <v>14.7</v>
      </c>
      <c r="D81" s="74">
        <v>8.5</v>
      </c>
      <c r="E81" s="28">
        <v>54</v>
      </c>
      <c r="F81" s="16">
        <f t="shared" si="242"/>
        <v>6.7472999999999992</v>
      </c>
      <c r="G81" s="17" t="s">
        <v>430</v>
      </c>
      <c r="H81" s="18"/>
      <c r="I81" s="19">
        <f t="shared" si="243"/>
        <v>0</v>
      </c>
      <c r="J81" s="16" t="s">
        <v>431</v>
      </c>
      <c r="K81" s="18">
        <v>38</v>
      </c>
      <c r="L81" s="19">
        <f t="shared" si="244"/>
        <v>4.7480999999999991</v>
      </c>
      <c r="M81" s="16" t="s">
        <v>431</v>
      </c>
      <c r="N81" s="18">
        <v>22</v>
      </c>
      <c r="O81" s="19">
        <f t="shared" si="245"/>
        <v>2.7488999999999995</v>
      </c>
      <c r="P81" s="16" t="s">
        <v>444</v>
      </c>
      <c r="Q81" s="18"/>
      <c r="R81" s="19">
        <f t="shared" si="246"/>
        <v>0</v>
      </c>
      <c r="S81" s="20">
        <f t="shared" si="247"/>
        <v>60</v>
      </c>
      <c r="T81" s="19">
        <f t="shared" si="248"/>
        <v>7.4969999999999981</v>
      </c>
      <c r="U81" s="21">
        <f t="shared" si="249"/>
        <v>-6</v>
      </c>
      <c r="V81" s="19">
        <f t="shared" si="250"/>
        <v>-0.74969999999999892</v>
      </c>
    </row>
    <row r="82" spans="1:22">
      <c r="A82" s="26" t="s">
        <v>14</v>
      </c>
      <c r="B82" s="26" t="s">
        <v>49</v>
      </c>
      <c r="C82" s="26">
        <v>14.7</v>
      </c>
      <c r="D82" s="74">
        <v>11.6</v>
      </c>
      <c r="E82" s="28">
        <v>432</v>
      </c>
      <c r="F82" s="16">
        <f t="shared" si="242"/>
        <v>73.664639999999991</v>
      </c>
      <c r="G82" s="17"/>
      <c r="H82" s="18">
        <v>99</v>
      </c>
      <c r="I82" s="19">
        <f t="shared" si="243"/>
        <v>16.88148</v>
      </c>
      <c r="J82" s="16"/>
      <c r="K82" s="18">
        <f>36+58</f>
        <v>94</v>
      </c>
      <c r="L82" s="19">
        <f t="shared" si="244"/>
        <v>16.028879999999997</v>
      </c>
      <c r="M82" s="16" t="s">
        <v>89</v>
      </c>
      <c r="N82" s="18">
        <f>56+14+111</f>
        <v>181</v>
      </c>
      <c r="O82" s="19">
        <f t="shared" si="245"/>
        <v>30.864119999999996</v>
      </c>
      <c r="P82" s="16"/>
      <c r="Q82" s="18">
        <v>10</v>
      </c>
      <c r="R82" s="19">
        <f t="shared" si="246"/>
        <v>1.7051999999999998</v>
      </c>
      <c r="S82" s="20">
        <f t="shared" si="247"/>
        <v>384</v>
      </c>
      <c r="T82" s="19">
        <f t="shared" si="248"/>
        <v>65.479679999999988</v>
      </c>
      <c r="U82" s="21">
        <f t="shared" si="249"/>
        <v>48</v>
      </c>
      <c r="V82" s="19">
        <f t="shared" si="250"/>
        <v>8.1849600000000038</v>
      </c>
    </row>
    <row r="83" spans="1:22">
      <c r="A83" s="26" t="s">
        <v>14</v>
      </c>
      <c r="B83" s="26" t="s">
        <v>49</v>
      </c>
      <c r="C83" s="26">
        <v>14.7</v>
      </c>
      <c r="D83" s="74">
        <v>11.9</v>
      </c>
      <c r="E83" s="28">
        <v>234</v>
      </c>
      <c r="F83" s="16">
        <f t="shared" ref="F83:F85" si="251">(C83*D83*E83/1000)</f>
        <v>40.933620000000005</v>
      </c>
      <c r="G83" s="17"/>
      <c r="H83" s="18">
        <v>90</v>
      </c>
      <c r="I83" s="19">
        <f t="shared" ref="I83:I85" si="252">(C83*D83*H83/1000)</f>
        <v>15.7437</v>
      </c>
      <c r="J83" s="16"/>
      <c r="K83" s="18">
        <v>26</v>
      </c>
      <c r="L83" s="19">
        <f t="shared" ref="L83:L85" si="253">(C83*D83*K83/1000)</f>
        <v>4.5481800000000003</v>
      </c>
      <c r="M83" s="16" t="s">
        <v>442</v>
      </c>
      <c r="N83" s="18">
        <f t="shared" ref="N83" si="254">89+54</f>
        <v>143</v>
      </c>
      <c r="O83" s="19">
        <f t="shared" ref="O83:O85" si="255">(C83*D83*N83/1000)</f>
        <v>25.014990000000001</v>
      </c>
      <c r="P83" s="16"/>
      <c r="Q83" s="18">
        <v>17</v>
      </c>
      <c r="R83" s="19">
        <f t="shared" ref="R83:R85" si="256">(C83*D83*Q83/1000)</f>
        <v>2.9738099999999998</v>
      </c>
      <c r="S83" s="20">
        <f t="shared" ref="S83:S85" si="257">+H83+K83+Q83+N83</f>
        <v>276</v>
      </c>
      <c r="T83" s="19">
        <f t="shared" ref="T83:T85" si="258">+I83+L83+R83+O83</f>
        <v>48.280680000000004</v>
      </c>
      <c r="U83" s="21">
        <f t="shared" ref="U83:U85" si="259">E83-S83</f>
        <v>-42</v>
      </c>
      <c r="V83" s="19">
        <f t="shared" ref="V83:V85" si="260">F83-T83</f>
        <v>-7.347059999999999</v>
      </c>
    </row>
    <row r="84" spans="1:22">
      <c r="A84" s="26" t="s">
        <v>14</v>
      </c>
      <c r="B84" s="26" t="s">
        <v>49</v>
      </c>
      <c r="C84" s="26">
        <v>14.7</v>
      </c>
      <c r="D84" s="74">
        <v>11.7</v>
      </c>
      <c r="E84" s="28"/>
      <c r="F84" s="16">
        <f t="shared" si="251"/>
        <v>0</v>
      </c>
      <c r="G84" s="17"/>
      <c r="H84" s="18"/>
      <c r="I84" s="19">
        <f t="shared" si="252"/>
        <v>0</v>
      </c>
      <c r="J84" s="16"/>
      <c r="K84" s="18"/>
      <c r="L84" s="19">
        <f t="shared" si="253"/>
        <v>0</v>
      </c>
      <c r="M84" s="16"/>
      <c r="N84" s="18"/>
      <c r="O84" s="19">
        <f t="shared" si="255"/>
        <v>0</v>
      </c>
      <c r="P84" s="16"/>
      <c r="Q84" s="18">
        <v>2</v>
      </c>
      <c r="R84" s="19">
        <f t="shared" si="256"/>
        <v>0.34397999999999995</v>
      </c>
      <c r="S84" s="20">
        <f t="shared" si="257"/>
        <v>2</v>
      </c>
      <c r="T84" s="19">
        <f t="shared" si="258"/>
        <v>0.34397999999999995</v>
      </c>
      <c r="U84" s="21">
        <f t="shared" si="259"/>
        <v>-2</v>
      </c>
      <c r="V84" s="19">
        <f t="shared" si="260"/>
        <v>-0.34397999999999995</v>
      </c>
    </row>
    <row r="85" spans="1:22">
      <c r="A85" s="26" t="s">
        <v>14</v>
      </c>
      <c r="B85" s="26" t="s">
        <v>49</v>
      </c>
      <c r="C85" s="26">
        <v>14.7</v>
      </c>
      <c r="D85" s="74"/>
      <c r="E85" s="28"/>
      <c r="F85" s="16">
        <f t="shared" si="251"/>
        <v>0</v>
      </c>
      <c r="G85" s="17"/>
      <c r="H85" s="18"/>
      <c r="I85" s="19">
        <f t="shared" si="252"/>
        <v>0</v>
      </c>
      <c r="J85" s="16"/>
      <c r="K85" s="18"/>
      <c r="L85" s="19">
        <f t="shared" si="253"/>
        <v>0</v>
      </c>
      <c r="M85" s="16"/>
      <c r="N85" s="18"/>
      <c r="O85" s="19">
        <f t="shared" si="255"/>
        <v>0</v>
      </c>
      <c r="P85" s="16"/>
      <c r="Q85" s="18"/>
      <c r="R85" s="19">
        <f t="shared" si="256"/>
        <v>0</v>
      </c>
      <c r="S85" s="20">
        <f t="shared" si="257"/>
        <v>0</v>
      </c>
      <c r="T85" s="19">
        <f t="shared" si="258"/>
        <v>0</v>
      </c>
      <c r="U85" s="21">
        <f t="shared" si="259"/>
        <v>0</v>
      </c>
      <c r="V85" s="19">
        <f t="shared" si="260"/>
        <v>0</v>
      </c>
    </row>
    <row r="86" spans="1:22">
      <c r="A86" s="26" t="s">
        <v>14</v>
      </c>
      <c r="B86" s="26" t="s">
        <v>49</v>
      </c>
      <c r="C86" s="26">
        <v>14.7</v>
      </c>
      <c r="D86" s="74"/>
      <c r="E86" s="28"/>
      <c r="F86" s="16">
        <f t="shared" si="242"/>
        <v>0</v>
      </c>
      <c r="G86" s="17"/>
      <c r="H86" s="18"/>
      <c r="I86" s="19">
        <f t="shared" si="243"/>
        <v>0</v>
      </c>
      <c r="J86" s="16"/>
      <c r="K86" s="18"/>
      <c r="L86" s="19">
        <f t="shared" si="244"/>
        <v>0</v>
      </c>
      <c r="M86" s="16"/>
      <c r="N86" s="18"/>
      <c r="O86" s="19">
        <f t="shared" si="245"/>
        <v>0</v>
      </c>
      <c r="P86" s="16"/>
      <c r="Q86" s="18"/>
      <c r="R86" s="19">
        <f t="shared" si="246"/>
        <v>0</v>
      </c>
      <c r="S86" s="20">
        <f t="shared" si="247"/>
        <v>0</v>
      </c>
      <c r="T86" s="19">
        <f t="shared" si="248"/>
        <v>0</v>
      </c>
      <c r="U86" s="21">
        <f t="shared" si="249"/>
        <v>0</v>
      </c>
      <c r="V86" s="19">
        <f t="shared" si="250"/>
        <v>0</v>
      </c>
    </row>
    <row r="87" spans="1:22">
      <c r="A87" s="36"/>
      <c r="B87" s="36"/>
      <c r="C87" s="36"/>
      <c r="D87" s="76"/>
      <c r="E87" s="31">
        <f t="shared" ref="E87:F87" si="261">SUM(E80:E86)</f>
        <v>828</v>
      </c>
      <c r="F87" s="77">
        <f t="shared" si="261"/>
        <v>133.25256000000002</v>
      </c>
      <c r="G87" s="26"/>
      <c r="H87" s="31">
        <f t="shared" ref="H87" si="262">SUM(H80:H86)</f>
        <v>189</v>
      </c>
      <c r="I87" s="77">
        <f t="shared" ref="I87" si="263">SUM(I80:I86)</f>
        <v>32.62518</v>
      </c>
      <c r="J87" s="26"/>
      <c r="K87" s="31">
        <f t="shared" ref="K87" si="264">SUM(K80:K86)</f>
        <v>223</v>
      </c>
      <c r="L87" s="77">
        <f t="shared" ref="L87" si="265">SUM(L80:L86)</f>
        <v>32.491409999999995</v>
      </c>
      <c r="M87" s="26"/>
      <c r="N87" s="31">
        <f t="shared" ref="N87" si="266">SUM(N80:N86)</f>
        <v>388</v>
      </c>
      <c r="O87" s="77">
        <f t="shared" ref="O87" si="267">SUM(O80:O86)</f>
        <v>63.258510000000001</v>
      </c>
      <c r="P87" s="26"/>
      <c r="Q87" s="31">
        <f t="shared" ref="Q87" si="268">SUM(Q80:Q86)</f>
        <v>29</v>
      </c>
      <c r="R87" s="77">
        <f t="shared" ref="R87" si="269">SUM(R80:R86)</f>
        <v>5.0229900000000001</v>
      </c>
      <c r="S87" s="31">
        <f t="shared" ref="S87" si="270">SUM(S80:S86)</f>
        <v>829</v>
      </c>
      <c r="T87" s="77">
        <f t="shared" ref="T87" si="271">SUM(T80:T86)</f>
        <v>133.39808999999997</v>
      </c>
      <c r="U87" s="31">
        <f t="shared" ref="U87" si="272">SUM(U80:U86)</f>
        <v>-1</v>
      </c>
      <c r="V87" s="77">
        <f t="shared" ref="V87" si="273">SUM(V80:V86)</f>
        <v>-0.1455299999999935</v>
      </c>
    </row>
    <row r="88" spans="1:22">
      <c r="A88" s="26"/>
      <c r="B88" s="26"/>
      <c r="C88" s="26"/>
      <c r="D88" s="26"/>
      <c r="E88" s="31">
        <f>SUM(E87,E79,E66,E59,E46,E38,E36,E93,E29,E25,E22,E19,E9,E7)</f>
        <v>4644</v>
      </c>
      <c r="F88" s="77">
        <f>SUM(F87,F79,F66,F59,F46,F38,F36,F93,F29,F25,F22,F19,F9,F7)</f>
        <v>612.97405600000002</v>
      </c>
      <c r="G88" s="26"/>
      <c r="H88" s="31">
        <f>SUM(H87,H79,H66,H59,H46,H38,H36,H93,H29,H25,H22,H19,H9,H7)</f>
        <v>1602</v>
      </c>
      <c r="I88" s="77">
        <f>SUM(I87,I79,I66,I59,I46,I38,I36,I93,I29,I25,I22,I19,I9,I7)</f>
        <v>193.29773399999999</v>
      </c>
      <c r="J88" s="26"/>
      <c r="K88" s="31">
        <f>SUM(K87,K79,K66,K59,K46,K38,K36,K93,K29,K25,K22,K19,K9,K7)</f>
        <v>1559</v>
      </c>
      <c r="L88" s="77">
        <f>SUM(L87,L79,L66,L59,L46,L38,L36,L93,L29,L25,L22,L19,L9,L7)</f>
        <v>171.78895</v>
      </c>
      <c r="M88" s="26"/>
      <c r="N88" s="31">
        <f>SUM(N87,N79,N66,N59,N46,N38,N36,N93,N29,N25,N22,N19,N9,N7)</f>
        <v>1166</v>
      </c>
      <c r="O88" s="77">
        <f>SUM(O87,O79,O66,O59,O46,O38,O36,O93,O29,O25,O22,O19,O9,O7)</f>
        <v>181.90272299999998</v>
      </c>
      <c r="P88" s="26"/>
      <c r="Q88" s="31">
        <f t="shared" ref="Q88:V88" si="274">SUM(Q87,Q79,Q66,Q59,Q46,Q38,Q36,Q93,Q29,Q25,Q22,Q19,Q9,Q7)</f>
        <v>151</v>
      </c>
      <c r="R88" s="77">
        <f t="shared" si="274"/>
        <v>35.544500499999998</v>
      </c>
      <c r="S88" s="31">
        <f t="shared" si="274"/>
        <v>4478</v>
      </c>
      <c r="T88" s="77">
        <f t="shared" si="274"/>
        <v>582.53390750000005</v>
      </c>
      <c r="U88" s="31">
        <f t="shared" si="274"/>
        <v>166</v>
      </c>
      <c r="V88" s="77">
        <f t="shared" si="274"/>
        <v>30.440148499999989</v>
      </c>
    </row>
    <row r="92" spans="1:22" s="56" customFormat="1">
      <c r="A92" s="57" t="s">
        <v>13</v>
      </c>
      <c r="B92" s="57" t="s">
        <v>49</v>
      </c>
      <c r="C92" s="57">
        <v>14.7</v>
      </c>
      <c r="D92" s="83">
        <v>11.6</v>
      </c>
      <c r="E92" s="60">
        <v>216</v>
      </c>
      <c r="F92" s="61">
        <f>(C92*D92*E92/1000)</f>
        <v>36.832319999999996</v>
      </c>
      <c r="G92" s="62"/>
      <c r="H92" s="63"/>
      <c r="I92" s="64">
        <f>(C92*D92*H92/1000)</f>
        <v>0</v>
      </c>
      <c r="J92" s="61"/>
      <c r="K92" s="63"/>
      <c r="L92" s="64">
        <f>(C92*D92*K92/1000)</f>
        <v>0</v>
      </c>
      <c r="M92" s="61"/>
      <c r="N92" s="63"/>
      <c r="O92" s="64">
        <f>(C92*D92*N92/1000)</f>
        <v>0</v>
      </c>
      <c r="P92" s="61"/>
      <c r="Q92" s="63"/>
      <c r="R92" s="64">
        <f>(C92*D92*Q92/1000)</f>
        <v>0</v>
      </c>
      <c r="S92" s="65">
        <f>+H92+K92+Q92+N92</f>
        <v>0</v>
      </c>
      <c r="T92" s="64">
        <f>+I92+L92+R92+O92</f>
        <v>0</v>
      </c>
      <c r="U92" s="42">
        <f>E92-S92</f>
        <v>216</v>
      </c>
      <c r="V92" s="64">
        <f>F92-T92</f>
        <v>36.832319999999996</v>
      </c>
    </row>
    <row r="93" spans="1:22" s="56" customFormat="1">
      <c r="A93" s="41"/>
      <c r="B93" s="41"/>
      <c r="C93" s="41"/>
      <c r="D93" s="84"/>
      <c r="E93" s="68">
        <f t="shared" ref="E93:F93" si="275">SUM(E92)</f>
        <v>216</v>
      </c>
      <c r="F93" s="85">
        <f t="shared" si="275"/>
        <v>36.832319999999996</v>
      </c>
      <c r="G93" s="62"/>
      <c r="H93" s="68">
        <f t="shared" ref="H93" si="276">SUM(H92)</f>
        <v>0</v>
      </c>
      <c r="I93" s="85">
        <f t="shared" ref="I93" si="277">SUM(I92)</f>
        <v>0</v>
      </c>
      <c r="J93" s="61"/>
      <c r="K93" s="68">
        <f t="shared" ref="K93" si="278">SUM(K92)</f>
        <v>0</v>
      </c>
      <c r="L93" s="85">
        <f t="shared" ref="L93" si="279">SUM(L92)</f>
        <v>0</v>
      </c>
      <c r="M93" s="61"/>
      <c r="N93" s="68">
        <f t="shared" ref="N93" si="280">SUM(N92)</f>
        <v>0</v>
      </c>
      <c r="O93" s="85">
        <f t="shared" ref="O93" si="281">SUM(O92)</f>
        <v>0</v>
      </c>
      <c r="P93" s="61"/>
      <c r="Q93" s="68">
        <f t="shared" ref="Q93" si="282">SUM(Q92)</f>
        <v>0</v>
      </c>
      <c r="R93" s="85">
        <f t="shared" ref="R93" si="283">SUM(R92)</f>
        <v>0</v>
      </c>
      <c r="S93" s="68">
        <f t="shared" ref="S93" si="284">SUM(S92)</f>
        <v>0</v>
      </c>
      <c r="T93" s="85">
        <f t="shared" ref="T93" si="285">SUM(T92)</f>
        <v>0</v>
      </c>
      <c r="U93" s="68">
        <f t="shared" ref="U93" si="286">SUM(U92)</f>
        <v>216</v>
      </c>
      <c r="V93" s="85">
        <f t="shared" ref="V93" si="287">SUM(V92)</f>
        <v>36.832319999999996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sheetPr codeName="Sheet74"/>
  <dimension ref="A1:X202"/>
  <sheetViews>
    <sheetView zoomScale="75" zoomScaleNormal="75" workbookViewId="0">
      <pane ySplit="5" topLeftCell="A97" activePane="bottomLeft" state="frozen"/>
      <selection pane="bottomLeft" activeCell="K98" sqref="K98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LOI-715  12.08.23</v>
      </c>
      <c r="D1" s="1"/>
      <c r="E1" s="2"/>
      <c r="F1" s="2"/>
      <c r="G1" s="143" t="s">
        <v>382</v>
      </c>
      <c r="H1" s="144"/>
      <c r="I1" s="145" t="s">
        <v>383</v>
      </c>
      <c r="J1" s="144"/>
      <c r="K1" s="3"/>
      <c r="L1" s="4"/>
      <c r="M1" s="4"/>
      <c r="N1" s="3"/>
      <c r="O1" s="4"/>
      <c r="P1" s="146" t="str">
        <f>+F2</f>
        <v>LOI-715  12.08.23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380</v>
      </c>
      <c r="B2" s="8"/>
      <c r="C2" s="9"/>
      <c r="D2" s="9"/>
      <c r="E2" s="10"/>
      <c r="F2" s="146" t="s">
        <v>376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LOI-715  12.08.23</v>
      </c>
      <c r="V2" s="146"/>
    </row>
    <row r="3" spans="1:22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161</v>
      </c>
      <c r="C6" s="26">
        <v>44.2</v>
      </c>
      <c r="D6" s="74">
        <v>6</v>
      </c>
      <c r="E6" s="28">
        <v>1</v>
      </c>
      <c r="F6" s="16">
        <f>(C6*D6*E6/1000)</f>
        <v>0.26520000000000005</v>
      </c>
      <c r="G6" s="17" t="s">
        <v>93</v>
      </c>
      <c r="H6" s="18">
        <v>1</v>
      </c>
      <c r="I6" s="19">
        <f>(C6*D6*H6/1000)</f>
        <v>0.26520000000000005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</v>
      </c>
      <c r="T6" s="19">
        <f>+I6+L6+R6+O6</f>
        <v>0.26520000000000005</v>
      </c>
      <c r="U6" s="21">
        <f>E6-S6</f>
        <v>0</v>
      </c>
      <c r="V6" s="19">
        <f>F6-T6</f>
        <v>0</v>
      </c>
    </row>
    <row r="7" spans="1:22">
      <c r="A7" s="26"/>
      <c r="B7" s="41" t="s">
        <v>377</v>
      </c>
      <c r="C7" s="26"/>
      <c r="D7" s="74"/>
      <c r="E7" s="31">
        <f t="shared" ref="E7:F7" si="0">SUM(E6)</f>
        <v>1</v>
      </c>
      <c r="F7" s="77">
        <f t="shared" si="0"/>
        <v>0.26520000000000005</v>
      </c>
      <c r="G7" s="17" t="s">
        <v>469</v>
      </c>
      <c r="H7" s="31">
        <f t="shared" ref="H7" si="1">SUM(H6)</f>
        <v>1</v>
      </c>
      <c r="I7" s="77">
        <f t="shared" ref="I7" si="2">SUM(I6)</f>
        <v>0.26520000000000005</v>
      </c>
      <c r="J7" s="26"/>
      <c r="K7" s="31">
        <f t="shared" ref="K7" si="3">SUM(K6)</f>
        <v>0</v>
      </c>
      <c r="L7" s="77">
        <f t="shared" ref="L7" si="4">SUM(L6)</f>
        <v>0</v>
      </c>
      <c r="M7" s="26"/>
      <c r="N7" s="31">
        <f t="shared" ref="N7" si="5">SUM(N6)</f>
        <v>0</v>
      </c>
      <c r="O7" s="77">
        <f t="shared" ref="O7" si="6">SUM(O6)</f>
        <v>0</v>
      </c>
      <c r="P7" s="26"/>
      <c r="Q7" s="31">
        <f t="shared" ref="Q7" si="7">SUM(Q6)</f>
        <v>0</v>
      </c>
      <c r="R7" s="77">
        <f t="shared" ref="R7" si="8">SUM(R6)</f>
        <v>0</v>
      </c>
      <c r="S7" s="31">
        <f t="shared" ref="S7" si="9">SUM(S6)</f>
        <v>1</v>
      </c>
      <c r="T7" s="77">
        <f t="shared" ref="T7" si="10">SUM(T6)</f>
        <v>0.26520000000000005</v>
      </c>
      <c r="U7" s="31">
        <f t="shared" ref="U7" si="11">SUM(U6)</f>
        <v>0</v>
      </c>
      <c r="V7" s="77">
        <f>SUM(V6)</f>
        <v>0</v>
      </c>
    </row>
    <row r="8" spans="1:22">
      <c r="A8" s="26" t="s">
        <v>13</v>
      </c>
      <c r="B8" s="26" t="s">
        <v>61</v>
      </c>
      <c r="C8" s="26">
        <v>12.2</v>
      </c>
      <c r="D8" s="74">
        <v>11</v>
      </c>
      <c r="E8" s="28">
        <v>30</v>
      </c>
      <c r="F8" s="16">
        <f>(C8*D8*E8/1000)</f>
        <v>4.0259999999999998</v>
      </c>
      <c r="G8" s="17" t="s">
        <v>93</v>
      </c>
      <c r="H8" s="18">
        <v>28</v>
      </c>
      <c r="I8" s="19">
        <f>(C8*D8*H8/1000)</f>
        <v>3.7575999999999996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28</v>
      </c>
      <c r="T8" s="19">
        <f>+I8+L8+R8+O8</f>
        <v>3.7575999999999996</v>
      </c>
      <c r="U8" s="21">
        <f>E8-S8</f>
        <v>2</v>
      </c>
      <c r="V8" s="19">
        <f>F8-T8</f>
        <v>0.26840000000000019</v>
      </c>
    </row>
    <row r="9" spans="1:22">
      <c r="A9" s="26" t="s">
        <v>13</v>
      </c>
      <c r="B9" s="26" t="s">
        <v>61</v>
      </c>
      <c r="C9" s="26">
        <v>12.2</v>
      </c>
      <c r="D9" s="74">
        <v>12</v>
      </c>
      <c r="E9" s="28">
        <v>10</v>
      </c>
      <c r="F9" s="16">
        <f t="shared" ref="F9:F11" si="12">(C9*D9*E9/1000)</f>
        <v>1.4639999999999997</v>
      </c>
      <c r="G9" s="17" t="s">
        <v>452</v>
      </c>
      <c r="H9" s="18">
        <v>9</v>
      </c>
      <c r="I9" s="19">
        <f t="shared" ref="I9:I11" si="13">(C9*D9*H9/1000)</f>
        <v>1.3175999999999999</v>
      </c>
      <c r="J9" s="16"/>
      <c r="K9" s="18"/>
      <c r="L9" s="19">
        <f t="shared" ref="L9:L11" si="14">(C9*D9*K9/1000)</f>
        <v>0</v>
      </c>
      <c r="M9" s="16"/>
      <c r="N9" s="18"/>
      <c r="O9" s="19">
        <f t="shared" ref="O9:O11" si="15">(C9*D9*N9/1000)</f>
        <v>0</v>
      </c>
      <c r="P9" s="16"/>
      <c r="Q9" s="18"/>
      <c r="R9" s="19">
        <f t="shared" ref="R9:R11" si="16">(C9*D9*Q9/1000)</f>
        <v>0</v>
      </c>
      <c r="S9" s="20">
        <f t="shared" ref="S9:S11" si="17">+H9+K9+Q9+N9</f>
        <v>9</v>
      </c>
      <c r="T9" s="19">
        <f t="shared" ref="T9:T11" si="18">+I9+L9+R9+O9</f>
        <v>1.3175999999999999</v>
      </c>
      <c r="U9" s="21">
        <f t="shared" ref="U9:U11" si="19">E9-S9</f>
        <v>1</v>
      </c>
      <c r="V9" s="19">
        <f t="shared" ref="V9:V11" si="20">F9-T9</f>
        <v>0.14639999999999986</v>
      </c>
    </row>
    <row r="10" spans="1:22">
      <c r="A10" s="26" t="s">
        <v>13</v>
      </c>
      <c r="B10" s="26" t="s">
        <v>61</v>
      </c>
      <c r="C10" s="26">
        <v>12.2</v>
      </c>
      <c r="D10" s="74">
        <v>10.5</v>
      </c>
      <c r="E10" s="28"/>
      <c r="F10" s="16">
        <f t="shared" si="12"/>
        <v>0</v>
      </c>
      <c r="G10" s="17"/>
      <c r="H10" s="18">
        <v>4</v>
      </c>
      <c r="I10" s="19">
        <f t="shared" si="13"/>
        <v>0.51239999999999997</v>
      </c>
      <c r="J10" s="16"/>
      <c r="K10" s="18"/>
      <c r="L10" s="19">
        <f t="shared" si="14"/>
        <v>0</v>
      </c>
      <c r="M10" s="16"/>
      <c r="N10" s="18"/>
      <c r="O10" s="19">
        <f t="shared" si="15"/>
        <v>0</v>
      </c>
      <c r="P10" s="16"/>
      <c r="Q10" s="18"/>
      <c r="R10" s="19">
        <f t="shared" si="16"/>
        <v>0</v>
      </c>
      <c r="S10" s="20">
        <f t="shared" si="17"/>
        <v>4</v>
      </c>
      <c r="T10" s="19">
        <f t="shared" si="18"/>
        <v>0.51239999999999997</v>
      </c>
      <c r="U10" s="21">
        <f t="shared" si="19"/>
        <v>-4</v>
      </c>
      <c r="V10" s="19">
        <f t="shared" si="20"/>
        <v>-0.51239999999999997</v>
      </c>
    </row>
    <row r="11" spans="1:22">
      <c r="A11" s="26" t="s">
        <v>13</v>
      </c>
      <c r="B11" s="26" t="s">
        <v>61</v>
      </c>
      <c r="C11" s="26">
        <v>12.2</v>
      </c>
      <c r="D11" s="74">
        <v>10</v>
      </c>
      <c r="E11" s="28"/>
      <c r="F11" s="16">
        <f t="shared" si="12"/>
        <v>0</v>
      </c>
      <c r="G11" s="17"/>
      <c r="H11" s="18">
        <v>1</v>
      </c>
      <c r="I11" s="19">
        <f t="shared" si="13"/>
        <v>0.122</v>
      </c>
      <c r="J11" s="16"/>
      <c r="K11" s="18"/>
      <c r="L11" s="19">
        <f t="shared" si="14"/>
        <v>0</v>
      </c>
      <c r="M11" s="16"/>
      <c r="N11" s="18"/>
      <c r="O11" s="19">
        <f t="shared" si="15"/>
        <v>0</v>
      </c>
      <c r="P11" s="16"/>
      <c r="Q11" s="18"/>
      <c r="R11" s="19">
        <f t="shared" si="16"/>
        <v>0</v>
      </c>
      <c r="S11" s="20">
        <f t="shared" si="17"/>
        <v>1</v>
      </c>
      <c r="T11" s="19">
        <f t="shared" si="18"/>
        <v>0.122</v>
      </c>
      <c r="U11" s="21">
        <f t="shared" si="19"/>
        <v>-1</v>
      </c>
      <c r="V11" s="19">
        <f t="shared" si="20"/>
        <v>-0.122</v>
      </c>
    </row>
    <row r="12" spans="1:22">
      <c r="A12" s="26" t="s">
        <v>13</v>
      </c>
      <c r="B12" s="26" t="s">
        <v>61</v>
      </c>
      <c r="C12" s="26">
        <v>12.2</v>
      </c>
      <c r="D12" s="74">
        <v>9.3000000000000007</v>
      </c>
      <c r="E12" s="28"/>
      <c r="F12" s="16">
        <f>(C12*D12*E12/1000)</f>
        <v>0</v>
      </c>
      <c r="G12" s="17"/>
      <c r="H12" s="18">
        <v>1</v>
      </c>
      <c r="I12" s="19">
        <f>(C12*D12*H12/1000)</f>
        <v>0.11346000000000001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1</v>
      </c>
      <c r="T12" s="19">
        <f>+I12+L12+R12+O12</f>
        <v>0.11346000000000001</v>
      </c>
      <c r="U12" s="21">
        <f>E12-S12</f>
        <v>-1</v>
      </c>
      <c r="V12" s="19">
        <f>F12-T12</f>
        <v>-0.11346000000000001</v>
      </c>
    </row>
    <row r="13" spans="1:22">
      <c r="A13" s="26"/>
      <c r="B13" s="41" t="s">
        <v>378</v>
      </c>
      <c r="C13" s="26"/>
      <c r="D13" s="74"/>
      <c r="E13" s="31">
        <f t="shared" ref="E13:F13" si="21">SUM(E8:E12)</f>
        <v>40</v>
      </c>
      <c r="F13" s="77">
        <f t="shared" si="21"/>
        <v>5.4899999999999993</v>
      </c>
      <c r="G13" s="17"/>
      <c r="H13" s="31">
        <f t="shared" ref="H13" si="22">SUM(H8:H12)</f>
        <v>43</v>
      </c>
      <c r="I13" s="77">
        <f t="shared" ref="I13" si="23">SUM(I8:I12)</f>
        <v>5.8230599999999999</v>
      </c>
      <c r="J13" s="16"/>
      <c r="K13" s="31">
        <f t="shared" ref="K13" si="24">SUM(K8:K12)</f>
        <v>0</v>
      </c>
      <c r="L13" s="77">
        <f t="shared" ref="L13" si="25">SUM(L8:L12)</f>
        <v>0</v>
      </c>
      <c r="M13" s="16"/>
      <c r="N13" s="31">
        <f t="shared" ref="N13" si="26">SUM(N8:N12)</f>
        <v>0</v>
      </c>
      <c r="O13" s="77">
        <f t="shared" ref="O13" si="27">SUM(O8:O12)</f>
        <v>0</v>
      </c>
      <c r="P13" s="16"/>
      <c r="Q13" s="31">
        <f t="shared" ref="Q13" si="28">SUM(Q8:Q12)</f>
        <v>0</v>
      </c>
      <c r="R13" s="77">
        <f t="shared" ref="R13" si="29">SUM(R8:R12)</f>
        <v>0</v>
      </c>
      <c r="S13" s="31">
        <f t="shared" ref="S13" si="30">SUM(S8:S12)</f>
        <v>43</v>
      </c>
      <c r="T13" s="77">
        <f t="shared" ref="T13" si="31">SUM(T8:T12)</f>
        <v>5.8230599999999999</v>
      </c>
      <c r="U13" s="31">
        <f t="shared" ref="U13" si="32">SUM(U8:U12)</f>
        <v>-3</v>
      </c>
      <c r="V13" s="77">
        <f>SUM(V8:V12)</f>
        <v>-0.33305999999999991</v>
      </c>
    </row>
    <row r="14" spans="1:22">
      <c r="A14" s="26" t="s">
        <v>13</v>
      </c>
      <c r="B14" s="26" t="s">
        <v>45</v>
      </c>
      <c r="C14" s="26">
        <v>9.26</v>
      </c>
      <c r="D14" s="74">
        <v>11.2</v>
      </c>
      <c r="E14" s="28">
        <v>22</v>
      </c>
      <c r="F14" s="16">
        <f>(C14*D14*E14/1000)</f>
        <v>2.2816639999999997</v>
      </c>
      <c r="G14" s="16" t="s">
        <v>93</v>
      </c>
      <c r="H14" s="18">
        <f>7+2</f>
        <v>9</v>
      </c>
      <c r="I14" s="19">
        <f>(C14*D14*H14/1000)</f>
        <v>0.9334079999999999</v>
      </c>
      <c r="J14" s="16" t="s">
        <v>93</v>
      </c>
      <c r="K14" s="18">
        <v>13</v>
      </c>
      <c r="L14" s="19">
        <f>(C14*D14*K14/1000)</f>
        <v>1.3482559999999999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22</v>
      </c>
      <c r="T14" s="19">
        <f>+I14+L14+R14+O14</f>
        <v>2.2816639999999997</v>
      </c>
      <c r="U14" s="21">
        <f>E14-S14</f>
        <v>0</v>
      </c>
      <c r="V14" s="19">
        <f>F14-T14</f>
        <v>0</v>
      </c>
    </row>
    <row r="15" spans="1:22">
      <c r="A15" s="26" t="s">
        <v>13</v>
      </c>
      <c r="B15" s="26" t="s">
        <v>45</v>
      </c>
      <c r="C15" s="26">
        <v>9.26</v>
      </c>
      <c r="D15" s="74">
        <v>12</v>
      </c>
      <c r="E15" s="28">
        <v>12</v>
      </c>
      <c r="F15" s="16">
        <f>(C15*D15*E15/1000)</f>
        <v>1.33344</v>
      </c>
      <c r="G15" s="16" t="s">
        <v>451</v>
      </c>
      <c r="H15" s="18">
        <v>11</v>
      </c>
      <c r="I15" s="19">
        <f>(C15*D15*H15/1000)</f>
        <v>1.2223200000000001</v>
      </c>
      <c r="J15" s="16" t="s">
        <v>454</v>
      </c>
      <c r="K15" s="18">
        <v>1</v>
      </c>
      <c r="L15" s="19">
        <f>(C15*D15*K15/1000)</f>
        <v>0.11112000000000001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12</v>
      </c>
      <c r="T15" s="19">
        <f>+I15+L15+R15+O15</f>
        <v>1.3334400000000002</v>
      </c>
      <c r="U15" s="21">
        <f>E15-S15</f>
        <v>0</v>
      </c>
      <c r="V15" s="19">
        <f>F15-T15</f>
        <v>0</v>
      </c>
    </row>
    <row r="16" spans="1:22">
      <c r="A16" s="26"/>
      <c r="B16" s="41" t="s">
        <v>378</v>
      </c>
      <c r="C16" s="26"/>
      <c r="D16" s="74"/>
      <c r="E16" s="31">
        <f t="shared" ref="E16:F16" si="33">SUM(E14:E15)</f>
        <v>34</v>
      </c>
      <c r="F16" s="77">
        <f t="shared" si="33"/>
        <v>3.6151039999999997</v>
      </c>
      <c r="G16" s="17"/>
      <c r="H16" s="31">
        <f t="shared" ref="H16" si="34">SUM(H14:H15)</f>
        <v>20</v>
      </c>
      <c r="I16" s="77">
        <f t="shared" ref="I16" si="35">SUM(I14:I15)</f>
        <v>2.1557279999999999</v>
      </c>
      <c r="J16" s="16"/>
      <c r="K16" s="31">
        <f t="shared" ref="K16" si="36">SUM(K14:K15)</f>
        <v>14</v>
      </c>
      <c r="L16" s="77">
        <f t="shared" ref="L16" si="37">SUM(L14:L15)</f>
        <v>1.459376</v>
      </c>
      <c r="M16" s="16"/>
      <c r="N16" s="31">
        <f t="shared" ref="N16" si="38">SUM(N14:N15)</f>
        <v>0</v>
      </c>
      <c r="O16" s="77">
        <f t="shared" ref="O16" si="39">SUM(O14:O15)</f>
        <v>0</v>
      </c>
      <c r="P16" s="16"/>
      <c r="Q16" s="31">
        <f t="shared" ref="Q16" si="40">SUM(Q14:Q15)</f>
        <v>0</v>
      </c>
      <c r="R16" s="77">
        <f t="shared" ref="R16" si="41">SUM(R14:R15)</f>
        <v>0</v>
      </c>
      <c r="S16" s="31">
        <f t="shared" ref="S16" si="42">SUM(S14:S15)</f>
        <v>34</v>
      </c>
      <c r="T16" s="77">
        <f t="shared" ref="T16" si="43">SUM(T14:T15)</f>
        <v>3.6151039999999997</v>
      </c>
      <c r="U16" s="31">
        <f t="shared" ref="U16" si="44">SUM(U14:U15)</f>
        <v>0</v>
      </c>
      <c r="V16" s="77">
        <f>SUM(V14:V15)</f>
        <v>0</v>
      </c>
    </row>
    <row r="17" spans="1:22">
      <c r="A17" s="26" t="s">
        <v>13</v>
      </c>
      <c r="B17" s="26" t="s">
        <v>58</v>
      </c>
      <c r="C17" s="26">
        <v>7.34</v>
      </c>
      <c r="D17" s="74">
        <v>10.5</v>
      </c>
      <c r="E17" s="28">
        <v>26</v>
      </c>
      <c r="F17" s="16">
        <f>(C17*D17*E17/1000)</f>
        <v>2.0038199999999997</v>
      </c>
      <c r="G17" s="16" t="s">
        <v>93</v>
      </c>
      <c r="H17" s="18">
        <v>24</v>
      </c>
      <c r="I17" s="19">
        <f>(C17*D17*H17/1000)</f>
        <v>1.8496799999999998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24</v>
      </c>
      <c r="T17" s="19">
        <f>+I17+L17+R17+O17</f>
        <v>1.8496799999999998</v>
      </c>
      <c r="U17" s="21">
        <f>E17-S17</f>
        <v>2</v>
      </c>
      <c r="V17" s="19">
        <f>F17-T17</f>
        <v>0.15413999999999994</v>
      </c>
    </row>
    <row r="18" spans="1:22">
      <c r="A18" s="26" t="s">
        <v>13</v>
      </c>
      <c r="B18" s="26" t="s">
        <v>58</v>
      </c>
      <c r="C18" s="26">
        <v>7.34</v>
      </c>
      <c r="D18" s="74">
        <v>12</v>
      </c>
      <c r="E18" s="28">
        <v>36</v>
      </c>
      <c r="F18" s="16">
        <f>(C18*D18*E18/1000)</f>
        <v>3.1708799999999999</v>
      </c>
      <c r="G18" s="16" t="s">
        <v>451</v>
      </c>
      <c r="H18" s="18">
        <v>38</v>
      </c>
      <c r="I18" s="19">
        <f>(C18*D18*H18/1000)</f>
        <v>3.3470399999999998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38</v>
      </c>
      <c r="T18" s="19">
        <f>+I18+L18+R18+O18</f>
        <v>3.3470399999999998</v>
      </c>
      <c r="U18" s="21">
        <f>E18-S18</f>
        <v>-2</v>
      </c>
      <c r="V18" s="19">
        <f>F18-T18</f>
        <v>-0.17615999999999987</v>
      </c>
    </row>
    <row r="19" spans="1:22">
      <c r="A19" s="26"/>
      <c r="B19" s="41" t="s">
        <v>378</v>
      </c>
      <c r="C19" s="26"/>
      <c r="D19" s="74"/>
      <c r="E19" s="31">
        <f t="shared" ref="E19:F19" si="45">SUM(E17:E18)</f>
        <v>62</v>
      </c>
      <c r="F19" s="77">
        <f t="shared" si="45"/>
        <v>5.1746999999999996</v>
      </c>
      <c r="G19" s="17"/>
      <c r="H19" s="31">
        <f t="shared" ref="H19" si="46">SUM(H17:H18)</f>
        <v>62</v>
      </c>
      <c r="I19" s="77">
        <f t="shared" ref="I19" si="47">SUM(I17:I18)</f>
        <v>5.1967199999999991</v>
      </c>
      <c r="J19" s="16"/>
      <c r="K19" s="31">
        <f t="shared" ref="K19" si="48">SUM(K17:K18)</f>
        <v>0</v>
      </c>
      <c r="L19" s="77">
        <f t="shared" ref="L19" si="49">SUM(L17:L18)</f>
        <v>0</v>
      </c>
      <c r="M19" s="16"/>
      <c r="N19" s="31">
        <f t="shared" ref="N19" si="50">SUM(N17:N18)</f>
        <v>0</v>
      </c>
      <c r="O19" s="77">
        <f t="shared" ref="O19" si="51">SUM(O17:O18)</f>
        <v>0</v>
      </c>
      <c r="P19" s="16"/>
      <c r="Q19" s="31">
        <f t="shared" ref="Q19" si="52">SUM(Q17:Q18)</f>
        <v>0</v>
      </c>
      <c r="R19" s="77">
        <f t="shared" ref="R19" si="53">SUM(R17:R18)</f>
        <v>0</v>
      </c>
      <c r="S19" s="31">
        <f t="shared" ref="S19" si="54">SUM(S17:S18)</f>
        <v>62</v>
      </c>
      <c r="T19" s="77">
        <f t="shared" ref="T19" si="55">SUM(T17:T18)</f>
        <v>5.1967199999999991</v>
      </c>
      <c r="U19" s="31">
        <f t="shared" ref="U19" si="56">SUM(U17:U18)</f>
        <v>0</v>
      </c>
      <c r="V19" s="77">
        <f>SUM(V17:V18)</f>
        <v>-2.2019999999999929E-2</v>
      </c>
    </row>
    <row r="20" spans="1:22">
      <c r="A20" s="26" t="s">
        <v>13</v>
      </c>
      <c r="B20" s="26" t="s">
        <v>34</v>
      </c>
      <c r="C20" s="26">
        <v>5.76</v>
      </c>
      <c r="D20" s="74">
        <v>10.5</v>
      </c>
      <c r="E20" s="28">
        <v>13</v>
      </c>
      <c r="F20" s="16">
        <f>(C20*D20*E20/1000)</f>
        <v>0.78624000000000005</v>
      </c>
      <c r="G20" s="16" t="s">
        <v>93</v>
      </c>
      <c r="H20" s="18">
        <v>11</v>
      </c>
      <c r="I20" s="19">
        <f>(C20*D20*H20/1000)</f>
        <v>0.66527999999999998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 t="shared" ref="S20:T22" si="57">+H20+K20+Q20+N20</f>
        <v>11</v>
      </c>
      <c r="T20" s="19">
        <f t="shared" si="57"/>
        <v>0.66527999999999998</v>
      </c>
      <c r="U20" s="21">
        <f t="shared" ref="U20:V22" si="58">E20-S20</f>
        <v>2</v>
      </c>
      <c r="V20" s="19">
        <f t="shared" si="58"/>
        <v>0.12096000000000007</v>
      </c>
    </row>
    <row r="21" spans="1:22">
      <c r="A21" s="26" t="s">
        <v>13</v>
      </c>
      <c r="B21" s="26" t="s">
        <v>34</v>
      </c>
      <c r="C21" s="26">
        <v>5.76</v>
      </c>
      <c r="D21" s="74">
        <v>12</v>
      </c>
      <c r="E21" s="28">
        <v>14</v>
      </c>
      <c r="F21" s="16">
        <f>(C21*D21*E21/1000)</f>
        <v>0.9676800000000001</v>
      </c>
      <c r="G21" s="16" t="s">
        <v>459</v>
      </c>
      <c r="H21" s="18">
        <v>14</v>
      </c>
      <c r="I21" s="19">
        <f>(C21*D21*H21/1000)</f>
        <v>0.9676800000000001</v>
      </c>
      <c r="J21" s="16"/>
      <c r="K21" s="18"/>
      <c r="L21" s="19">
        <f>(C21*D21*K21/1000)</f>
        <v>0</v>
      </c>
      <c r="M21" s="16"/>
      <c r="N21" s="18"/>
      <c r="O21" s="19">
        <f>(C21*D21*N21/1000)</f>
        <v>0</v>
      </c>
      <c r="P21" s="16"/>
      <c r="Q21" s="18"/>
      <c r="R21" s="19">
        <f>(C21*D21*Q21/1000)</f>
        <v>0</v>
      </c>
      <c r="S21" s="20">
        <f t="shared" si="57"/>
        <v>14</v>
      </c>
      <c r="T21" s="19">
        <f t="shared" si="57"/>
        <v>0.9676800000000001</v>
      </c>
      <c r="U21" s="21">
        <f t="shared" si="58"/>
        <v>0</v>
      </c>
      <c r="V21" s="19">
        <f t="shared" si="58"/>
        <v>0</v>
      </c>
    </row>
    <row r="22" spans="1:22">
      <c r="A22" s="26" t="s">
        <v>13</v>
      </c>
      <c r="B22" s="26" t="s">
        <v>34</v>
      </c>
      <c r="C22" s="26">
        <v>5.76</v>
      </c>
      <c r="D22" s="74">
        <v>11</v>
      </c>
      <c r="E22" s="28"/>
      <c r="F22" s="16">
        <f>(C22*D22*E22/1000)</f>
        <v>0</v>
      </c>
      <c r="G22" s="16"/>
      <c r="H22" s="18">
        <v>2</v>
      </c>
      <c r="I22" s="19">
        <f>(C22*D22*H22/1000)</f>
        <v>0.12672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 t="shared" si="57"/>
        <v>2</v>
      </c>
      <c r="T22" s="19">
        <f t="shared" si="57"/>
        <v>0.12672</v>
      </c>
      <c r="U22" s="21">
        <f t="shared" si="58"/>
        <v>-2</v>
      </c>
      <c r="V22" s="19">
        <f t="shared" si="58"/>
        <v>-0.12672</v>
      </c>
    </row>
    <row r="23" spans="1:22">
      <c r="A23" s="26"/>
      <c r="B23" s="41" t="s">
        <v>378</v>
      </c>
      <c r="C23" s="26"/>
      <c r="D23" s="74"/>
      <c r="E23" s="31">
        <f t="shared" ref="E23:F23" si="59">SUM(E20:E22)</f>
        <v>27</v>
      </c>
      <c r="F23" s="77">
        <f t="shared" si="59"/>
        <v>1.7539200000000001</v>
      </c>
      <c r="G23" s="17"/>
      <c r="H23" s="31">
        <f t="shared" ref="H23" si="60">SUM(H20:H22)</f>
        <v>27</v>
      </c>
      <c r="I23" s="77">
        <f t="shared" ref="I23" si="61">SUM(I20:I22)</f>
        <v>1.7596800000000001</v>
      </c>
      <c r="J23" s="16"/>
      <c r="K23" s="31">
        <f t="shared" ref="K23" si="62">SUM(K20:K22)</f>
        <v>0</v>
      </c>
      <c r="L23" s="77">
        <f t="shared" ref="L23" si="63">SUM(L20:L22)</f>
        <v>0</v>
      </c>
      <c r="M23" s="16"/>
      <c r="N23" s="31">
        <f t="shared" ref="N23" si="64">SUM(N20:N22)</f>
        <v>0</v>
      </c>
      <c r="O23" s="77">
        <f t="shared" ref="O23" si="65">SUM(O20:O22)</f>
        <v>0</v>
      </c>
      <c r="P23" s="16"/>
      <c r="Q23" s="31">
        <f t="shared" ref="Q23" si="66">SUM(Q20:Q22)</f>
        <v>0</v>
      </c>
      <c r="R23" s="77">
        <f t="shared" ref="R23" si="67">SUM(R20:R22)</f>
        <v>0</v>
      </c>
      <c r="S23" s="31">
        <f t="shared" ref="S23" si="68">SUM(S20:S22)</f>
        <v>27</v>
      </c>
      <c r="T23" s="77">
        <f t="shared" ref="T23" si="69">SUM(T20:T22)</f>
        <v>1.7596800000000001</v>
      </c>
      <c r="U23" s="31">
        <f t="shared" ref="U23" si="70">SUM(U20:U22)</f>
        <v>0</v>
      </c>
      <c r="V23" s="77">
        <f>SUM(V20:V22)</f>
        <v>-5.7599999999999318E-3</v>
      </c>
    </row>
    <row r="24" spans="1:22">
      <c r="A24" s="26" t="s">
        <v>13</v>
      </c>
      <c r="B24" s="26" t="s">
        <v>26</v>
      </c>
      <c r="C24" s="26">
        <v>8.3000000000000007</v>
      </c>
      <c r="D24" s="74">
        <v>10.5</v>
      </c>
      <c r="E24" s="28">
        <v>15</v>
      </c>
      <c r="F24" s="16">
        <f>(C24*D24*E24/1000)</f>
        <v>1.30725</v>
      </c>
      <c r="G24" s="16" t="s">
        <v>93</v>
      </c>
      <c r="H24" s="18">
        <v>9</v>
      </c>
      <c r="I24" s="19">
        <f>(C24*D24*H24/1000)</f>
        <v>0.78434999999999999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 t="shared" ref="S24:T34" si="71">+H24+K24+Q24+N24</f>
        <v>9</v>
      </c>
      <c r="T24" s="19">
        <f t="shared" si="71"/>
        <v>0.78434999999999999</v>
      </c>
      <c r="U24" s="21">
        <f t="shared" ref="U24:V34" si="72">E24-S24</f>
        <v>6</v>
      </c>
      <c r="V24" s="19">
        <f t="shared" si="72"/>
        <v>0.52290000000000003</v>
      </c>
    </row>
    <row r="25" spans="1:22">
      <c r="A25" s="26" t="s">
        <v>13</v>
      </c>
      <c r="B25" s="26" t="s">
        <v>26</v>
      </c>
      <c r="C25" s="26">
        <v>8.3000000000000007</v>
      </c>
      <c r="D25" s="74">
        <v>11.5</v>
      </c>
      <c r="E25" s="28">
        <v>29</v>
      </c>
      <c r="F25" s="16">
        <f>(C25*D25*E25/1000)</f>
        <v>2.7680500000000001</v>
      </c>
      <c r="G25" s="16" t="s">
        <v>451</v>
      </c>
      <c r="H25" s="18">
        <v>24</v>
      </c>
      <c r="I25" s="19">
        <f>(C25*D25*H25/1000)</f>
        <v>2.2908000000000004</v>
      </c>
      <c r="J25" s="16"/>
      <c r="K25" s="18"/>
      <c r="L25" s="19">
        <f>(C25*D25*K25/1000)</f>
        <v>0</v>
      </c>
      <c r="M25" s="16"/>
      <c r="N25" s="18"/>
      <c r="O25" s="19">
        <f>(C25*D25*N25/1000)</f>
        <v>0</v>
      </c>
      <c r="P25" s="16"/>
      <c r="Q25" s="18"/>
      <c r="R25" s="19">
        <f>(C25*D25*Q25/1000)</f>
        <v>0</v>
      </c>
      <c r="S25" s="20">
        <f t="shared" si="71"/>
        <v>24</v>
      </c>
      <c r="T25" s="19">
        <f t="shared" si="71"/>
        <v>2.2908000000000004</v>
      </c>
      <c r="U25" s="21">
        <f t="shared" si="72"/>
        <v>5</v>
      </c>
      <c r="V25" s="19">
        <f t="shared" si="72"/>
        <v>0.47724999999999973</v>
      </c>
    </row>
    <row r="26" spans="1:22">
      <c r="A26" s="26" t="s">
        <v>13</v>
      </c>
      <c r="B26" s="26" t="s">
        <v>26</v>
      </c>
      <c r="C26" s="26">
        <v>8.3000000000000007</v>
      </c>
      <c r="D26" s="74">
        <v>12</v>
      </c>
      <c r="E26" s="28">
        <v>26</v>
      </c>
      <c r="F26" s="16">
        <f t="shared" ref="F26:F33" si="73">(C26*D26*E26/1000)</f>
        <v>2.5896000000000003</v>
      </c>
      <c r="G26" s="17"/>
      <c r="H26" s="18">
        <v>26</v>
      </c>
      <c r="I26" s="19">
        <f t="shared" ref="I26:I33" si="74">(C26*D26*H26/1000)</f>
        <v>2.5896000000000003</v>
      </c>
      <c r="J26" s="16"/>
      <c r="K26" s="18"/>
      <c r="L26" s="19">
        <f t="shared" ref="L26:L33" si="75">(C26*D26*K26/1000)</f>
        <v>0</v>
      </c>
      <c r="M26" s="16"/>
      <c r="N26" s="18"/>
      <c r="O26" s="19">
        <f t="shared" ref="O26:O33" si="76">(C26*D26*N26/1000)</f>
        <v>0</v>
      </c>
      <c r="P26" s="16"/>
      <c r="Q26" s="18"/>
      <c r="R26" s="19">
        <f t="shared" ref="R26:R33" si="77">(C26*D26*Q26/1000)</f>
        <v>0</v>
      </c>
      <c r="S26" s="20">
        <f t="shared" ref="S26:S33" si="78">+H26+K26+Q26+N26</f>
        <v>26</v>
      </c>
      <c r="T26" s="19">
        <f t="shared" ref="T26:T33" si="79">+I26+L26+R26+O26</f>
        <v>2.5896000000000003</v>
      </c>
      <c r="U26" s="21">
        <f t="shared" ref="U26:U33" si="80">E26-S26</f>
        <v>0</v>
      </c>
      <c r="V26" s="19">
        <f t="shared" ref="V26:V33" si="81">F26-T26</f>
        <v>0</v>
      </c>
    </row>
    <row r="27" spans="1:22">
      <c r="A27" s="26" t="s">
        <v>13</v>
      </c>
      <c r="B27" s="26" t="s">
        <v>26</v>
      </c>
      <c r="C27" s="26">
        <v>8.3000000000000007</v>
      </c>
      <c r="D27" s="74">
        <v>9.5</v>
      </c>
      <c r="E27" s="28"/>
      <c r="F27" s="16">
        <f t="shared" si="73"/>
        <v>0</v>
      </c>
      <c r="G27" s="17"/>
      <c r="H27" s="18">
        <v>1</v>
      </c>
      <c r="I27" s="19">
        <f t="shared" si="74"/>
        <v>7.8850000000000003E-2</v>
      </c>
      <c r="J27" s="16"/>
      <c r="K27" s="18"/>
      <c r="L27" s="19">
        <f t="shared" si="75"/>
        <v>0</v>
      </c>
      <c r="M27" s="16"/>
      <c r="N27" s="18"/>
      <c r="O27" s="19">
        <f t="shared" si="76"/>
        <v>0</v>
      </c>
      <c r="P27" s="16"/>
      <c r="Q27" s="18"/>
      <c r="R27" s="19">
        <f t="shared" si="77"/>
        <v>0</v>
      </c>
      <c r="S27" s="20">
        <f t="shared" si="78"/>
        <v>1</v>
      </c>
      <c r="T27" s="19">
        <f t="shared" si="79"/>
        <v>7.8850000000000003E-2</v>
      </c>
      <c r="U27" s="21">
        <f t="shared" si="80"/>
        <v>-1</v>
      </c>
      <c r="V27" s="19">
        <f t="shared" si="81"/>
        <v>-7.8850000000000003E-2</v>
      </c>
    </row>
    <row r="28" spans="1:22">
      <c r="A28" s="26" t="s">
        <v>13</v>
      </c>
      <c r="B28" s="26" t="s">
        <v>26</v>
      </c>
      <c r="C28" s="26">
        <v>8.3000000000000007</v>
      </c>
      <c r="D28" s="74">
        <v>10</v>
      </c>
      <c r="E28" s="28"/>
      <c r="F28" s="16">
        <f t="shared" si="73"/>
        <v>0</v>
      </c>
      <c r="G28" s="17"/>
      <c r="H28" s="18">
        <v>3</v>
      </c>
      <c r="I28" s="19">
        <f t="shared" si="74"/>
        <v>0.249</v>
      </c>
      <c r="J28" s="16"/>
      <c r="K28" s="18"/>
      <c r="L28" s="19">
        <f t="shared" si="75"/>
        <v>0</v>
      </c>
      <c r="M28" s="16"/>
      <c r="N28" s="18"/>
      <c r="O28" s="19">
        <f t="shared" si="76"/>
        <v>0</v>
      </c>
      <c r="P28" s="16"/>
      <c r="Q28" s="18"/>
      <c r="R28" s="19">
        <f t="shared" si="77"/>
        <v>0</v>
      </c>
      <c r="S28" s="20">
        <f t="shared" si="78"/>
        <v>3</v>
      </c>
      <c r="T28" s="19">
        <f t="shared" si="79"/>
        <v>0.249</v>
      </c>
      <c r="U28" s="21">
        <f t="shared" si="80"/>
        <v>-3</v>
      </c>
      <c r="V28" s="19">
        <f t="shared" si="81"/>
        <v>-0.249</v>
      </c>
    </row>
    <row r="29" spans="1:22">
      <c r="A29" s="26" t="s">
        <v>13</v>
      </c>
      <c r="B29" s="26" t="s">
        <v>26</v>
      </c>
      <c r="C29" s="26">
        <v>8.3000000000000007</v>
      </c>
      <c r="D29" s="74">
        <v>11</v>
      </c>
      <c r="E29" s="28"/>
      <c r="F29" s="16">
        <f t="shared" si="73"/>
        <v>0</v>
      </c>
      <c r="G29" s="17"/>
      <c r="H29" s="18">
        <v>1</v>
      </c>
      <c r="I29" s="19">
        <f t="shared" si="74"/>
        <v>9.1300000000000006E-2</v>
      </c>
      <c r="J29" s="16"/>
      <c r="K29" s="18"/>
      <c r="L29" s="19">
        <f t="shared" si="75"/>
        <v>0</v>
      </c>
      <c r="M29" s="16"/>
      <c r="N29" s="18"/>
      <c r="O29" s="19">
        <f t="shared" si="76"/>
        <v>0</v>
      </c>
      <c r="P29" s="16"/>
      <c r="Q29" s="18"/>
      <c r="R29" s="19">
        <f t="shared" si="77"/>
        <v>0</v>
      </c>
      <c r="S29" s="20">
        <f t="shared" si="78"/>
        <v>1</v>
      </c>
      <c r="T29" s="19">
        <f t="shared" si="79"/>
        <v>9.1300000000000006E-2</v>
      </c>
      <c r="U29" s="21">
        <f t="shared" si="80"/>
        <v>-1</v>
      </c>
      <c r="V29" s="19">
        <f t="shared" si="81"/>
        <v>-9.1300000000000006E-2</v>
      </c>
    </row>
    <row r="30" spans="1:22">
      <c r="A30" s="26" t="s">
        <v>13</v>
      </c>
      <c r="B30" s="26" t="s">
        <v>26</v>
      </c>
      <c r="C30" s="26">
        <v>8.3000000000000007</v>
      </c>
      <c r="D30" s="74">
        <v>11.2</v>
      </c>
      <c r="E30" s="28"/>
      <c r="F30" s="16">
        <f t="shared" si="73"/>
        <v>0</v>
      </c>
      <c r="G30" s="17"/>
      <c r="H30" s="18">
        <v>4</v>
      </c>
      <c r="I30" s="19">
        <f t="shared" si="74"/>
        <v>0.37184000000000006</v>
      </c>
      <c r="J30" s="16"/>
      <c r="K30" s="18"/>
      <c r="L30" s="19">
        <f t="shared" si="75"/>
        <v>0</v>
      </c>
      <c r="M30" s="16"/>
      <c r="N30" s="18"/>
      <c r="O30" s="19">
        <f t="shared" si="76"/>
        <v>0</v>
      </c>
      <c r="P30" s="16"/>
      <c r="Q30" s="18"/>
      <c r="R30" s="19">
        <f t="shared" si="77"/>
        <v>0</v>
      </c>
      <c r="S30" s="20">
        <f t="shared" si="78"/>
        <v>4</v>
      </c>
      <c r="T30" s="19">
        <f t="shared" si="79"/>
        <v>0.37184000000000006</v>
      </c>
      <c r="U30" s="21">
        <f t="shared" si="80"/>
        <v>-4</v>
      </c>
      <c r="V30" s="19">
        <f t="shared" si="81"/>
        <v>-0.37184000000000006</v>
      </c>
    </row>
    <row r="31" spans="1:22">
      <c r="A31" s="26" t="s">
        <v>13</v>
      </c>
      <c r="B31" s="26" t="s">
        <v>26</v>
      </c>
      <c r="C31" s="26">
        <v>8.3000000000000007</v>
      </c>
      <c r="D31" s="74">
        <v>11.6</v>
      </c>
      <c r="E31" s="28"/>
      <c r="F31" s="16">
        <f t="shared" si="73"/>
        <v>0</v>
      </c>
      <c r="G31" s="17"/>
      <c r="H31" s="18">
        <v>1</v>
      </c>
      <c r="I31" s="19">
        <f t="shared" si="74"/>
        <v>9.6280000000000004E-2</v>
      </c>
      <c r="J31" s="16"/>
      <c r="K31" s="18"/>
      <c r="L31" s="19">
        <f t="shared" si="75"/>
        <v>0</v>
      </c>
      <c r="M31" s="16"/>
      <c r="N31" s="18"/>
      <c r="O31" s="19">
        <f t="shared" si="76"/>
        <v>0</v>
      </c>
      <c r="P31" s="16"/>
      <c r="Q31" s="18"/>
      <c r="R31" s="19">
        <f t="shared" si="77"/>
        <v>0</v>
      </c>
      <c r="S31" s="20">
        <f t="shared" si="78"/>
        <v>1</v>
      </c>
      <c r="T31" s="19">
        <f t="shared" si="79"/>
        <v>9.6280000000000004E-2</v>
      </c>
      <c r="U31" s="21">
        <f t="shared" si="80"/>
        <v>-1</v>
      </c>
      <c r="V31" s="19">
        <f t="shared" si="81"/>
        <v>-9.6280000000000004E-2</v>
      </c>
    </row>
    <row r="32" spans="1:22">
      <c r="A32" s="26" t="s">
        <v>13</v>
      </c>
      <c r="B32" s="26" t="s">
        <v>26</v>
      </c>
      <c r="C32" s="26">
        <v>8.3000000000000007</v>
      </c>
      <c r="D32" s="74">
        <v>11.8</v>
      </c>
      <c r="E32" s="28"/>
      <c r="F32" s="16">
        <f t="shared" si="73"/>
        <v>0</v>
      </c>
      <c r="G32" s="17"/>
      <c r="H32" s="18">
        <v>1</v>
      </c>
      <c r="I32" s="19">
        <f t="shared" si="74"/>
        <v>9.7940000000000013E-2</v>
      </c>
      <c r="J32" s="16"/>
      <c r="K32" s="18"/>
      <c r="L32" s="19">
        <f t="shared" si="75"/>
        <v>0</v>
      </c>
      <c r="M32" s="16"/>
      <c r="N32" s="18"/>
      <c r="O32" s="19">
        <f t="shared" si="76"/>
        <v>0</v>
      </c>
      <c r="P32" s="16"/>
      <c r="Q32" s="18"/>
      <c r="R32" s="19">
        <f t="shared" si="77"/>
        <v>0</v>
      </c>
      <c r="S32" s="20">
        <f t="shared" si="78"/>
        <v>1</v>
      </c>
      <c r="T32" s="19">
        <f t="shared" si="79"/>
        <v>9.7940000000000013E-2</v>
      </c>
      <c r="U32" s="21">
        <f t="shared" si="80"/>
        <v>-1</v>
      </c>
      <c r="V32" s="19">
        <f t="shared" si="81"/>
        <v>-9.7940000000000013E-2</v>
      </c>
    </row>
    <row r="33" spans="1:22">
      <c r="A33" s="26" t="s">
        <v>13</v>
      </c>
      <c r="B33" s="26" t="s">
        <v>26</v>
      </c>
      <c r="C33" s="26">
        <v>8.3000000000000007</v>
      </c>
      <c r="D33" s="74">
        <v>11.9</v>
      </c>
      <c r="E33" s="28"/>
      <c r="F33" s="16">
        <f t="shared" si="73"/>
        <v>0</v>
      </c>
      <c r="G33" s="17"/>
      <c r="H33" s="18">
        <v>1</v>
      </c>
      <c r="I33" s="19">
        <f t="shared" si="74"/>
        <v>9.8770000000000011E-2</v>
      </c>
      <c r="J33" s="16"/>
      <c r="K33" s="18"/>
      <c r="L33" s="19">
        <f t="shared" si="75"/>
        <v>0</v>
      </c>
      <c r="M33" s="16"/>
      <c r="N33" s="18"/>
      <c r="O33" s="19">
        <f t="shared" si="76"/>
        <v>0</v>
      </c>
      <c r="P33" s="16"/>
      <c r="Q33" s="18"/>
      <c r="R33" s="19">
        <f t="shared" si="77"/>
        <v>0</v>
      </c>
      <c r="S33" s="20">
        <f t="shared" si="78"/>
        <v>1</v>
      </c>
      <c r="T33" s="19">
        <f t="shared" si="79"/>
        <v>9.8770000000000011E-2</v>
      </c>
      <c r="U33" s="21">
        <f t="shared" si="80"/>
        <v>-1</v>
      </c>
      <c r="V33" s="19">
        <f t="shared" si="81"/>
        <v>-9.8770000000000011E-2</v>
      </c>
    </row>
    <row r="34" spans="1:22">
      <c r="A34" s="26" t="s">
        <v>13</v>
      </c>
      <c r="B34" s="26" t="s">
        <v>26</v>
      </c>
      <c r="C34" s="26">
        <v>8.3000000000000007</v>
      </c>
      <c r="D34" s="74"/>
      <c r="E34" s="28"/>
      <c r="F34" s="16">
        <f>(C34*D34*E34/1000)</f>
        <v>0</v>
      </c>
      <c r="G34" s="17"/>
      <c r="H34" s="18"/>
      <c r="I34" s="19">
        <f>(C34*D34*H34/1000)</f>
        <v>0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 t="shared" si="71"/>
        <v>0</v>
      </c>
      <c r="T34" s="19">
        <f t="shared" si="71"/>
        <v>0</v>
      </c>
      <c r="U34" s="21">
        <f t="shared" si="72"/>
        <v>0</v>
      </c>
      <c r="V34" s="19">
        <f t="shared" si="72"/>
        <v>0</v>
      </c>
    </row>
    <row r="35" spans="1:22">
      <c r="A35" s="26"/>
      <c r="B35" s="41" t="s">
        <v>378</v>
      </c>
      <c r="C35" s="26"/>
      <c r="D35" s="74"/>
      <c r="E35" s="31">
        <f t="shared" ref="E35:F35" si="82">SUM(E24:E34)</f>
        <v>70</v>
      </c>
      <c r="F35" s="77">
        <f t="shared" si="82"/>
        <v>6.6649000000000012</v>
      </c>
      <c r="G35" s="17"/>
      <c r="H35" s="31">
        <f t="shared" ref="H35" si="83">SUM(H24:H34)</f>
        <v>71</v>
      </c>
      <c r="I35" s="77">
        <f t="shared" ref="I35" si="84">SUM(I24:I34)</f>
        <v>6.748730000000001</v>
      </c>
      <c r="J35" s="16"/>
      <c r="K35" s="31">
        <f t="shared" ref="K35" si="85">SUM(K24:K34)</f>
        <v>0</v>
      </c>
      <c r="L35" s="77">
        <f t="shared" ref="L35" si="86">SUM(L24:L34)</f>
        <v>0</v>
      </c>
      <c r="M35" s="16"/>
      <c r="N35" s="31">
        <f t="shared" ref="N35" si="87">SUM(N24:N34)</f>
        <v>0</v>
      </c>
      <c r="O35" s="77">
        <f t="shared" ref="O35" si="88">SUM(O24:O34)</f>
        <v>0</v>
      </c>
      <c r="P35" s="16"/>
      <c r="Q35" s="31">
        <f t="shared" ref="Q35" si="89">SUM(Q24:Q34)</f>
        <v>0</v>
      </c>
      <c r="R35" s="77">
        <f t="shared" ref="R35" si="90">SUM(R24:R34)</f>
        <v>0</v>
      </c>
      <c r="S35" s="31">
        <f t="shared" ref="S35" si="91">SUM(S24:S34)</f>
        <v>71</v>
      </c>
      <c r="T35" s="77">
        <f t="shared" ref="T35" si="92">SUM(T24:T34)</f>
        <v>6.748730000000001</v>
      </c>
      <c r="U35" s="31">
        <f t="shared" ref="U35" si="93">SUM(U24:U34)</f>
        <v>-1</v>
      </c>
      <c r="V35" s="77">
        <f>SUM(V24:V34)</f>
        <v>-8.383000000000046E-2</v>
      </c>
    </row>
    <row r="36" spans="1:22">
      <c r="A36" s="26" t="s">
        <v>13</v>
      </c>
      <c r="B36" s="26" t="s">
        <v>125</v>
      </c>
      <c r="C36" s="26">
        <v>27.3</v>
      </c>
      <c r="D36" s="74">
        <v>7</v>
      </c>
      <c r="E36" s="28">
        <v>5</v>
      </c>
      <c r="F36" s="16">
        <f>(C36*D36*E36/1000)</f>
        <v>0.95550000000000002</v>
      </c>
      <c r="G36" s="16" t="s">
        <v>325</v>
      </c>
      <c r="H36" s="18">
        <v>5</v>
      </c>
      <c r="I36" s="19">
        <f>(C36*D36*H36/1000)</f>
        <v>0.95550000000000002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 t="shared" ref="S36:T38" si="94">+H36+K36+Q36+N36</f>
        <v>5</v>
      </c>
      <c r="T36" s="19">
        <f t="shared" si="94"/>
        <v>0.95550000000000002</v>
      </c>
      <c r="U36" s="21">
        <f t="shared" ref="U36:V38" si="95">E36-S36</f>
        <v>0</v>
      </c>
      <c r="V36" s="19">
        <f t="shared" si="95"/>
        <v>0</v>
      </c>
    </row>
    <row r="37" spans="1:22">
      <c r="A37" s="26" t="s">
        <v>13</v>
      </c>
      <c r="B37" s="26" t="s">
        <v>125</v>
      </c>
      <c r="C37" s="26">
        <v>27.3</v>
      </c>
      <c r="D37" s="74">
        <v>10.3</v>
      </c>
      <c r="E37" s="28">
        <v>4</v>
      </c>
      <c r="F37" s="16">
        <f>(C37*D37*E37/1000)</f>
        <v>1.1247600000000002</v>
      </c>
      <c r="G37" s="16" t="s">
        <v>465</v>
      </c>
      <c r="H37" s="18">
        <v>4</v>
      </c>
      <c r="I37" s="19">
        <f>(C37*D37*H37/1000)</f>
        <v>1.1247600000000002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 t="shared" si="94"/>
        <v>4</v>
      </c>
      <c r="T37" s="19">
        <f t="shared" si="94"/>
        <v>1.1247600000000002</v>
      </c>
      <c r="U37" s="21">
        <f t="shared" si="95"/>
        <v>0</v>
      </c>
      <c r="V37" s="19">
        <f t="shared" si="95"/>
        <v>0</v>
      </c>
    </row>
    <row r="38" spans="1:22">
      <c r="A38" s="26" t="s">
        <v>13</v>
      </c>
      <c r="B38" s="26" t="s">
        <v>125</v>
      </c>
      <c r="C38" s="26">
        <v>27.3</v>
      </c>
      <c r="D38" s="74">
        <v>12</v>
      </c>
      <c r="E38" s="28">
        <v>8</v>
      </c>
      <c r="F38" s="16">
        <f>(C38*D38*E38/1000)</f>
        <v>2.6208</v>
      </c>
      <c r="G38" s="17"/>
      <c r="H38" s="18">
        <v>8</v>
      </c>
      <c r="I38" s="19">
        <f>(C38*D38*H38/1000)</f>
        <v>2.6208</v>
      </c>
      <c r="J38" s="16"/>
      <c r="K38" s="18"/>
      <c r="L38" s="19">
        <f>(C38*D38*K38/1000)</f>
        <v>0</v>
      </c>
      <c r="M38" s="16"/>
      <c r="N38" s="18"/>
      <c r="O38" s="19">
        <f>(C38*D38*N38/1000)</f>
        <v>0</v>
      </c>
      <c r="P38" s="16"/>
      <c r="Q38" s="18"/>
      <c r="R38" s="19">
        <f>(C38*D38*Q38/1000)</f>
        <v>0</v>
      </c>
      <c r="S38" s="20">
        <f t="shared" si="94"/>
        <v>8</v>
      </c>
      <c r="T38" s="19">
        <f t="shared" si="94"/>
        <v>2.6208</v>
      </c>
      <c r="U38" s="21">
        <f t="shared" si="95"/>
        <v>0</v>
      </c>
      <c r="V38" s="19">
        <f t="shared" si="95"/>
        <v>0</v>
      </c>
    </row>
    <row r="39" spans="1:22">
      <c r="A39" s="26"/>
      <c r="B39" s="41" t="s">
        <v>378</v>
      </c>
      <c r="C39" s="26"/>
      <c r="D39" s="74"/>
      <c r="E39" s="31">
        <f t="shared" ref="E39:F39" si="96">SUM(E36:E38)</f>
        <v>17</v>
      </c>
      <c r="F39" s="77">
        <f t="shared" si="96"/>
        <v>4.70106</v>
      </c>
      <c r="G39" s="17"/>
      <c r="H39" s="31">
        <f t="shared" ref="H39" si="97">SUM(H36:H38)</f>
        <v>17</v>
      </c>
      <c r="I39" s="77">
        <f t="shared" ref="I39" si="98">SUM(I36:I38)</f>
        <v>4.70106</v>
      </c>
      <c r="J39" s="16"/>
      <c r="K39" s="31">
        <f t="shared" ref="K39" si="99">SUM(K36:K38)</f>
        <v>0</v>
      </c>
      <c r="L39" s="77">
        <f t="shared" ref="L39" si="100">SUM(L36:L38)</f>
        <v>0</v>
      </c>
      <c r="M39" s="16"/>
      <c r="N39" s="31">
        <f t="shared" ref="N39" si="101">SUM(N36:N38)</f>
        <v>0</v>
      </c>
      <c r="O39" s="77">
        <f t="shared" ref="O39" si="102">SUM(O36:O38)</f>
        <v>0</v>
      </c>
      <c r="P39" s="16"/>
      <c r="Q39" s="31">
        <f t="shared" ref="Q39" si="103">SUM(Q36:Q38)</f>
        <v>0</v>
      </c>
      <c r="R39" s="77">
        <f t="shared" ref="R39" si="104">SUM(R36:R38)</f>
        <v>0</v>
      </c>
      <c r="S39" s="31">
        <f t="shared" ref="S39" si="105">SUM(S36:S38)</f>
        <v>17</v>
      </c>
      <c r="T39" s="77">
        <f t="shared" ref="T39" si="106">SUM(T36:T38)</f>
        <v>4.70106</v>
      </c>
      <c r="U39" s="31">
        <f t="shared" ref="U39" si="107">SUM(U36:U38)</f>
        <v>0</v>
      </c>
      <c r="V39" s="77">
        <f>SUM(V36:V38)</f>
        <v>0</v>
      </c>
    </row>
    <row r="40" spans="1:22">
      <c r="A40" s="26" t="s">
        <v>13</v>
      </c>
      <c r="B40" s="26" t="s">
        <v>75</v>
      </c>
      <c r="C40" s="26">
        <v>31.6</v>
      </c>
      <c r="D40" s="74">
        <v>12</v>
      </c>
      <c r="E40" s="28">
        <v>9</v>
      </c>
      <c r="F40" s="16">
        <f>(C40*D40*E40/1000)</f>
        <v>3.4128000000000003</v>
      </c>
      <c r="G40" s="17" t="s">
        <v>89</v>
      </c>
      <c r="H40" s="18">
        <v>9</v>
      </c>
      <c r="I40" s="19">
        <f>(C40*D40*H40/1000)</f>
        <v>3.4128000000000003</v>
      </c>
      <c r="J40" s="16"/>
      <c r="K40" s="18"/>
      <c r="L40" s="19">
        <f>(C40*D40*K40/1000)</f>
        <v>0</v>
      </c>
      <c r="M40" s="16"/>
      <c r="N40" s="18"/>
      <c r="O40" s="19">
        <f>(C40*D40*N40/1000)</f>
        <v>0</v>
      </c>
      <c r="P40" s="16"/>
      <c r="Q40" s="18"/>
      <c r="R40" s="19">
        <f>(C40*D40*Q40/1000)</f>
        <v>0</v>
      </c>
      <c r="S40" s="20">
        <f>+H40+K40+Q40+N40</f>
        <v>9</v>
      </c>
      <c r="T40" s="19">
        <f>+I40+L40+R40+O40</f>
        <v>3.4128000000000003</v>
      </c>
      <c r="U40" s="21">
        <f>E40-S40</f>
        <v>0</v>
      </c>
      <c r="V40" s="19">
        <f>F40-T40</f>
        <v>0</v>
      </c>
    </row>
    <row r="41" spans="1:22">
      <c r="A41" s="26"/>
      <c r="B41" s="41" t="s">
        <v>378</v>
      </c>
      <c r="C41" s="26"/>
      <c r="D41" s="74"/>
      <c r="E41" s="31">
        <f t="shared" ref="E41:F41" si="108">SUM(E40)</f>
        <v>9</v>
      </c>
      <c r="F41" s="77">
        <f t="shared" si="108"/>
        <v>3.4128000000000003</v>
      </c>
      <c r="G41" s="26" t="s">
        <v>453</v>
      </c>
      <c r="H41" s="31">
        <f t="shared" ref="H41" si="109">SUM(H40)</f>
        <v>9</v>
      </c>
      <c r="I41" s="77">
        <f t="shared" ref="I41" si="110">SUM(I40)</f>
        <v>3.4128000000000003</v>
      </c>
      <c r="J41" s="16"/>
      <c r="K41" s="31">
        <f t="shared" ref="K41" si="111">SUM(K40)</f>
        <v>0</v>
      </c>
      <c r="L41" s="77">
        <f t="shared" ref="L41" si="112">SUM(L40)</f>
        <v>0</v>
      </c>
      <c r="M41" s="16"/>
      <c r="N41" s="31">
        <f t="shared" ref="N41" si="113">SUM(N40)</f>
        <v>0</v>
      </c>
      <c r="O41" s="77">
        <f t="shared" ref="O41" si="114">SUM(O40)</f>
        <v>0</v>
      </c>
      <c r="P41" s="16"/>
      <c r="Q41" s="31">
        <f t="shared" ref="Q41" si="115">SUM(Q40)</f>
        <v>0</v>
      </c>
      <c r="R41" s="77">
        <f t="shared" ref="R41" si="116">SUM(R40)</f>
        <v>0</v>
      </c>
      <c r="S41" s="31">
        <f t="shared" ref="S41" si="117">SUM(S40)</f>
        <v>9</v>
      </c>
      <c r="T41" s="77">
        <f t="shared" ref="T41" si="118">SUM(T40)</f>
        <v>3.4128000000000003</v>
      </c>
      <c r="U41" s="31">
        <f t="shared" ref="U41" si="119">SUM(U40)</f>
        <v>0</v>
      </c>
      <c r="V41" s="77">
        <f>SUM(V40)</f>
        <v>0</v>
      </c>
    </row>
    <row r="42" spans="1:22">
      <c r="A42" s="26" t="s">
        <v>13</v>
      </c>
      <c r="B42" s="26" t="s">
        <v>128</v>
      </c>
      <c r="C42" s="26">
        <v>40.1</v>
      </c>
      <c r="D42" s="74">
        <v>9.6999999999999993</v>
      </c>
      <c r="E42" s="28">
        <v>16</v>
      </c>
      <c r="F42" s="16">
        <f>(C42*D42*E42/1000)</f>
        <v>6.2235199999999997</v>
      </c>
      <c r="G42" s="17" t="s">
        <v>89</v>
      </c>
      <c r="H42" s="18">
        <v>14</v>
      </c>
      <c r="I42" s="19">
        <f>(C42*D42*H42/1000)</f>
        <v>5.4455799999999996</v>
      </c>
      <c r="J42" s="16" t="s">
        <v>93</v>
      </c>
      <c r="K42" s="18">
        <v>2</v>
      </c>
      <c r="L42" s="19">
        <f>(C42*D42*K42/1000)</f>
        <v>0.77793999999999996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>+H42+K42+Q42+N42</f>
        <v>16</v>
      </c>
      <c r="T42" s="19">
        <f>+I42+L42+R42+O42</f>
        <v>6.2235199999999997</v>
      </c>
      <c r="U42" s="21">
        <f>E42-S42</f>
        <v>0</v>
      </c>
      <c r="V42" s="19">
        <f>F42-T42</f>
        <v>0</v>
      </c>
    </row>
    <row r="43" spans="1:22">
      <c r="A43" s="26"/>
      <c r="B43" s="41" t="s">
        <v>378</v>
      </c>
      <c r="C43" s="26"/>
      <c r="D43" s="74"/>
      <c r="E43" s="31">
        <f t="shared" ref="E43:F43" si="120">SUM(E42)</f>
        <v>16</v>
      </c>
      <c r="F43" s="77">
        <f t="shared" si="120"/>
        <v>6.2235199999999997</v>
      </c>
      <c r="G43" s="26" t="s">
        <v>458</v>
      </c>
      <c r="H43" s="31">
        <f t="shared" ref="H43" si="121">SUM(H42)</f>
        <v>14</v>
      </c>
      <c r="I43" s="77">
        <f t="shared" ref="I43" si="122">SUM(I42)</f>
        <v>5.4455799999999996</v>
      </c>
      <c r="J43" s="16" t="s">
        <v>469</v>
      </c>
      <c r="K43" s="31">
        <f t="shared" ref="K43" si="123">SUM(K42)</f>
        <v>2</v>
      </c>
      <c r="L43" s="77">
        <f t="shared" ref="L43" si="124">SUM(L42)</f>
        <v>0.77793999999999996</v>
      </c>
      <c r="M43" s="16"/>
      <c r="N43" s="31">
        <f t="shared" ref="N43" si="125">SUM(N42)</f>
        <v>0</v>
      </c>
      <c r="O43" s="77">
        <f t="shared" ref="O43" si="126">SUM(O42)</f>
        <v>0</v>
      </c>
      <c r="P43" s="16"/>
      <c r="Q43" s="31">
        <f t="shared" ref="Q43" si="127">SUM(Q42)</f>
        <v>0</v>
      </c>
      <c r="R43" s="77">
        <f t="shared" ref="R43" si="128">SUM(R42)</f>
        <v>0</v>
      </c>
      <c r="S43" s="31">
        <f t="shared" ref="S43" si="129">SUM(S42)</f>
        <v>16</v>
      </c>
      <c r="T43" s="77">
        <f t="shared" ref="T43" si="130">SUM(T42)</f>
        <v>6.2235199999999997</v>
      </c>
      <c r="U43" s="31">
        <f t="shared" ref="U43" si="131">SUM(U42)</f>
        <v>0</v>
      </c>
      <c r="V43" s="77">
        <f>SUM(V42)</f>
        <v>0</v>
      </c>
    </row>
    <row r="44" spans="1:22">
      <c r="A44" s="26" t="s">
        <v>13</v>
      </c>
      <c r="B44" s="26" t="s">
        <v>124</v>
      </c>
      <c r="C44" s="26">
        <v>23</v>
      </c>
      <c r="D44" s="74">
        <v>7.9</v>
      </c>
      <c r="E44" s="28">
        <v>5</v>
      </c>
      <c r="F44" s="16">
        <f>(C44*D44*E44/1000)</f>
        <v>0.90850000000000009</v>
      </c>
      <c r="G44" s="17" t="s">
        <v>325</v>
      </c>
      <c r="H44" s="18">
        <v>5</v>
      </c>
      <c r="I44" s="19">
        <f>(C44*D44*H44/1000)</f>
        <v>0.90850000000000009</v>
      </c>
      <c r="J44" s="16"/>
      <c r="K44" s="18"/>
      <c r="L44" s="19">
        <f>(C44*D44*K44/1000)</f>
        <v>0</v>
      </c>
      <c r="M44" s="16"/>
      <c r="N44" s="18"/>
      <c r="O44" s="19">
        <f>(C44*D44*N44/1000)</f>
        <v>0</v>
      </c>
      <c r="P44" s="16"/>
      <c r="Q44" s="18"/>
      <c r="R44" s="19">
        <f>(C44*D44*Q44/1000)</f>
        <v>0</v>
      </c>
      <c r="S44" s="20">
        <f>+H44+K44+Q44+N44</f>
        <v>5</v>
      </c>
      <c r="T44" s="19">
        <f>+I44+L44+R44+O44</f>
        <v>0.90850000000000009</v>
      </c>
      <c r="U44" s="21">
        <f>E44-S44</f>
        <v>0</v>
      </c>
      <c r="V44" s="19">
        <f>F44-T44</f>
        <v>0</v>
      </c>
    </row>
    <row r="45" spans="1:22">
      <c r="A45" s="26"/>
      <c r="B45" s="41" t="s">
        <v>378</v>
      </c>
      <c r="C45" s="26"/>
      <c r="D45" s="74"/>
      <c r="E45" s="31">
        <f t="shared" ref="E45:F45" si="132">SUM(E44)</f>
        <v>5</v>
      </c>
      <c r="F45" s="77">
        <f t="shared" si="132"/>
        <v>0.90850000000000009</v>
      </c>
      <c r="G45" s="17" t="s">
        <v>454</v>
      </c>
      <c r="H45" s="31">
        <f t="shared" ref="H45" si="133">SUM(H44)</f>
        <v>5</v>
      </c>
      <c r="I45" s="77">
        <f t="shared" ref="I45" si="134">SUM(I44)</f>
        <v>0.90850000000000009</v>
      </c>
      <c r="J45" s="16"/>
      <c r="K45" s="31">
        <f t="shared" ref="K45" si="135">SUM(K44)</f>
        <v>0</v>
      </c>
      <c r="L45" s="77">
        <f t="shared" ref="L45" si="136">SUM(L44)</f>
        <v>0</v>
      </c>
      <c r="M45" s="16"/>
      <c r="N45" s="31">
        <f t="shared" ref="N45" si="137">SUM(N44)</f>
        <v>0</v>
      </c>
      <c r="O45" s="77">
        <f t="shared" ref="O45" si="138">SUM(O44)</f>
        <v>0</v>
      </c>
      <c r="P45" s="16"/>
      <c r="Q45" s="31">
        <f t="shared" ref="Q45" si="139">SUM(Q44)</f>
        <v>0</v>
      </c>
      <c r="R45" s="77">
        <f t="shared" ref="R45" si="140">SUM(R44)</f>
        <v>0</v>
      </c>
      <c r="S45" s="31">
        <f t="shared" ref="S45" si="141">SUM(S44)</f>
        <v>5</v>
      </c>
      <c r="T45" s="77">
        <f t="shared" ref="T45" si="142">SUM(T44)</f>
        <v>0.90850000000000009</v>
      </c>
      <c r="U45" s="31">
        <f t="shared" ref="U45" si="143">SUM(U44)</f>
        <v>0</v>
      </c>
      <c r="V45" s="77">
        <f>SUM(V44)</f>
        <v>0</v>
      </c>
    </row>
    <row r="46" spans="1:22">
      <c r="A46" s="26" t="s">
        <v>13</v>
      </c>
      <c r="B46" s="26" t="s">
        <v>46</v>
      </c>
      <c r="C46" s="26">
        <v>10.7</v>
      </c>
      <c r="D46" s="74">
        <v>11.1</v>
      </c>
      <c r="E46" s="28">
        <v>19</v>
      </c>
      <c r="F46" s="16">
        <f>(C46*D46*E46/1000)</f>
        <v>2.2566299999999995</v>
      </c>
      <c r="G46" s="16" t="s">
        <v>93</v>
      </c>
      <c r="H46" s="18">
        <v>19</v>
      </c>
      <c r="I46" s="19">
        <f>(C46*D46*H46/1000)</f>
        <v>2.2566299999999995</v>
      </c>
      <c r="J46" s="16"/>
      <c r="K46" s="18"/>
      <c r="L46" s="19">
        <f>(C46*D46*K46/1000)</f>
        <v>0</v>
      </c>
      <c r="M46" s="16"/>
      <c r="N46" s="18"/>
      <c r="O46" s="19">
        <f>(C46*D46*N46/1000)</f>
        <v>0</v>
      </c>
      <c r="P46" s="16"/>
      <c r="Q46" s="18"/>
      <c r="R46" s="19">
        <f>(C46*D46*Q46/1000)</f>
        <v>0</v>
      </c>
      <c r="S46" s="20">
        <f>+H46+K46+Q46+N46</f>
        <v>19</v>
      </c>
      <c r="T46" s="19">
        <f>+I46+L46+R46+O46</f>
        <v>2.2566299999999995</v>
      </c>
      <c r="U46" s="21">
        <f>E46-S46</f>
        <v>0</v>
      </c>
      <c r="V46" s="19">
        <f>F46-T46</f>
        <v>0</v>
      </c>
    </row>
    <row r="47" spans="1:22">
      <c r="A47" s="26" t="s">
        <v>13</v>
      </c>
      <c r="B47" s="26" t="s">
        <v>46</v>
      </c>
      <c r="C47" s="26">
        <v>10.7</v>
      </c>
      <c r="D47" s="74">
        <v>12</v>
      </c>
      <c r="E47" s="28">
        <v>18</v>
      </c>
      <c r="F47" s="16">
        <f>(C47*D47*E47/1000)</f>
        <v>2.3111999999999999</v>
      </c>
      <c r="G47" s="16" t="s">
        <v>451</v>
      </c>
      <c r="H47" s="18">
        <v>18</v>
      </c>
      <c r="I47" s="19">
        <f>(C47*D47*H47/1000)</f>
        <v>2.3111999999999999</v>
      </c>
      <c r="J47" s="16"/>
      <c r="K47" s="18"/>
      <c r="L47" s="19">
        <f>(C47*D47*K47/1000)</f>
        <v>0</v>
      </c>
      <c r="M47" s="16"/>
      <c r="N47" s="18"/>
      <c r="O47" s="19">
        <f>(C47*D47*N47/1000)</f>
        <v>0</v>
      </c>
      <c r="P47" s="16"/>
      <c r="Q47" s="18"/>
      <c r="R47" s="19">
        <f>(C47*D47*Q47/1000)</f>
        <v>0</v>
      </c>
      <c r="S47" s="20">
        <f>+H47+K47+Q47+N47</f>
        <v>18</v>
      </c>
      <c r="T47" s="19">
        <f>+I47+L47+R47+O47</f>
        <v>2.3111999999999999</v>
      </c>
      <c r="U47" s="21">
        <f>E47-S47</f>
        <v>0</v>
      </c>
      <c r="V47" s="19">
        <f>F47-T47</f>
        <v>0</v>
      </c>
    </row>
    <row r="48" spans="1:22">
      <c r="A48" s="26"/>
      <c r="B48" s="41" t="s">
        <v>378</v>
      </c>
      <c r="C48" s="26"/>
      <c r="D48" s="74"/>
      <c r="E48" s="31">
        <f t="shared" ref="E48:F48" si="144">SUM(E46:E47)</f>
        <v>37</v>
      </c>
      <c r="F48" s="77">
        <f t="shared" si="144"/>
        <v>4.5678299999999989</v>
      </c>
      <c r="G48" s="26"/>
      <c r="H48" s="31">
        <f t="shared" ref="H48" si="145">SUM(H46:H47)</f>
        <v>37</v>
      </c>
      <c r="I48" s="77">
        <f t="shared" ref="I48" si="146">SUM(I46:I47)</f>
        <v>4.5678299999999989</v>
      </c>
      <c r="J48" s="26"/>
      <c r="K48" s="31">
        <f t="shared" ref="K48" si="147">SUM(K46:K47)</f>
        <v>0</v>
      </c>
      <c r="L48" s="77">
        <f t="shared" ref="L48" si="148">SUM(L46:L47)</f>
        <v>0</v>
      </c>
      <c r="M48" s="26"/>
      <c r="N48" s="31">
        <f t="shared" ref="N48" si="149">SUM(N46:N47)</f>
        <v>0</v>
      </c>
      <c r="O48" s="77">
        <f t="shared" ref="O48" si="150">SUM(O46:O47)</f>
        <v>0</v>
      </c>
      <c r="P48" s="26"/>
      <c r="Q48" s="31">
        <f t="shared" ref="Q48" si="151">SUM(Q46:Q47)</f>
        <v>0</v>
      </c>
      <c r="R48" s="77">
        <f t="shared" ref="R48" si="152">SUM(R46:R47)</f>
        <v>0</v>
      </c>
      <c r="S48" s="31">
        <f t="shared" ref="S48" si="153">SUM(S46:S47)</f>
        <v>37</v>
      </c>
      <c r="T48" s="77">
        <f t="shared" ref="T48" si="154">SUM(T46:T47)</f>
        <v>4.5678299999999989</v>
      </c>
      <c r="U48" s="31">
        <f t="shared" ref="U48" si="155">SUM(U46:U47)</f>
        <v>0</v>
      </c>
      <c r="V48" s="77">
        <f>SUM(V46:V47)</f>
        <v>0</v>
      </c>
    </row>
    <row r="49" spans="1:22">
      <c r="A49" s="26" t="s">
        <v>13</v>
      </c>
      <c r="B49" s="26" t="s">
        <v>37</v>
      </c>
      <c r="C49" s="26">
        <v>9.61</v>
      </c>
      <c r="D49" s="74">
        <v>10.5</v>
      </c>
      <c r="E49" s="28">
        <v>12</v>
      </c>
      <c r="F49" s="16">
        <f>(C49*D49*E49/1000)</f>
        <v>1.21086</v>
      </c>
      <c r="G49" s="16" t="s">
        <v>93</v>
      </c>
      <c r="H49" s="18">
        <v>12</v>
      </c>
      <c r="I49" s="19">
        <f>(C49*D49*H49/1000)</f>
        <v>1.21086</v>
      </c>
      <c r="J49" s="16"/>
      <c r="K49" s="18"/>
      <c r="L49" s="19">
        <f>(C49*D49*K49/1000)</f>
        <v>0</v>
      </c>
      <c r="M49" s="16"/>
      <c r="N49" s="18"/>
      <c r="O49" s="19">
        <f>(C49*D49*N49/1000)</f>
        <v>0</v>
      </c>
      <c r="P49" s="16"/>
      <c r="Q49" s="18"/>
      <c r="R49" s="19">
        <f>(C49*D49*Q49/1000)</f>
        <v>0</v>
      </c>
      <c r="S49" s="20">
        <f>+H49+K49+Q49+N49</f>
        <v>12</v>
      </c>
      <c r="T49" s="19">
        <f>+I49+L49+R49+O49</f>
        <v>1.21086</v>
      </c>
      <c r="U49" s="21">
        <f>E49-S49</f>
        <v>0</v>
      </c>
      <c r="V49" s="19">
        <f>F49-T49</f>
        <v>0</v>
      </c>
    </row>
    <row r="50" spans="1:22">
      <c r="A50" s="26" t="s">
        <v>13</v>
      </c>
      <c r="B50" s="26" t="s">
        <v>37</v>
      </c>
      <c r="C50" s="26">
        <v>9.61</v>
      </c>
      <c r="D50" s="74">
        <v>11.3</v>
      </c>
      <c r="E50" s="28">
        <v>10</v>
      </c>
      <c r="F50" s="16">
        <f>(C50*D50*E50/1000)</f>
        <v>1.0859300000000001</v>
      </c>
      <c r="G50" s="16" t="s">
        <v>451</v>
      </c>
      <c r="H50" s="18">
        <v>10</v>
      </c>
      <c r="I50" s="19">
        <f>(C50*D50*H50/1000)</f>
        <v>1.0859300000000001</v>
      </c>
      <c r="J50" s="16"/>
      <c r="K50" s="18"/>
      <c r="L50" s="19">
        <f>(C50*D50*K50/1000)</f>
        <v>0</v>
      </c>
      <c r="M50" s="16"/>
      <c r="N50" s="18"/>
      <c r="O50" s="19">
        <f>(C50*D50*N50/1000)</f>
        <v>0</v>
      </c>
      <c r="P50" s="16"/>
      <c r="Q50" s="18"/>
      <c r="R50" s="19">
        <f>(C50*D50*Q50/1000)</f>
        <v>0</v>
      </c>
      <c r="S50" s="20">
        <f>+H50+K50+Q50+N50</f>
        <v>10</v>
      </c>
      <c r="T50" s="19">
        <f>+I50+L50+R50+O50</f>
        <v>1.0859300000000001</v>
      </c>
      <c r="U50" s="21">
        <f>E50-S50</f>
        <v>0</v>
      </c>
      <c r="V50" s="19">
        <f>F50-T50</f>
        <v>0</v>
      </c>
    </row>
    <row r="51" spans="1:22">
      <c r="A51" s="26"/>
      <c r="B51" s="41" t="s">
        <v>378</v>
      </c>
      <c r="C51" s="26"/>
      <c r="D51" s="74"/>
      <c r="E51" s="31">
        <f t="shared" ref="E51:F51" si="156">SUM(E49:E50)</f>
        <v>22</v>
      </c>
      <c r="F51" s="77">
        <f t="shared" si="156"/>
        <v>2.2967900000000001</v>
      </c>
      <c r="G51" s="17"/>
      <c r="H51" s="31">
        <f t="shared" ref="H51" si="157">SUM(H49:H50)</f>
        <v>22</v>
      </c>
      <c r="I51" s="77">
        <f t="shared" ref="I51" si="158">SUM(I49:I50)</f>
        <v>2.2967900000000001</v>
      </c>
      <c r="J51" s="16"/>
      <c r="K51" s="31">
        <f t="shared" ref="K51" si="159">SUM(K49:K50)</f>
        <v>0</v>
      </c>
      <c r="L51" s="77">
        <f t="shared" ref="L51" si="160">SUM(L49:L50)</f>
        <v>0</v>
      </c>
      <c r="M51" s="16"/>
      <c r="N51" s="31">
        <f t="shared" ref="N51" si="161">SUM(N49:N50)</f>
        <v>0</v>
      </c>
      <c r="O51" s="77">
        <f t="shared" ref="O51" si="162">SUM(O49:O50)</f>
        <v>0</v>
      </c>
      <c r="P51" s="16"/>
      <c r="Q51" s="31">
        <f t="shared" ref="Q51" si="163">SUM(Q49:Q50)</f>
        <v>0</v>
      </c>
      <c r="R51" s="77">
        <f t="shared" ref="R51" si="164">SUM(R49:R50)</f>
        <v>0</v>
      </c>
      <c r="S51" s="31">
        <f t="shared" ref="S51" si="165">SUM(S49:S50)</f>
        <v>22</v>
      </c>
      <c r="T51" s="77">
        <f t="shared" ref="T51" si="166">SUM(T49:T50)</f>
        <v>2.2967900000000001</v>
      </c>
      <c r="U51" s="31">
        <f t="shared" ref="U51" si="167">SUM(U49:U50)</f>
        <v>0</v>
      </c>
      <c r="V51" s="77">
        <f t="shared" ref="V51" si="168">SUM(V49:V50)</f>
        <v>0</v>
      </c>
    </row>
    <row r="52" spans="1:22">
      <c r="A52" s="26" t="s">
        <v>13</v>
      </c>
      <c r="B52" s="26" t="s">
        <v>35</v>
      </c>
      <c r="C52" s="26">
        <v>6.85</v>
      </c>
      <c r="D52" s="74">
        <v>12</v>
      </c>
      <c r="E52" s="28">
        <v>33</v>
      </c>
      <c r="F52" s="16">
        <f>(C52*D52*E52/1000)</f>
        <v>2.7125999999999992</v>
      </c>
      <c r="G52" s="16" t="s">
        <v>111</v>
      </c>
      <c r="H52" s="18">
        <v>33</v>
      </c>
      <c r="I52" s="19">
        <f>(C52*D52*H52/1000)</f>
        <v>2.7125999999999992</v>
      </c>
      <c r="J52" s="16"/>
      <c r="K52" s="18"/>
      <c r="L52" s="19">
        <f>(C52*D52*K52/1000)</f>
        <v>0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>+H52+K52+Q52+N52</f>
        <v>33</v>
      </c>
      <c r="T52" s="19">
        <f>+I52+L52+R52+O52</f>
        <v>2.7125999999999992</v>
      </c>
      <c r="U52" s="21">
        <f>E52-S52</f>
        <v>0</v>
      </c>
      <c r="V52" s="19">
        <f>F52-T52</f>
        <v>0</v>
      </c>
    </row>
    <row r="53" spans="1:22">
      <c r="A53" s="26"/>
      <c r="B53" s="41" t="s">
        <v>378</v>
      </c>
      <c r="C53" s="26"/>
      <c r="D53" s="74"/>
      <c r="E53" s="31">
        <f t="shared" ref="E53:F53" si="169">SUM(E52)</f>
        <v>33</v>
      </c>
      <c r="F53" s="77">
        <f t="shared" si="169"/>
        <v>2.7125999999999992</v>
      </c>
      <c r="G53" s="16" t="s">
        <v>458</v>
      </c>
      <c r="H53" s="31">
        <f t="shared" ref="H53" si="170">SUM(H52)</f>
        <v>33</v>
      </c>
      <c r="I53" s="77">
        <f t="shared" ref="I53" si="171">SUM(I52)</f>
        <v>2.7125999999999992</v>
      </c>
      <c r="J53" s="16"/>
      <c r="K53" s="31">
        <f t="shared" ref="K53" si="172">SUM(K52)</f>
        <v>0</v>
      </c>
      <c r="L53" s="77">
        <f t="shared" ref="L53" si="173">SUM(L52)</f>
        <v>0</v>
      </c>
      <c r="M53" s="16"/>
      <c r="N53" s="31">
        <f t="shared" ref="N53" si="174">SUM(N52)</f>
        <v>0</v>
      </c>
      <c r="O53" s="77">
        <f t="shared" ref="O53" si="175">SUM(O52)</f>
        <v>0</v>
      </c>
      <c r="P53" s="16"/>
      <c r="Q53" s="31">
        <f t="shared" ref="Q53" si="176">SUM(Q52)</f>
        <v>0</v>
      </c>
      <c r="R53" s="77">
        <f t="shared" ref="R53" si="177">SUM(R52)</f>
        <v>0</v>
      </c>
      <c r="S53" s="31">
        <f t="shared" ref="S53" si="178">SUM(S52)</f>
        <v>33</v>
      </c>
      <c r="T53" s="77">
        <f t="shared" ref="T53" si="179">SUM(T52)</f>
        <v>2.7125999999999992</v>
      </c>
      <c r="U53" s="31">
        <f t="shared" ref="U53" si="180">SUM(U52)</f>
        <v>0</v>
      </c>
      <c r="V53" s="77">
        <f t="shared" ref="V53" si="181">SUM(V52)</f>
        <v>0</v>
      </c>
    </row>
    <row r="54" spans="1:22">
      <c r="A54" s="26" t="s">
        <v>13</v>
      </c>
      <c r="B54" s="26" t="s">
        <v>25</v>
      </c>
      <c r="C54" s="26">
        <v>13.4</v>
      </c>
      <c r="D54" s="74">
        <v>8.9</v>
      </c>
      <c r="E54" s="28">
        <v>27</v>
      </c>
      <c r="F54" s="16">
        <f>(C54*D54*E54/1000)</f>
        <v>3.2200199999999999</v>
      </c>
      <c r="G54" s="16" t="s">
        <v>93</v>
      </c>
      <c r="H54" s="18">
        <v>25</v>
      </c>
      <c r="I54" s="19">
        <f>(C54*D54*H54/1000)</f>
        <v>2.9815</v>
      </c>
      <c r="J54" s="16"/>
      <c r="K54" s="18"/>
      <c r="L54" s="19">
        <f>(C54*D54*K54/1000)</f>
        <v>0</v>
      </c>
      <c r="M54" s="16"/>
      <c r="N54" s="18"/>
      <c r="O54" s="19">
        <f>(C54*D54*N54/1000)</f>
        <v>0</v>
      </c>
      <c r="P54" s="16"/>
      <c r="Q54" s="18"/>
      <c r="R54" s="19">
        <f>(C54*D54*Q54/1000)</f>
        <v>0</v>
      </c>
      <c r="S54" s="20">
        <f t="shared" ref="S54:T56" si="182">+H54+K54+Q54+N54</f>
        <v>25</v>
      </c>
      <c r="T54" s="19">
        <f t="shared" si="182"/>
        <v>2.9815</v>
      </c>
      <c r="U54" s="21">
        <f t="shared" ref="U54:V56" si="183">E54-S54</f>
        <v>2</v>
      </c>
      <c r="V54" s="19">
        <f t="shared" si="183"/>
        <v>0.23851999999999984</v>
      </c>
    </row>
    <row r="55" spans="1:22">
      <c r="A55" s="26" t="s">
        <v>13</v>
      </c>
      <c r="B55" s="26" t="s">
        <v>25</v>
      </c>
      <c r="C55" s="26">
        <v>13.4</v>
      </c>
      <c r="D55" s="74">
        <v>12</v>
      </c>
      <c r="E55" s="28">
        <v>20</v>
      </c>
      <c r="F55" s="16">
        <f>(C55*D55*E55/1000)</f>
        <v>3.2160000000000002</v>
      </c>
      <c r="G55" s="16" t="s">
        <v>469</v>
      </c>
      <c r="H55" s="18">
        <f>14+6</f>
        <v>20</v>
      </c>
      <c r="I55" s="19">
        <f>(C55*D55*H55/1000)</f>
        <v>3.2160000000000002</v>
      </c>
      <c r="J55" s="16"/>
      <c r="K55" s="18"/>
      <c r="L55" s="19">
        <f>(C55*D55*K55/1000)</f>
        <v>0</v>
      </c>
      <c r="M55" s="16"/>
      <c r="N55" s="18"/>
      <c r="O55" s="19">
        <f>(C55*D55*N55/1000)</f>
        <v>0</v>
      </c>
      <c r="P55" s="16"/>
      <c r="Q55" s="18"/>
      <c r="R55" s="19">
        <f>(C55*D55*Q55/1000)</f>
        <v>0</v>
      </c>
      <c r="S55" s="20">
        <f t="shared" si="182"/>
        <v>20</v>
      </c>
      <c r="T55" s="19">
        <f t="shared" si="182"/>
        <v>3.2160000000000002</v>
      </c>
      <c r="U55" s="21">
        <f t="shared" si="183"/>
        <v>0</v>
      </c>
      <c r="V55" s="19">
        <f t="shared" si="183"/>
        <v>0</v>
      </c>
    </row>
    <row r="56" spans="1:22">
      <c r="A56" s="26" t="s">
        <v>13</v>
      </c>
      <c r="B56" s="26" t="s">
        <v>25</v>
      </c>
      <c r="C56" s="26">
        <v>13.4</v>
      </c>
      <c r="D56" s="74">
        <v>10</v>
      </c>
      <c r="E56" s="28"/>
      <c r="F56" s="16">
        <f>(C56*D56*E56/1000)</f>
        <v>0</v>
      </c>
      <c r="G56" s="16"/>
      <c r="H56" s="18">
        <v>2</v>
      </c>
      <c r="I56" s="19">
        <f>(C56*D56*H56/1000)</f>
        <v>0.26800000000000002</v>
      </c>
      <c r="J56" s="16"/>
      <c r="K56" s="18"/>
      <c r="L56" s="19">
        <f>(C56*D56*K56/1000)</f>
        <v>0</v>
      </c>
      <c r="M56" s="16"/>
      <c r="N56" s="18"/>
      <c r="O56" s="19">
        <f>(C56*D56*N56/1000)</f>
        <v>0</v>
      </c>
      <c r="P56" s="16"/>
      <c r="Q56" s="18"/>
      <c r="R56" s="19">
        <f>(C56*D56*Q56/1000)</f>
        <v>0</v>
      </c>
      <c r="S56" s="20">
        <f t="shared" si="182"/>
        <v>2</v>
      </c>
      <c r="T56" s="19">
        <f t="shared" si="182"/>
        <v>0.26800000000000002</v>
      </c>
      <c r="U56" s="21">
        <f t="shared" si="183"/>
        <v>-2</v>
      </c>
      <c r="V56" s="19">
        <f t="shared" si="183"/>
        <v>-0.26800000000000002</v>
      </c>
    </row>
    <row r="57" spans="1:22">
      <c r="A57" s="26"/>
      <c r="B57" s="41" t="s">
        <v>378</v>
      </c>
      <c r="C57" s="26"/>
      <c r="D57" s="74"/>
      <c r="E57" s="31">
        <f t="shared" ref="E57:F57" si="184">SUM(E54:E56)</f>
        <v>47</v>
      </c>
      <c r="F57" s="77">
        <f t="shared" si="184"/>
        <v>6.4360200000000001</v>
      </c>
      <c r="G57" s="26"/>
      <c r="H57" s="31">
        <f t="shared" ref="H57" si="185">SUM(H54:H56)</f>
        <v>47</v>
      </c>
      <c r="I57" s="77">
        <f t="shared" ref="I57" si="186">SUM(I54:I56)</f>
        <v>6.4654999999999996</v>
      </c>
      <c r="J57" s="26"/>
      <c r="K57" s="31">
        <f t="shared" ref="K57" si="187">SUM(K54:K56)</f>
        <v>0</v>
      </c>
      <c r="L57" s="77">
        <f t="shared" ref="L57" si="188">SUM(L54:L56)</f>
        <v>0</v>
      </c>
      <c r="M57" s="26"/>
      <c r="N57" s="31">
        <f t="shared" ref="N57" si="189">SUM(N54:N56)</f>
        <v>0</v>
      </c>
      <c r="O57" s="77">
        <f t="shared" ref="O57" si="190">SUM(O54:O56)</f>
        <v>0</v>
      </c>
      <c r="P57" s="26"/>
      <c r="Q57" s="31">
        <f t="shared" ref="Q57" si="191">SUM(Q54:Q56)</f>
        <v>0</v>
      </c>
      <c r="R57" s="77">
        <f t="shared" ref="R57" si="192">SUM(R54:R56)</f>
        <v>0</v>
      </c>
      <c r="S57" s="31">
        <f t="shared" ref="S57" si="193">SUM(S54:S56)</f>
        <v>47</v>
      </c>
      <c r="T57" s="77">
        <f t="shared" ref="T57" si="194">SUM(T54:T56)</f>
        <v>6.4654999999999996</v>
      </c>
      <c r="U57" s="31">
        <f t="shared" ref="U57" si="195">SUM(U54:U56)</f>
        <v>0</v>
      </c>
      <c r="V57" s="77">
        <f t="shared" ref="V57" si="196">SUM(V54:V56)</f>
        <v>-2.9480000000000173E-2</v>
      </c>
    </row>
    <row r="58" spans="1:22">
      <c r="A58" s="26" t="s">
        <v>13</v>
      </c>
      <c r="B58" s="26" t="s">
        <v>126</v>
      </c>
      <c r="C58" s="26">
        <v>33.799999999999997</v>
      </c>
      <c r="D58" s="74">
        <v>8</v>
      </c>
      <c r="E58" s="28">
        <v>7</v>
      </c>
      <c r="F58" s="16">
        <f>(C58*D58*E58/1000)</f>
        <v>1.8927999999999998</v>
      </c>
      <c r="G58" s="17" t="s">
        <v>89</v>
      </c>
      <c r="H58" s="18">
        <v>7</v>
      </c>
      <c r="I58" s="19">
        <f>(C58*D58*H58/1000)</f>
        <v>1.8927999999999998</v>
      </c>
      <c r="J58" s="16"/>
      <c r="K58" s="18"/>
      <c r="L58" s="19">
        <f>(C58*D58*K58/1000)</f>
        <v>0</v>
      </c>
      <c r="M58" s="16"/>
      <c r="N58" s="18"/>
      <c r="O58" s="19">
        <f>(C58*D58*N58/1000)</f>
        <v>0</v>
      </c>
      <c r="P58" s="16"/>
      <c r="Q58" s="18"/>
      <c r="R58" s="19">
        <f>(C58*D58*Q58/1000)</f>
        <v>0</v>
      </c>
      <c r="S58" s="20">
        <f>+H58+K58+Q58+N58</f>
        <v>7</v>
      </c>
      <c r="T58" s="19">
        <f>+I58+L58+R58+O58</f>
        <v>1.8927999999999998</v>
      </c>
      <c r="U58" s="21">
        <f>E58-S58</f>
        <v>0</v>
      </c>
      <c r="V58" s="19">
        <f>F58-T58</f>
        <v>0</v>
      </c>
    </row>
    <row r="59" spans="1:22">
      <c r="A59" s="26"/>
      <c r="B59" s="41" t="s">
        <v>378</v>
      </c>
      <c r="C59" s="26"/>
      <c r="D59" s="74"/>
      <c r="E59" s="31">
        <f t="shared" ref="E59:F59" si="197">SUM(E58)</f>
        <v>7</v>
      </c>
      <c r="F59" s="77">
        <f t="shared" si="197"/>
        <v>1.8927999999999998</v>
      </c>
      <c r="G59" s="26" t="s">
        <v>453</v>
      </c>
      <c r="H59" s="31">
        <f t="shared" ref="H59" si="198">SUM(H58)</f>
        <v>7</v>
      </c>
      <c r="I59" s="77">
        <f t="shared" ref="I59" si="199">SUM(I58)</f>
        <v>1.8927999999999998</v>
      </c>
      <c r="J59" s="26"/>
      <c r="K59" s="31">
        <f t="shared" ref="K59" si="200">SUM(K58)</f>
        <v>0</v>
      </c>
      <c r="L59" s="77">
        <f t="shared" ref="L59" si="201">SUM(L58)</f>
        <v>0</v>
      </c>
      <c r="M59" s="26"/>
      <c r="N59" s="31">
        <f t="shared" ref="N59" si="202">SUM(N58)</f>
        <v>0</v>
      </c>
      <c r="O59" s="77">
        <f t="shared" ref="O59" si="203">SUM(O58)</f>
        <v>0</v>
      </c>
      <c r="P59" s="26"/>
      <c r="Q59" s="31">
        <f t="shared" ref="Q59" si="204">SUM(Q58)</f>
        <v>0</v>
      </c>
      <c r="R59" s="77">
        <f t="shared" ref="R59" si="205">SUM(R58)</f>
        <v>0</v>
      </c>
      <c r="S59" s="31">
        <f t="shared" ref="S59" si="206">SUM(S58)</f>
        <v>7</v>
      </c>
      <c r="T59" s="77">
        <f t="shared" ref="T59" si="207">SUM(T58)</f>
        <v>1.8927999999999998</v>
      </c>
      <c r="U59" s="31">
        <f t="shared" ref="U59" si="208">SUM(U58)</f>
        <v>0</v>
      </c>
      <c r="V59" s="77">
        <f t="shared" ref="V59" si="209">SUM(V58)</f>
        <v>0</v>
      </c>
    </row>
    <row r="60" spans="1:22">
      <c r="A60" s="26" t="s">
        <v>13</v>
      </c>
      <c r="B60" s="26" t="s">
        <v>18</v>
      </c>
      <c r="C60" s="26">
        <v>16.600000000000001</v>
      </c>
      <c r="D60" s="74">
        <v>7.2</v>
      </c>
      <c r="E60" s="28">
        <v>9</v>
      </c>
      <c r="F60" s="16">
        <f>(C60*D60*E60/1000)</f>
        <v>1.07568</v>
      </c>
      <c r="G60" s="16" t="s">
        <v>93</v>
      </c>
      <c r="H60" s="18">
        <v>6</v>
      </c>
      <c r="I60" s="19">
        <f>(C60*D60*H60/1000)</f>
        <v>0.71712000000000009</v>
      </c>
      <c r="J60" s="16"/>
      <c r="K60" s="18"/>
      <c r="L60" s="19">
        <f>(C60*D60*K60/1000)</f>
        <v>0</v>
      </c>
      <c r="M60" s="16"/>
      <c r="N60" s="18"/>
      <c r="O60" s="19">
        <f>(C60*D60*N60/1000)</f>
        <v>0</v>
      </c>
      <c r="P60" s="16"/>
      <c r="Q60" s="18"/>
      <c r="R60" s="19">
        <f>(C60*D60*Q60/1000)</f>
        <v>0</v>
      </c>
      <c r="S60" s="20">
        <f>+H60+K60+Q60+N60</f>
        <v>6</v>
      </c>
      <c r="T60" s="19">
        <f>+I60+L60+R60+O60</f>
        <v>0.71712000000000009</v>
      </c>
      <c r="U60" s="21">
        <f>E60-S60</f>
        <v>3</v>
      </c>
      <c r="V60" s="19">
        <f>F60-T60</f>
        <v>0.35855999999999988</v>
      </c>
    </row>
    <row r="61" spans="1:22">
      <c r="A61" s="26" t="s">
        <v>13</v>
      </c>
      <c r="B61" s="26" t="s">
        <v>18</v>
      </c>
      <c r="C61" s="26">
        <v>16.600000000000001</v>
      </c>
      <c r="D61" s="74">
        <v>8.75</v>
      </c>
      <c r="E61" s="28"/>
      <c r="F61" s="16">
        <f t="shared" ref="F61:F62" si="210">(C61*D61*E61/1000)</f>
        <v>0</v>
      </c>
      <c r="G61" s="16" t="s">
        <v>454</v>
      </c>
      <c r="H61" s="18">
        <v>3</v>
      </c>
      <c r="I61" s="19">
        <f t="shared" ref="I61:I62" si="211">(C61*D61*H61/1000)</f>
        <v>0.43575000000000003</v>
      </c>
      <c r="J61" s="16"/>
      <c r="K61" s="18"/>
      <c r="L61" s="19">
        <f t="shared" ref="L61:L62" si="212">(C61*D61*K61/1000)</f>
        <v>0</v>
      </c>
      <c r="M61" s="16"/>
      <c r="N61" s="18"/>
      <c r="O61" s="19">
        <f t="shared" ref="O61:O62" si="213">(C61*D61*N61/1000)</f>
        <v>0</v>
      </c>
      <c r="P61" s="16"/>
      <c r="Q61" s="18"/>
      <c r="R61" s="19">
        <f t="shared" ref="R61:R62" si="214">(C61*D61*Q61/1000)</f>
        <v>0</v>
      </c>
      <c r="S61" s="20">
        <f t="shared" ref="S61:S62" si="215">+H61+K61+Q61+N61</f>
        <v>3</v>
      </c>
      <c r="T61" s="19">
        <f t="shared" ref="T61:T62" si="216">+I61+L61+R61+O61</f>
        <v>0.43575000000000003</v>
      </c>
      <c r="U61" s="21">
        <f t="shared" ref="U61:U62" si="217">E61-S61</f>
        <v>-3</v>
      </c>
      <c r="V61" s="19">
        <f t="shared" ref="V61:V62" si="218">F61-T61</f>
        <v>-0.43575000000000003</v>
      </c>
    </row>
    <row r="62" spans="1:22">
      <c r="A62" s="26" t="s">
        <v>13</v>
      </c>
      <c r="B62" s="26" t="s">
        <v>18</v>
      </c>
      <c r="C62" s="26">
        <v>16.600000000000001</v>
      </c>
      <c r="D62" s="74"/>
      <c r="E62" s="28"/>
      <c r="F62" s="16">
        <f t="shared" si="210"/>
        <v>0</v>
      </c>
      <c r="G62" s="16"/>
      <c r="H62" s="18"/>
      <c r="I62" s="19">
        <f t="shared" si="211"/>
        <v>0</v>
      </c>
      <c r="J62" s="16"/>
      <c r="K62" s="18"/>
      <c r="L62" s="19">
        <f t="shared" si="212"/>
        <v>0</v>
      </c>
      <c r="M62" s="16"/>
      <c r="N62" s="18"/>
      <c r="O62" s="19">
        <f t="shared" si="213"/>
        <v>0</v>
      </c>
      <c r="P62" s="16"/>
      <c r="Q62" s="18"/>
      <c r="R62" s="19">
        <f t="shared" si="214"/>
        <v>0</v>
      </c>
      <c r="S62" s="20">
        <f t="shared" si="215"/>
        <v>0</v>
      </c>
      <c r="T62" s="19">
        <f t="shared" si="216"/>
        <v>0</v>
      </c>
      <c r="U62" s="21">
        <f t="shared" si="217"/>
        <v>0</v>
      </c>
      <c r="V62" s="19">
        <f t="shared" si="218"/>
        <v>0</v>
      </c>
    </row>
    <row r="63" spans="1:22">
      <c r="A63" s="26"/>
      <c r="B63" s="41" t="s">
        <v>378</v>
      </c>
      <c r="C63" s="26"/>
      <c r="D63" s="74"/>
      <c r="E63" s="31">
        <f t="shared" ref="E63:F63" si="219">SUM(E60:E62)</f>
        <v>9</v>
      </c>
      <c r="F63" s="77">
        <f t="shared" si="219"/>
        <v>1.07568</v>
      </c>
      <c r="G63" s="16"/>
      <c r="H63" s="31">
        <f t="shared" ref="H63" si="220">SUM(H60:H62)</f>
        <v>9</v>
      </c>
      <c r="I63" s="77">
        <f t="shared" ref="I63" si="221">SUM(I60:I62)</f>
        <v>1.1528700000000001</v>
      </c>
      <c r="J63" s="26"/>
      <c r="K63" s="31">
        <f t="shared" ref="K63" si="222">SUM(K60:K62)</f>
        <v>0</v>
      </c>
      <c r="L63" s="77">
        <f t="shared" ref="L63" si="223">SUM(L60:L62)</f>
        <v>0</v>
      </c>
      <c r="M63" s="26"/>
      <c r="N63" s="31">
        <f t="shared" ref="N63" si="224">SUM(N60:N62)</f>
        <v>0</v>
      </c>
      <c r="O63" s="77">
        <f t="shared" ref="O63" si="225">SUM(O60:O62)</f>
        <v>0</v>
      </c>
      <c r="P63" s="26"/>
      <c r="Q63" s="31">
        <f t="shared" ref="Q63" si="226">SUM(Q60:Q62)</f>
        <v>0</v>
      </c>
      <c r="R63" s="77">
        <f t="shared" ref="R63" si="227">SUM(R60:R62)</f>
        <v>0</v>
      </c>
      <c r="S63" s="31">
        <f t="shared" ref="S63" si="228">SUM(S60:S62)</f>
        <v>9</v>
      </c>
      <c r="T63" s="77">
        <f t="shared" ref="T63" si="229">SUM(T60:T62)</f>
        <v>1.1528700000000001</v>
      </c>
      <c r="U63" s="31">
        <f t="shared" ref="U63" si="230">SUM(U60:U62)</f>
        <v>0</v>
      </c>
      <c r="V63" s="77">
        <f t="shared" ref="V63" si="231">SUM(V60:V62)</f>
        <v>-7.7190000000000147E-2</v>
      </c>
    </row>
    <row r="64" spans="1:22">
      <c r="A64" s="26" t="s">
        <v>13</v>
      </c>
      <c r="B64" s="26" t="s">
        <v>127</v>
      </c>
      <c r="C64" s="26">
        <v>35.9</v>
      </c>
      <c r="D64" s="74">
        <v>8.1999999999999993</v>
      </c>
      <c r="E64" s="28">
        <v>2</v>
      </c>
      <c r="F64" s="16">
        <f>(C64*D64*E64/1000)</f>
        <v>0.58875999999999984</v>
      </c>
      <c r="G64" s="16" t="s">
        <v>93</v>
      </c>
      <c r="H64" s="18"/>
      <c r="I64" s="19">
        <f>(C64*D64*H64/1000)</f>
        <v>0</v>
      </c>
      <c r="J64" s="16"/>
      <c r="K64" s="18"/>
      <c r="L64" s="19">
        <f>(C64*D64*K64/1000)</f>
        <v>0</v>
      </c>
      <c r="M64" s="16"/>
      <c r="N64" s="18"/>
      <c r="O64" s="19">
        <f>(C64*D64*N64/1000)</f>
        <v>0</v>
      </c>
      <c r="P64" s="16"/>
      <c r="Q64" s="18"/>
      <c r="R64" s="19">
        <f>(C64*D64*Q64/1000)</f>
        <v>0</v>
      </c>
      <c r="S64" s="20">
        <f>+H64+K64+Q64+N64</f>
        <v>0</v>
      </c>
      <c r="T64" s="19">
        <f>+I64+L64+R64+O64</f>
        <v>0</v>
      </c>
      <c r="U64" s="21">
        <f>E64-S64</f>
        <v>2</v>
      </c>
      <c r="V64" s="19">
        <f>F64-T64</f>
        <v>0.58875999999999984</v>
      </c>
    </row>
    <row r="65" spans="1:22">
      <c r="A65" s="26" t="s">
        <v>13</v>
      </c>
      <c r="B65" s="26" t="s">
        <v>127</v>
      </c>
      <c r="C65" s="26">
        <v>35.9</v>
      </c>
      <c r="D65" s="74">
        <v>6.6</v>
      </c>
      <c r="E65" s="28"/>
      <c r="F65" s="16">
        <f t="shared" ref="F65:F67" si="232">(C65*D65*E65/1000)</f>
        <v>0</v>
      </c>
      <c r="G65" s="16" t="s">
        <v>454</v>
      </c>
      <c r="H65" s="18">
        <v>1</v>
      </c>
      <c r="I65" s="19">
        <f t="shared" ref="I65:I67" si="233">(C65*D65*H65/1000)</f>
        <v>0.23693999999999996</v>
      </c>
      <c r="J65" s="16"/>
      <c r="K65" s="18"/>
      <c r="L65" s="19">
        <f t="shared" ref="L65:L67" si="234">(C65*D65*K65/1000)</f>
        <v>0</v>
      </c>
      <c r="M65" s="16"/>
      <c r="N65" s="18"/>
      <c r="O65" s="19">
        <f t="shared" ref="O65:O67" si="235">(C65*D65*N65/1000)</f>
        <v>0</v>
      </c>
      <c r="P65" s="16"/>
      <c r="Q65" s="18"/>
      <c r="R65" s="19">
        <f t="shared" ref="R65:R67" si="236">(C65*D65*Q65/1000)</f>
        <v>0</v>
      </c>
      <c r="S65" s="20">
        <f t="shared" ref="S65:S67" si="237">+H65+K65+Q65+N65</f>
        <v>1</v>
      </c>
      <c r="T65" s="19">
        <f t="shared" ref="T65:T67" si="238">+I65+L65+R65+O65</f>
        <v>0.23693999999999996</v>
      </c>
      <c r="U65" s="21">
        <f t="shared" ref="U65:U67" si="239">E65-S65</f>
        <v>-1</v>
      </c>
      <c r="V65" s="19">
        <f t="shared" ref="V65:V67" si="240">F65-T65</f>
        <v>-0.23693999999999996</v>
      </c>
    </row>
    <row r="66" spans="1:22">
      <c r="A66" s="26" t="s">
        <v>13</v>
      </c>
      <c r="B66" s="26" t="s">
        <v>127</v>
      </c>
      <c r="C66" s="26">
        <v>35.9</v>
      </c>
      <c r="D66" s="74">
        <v>7.6</v>
      </c>
      <c r="E66" s="28"/>
      <c r="F66" s="16">
        <f t="shared" ref="F66" si="241">(C66*D66*E66/1000)</f>
        <v>0</v>
      </c>
      <c r="G66" s="16"/>
      <c r="H66" s="18">
        <v>1</v>
      </c>
      <c r="I66" s="19">
        <f t="shared" ref="I66" si="242">(C66*D66*H66/1000)</f>
        <v>0.27283999999999997</v>
      </c>
      <c r="J66" s="16"/>
      <c r="K66" s="18"/>
      <c r="L66" s="19">
        <f t="shared" ref="L66" si="243">(C66*D66*K66/1000)</f>
        <v>0</v>
      </c>
      <c r="M66" s="16"/>
      <c r="N66" s="18"/>
      <c r="O66" s="19">
        <f t="shared" ref="O66" si="244">(C66*D66*N66/1000)</f>
        <v>0</v>
      </c>
      <c r="P66" s="16"/>
      <c r="Q66" s="18"/>
      <c r="R66" s="19">
        <f t="shared" ref="R66" si="245">(C66*D66*Q66/1000)</f>
        <v>0</v>
      </c>
      <c r="S66" s="20">
        <f t="shared" ref="S66" si="246">+H66+K66+Q66+N66</f>
        <v>1</v>
      </c>
      <c r="T66" s="19">
        <f t="shared" ref="T66" si="247">+I66+L66+R66+O66</f>
        <v>0.27283999999999997</v>
      </c>
      <c r="U66" s="21">
        <f t="shared" ref="U66" si="248">E66-S66</f>
        <v>-1</v>
      </c>
      <c r="V66" s="19">
        <f t="shared" ref="V66" si="249">F66-T66</f>
        <v>-0.27283999999999997</v>
      </c>
    </row>
    <row r="67" spans="1:22">
      <c r="A67" s="26" t="s">
        <v>13</v>
      </c>
      <c r="B67" s="26" t="s">
        <v>127</v>
      </c>
      <c r="C67" s="26">
        <v>35.9</v>
      </c>
      <c r="D67" s="74">
        <v>9.8000000000000007</v>
      </c>
      <c r="E67" s="28"/>
      <c r="F67" s="16">
        <f t="shared" si="232"/>
        <v>0</v>
      </c>
      <c r="G67" s="16"/>
      <c r="H67" s="18">
        <v>1</v>
      </c>
      <c r="I67" s="19">
        <f t="shared" si="233"/>
        <v>0.35181999999999997</v>
      </c>
      <c r="J67" s="16"/>
      <c r="K67" s="18"/>
      <c r="L67" s="19">
        <f t="shared" si="234"/>
        <v>0</v>
      </c>
      <c r="M67" s="16"/>
      <c r="N67" s="18"/>
      <c r="O67" s="19">
        <f t="shared" si="235"/>
        <v>0</v>
      </c>
      <c r="P67" s="16"/>
      <c r="Q67" s="18"/>
      <c r="R67" s="19">
        <f t="shared" si="236"/>
        <v>0</v>
      </c>
      <c r="S67" s="20">
        <f t="shared" si="237"/>
        <v>1</v>
      </c>
      <c r="T67" s="19">
        <f t="shared" si="238"/>
        <v>0.35181999999999997</v>
      </c>
      <c r="U67" s="21">
        <f t="shared" si="239"/>
        <v>-1</v>
      </c>
      <c r="V67" s="19">
        <f t="shared" si="240"/>
        <v>-0.35181999999999997</v>
      </c>
    </row>
    <row r="68" spans="1:22">
      <c r="A68" s="26"/>
      <c r="B68" s="41" t="s">
        <v>378</v>
      </c>
      <c r="C68" s="26"/>
      <c r="D68" s="74"/>
      <c r="E68" s="31">
        <f t="shared" ref="E68:F68" si="250">SUM(E64:E67)</f>
        <v>2</v>
      </c>
      <c r="F68" s="77">
        <f t="shared" si="250"/>
        <v>0.58875999999999984</v>
      </c>
      <c r="G68" s="16"/>
      <c r="H68" s="31">
        <f t="shared" ref="H68" si="251">SUM(H64:H67)</f>
        <v>3</v>
      </c>
      <c r="I68" s="77">
        <f t="shared" ref="I68" si="252">SUM(I64:I67)</f>
        <v>0.86159999999999992</v>
      </c>
      <c r="J68" s="26"/>
      <c r="K68" s="31">
        <f t="shared" ref="K68" si="253">SUM(K64:K67)</f>
        <v>0</v>
      </c>
      <c r="L68" s="77">
        <f t="shared" ref="L68" si="254">SUM(L64:L67)</f>
        <v>0</v>
      </c>
      <c r="M68" s="26"/>
      <c r="N68" s="31">
        <f t="shared" ref="N68" si="255">SUM(N64:N67)</f>
        <v>0</v>
      </c>
      <c r="O68" s="77">
        <f t="shared" ref="O68" si="256">SUM(O64:O67)</f>
        <v>0</v>
      </c>
      <c r="P68" s="26"/>
      <c r="Q68" s="31">
        <f t="shared" ref="Q68" si="257">SUM(Q64:Q67)</f>
        <v>0</v>
      </c>
      <c r="R68" s="77">
        <f t="shared" ref="R68" si="258">SUM(R64:R67)</f>
        <v>0</v>
      </c>
      <c r="S68" s="31">
        <f t="shared" ref="S68" si="259">SUM(S64:S67)</f>
        <v>3</v>
      </c>
      <c r="T68" s="77">
        <f t="shared" ref="T68" si="260">SUM(T64:T67)</f>
        <v>0.86159999999999992</v>
      </c>
      <c r="U68" s="31">
        <f t="shared" ref="U68" si="261">SUM(U64:U67)</f>
        <v>-1</v>
      </c>
      <c r="V68" s="77">
        <f t="shared" ref="V68" si="262">SUM(V64:V67)</f>
        <v>-0.27284000000000003</v>
      </c>
    </row>
    <row r="69" spans="1:22">
      <c r="A69" s="26" t="s">
        <v>13</v>
      </c>
      <c r="B69" s="26" t="s">
        <v>161</v>
      </c>
      <c r="C69" s="26">
        <v>44.2</v>
      </c>
      <c r="D69" s="74">
        <v>5.3</v>
      </c>
      <c r="E69" s="28">
        <v>9</v>
      </c>
      <c r="F69" s="16">
        <f>(C69*D69*E69/1000)</f>
        <v>2.1083400000000001</v>
      </c>
      <c r="G69" s="16" t="s">
        <v>114</v>
      </c>
      <c r="H69" s="18">
        <v>8</v>
      </c>
      <c r="I69" s="19">
        <f>(C69*D69*H69/1000)</f>
        <v>1.8740800000000002</v>
      </c>
      <c r="J69" s="16" t="s">
        <v>93</v>
      </c>
      <c r="K69" s="18"/>
      <c r="L69" s="19">
        <f>(C69*D69*K69/1000)</f>
        <v>0</v>
      </c>
      <c r="M69" s="16"/>
      <c r="N69" s="18"/>
      <c r="O69" s="19">
        <f>(C69*D69*N69/1000)</f>
        <v>0</v>
      </c>
      <c r="P69" s="16"/>
      <c r="Q69" s="18"/>
      <c r="R69" s="19">
        <f>(C69*D69*Q69/1000)</f>
        <v>0</v>
      </c>
      <c r="S69" s="20">
        <f>+H69+K69+Q69+N69</f>
        <v>8</v>
      </c>
      <c r="T69" s="19">
        <f>+I69+L69+R69+O69</f>
        <v>1.8740800000000002</v>
      </c>
      <c r="U69" s="21">
        <f>E69-S69</f>
        <v>1</v>
      </c>
      <c r="V69" s="19">
        <f>F69-T69</f>
        <v>0.23425999999999991</v>
      </c>
    </row>
    <row r="70" spans="1:22">
      <c r="A70" s="26" t="s">
        <v>13</v>
      </c>
      <c r="B70" s="26" t="s">
        <v>161</v>
      </c>
      <c r="C70" s="26">
        <v>44.2</v>
      </c>
      <c r="D70" s="74">
        <v>6</v>
      </c>
      <c r="E70" s="28"/>
      <c r="F70" s="16">
        <f>(C70*D70*E70/1000)</f>
        <v>0</v>
      </c>
      <c r="G70" s="16" t="s">
        <v>465</v>
      </c>
      <c r="H70" s="18"/>
      <c r="I70" s="19">
        <f>(C70*D70*H70/1000)</f>
        <v>0</v>
      </c>
      <c r="J70" s="16" t="s">
        <v>469</v>
      </c>
      <c r="K70" s="18">
        <v>1</v>
      </c>
      <c r="L70" s="19">
        <f>(C70*D70*K70/1000)</f>
        <v>0.26520000000000005</v>
      </c>
      <c r="M70" s="16"/>
      <c r="N70" s="18"/>
      <c r="O70" s="19">
        <f>(C70*D70*N70/1000)</f>
        <v>0</v>
      </c>
      <c r="P70" s="16"/>
      <c r="Q70" s="18"/>
      <c r="R70" s="19">
        <f>(C70*D70*Q70/1000)</f>
        <v>0</v>
      </c>
      <c r="S70" s="20">
        <f>+H70+K70+Q70+N70</f>
        <v>1</v>
      </c>
      <c r="T70" s="19">
        <f>+I70+L70+R70+O70</f>
        <v>0.26520000000000005</v>
      </c>
      <c r="U70" s="21">
        <f>E70-S70</f>
        <v>-1</v>
      </c>
      <c r="V70" s="19">
        <f>F70-T70</f>
        <v>-0.26520000000000005</v>
      </c>
    </row>
    <row r="71" spans="1:22">
      <c r="A71" s="26"/>
      <c r="B71" s="41" t="s">
        <v>378</v>
      </c>
      <c r="C71" s="26"/>
      <c r="D71" s="74"/>
      <c r="E71" s="31">
        <f t="shared" ref="E71:F71" si="263">SUM(E69:E70)</f>
        <v>9</v>
      </c>
      <c r="F71" s="77">
        <f t="shared" si="263"/>
        <v>2.1083400000000001</v>
      </c>
      <c r="G71" s="16"/>
      <c r="H71" s="31">
        <f t="shared" ref="H71" si="264">SUM(H69:H70)</f>
        <v>8</v>
      </c>
      <c r="I71" s="77">
        <f t="shared" ref="I71" si="265">SUM(I69:I70)</f>
        <v>1.8740800000000002</v>
      </c>
      <c r="J71" s="26"/>
      <c r="K71" s="31">
        <f t="shared" ref="K71" si="266">SUM(K69:K70)</f>
        <v>1</v>
      </c>
      <c r="L71" s="77">
        <f t="shared" ref="L71" si="267">SUM(L69:L70)</f>
        <v>0.26520000000000005</v>
      </c>
      <c r="M71" s="26"/>
      <c r="N71" s="31">
        <f t="shared" ref="N71" si="268">SUM(N69:N70)</f>
        <v>0</v>
      </c>
      <c r="O71" s="77">
        <f t="shared" ref="O71" si="269">SUM(O69:O70)</f>
        <v>0</v>
      </c>
      <c r="P71" s="26"/>
      <c r="Q71" s="31">
        <f t="shared" ref="Q71" si="270">SUM(Q69:Q70)</f>
        <v>0</v>
      </c>
      <c r="R71" s="77">
        <f t="shared" ref="R71" si="271">SUM(R69:R70)</f>
        <v>0</v>
      </c>
      <c r="S71" s="31">
        <f t="shared" ref="S71" si="272">SUM(S69:S70)</f>
        <v>9</v>
      </c>
      <c r="T71" s="77">
        <f t="shared" ref="T71" si="273">SUM(T69:T70)</f>
        <v>2.1392800000000003</v>
      </c>
      <c r="U71" s="31">
        <f t="shared" ref="U71" si="274">SUM(U69:U70)</f>
        <v>0</v>
      </c>
      <c r="V71" s="77">
        <f t="shared" ref="V71" si="275">SUM(V69:V70)</f>
        <v>-3.0940000000000134E-2</v>
      </c>
    </row>
    <row r="72" spans="1:22">
      <c r="A72" s="26" t="s">
        <v>13</v>
      </c>
      <c r="B72" s="26" t="s">
        <v>35</v>
      </c>
      <c r="C72" s="26">
        <v>6.85</v>
      </c>
      <c r="D72" s="74">
        <v>10</v>
      </c>
      <c r="E72" s="28">
        <v>37</v>
      </c>
      <c r="F72" s="16">
        <f>(C72*D72*E72/1000)</f>
        <v>2.5345</v>
      </c>
      <c r="G72" s="17" t="s">
        <v>86</v>
      </c>
      <c r="H72" s="18">
        <v>37</v>
      </c>
      <c r="I72" s="19">
        <f>(C72*D72*H72/1000)</f>
        <v>2.5345</v>
      </c>
      <c r="J72" s="17" t="s">
        <v>114</v>
      </c>
      <c r="K72" s="18"/>
      <c r="L72" s="19">
        <f>(C72*D72*K72/1000)</f>
        <v>0</v>
      </c>
      <c r="M72" s="16"/>
      <c r="N72" s="18"/>
      <c r="O72" s="19">
        <f>(C72*D72*N72/1000)</f>
        <v>0</v>
      </c>
      <c r="P72" s="16"/>
      <c r="Q72" s="18"/>
      <c r="R72" s="19">
        <f>(C72*D72*Q72/1000)</f>
        <v>0</v>
      </c>
      <c r="S72" s="20">
        <f>+H72+K72+Q72+N72</f>
        <v>37</v>
      </c>
      <c r="T72" s="19">
        <f>+I72+L72+R72+O72</f>
        <v>2.5345</v>
      </c>
      <c r="U72" s="21">
        <f>E72-S72</f>
        <v>0</v>
      </c>
      <c r="V72" s="19">
        <f>F72-T72</f>
        <v>0</v>
      </c>
    </row>
    <row r="73" spans="1:22">
      <c r="A73" s="26" t="s">
        <v>13</v>
      </c>
      <c r="B73" s="26" t="s">
        <v>35</v>
      </c>
      <c r="C73" s="26">
        <v>6.85</v>
      </c>
      <c r="D73" s="74">
        <v>1.5</v>
      </c>
      <c r="E73" s="28"/>
      <c r="F73" s="16">
        <f>(C73*D73*E73/1000)</f>
        <v>0</v>
      </c>
      <c r="G73" s="17" t="s">
        <v>472</v>
      </c>
      <c r="H73" s="18"/>
      <c r="I73" s="19"/>
      <c r="J73" s="17" t="s">
        <v>603</v>
      </c>
      <c r="K73" s="18">
        <v>1</v>
      </c>
      <c r="L73" s="19">
        <f>(C73*D73*K73/1000)</f>
        <v>1.0274999999999999E-2</v>
      </c>
      <c r="M73" s="16"/>
      <c r="N73" s="18"/>
      <c r="O73" s="19">
        <f>(C73*D73*N73/1000)</f>
        <v>0</v>
      </c>
      <c r="P73" s="16"/>
      <c r="Q73" s="18"/>
      <c r="R73" s="19">
        <f>(C73*D73*Q73/1000)</f>
        <v>0</v>
      </c>
      <c r="S73" s="20">
        <f>+H73+K73+Q73+N73</f>
        <v>1</v>
      </c>
      <c r="T73" s="19">
        <f>+I73+L73+R73+O73</f>
        <v>1.0274999999999999E-2</v>
      </c>
      <c r="U73" s="21">
        <f>E73-S73</f>
        <v>-1</v>
      </c>
      <c r="V73" s="19">
        <f>F73-T73</f>
        <v>-1.0274999999999999E-2</v>
      </c>
    </row>
    <row r="74" spans="1:22">
      <c r="A74" s="26"/>
      <c r="B74" s="41" t="s">
        <v>379</v>
      </c>
      <c r="C74" s="26"/>
      <c r="D74" s="74"/>
      <c r="E74" s="31">
        <f>SUM(E72:E73)</f>
        <v>37</v>
      </c>
      <c r="F74" s="77">
        <f>SUM(F72:F73)</f>
        <v>2.5345</v>
      </c>
      <c r="G74" s="17"/>
      <c r="H74" s="31">
        <f>SUM(H72:H73)</f>
        <v>37</v>
      </c>
      <c r="I74" s="77">
        <f>SUM(I72:I73)</f>
        <v>2.5345</v>
      </c>
      <c r="J74" s="17"/>
      <c r="K74" s="31">
        <f>SUM(K72:K73)</f>
        <v>1</v>
      </c>
      <c r="L74" s="77">
        <f>SUM(L72:L73)</f>
        <v>1.0274999999999999E-2</v>
      </c>
      <c r="M74" s="26"/>
      <c r="N74" s="31">
        <f t="shared" ref="N74" si="276">SUM(N72)</f>
        <v>0</v>
      </c>
      <c r="O74" s="77">
        <f t="shared" ref="O74" si="277">SUM(O72)</f>
        <v>0</v>
      </c>
      <c r="P74" s="26"/>
      <c r="Q74" s="31">
        <f t="shared" ref="Q74" si="278">SUM(Q72)</f>
        <v>0</v>
      </c>
      <c r="R74" s="77">
        <f t="shared" ref="R74" si="279">SUM(R72)</f>
        <v>0</v>
      </c>
      <c r="S74" s="31">
        <f t="shared" ref="S74" si="280">SUM(S72)</f>
        <v>37</v>
      </c>
      <c r="T74" s="77">
        <f t="shared" ref="T74" si="281">SUM(T72)</f>
        <v>2.5345</v>
      </c>
      <c r="U74" s="31">
        <f t="shared" ref="U74" si="282">SUM(U72)</f>
        <v>0</v>
      </c>
      <c r="V74" s="77">
        <f t="shared" ref="V74" si="283">SUM(V72)</f>
        <v>0</v>
      </c>
    </row>
    <row r="75" spans="1:22">
      <c r="A75" s="26" t="s">
        <v>13</v>
      </c>
      <c r="B75" s="26" t="s">
        <v>45</v>
      </c>
      <c r="C75" s="26">
        <v>9.26</v>
      </c>
      <c r="D75" s="74">
        <v>9.6</v>
      </c>
      <c r="E75" s="28">
        <v>9</v>
      </c>
      <c r="F75" s="16">
        <f>(C75*D75*E75/1000)</f>
        <v>0.800064</v>
      </c>
      <c r="G75" s="17" t="s">
        <v>86</v>
      </c>
      <c r="H75" s="18">
        <v>8</v>
      </c>
      <c r="I75" s="19">
        <f>(C75*D75*H75/1000)</f>
        <v>0.71116800000000002</v>
      </c>
      <c r="J75" s="16"/>
      <c r="K75" s="18"/>
      <c r="L75" s="19">
        <f>(C75*D75*K75/1000)</f>
        <v>0</v>
      </c>
      <c r="M75" s="16"/>
      <c r="N75" s="18"/>
      <c r="O75" s="19">
        <f>(C75*D75*N75/1000)</f>
        <v>0</v>
      </c>
      <c r="P75" s="16"/>
      <c r="Q75" s="18"/>
      <c r="R75" s="19">
        <f>(C75*D75*Q75/1000)</f>
        <v>0</v>
      </c>
      <c r="S75" s="20">
        <f t="shared" ref="S75:T77" si="284">+H75+K75+Q75+N75</f>
        <v>8</v>
      </c>
      <c r="T75" s="19">
        <f t="shared" si="284"/>
        <v>0.71116800000000002</v>
      </c>
      <c r="U75" s="21">
        <f t="shared" ref="U75:V77" si="285">E75-S75</f>
        <v>1</v>
      </c>
      <c r="V75" s="19">
        <f t="shared" si="285"/>
        <v>8.8895999999999975E-2</v>
      </c>
    </row>
    <row r="76" spans="1:22">
      <c r="A76" s="26" t="s">
        <v>13</v>
      </c>
      <c r="B76" s="26" t="s">
        <v>45</v>
      </c>
      <c r="C76" s="26">
        <v>9.26</v>
      </c>
      <c r="D76" s="74">
        <v>11.4</v>
      </c>
      <c r="E76" s="28">
        <v>10</v>
      </c>
      <c r="F76" s="16">
        <f>(C76*D76*E76/1000)</f>
        <v>1.0556400000000001</v>
      </c>
      <c r="G76" s="17" t="s">
        <v>472</v>
      </c>
      <c r="H76" s="18">
        <v>10</v>
      </c>
      <c r="I76" s="19">
        <f>(C76*D76*H76/1000)</f>
        <v>1.0556400000000001</v>
      </c>
      <c r="J76" s="16"/>
      <c r="K76" s="18"/>
      <c r="L76" s="19">
        <f>(C76*D76*K76/1000)</f>
        <v>0</v>
      </c>
      <c r="M76" s="16"/>
      <c r="N76" s="18"/>
      <c r="O76" s="19">
        <f>(C76*D76*N76/1000)</f>
        <v>0</v>
      </c>
      <c r="P76" s="16"/>
      <c r="Q76" s="18"/>
      <c r="R76" s="19">
        <f>(C76*D76*Q76/1000)</f>
        <v>0</v>
      </c>
      <c r="S76" s="20">
        <f t="shared" si="284"/>
        <v>10</v>
      </c>
      <c r="T76" s="19">
        <f t="shared" si="284"/>
        <v>1.0556400000000001</v>
      </c>
      <c r="U76" s="21">
        <f t="shared" si="285"/>
        <v>0</v>
      </c>
      <c r="V76" s="19">
        <f t="shared" si="285"/>
        <v>0</v>
      </c>
    </row>
    <row r="77" spans="1:22">
      <c r="A77" s="26" t="s">
        <v>13</v>
      </c>
      <c r="B77" s="26" t="s">
        <v>45</v>
      </c>
      <c r="C77" s="26">
        <v>9.26</v>
      </c>
      <c r="D77" s="74">
        <v>10.1</v>
      </c>
      <c r="E77" s="28"/>
      <c r="F77" s="16">
        <f>(C77*D77*E77/1000)</f>
        <v>0</v>
      </c>
      <c r="G77" s="17"/>
      <c r="H77" s="18">
        <v>1</v>
      </c>
      <c r="I77" s="19">
        <f>(C77*D77*H77/1000)</f>
        <v>9.3525999999999998E-2</v>
      </c>
      <c r="J77" s="16"/>
      <c r="K77" s="18"/>
      <c r="L77" s="19">
        <f>(C77*D77*K77/1000)</f>
        <v>0</v>
      </c>
      <c r="M77" s="16"/>
      <c r="N77" s="18"/>
      <c r="O77" s="19">
        <f>(C77*D77*N77/1000)</f>
        <v>0</v>
      </c>
      <c r="P77" s="16"/>
      <c r="Q77" s="18"/>
      <c r="R77" s="19">
        <f>(C77*D77*Q77/1000)</f>
        <v>0</v>
      </c>
      <c r="S77" s="20">
        <f t="shared" si="284"/>
        <v>1</v>
      </c>
      <c r="T77" s="19">
        <f t="shared" si="284"/>
        <v>9.3525999999999998E-2</v>
      </c>
      <c r="U77" s="21">
        <f t="shared" si="285"/>
        <v>-1</v>
      </c>
      <c r="V77" s="19">
        <f t="shared" si="285"/>
        <v>-9.3525999999999998E-2</v>
      </c>
    </row>
    <row r="78" spans="1:22">
      <c r="A78" s="26"/>
      <c r="B78" s="41" t="s">
        <v>379</v>
      </c>
      <c r="C78" s="26"/>
      <c r="D78" s="74"/>
      <c r="E78" s="31">
        <f t="shared" ref="E78:F78" si="286">SUM(E75:E77)</f>
        <v>19</v>
      </c>
      <c r="F78" s="77">
        <f t="shared" si="286"/>
        <v>1.8557040000000002</v>
      </c>
      <c r="G78" s="26"/>
      <c r="H78" s="31">
        <f t="shared" ref="H78" si="287">SUM(H75:H77)</f>
        <v>19</v>
      </c>
      <c r="I78" s="77">
        <f t="shared" ref="I78" si="288">SUM(I75:I77)</f>
        <v>1.8603340000000002</v>
      </c>
      <c r="J78" s="26"/>
      <c r="K78" s="31">
        <f t="shared" ref="K78" si="289">SUM(K75:K77)</f>
        <v>0</v>
      </c>
      <c r="L78" s="77">
        <f t="shared" ref="L78" si="290">SUM(L75:L77)</f>
        <v>0</v>
      </c>
      <c r="M78" s="26"/>
      <c r="N78" s="31">
        <f t="shared" ref="N78" si="291">SUM(N75:N77)</f>
        <v>0</v>
      </c>
      <c r="O78" s="77">
        <f t="shared" ref="O78" si="292">SUM(O75:O77)</f>
        <v>0</v>
      </c>
      <c r="P78" s="26"/>
      <c r="Q78" s="31">
        <f t="shared" ref="Q78" si="293">SUM(Q75:Q77)</f>
        <v>0</v>
      </c>
      <c r="R78" s="77">
        <f t="shared" ref="R78" si="294">SUM(R75:R77)</f>
        <v>0</v>
      </c>
      <c r="S78" s="31">
        <f t="shared" ref="S78" si="295">SUM(S75:S77)</f>
        <v>19</v>
      </c>
      <c r="T78" s="77">
        <f t="shared" ref="T78" si="296">SUM(T75:T77)</f>
        <v>1.8603340000000002</v>
      </c>
      <c r="U78" s="31">
        <f t="shared" ref="U78" si="297">SUM(U75:U77)</f>
        <v>0</v>
      </c>
      <c r="V78" s="77">
        <f t="shared" ref="V78" si="298">SUM(V75:V77)</f>
        <v>-4.630000000000023E-3</v>
      </c>
    </row>
    <row r="79" spans="1:22">
      <c r="A79" s="26" t="s">
        <v>13</v>
      </c>
      <c r="B79" s="26" t="s">
        <v>46</v>
      </c>
      <c r="C79" s="26">
        <v>10.7</v>
      </c>
      <c r="D79" s="74">
        <v>12</v>
      </c>
      <c r="E79" s="28">
        <v>8</v>
      </c>
      <c r="F79" s="16">
        <f>(C79*D79*E79/1000)</f>
        <v>1.0271999999999999</v>
      </c>
      <c r="G79" s="17" t="s">
        <v>86</v>
      </c>
      <c r="H79" s="18">
        <v>8</v>
      </c>
      <c r="I79" s="19">
        <f>(C79*D79*H79/1000)</f>
        <v>1.0271999999999999</v>
      </c>
      <c r="J79" s="16"/>
      <c r="K79" s="18"/>
      <c r="L79" s="19">
        <f>(C79*D79*K79/1000)</f>
        <v>0</v>
      </c>
      <c r="M79" s="16"/>
      <c r="N79" s="18"/>
      <c r="O79" s="19">
        <f>(C79*D79*N79/1000)</f>
        <v>0</v>
      </c>
      <c r="P79" s="16"/>
      <c r="Q79" s="18"/>
      <c r="R79" s="19">
        <f>(C79*D79*Q79/1000)</f>
        <v>0</v>
      </c>
      <c r="S79" s="20">
        <f>+H79+K79+Q79+N79</f>
        <v>8</v>
      </c>
      <c r="T79" s="19">
        <f>+I79+L79+R79+O79</f>
        <v>1.0271999999999999</v>
      </c>
      <c r="U79" s="21">
        <f>E79-S79</f>
        <v>0</v>
      </c>
      <c r="V79" s="19">
        <f>F79-T79</f>
        <v>0</v>
      </c>
    </row>
    <row r="80" spans="1:22">
      <c r="A80" s="26"/>
      <c r="B80" s="41" t="s">
        <v>379</v>
      </c>
      <c r="C80" s="26"/>
      <c r="D80" s="74"/>
      <c r="E80" s="31">
        <f t="shared" ref="E80:F80" si="299">SUM(E79)</f>
        <v>8</v>
      </c>
      <c r="F80" s="77">
        <f t="shared" si="299"/>
        <v>1.0271999999999999</v>
      </c>
      <c r="G80" s="17" t="s">
        <v>472</v>
      </c>
      <c r="H80" s="31">
        <f t="shared" ref="H80" si="300">SUM(H79)</f>
        <v>8</v>
      </c>
      <c r="I80" s="77">
        <f t="shared" ref="I80" si="301">SUM(I79)</f>
        <v>1.0271999999999999</v>
      </c>
      <c r="J80" s="26"/>
      <c r="K80" s="31">
        <f t="shared" ref="K80" si="302">SUM(K79)</f>
        <v>0</v>
      </c>
      <c r="L80" s="77">
        <f t="shared" ref="L80" si="303">SUM(L79)</f>
        <v>0</v>
      </c>
      <c r="M80" s="26"/>
      <c r="N80" s="31">
        <f t="shared" ref="N80" si="304">SUM(N79)</f>
        <v>0</v>
      </c>
      <c r="O80" s="77">
        <f t="shared" ref="O80" si="305">SUM(O79)</f>
        <v>0</v>
      </c>
      <c r="P80" s="26"/>
      <c r="Q80" s="31">
        <f t="shared" ref="Q80" si="306">SUM(Q79)</f>
        <v>0</v>
      </c>
      <c r="R80" s="77">
        <f t="shared" ref="R80" si="307">SUM(R79)</f>
        <v>0</v>
      </c>
      <c r="S80" s="31">
        <f t="shared" ref="S80" si="308">SUM(S79)</f>
        <v>8</v>
      </c>
      <c r="T80" s="77">
        <f t="shared" ref="T80" si="309">SUM(T79)</f>
        <v>1.0271999999999999</v>
      </c>
      <c r="U80" s="31">
        <f t="shared" ref="U80" si="310">SUM(U79)</f>
        <v>0</v>
      </c>
      <c r="V80" s="77">
        <f t="shared" ref="V80" si="311">SUM(V79)</f>
        <v>0</v>
      </c>
    </row>
    <row r="81" spans="1:22">
      <c r="A81" s="26" t="s">
        <v>13</v>
      </c>
      <c r="B81" s="26" t="s">
        <v>25</v>
      </c>
      <c r="C81" s="26">
        <v>13.4</v>
      </c>
      <c r="D81" s="74">
        <v>11.2</v>
      </c>
      <c r="E81" s="28">
        <v>10</v>
      </c>
      <c r="F81" s="16">
        <f>(C81*D81*E81/1000)</f>
        <v>1.5007999999999997</v>
      </c>
      <c r="G81" s="17" t="s">
        <v>89</v>
      </c>
      <c r="H81" s="18">
        <v>10</v>
      </c>
      <c r="I81" s="19">
        <f>(C81*D81*H81/1000)</f>
        <v>1.5007999999999997</v>
      </c>
      <c r="J81" s="16"/>
      <c r="K81" s="18"/>
      <c r="L81" s="19">
        <f>(C81*D81*K81/1000)</f>
        <v>0</v>
      </c>
      <c r="M81" s="16"/>
      <c r="N81" s="18"/>
      <c r="O81" s="19">
        <f>(C81*D81*N81/1000)</f>
        <v>0</v>
      </c>
      <c r="P81" s="16"/>
      <c r="Q81" s="18"/>
      <c r="R81" s="19">
        <f>(C81*D81*Q81/1000)</f>
        <v>0</v>
      </c>
      <c r="S81" s="20">
        <f>+H81+K81+Q81+N81</f>
        <v>10</v>
      </c>
      <c r="T81" s="19">
        <f>+I81+L81+R81+O81</f>
        <v>1.5007999999999997</v>
      </c>
      <c r="U81" s="21">
        <f>E81-S81</f>
        <v>0</v>
      </c>
      <c r="V81" s="19">
        <f>F81-T81</f>
        <v>0</v>
      </c>
    </row>
    <row r="82" spans="1:22">
      <c r="A82" s="26"/>
      <c r="B82" s="41" t="s">
        <v>379</v>
      </c>
      <c r="C82" s="26"/>
      <c r="D82" s="74"/>
      <c r="E82" s="31">
        <f t="shared" ref="E82:F82" si="312">SUM(E81)</f>
        <v>10</v>
      </c>
      <c r="F82" s="77">
        <f t="shared" si="312"/>
        <v>1.5007999999999997</v>
      </c>
      <c r="G82" s="17" t="s">
        <v>470</v>
      </c>
      <c r="H82" s="31">
        <f t="shared" ref="H82" si="313">SUM(H81)</f>
        <v>10</v>
      </c>
      <c r="I82" s="77">
        <f t="shared" ref="I82" si="314">SUM(I81)</f>
        <v>1.5007999999999997</v>
      </c>
      <c r="J82" s="26"/>
      <c r="K82" s="31">
        <f t="shared" ref="K82" si="315">SUM(K81)</f>
        <v>0</v>
      </c>
      <c r="L82" s="77">
        <f t="shared" ref="L82" si="316">SUM(L81)</f>
        <v>0</v>
      </c>
      <c r="M82" s="26"/>
      <c r="N82" s="31">
        <f t="shared" ref="N82" si="317">SUM(N81)</f>
        <v>0</v>
      </c>
      <c r="O82" s="77">
        <f t="shared" ref="O82" si="318">SUM(O81)</f>
        <v>0</v>
      </c>
      <c r="P82" s="26"/>
      <c r="Q82" s="31">
        <f t="shared" ref="Q82" si="319">SUM(Q81)</f>
        <v>0</v>
      </c>
      <c r="R82" s="77">
        <f t="shared" ref="R82" si="320">SUM(R81)</f>
        <v>0</v>
      </c>
      <c r="S82" s="31">
        <f t="shared" ref="S82" si="321">SUM(S81)</f>
        <v>10</v>
      </c>
      <c r="T82" s="77">
        <f t="shared" ref="T82" si="322">SUM(T81)</f>
        <v>1.5007999999999997</v>
      </c>
      <c r="U82" s="31">
        <f t="shared" ref="U82" si="323">SUM(U81)</f>
        <v>0</v>
      </c>
      <c r="V82" s="77">
        <f t="shared" ref="V82" si="324">SUM(V81)</f>
        <v>0</v>
      </c>
    </row>
    <row r="83" spans="1:22">
      <c r="A83" s="26" t="s">
        <v>13</v>
      </c>
      <c r="B83" s="26" t="s">
        <v>51</v>
      </c>
      <c r="C83" s="26">
        <v>19.8</v>
      </c>
      <c r="D83" s="74">
        <v>10.504</v>
      </c>
      <c r="E83" s="28">
        <v>16</v>
      </c>
      <c r="F83" s="16">
        <f>(C83*D83*E83/1000)</f>
        <v>3.3276672</v>
      </c>
      <c r="G83" s="16" t="s">
        <v>93</v>
      </c>
      <c r="H83" s="18">
        <v>16</v>
      </c>
      <c r="I83" s="19">
        <f>(C83*D83*H83/1000)</f>
        <v>3.3276672</v>
      </c>
      <c r="J83" s="16"/>
      <c r="K83" s="18"/>
      <c r="L83" s="19">
        <f>(C83*D83*K83/1000)</f>
        <v>0</v>
      </c>
      <c r="M83" s="16"/>
      <c r="N83" s="18"/>
      <c r="O83" s="19">
        <f>(C83*D83*N83/1000)</f>
        <v>0</v>
      </c>
      <c r="P83" s="16"/>
      <c r="Q83" s="18"/>
      <c r="R83" s="19">
        <f>(C83*D83*Q83/1000)</f>
        <v>0</v>
      </c>
      <c r="S83" s="20">
        <f>+H83+K83+Q83+N83</f>
        <v>16</v>
      </c>
      <c r="T83" s="19">
        <f>+I83+L83+R83+O83</f>
        <v>3.3276672</v>
      </c>
      <c r="U83" s="21">
        <f>E83-S83</f>
        <v>0</v>
      </c>
      <c r="V83" s="19">
        <f>F83-T83</f>
        <v>0</v>
      </c>
    </row>
    <row r="84" spans="1:22">
      <c r="A84" s="26"/>
      <c r="B84" s="41" t="s">
        <v>379</v>
      </c>
      <c r="C84" s="26"/>
      <c r="D84" s="74"/>
      <c r="E84" s="31">
        <f t="shared" ref="E84:F84" si="325">SUM(E83)</f>
        <v>16</v>
      </c>
      <c r="F84" s="77">
        <f t="shared" si="325"/>
        <v>3.3276672</v>
      </c>
      <c r="G84" s="16" t="s">
        <v>451</v>
      </c>
      <c r="H84" s="31">
        <f t="shared" ref="H84" si="326">SUM(H83)</f>
        <v>16</v>
      </c>
      <c r="I84" s="77">
        <f t="shared" ref="I84" si="327">SUM(I83)</f>
        <v>3.3276672</v>
      </c>
      <c r="J84" s="26"/>
      <c r="K84" s="31">
        <f t="shared" ref="K84" si="328">SUM(K83)</f>
        <v>0</v>
      </c>
      <c r="L84" s="77">
        <f t="shared" ref="L84" si="329">SUM(L83)</f>
        <v>0</v>
      </c>
      <c r="M84" s="26"/>
      <c r="N84" s="31">
        <f t="shared" ref="N84" si="330">SUM(N83)</f>
        <v>0</v>
      </c>
      <c r="O84" s="77">
        <f t="shared" ref="O84" si="331">SUM(O83)</f>
        <v>0</v>
      </c>
      <c r="P84" s="26"/>
      <c r="Q84" s="31">
        <f t="shared" ref="Q84" si="332">SUM(Q83)</f>
        <v>0</v>
      </c>
      <c r="R84" s="77">
        <f t="shared" ref="R84" si="333">SUM(R83)</f>
        <v>0</v>
      </c>
      <c r="S84" s="31">
        <f t="shared" ref="S84" si="334">SUM(S83)</f>
        <v>16</v>
      </c>
      <c r="T84" s="77">
        <f t="shared" ref="T84" si="335">SUM(T83)</f>
        <v>3.3276672</v>
      </c>
      <c r="U84" s="31">
        <f t="shared" ref="U84" si="336">SUM(U83)</f>
        <v>0</v>
      </c>
      <c r="V84" s="77">
        <f t="shared" ref="V84" si="337">SUM(V83)</f>
        <v>0</v>
      </c>
    </row>
    <row r="85" spans="1:22">
      <c r="A85" s="26" t="s">
        <v>13</v>
      </c>
      <c r="B85" s="26" t="s">
        <v>26</v>
      </c>
      <c r="C85" s="26">
        <v>8.3000000000000007</v>
      </c>
      <c r="D85" s="74">
        <v>11.2</v>
      </c>
      <c r="E85" s="28">
        <v>17</v>
      </c>
      <c r="F85" s="16">
        <f t="shared" ref="F85:F88" si="338">(C85*D85*E85/1000)</f>
        <v>1.5803200000000002</v>
      </c>
      <c r="G85" s="17"/>
      <c r="H85" s="18">
        <v>6</v>
      </c>
      <c r="I85" s="19">
        <f t="shared" ref="I85:I88" si="339">(C85*D85*H85/1000)</f>
        <v>0.55776000000000003</v>
      </c>
      <c r="J85" s="16" t="s">
        <v>93</v>
      </c>
      <c r="K85" s="18"/>
      <c r="L85" s="19">
        <f t="shared" ref="L85:L88" si="340">(C85*D85*K85/1000)</f>
        <v>0</v>
      </c>
      <c r="M85" s="16"/>
      <c r="N85" s="18"/>
      <c r="O85" s="19">
        <f t="shared" ref="O85:O88" si="341">(C85*D85*N85/1000)</f>
        <v>0</v>
      </c>
      <c r="P85" s="16"/>
      <c r="Q85" s="18"/>
      <c r="R85" s="19">
        <f t="shared" ref="R85:R88" si="342">(C85*D85*Q85/1000)</f>
        <v>0</v>
      </c>
      <c r="S85" s="20">
        <f t="shared" ref="S85:S88" si="343">+H85+K85+Q85+N85</f>
        <v>6</v>
      </c>
      <c r="T85" s="19">
        <f t="shared" ref="T85:T88" si="344">+I85+L85+R85+O85</f>
        <v>0.55776000000000003</v>
      </c>
      <c r="U85" s="21">
        <f t="shared" ref="U85:U88" si="345">E85-S85</f>
        <v>11</v>
      </c>
      <c r="V85" s="19">
        <f t="shared" ref="V85:V88" si="346">F85-T85</f>
        <v>1.0225600000000001</v>
      </c>
    </row>
    <row r="86" spans="1:22">
      <c r="A86" s="26" t="s">
        <v>13</v>
      </c>
      <c r="B86" s="26" t="s">
        <v>26</v>
      </c>
      <c r="C86" s="26">
        <v>8.3000000000000007</v>
      </c>
      <c r="D86" s="74">
        <v>11.3</v>
      </c>
      <c r="E86" s="28"/>
      <c r="F86" s="16">
        <f t="shared" si="338"/>
        <v>0</v>
      </c>
      <c r="G86" s="16" t="s">
        <v>93</v>
      </c>
      <c r="H86" s="18">
        <v>6</v>
      </c>
      <c r="I86" s="19">
        <f t="shared" si="339"/>
        <v>0.56274000000000013</v>
      </c>
      <c r="J86" s="16" t="s">
        <v>469</v>
      </c>
      <c r="K86" s="18"/>
      <c r="L86" s="19">
        <f t="shared" si="340"/>
        <v>0</v>
      </c>
      <c r="M86" s="16"/>
      <c r="N86" s="18"/>
      <c r="O86" s="19">
        <f t="shared" si="341"/>
        <v>0</v>
      </c>
      <c r="P86" s="16"/>
      <c r="Q86" s="18"/>
      <c r="R86" s="19">
        <f t="shared" si="342"/>
        <v>0</v>
      </c>
      <c r="S86" s="20">
        <f t="shared" si="343"/>
        <v>6</v>
      </c>
      <c r="T86" s="19">
        <f t="shared" si="344"/>
        <v>0.56274000000000013</v>
      </c>
      <c r="U86" s="21">
        <f t="shared" si="345"/>
        <v>-6</v>
      </c>
      <c r="V86" s="19">
        <f t="shared" si="346"/>
        <v>-0.56274000000000013</v>
      </c>
    </row>
    <row r="87" spans="1:22">
      <c r="A87" s="26" t="s">
        <v>13</v>
      </c>
      <c r="B87" s="26" t="s">
        <v>26</v>
      </c>
      <c r="C87" s="26">
        <v>8.3000000000000007</v>
      </c>
      <c r="D87" s="74">
        <v>12</v>
      </c>
      <c r="E87" s="28"/>
      <c r="F87" s="16">
        <f t="shared" si="338"/>
        <v>0</v>
      </c>
      <c r="G87" s="16" t="s">
        <v>451</v>
      </c>
      <c r="H87" s="18">
        <v>2</v>
      </c>
      <c r="I87" s="19">
        <f t="shared" si="339"/>
        <v>0.19920000000000002</v>
      </c>
      <c r="J87" s="16"/>
      <c r="K87" s="18">
        <v>7</v>
      </c>
      <c r="L87" s="19">
        <f t="shared" si="340"/>
        <v>0.69720000000000004</v>
      </c>
      <c r="M87" s="16"/>
      <c r="N87" s="18"/>
      <c r="O87" s="19">
        <f t="shared" si="341"/>
        <v>0</v>
      </c>
      <c r="P87" s="16"/>
      <c r="Q87" s="18"/>
      <c r="R87" s="19">
        <f t="shared" si="342"/>
        <v>0</v>
      </c>
      <c r="S87" s="20">
        <f t="shared" si="343"/>
        <v>9</v>
      </c>
      <c r="T87" s="19">
        <f t="shared" si="344"/>
        <v>0.89640000000000009</v>
      </c>
      <c r="U87" s="21">
        <f t="shared" si="345"/>
        <v>-9</v>
      </c>
      <c r="V87" s="19">
        <f t="shared" si="346"/>
        <v>-0.89640000000000009</v>
      </c>
    </row>
    <row r="88" spans="1:22">
      <c r="A88" s="26" t="s">
        <v>13</v>
      </c>
      <c r="B88" s="26" t="s">
        <v>26</v>
      </c>
      <c r="C88" s="26">
        <v>8.3000000000000007</v>
      </c>
      <c r="D88" s="74">
        <v>11.5</v>
      </c>
      <c r="E88" s="28"/>
      <c r="F88" s="16">
        <f t="shared" si="338"/>
        <v>0</v>
      </c>
      <c r="G88" s="17"/>
      <c r="H88" s="18">
        <v>2</v>
      </c>
      <c r="I88" s="19">
        <f t="shared" si="339"/>
        <v>0.19090000000000001</v>
      </c>
      <c r="J88" s="16"/>
      <c r="K88" s="18"/>
      <c r="L88" s="19">
        <f t="shared" si="340"/>
        <v>0</v>
      </c>
      <c r="M88" s="16"/>
      <c r="N88" s="18"/>
      <c r="O88" s="19">
        <f t="shared" si="341"/>
        <v>0</v>
      </c>
      <c r="P88" s="16"/>
      <c r="Q88" s="18"/>
      <c r="R88" s="19">
        <f t="shared" si="342"/>
        <v>0</v>
      </c>
      <c r="S88" s="20">
        <f t="shared" si="343"/>
        <v>2</v>
      </c>
      <c r="T88" s="19">
        <f t="shared" si="344"/>
        <v>0.19090000000000001</v>
      </c>
      <c r="U88" s="21">
        <f t="shared" si="345"/>
        <v>-2</v>
      </c>
      <c r="V88" s="19">
        <f t="shared" si="346"/>
        <v>-0.19090000000000001</v>
      </c>
    </row>
    <row r="89" spans="1:22">
      <c r="A89" s="26"/>
      <c r="B89" s="41" t="s">
        <v>379</v>
      </c>
      <c r="C89" s="26"/>
      <c r="D89" s="74"/>
      <c r="E89" s="31">
        <f>SUM(E85:E88)</f>
        <v>17</v>
      </c>
      <c r="F89" s="77">
        <f>SUM(F85:F88)</f>
        <v>1.5803200000000002</v>
      </c>
      <c r="G89" s="26"/>
      <c r="H89" s="31">
        <f>SUM(H85:H88)</f>
        <v>16</v>
      </c>
      <c r="I89" s="77">
        <f>SUM(I85:I88)</f>
        <v>1.5106000000000004</v>
      </c>
      <c r="J89" s="26"/>
      <c r="K89" s="31">
        <f>SUM(K85:K88)</f>
        <v>7</v>
      </c>
      <c r="L89" s="77">
        <f>SUM(L85:L88)</f>
        <v>0.69720000000000004</v>
      </c>
      <c r="M89" s="26"/>
      <c r="N89" s="31">
        <f>SUM(N85:N88)</f>
        <v>0</v>
      </c>
      <c r="O89" s="77">
        <f>SUM(O85:O88)</f>
        <v>0</v>
      </c>
      <c r="P89" s="26"/>
      <c r="Q89" s="31">
        <f t="shared" ref="Q89:V89" si="347">SUM(Q85:Q88)</f>
        <v>0</v>
      </c>
      <c r="R89" s="77">
        <f t="shared" si="347"/>
        <v>0</v>
      </c>
      <c r="S89" s="31">
        <f t="shared" si="347"/>
        <v>23</v>
      </c>
      <c r="T89" s="77">
        <f t="shared" si="347"/>
        <v>2.2078000000000007</v>
      </c>
      <c r="U89" s="31">
        <f t="shared" si="347"/>
        <v>-6</v>
      </c>
      <c r="V89" s="77">
        <f t="shared" si="347"/>
        <v>-0.62748000000000004</v>
      </c>
    </row>
    <row r="90" spans="1:22">
      <c r="A90" s="26" t="s">
        <v>13</v>
      </c>
      <c r="B90" s="26" t="s">
        <v>53</v>
      </c>
      <c r="C90" s="26">
        <v>23.6</v>
      </c>
      <c r="D90" s="74">
        <v>8.6</v>
      </c>
      <c r="E90" s="28">
        <v>8</v>
      </c>
      <c r="F90" s="16">
        <f>(C90*D90*E90/1000)</f>
        <v>1.62368</v>
      </c>
      <c r="G90" s="16" t="s">
        <v>89</v>
      </c>
      <c r="H90" s="18">
        <v>8</v>
      </c>
      <c r="I90" s="19">
        <f>(C90*D90*H90/1000)</f>
        <v>1.62368</v>
      </c>
      <c r="J90" s="16"/>
      <c r="K90" s="18"/>
      <c r="L90" s="19">
        <f>(C90*D90*K90/1000)</f>
        <v>0</v>
      </c>
      <c r="M90" s="16"/>
      <c r="N90" s="18"/>
      <c r="O90" s="19">
        <f>(C90*D90*N90/1000)</f>
        <v>0</v>
      </c>
      <c r="P90" s="16"/>
      <c r="Q90" s="18"/>
      <c r="R90" s="19">
        <f>(C90*D90*Q90/1000)</f>
        <v>0</v>
      </c>
      <c r="S90" s="20">
        <f>+H90+K90+Q90+N90</f>
        <v>8</v>
      </c>
      <c r="T90" s="19">
        <f>+I90+L90+R90+O90</f>
        <v>1.62368</v>
      </c>
      <c r="U90" s="21">
        <f>E90-S90</f>
        <v>0</v>
      </c>
      <c r="V90" s="19">
        <f>F90-T90</f>
        <v>0</v>
      </c>
    </row>
    <row r="91" spans="1:22">
      <c r="A91" s="26"/>
      <c r="B91" s="41" t="s">
        <v>379</v>
      </c>
      <c r="C91" s="26"/>
      <c r="D91" s="74"/>
      <c r="E91" s="31">
        <f t="shared" ref="E91:F91" si="348">SUM(E90)</f>
        <v>8</v>
      </c>
      <c r="F91" s="77">
        <f t="shared" si="348"/>
        <v>1.62368</v>
      </c>
      <c r="G91" s="16" t="s">
        <v>453</v>
      </c>
      <c r="H91" s="31">
        <f t="shared" ref="H91" si="349">SUM(H90)</f>
        <v>8</v>
      </c>
      <c r="I91" s="77">
        <f t="shared" ref="I91" si="350">SUM(I90)</f>
        <v>1.62368</v>
      </c>
      <c r="J91" s="26"/>
      <c r="K91" s="31">
        <f t="shared" ref="K91" si="351">SUM(K90)</f>
        <v>0</v>
      </c>
      <c r="L91" s="77">
        <f t="shared" ref="L91" si="352">SUM(L90)</f>
        <v>0</v>
      </c>
      <c r="M91" s="26"/>
      <c r="N91" s="31">
        <f t="shared" ref="N91" si="353">SUM(N90)</f>
        <v>0</v>
      </c>
      <c r="O91" s="77">
        <f t="shared" ref="O91" si="354">SUM(O90)</f>
        <v>0</v>
      </c>
      <c r="P91" s="26"/>
      <c r="Q91" s="31">
        <f t="shared" ref="Q91" si="355">SUM(Q90)</f>
        <v>0</v>
      </c>
      <c r="R91" s="77">
        <f t="shared" ref="R91" si="356">SUM(R90)</f>
        <v>0</v>
      </c>
      <c r="S91" s="31">
        <f t="shared" ref="S91" si="357">SUM(S90)</f>
        <v>8</v>
      </c>
      <c r="T91" s="77">
        <f t="shared" ref="T91" si="358">SUM(T90)</f>
        <v>1.62368</v>
      </c>
      <c r="U91" s="31">
        <f t="shared" ref="U91" si="359">SUM(U90)</f>
        <v>0</v>
      </c>
      <c r="V91" s="77">
        <f t="shared" ref="V91" si="360">SUM(V90)</f>
        <v>0</v>
      </c>
    </row>
    <row r="92" spans="1:22">
      <c r="A92" s="26" t="s">
        <v>13</v>
      </c>
      <c r="B92" s="26" t="s">
        <v>34</v>
      </c>
      <c r="C92" s="26">
        <v>5.76</v>
      </c>
      <c r="D92" s="74">
        <v>12</v>
      </c>
      <c r="E92" s="28">
        <v>3</v>
      </c>
      <c r="F92" s="16">
        <f>(C92*D92*E92/1000)</f>
        <v>0.20736000000000002</v>
      </c>
      <c r="G92" s="17" t="s">
        <v>89</v>
      </c>
      <c r="H92" s="18"/>
      <c r="I92" s="19">
        <f>(C92*D92*H92/1000)</f>
        <v>0</v>
      </c>
      <c r="J92" s="16"/>
      <c r="K92" s="18"/>
      <c r="L92" s="19">
        <f>(C92*D92*K92/1000)</f>
        <v>0</v>
      </c>
      <c r="M92" s="16"/>
      <c r="N92" s="18"/>
      <c r="O92" s="19">
        <f>(C92*D92*N92/1000)</f>
        <v>0</v>
      </c>
      <c r="P92" s="16"/>
      <c r="Q92" s="18"/>
      <c r="R92" s="19">
        <f>(C92*D92*Q92/1000)</f>
        <v>0</v>
      </c>
      <c r="S92" s="20">
        <f>+H92+K92+Q92+N92</f>
        <v>0</v>
      </c>
      <c r="T92" s="19">
        <f>+I92+L92+R92+O92</f>
        <v>0</v>
      </c>
      <c r="U92" s="21">
        <f>E92-S92</f>
        <v>3</v>
      </c>
      <c r="V92" s="19">
        <f>F92-T92</f>
        <v>0.20736000000000002</v>
      </c>
    </row>
    <row r="93" spans="1:22">
      <c r="A93" s="26" t="s">
        <v>13</v>
      </c>
      <c r="B93" s="26" t="s">
        <v>34</v>
      </c>
      <c r="C93" s="26">
        <v>5.76</v>
      </c>
      <c r="D93" s="74">
        <v>10</v>
      </c>
      <c r="E93" s="28"/>
      <c r="F93" s="16">
        <f t="shared" ref="F93:F94" si="361">(C93*D93*E93/1000)</f>
        <v>0</v>
      </c>
      <c r="G93" s="17" t="s">
        <v>470</v>
      </c>
      <c r="H93" s="18">
        <v>4</v>
      </c>
      <c r="I93" s="19">
        <f t="shared" ref="I93:I94" si="362">(C93*D93*H93/1000)</f>
        <v>0.23039999999999997</v>
      </c>
      <c r="J93" s="16"/>
      <c r="K93" s="18"/>
      <c r="L93" s="19">
        <f t="shared" ref="L93:L94" si="363">(C93*D93*K93/1000)</f>
        <v>0</v>
      </c>
      <c r="M93" s="16"/>
      <c r="N93" s="18"/>
      <c r="O93" s="19">
        <f t="shared" ref="O93:O94" si="364">(C93*D93*N93/1000)</f>
        <v>0</v>
      </c>
      <c r="P93" s="16"/>
      <c r="Q93" s="18"/>
      <c r="R93" s="19">
        <f t="shared" ref="R93:R94" si="365">(C93*D93*Q93/1000)</f>
        <v>0</v>
      </c>
      <c r="S93" s="20">
        <f t="shared" ref="S93:S94" si="366">+H93+K93+Q93+N93</f>
        <v>4</v>
      </c>
      <c r="T93" s="19">
        <f t="shared" ref="T93:T94" si="367">+I93+L93+R93+O93</f>
        <v>0.23039999999999997</v>
      </c>
      <c r="U93" s="21">
        <f t="shared" ref="U93:U94" si="368">E93-S93</f>
        <v>-4</v>
      </c>
      <c r="V93" s="19">
        <f t="shared" ref="V93:V94" si="369">F93-T93</f>
        <v>-0.23039999999999997</v>
      </c>
    </row>
    <row r="94" spans="1:22">
      <c r="A94" s="26" t="s">
        <v>13</v>
      </c>
      <c r="B94" s="26" t="s">
        <v>34</v>
      </c>
      <c r="C94" s="26">
        <v>5.76</v>
      </c>
      <c r="D94" s="74">
        <v>7.1</v>
      </c>
      <c r="E94" s="28"/>
      <c r="F94" s="16">
        <f t="shared" si="361"/>
        <v>0</v>
      </c>
      <c r="G94" s="17"/>
      <c r="H94" s="18">
        <v>1</v>
      </c>
      <c r="I94" s="19">
        <f t="shared" si="362"/>
        <v>4.0895999999999995E-2</v>
      </c>
      <c r="J94" s="16"/>
      <c r="K94" s="18"/>
      <c r="L94" s="19">
        <f t="shared" si="363"/>
        <v>0</v>
      </c>
      <c r="M94" s="16"/>
      <c r="N94" s="18"/>
      <c r="O94" s="19">
        <f t="shared" si="364"/>
        <v>0</v>
      </c>
      <c r="P94" s="16"/>
      <c r="Q94" s="18"/>
      <c r="R94" s="19">
        <f t="shared" si="365"/>
        <v>0</v>
      </c>
      <c r="S94" s="20">
        <f t="shared" si="366"/>
        <v>1</v>
      </c>
      <c r="T94" s="19">
        <f t="shared" si="367"/>
        <v>4.0895999999999995E-2</v>
      </c>
      <c r="U94" s="21">
        <f t="shared" si="368"/>
        <v>-1</v>
      </c>
      <c r="V94" s="19">
        <f t="shared" si="369"/>
        <v>-4.0895999999999995E-2</v>
      </c>
    </row>
    <row r="95" spans="1:22">
      <c r="A95" s="26"/>
      <c r="B95" s="41" t="s">
        <v>379</v>
      </c>
      <c r="C95" s="26"/>
      <c r="D95" s="74"/>
      <c r="E95" s="31">
        <f t="shared" ref="E95:F95" si="370">SUM(E92:E94)</f>
        <v>3</v>
      </c>
      <c r="F95" s="77">
        <f t="shared" si="370"/>
        <v>0.20736000000000002</v>
      </c>
      <c r="G95" s="26"/>
      <c r="H95" s="31">
        <f t="shared" ref="H95" si="371">SUM(H92:H94)</f>
        <v>5</v>
      </c>
      <c r="I95" s="77">
        <f t="shared" ref="I95" si="372">SUM(I92:I94)</f>
        <v>0.27129599999999998</v>
      </c>
      <c r="J95" s="26"/>
      <c r="K95" s="31">
        <f t="shared" ref="K95" si="373">SUM(K92:K94)</f>
        <v>0</v>
      </c>
      <c r="L95" s="77">
        <f t="shared" ref="L95" si="374">SUM(L92:L94)</f>
        <v>0</v>
      </c>
      <c r="M95" s="26"/>
      <c r="N95" s="31">
        <f t="shared" ref="N95" si="375">SUM(N92:N94)</f>
        <v>0</v>
      </c>
      <c r="O95" s="77">
        <f t="shared" ref="O95" si="376">SUM(O92:O94)</f>
        <v>0</v>
      </c>
      <c r="P95" s="26"/>
      <c r="Q95" s="31">
        <f t="shared" ref="Q95" si="377">SUM(Q92:Q94)</f>
        <v>0</v>
      </c>
      <c r="R95" s="77">
        <f t="shared" ref="R95" si="378">SUM(R92:R94)</f>
        <v>0</v>
      </c>
      <c r="S95" s="31">
        <f t="shared" ref="S95" si="379">SUM(S92:S94)</f>
        <v>5</v>
      </c>
      <c r="T95" s="77">
        <f t="shared" ref="T95" si="380">SUM(T92:T94)</f>
        <v>0.27129599999999998</v>
      </c>
      <c r="U95" s="31">
        <f t="shared" ref="U95" si="381">SUM(U92:U94)</f>
        <v>-2</v>
      </c>
      <c r="V95" s="77">
        <f t="shared" ref="V95" si="382">SUM(V92:V94)</f>
        <v>-6.3935999999999937E-2</v>
      </c>
    </row>
    <row r="96" spans="1:22">
      <c r="A96" s="26" t="s">
        <v>13</v>
      </c>
      <c r="B96" s="26" t="s">
        <v>58</v>
      </c>
      <c r="C96" s="26">
        <v>7.34</v>
      </c>
      <c r="D96" s="74">
        <v>12</v>
      </c>
      <c r="E96" s="28">
        <v>1</v>
      </c>
      <c r="F96" s="16">
        <f>(C96*D96*E96/1000)</f>
        <v>8.8079999999999992E-2</v>
      </c>
      <c r="G96" s="16" t="s">
        <v>93</v>
      </c>
      <c r="H96" s="18">
        <v>1</v>
      </c>
      <c r="I96" s="19">
        <f>(C96*D96*H96/1000)</f>
        <v>8.8079999999999992E-2</v>
      </c>
      <c r="J96" s="17" t="s">
        <v>114</v>
      </c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>+H96+K96+Q96+N96</f>
        <v>1</v>
      </c>
      <c r="T96" s="19">
        <f>+I96+L96+R96+O96</f>
        <v>8.8079999999999992E-2</v>
      </c>
      <c r="U96" s="21">
        <f>E96-S96</f>
        <v>0</v>
      </c>
      <c r="V96" s="19">
        <f>F96-T96</f>
        <v>0</v>
      </c>
    </row>
    <row r="97" spans="1:22">
      <c r="A97" s="26" t="s">
        <v>13</v>
      </c>
      <c r="B97" s="26" t="s">
        <v>58</v>
      </c>
      <c r="C97" s="26">
        <v>7.34</v>
      </c>
      <c r="D97" s="74">
        <v>1.5</v>
      </c>
      <c r="E97" s="28"/>
      <c r="F97" s="16">
        <f>(C97*D97*E97/1000)</f>
        <v>0</v>
      </c>
      <c r="G97" s="16" t="s">
        <v>451</v>
      </c>
      <c r="H97" s="18"/>
      <c r="I97" s="19">
        <f>(C97*D97*H97/1000)</f>
        <v>0</v>
      </c>
      <c r="J97" s="17" t="s">
        <v>603</v>
      </c>
      <c r="K97" s="18">
        <v>1</v>
      </c>
      <c r="L97" s="19">
        <f>(C97*D97*K97/1000)</f>
        <v>1.1009999999999999E-2</v>
      </c>
      <c r="M97" s="16"/>
      <c r="N97" s="18"/>
      <c r="O97" s="19">
        <f>(C97*D97*N97/1000)</f>
        <v>0</v>
      </c>
      <c r="P97" s="16"/>
      <c r="Q97" s="18"/>
      <c r="R97" s="19">
        <f>(C97*D97*Q97/1000)</f>
        <v>0</v>
      </c>
      <c r="S97" s="20">
        <f>+H97+K97+Q97+N97</f>
        <v>1</v>
      </c>
      <c r="T97" s="19">
        <f>+I97+L97+R97+O97</f>
        <v>1.1009999999999999E-2</v>
      </c>
      <c r="U97" s="21">
        <f>E97-S97</f>
        <v>-1</v>
      </c>
      <c r="V97" s="19">
        <f>F97-T97</f>
        <v>-1.1009999999999999E-2</v>
      </c>
    </row>
    <row r="98" spans="1:22">
      <c r="A98" s="26"/>
      <c r="B98" s="41" t="s">
        <v>379</v>
      </c>
      <c r="C98" s="26"/>
      <c r="D98" s="74"/>
      <c r="E98" s="31">
        <f t="shared" ref="E98:F98" si="383">SUM(E96:E97)</f>
        <v>1</v>
      </c>
      <c r="F98" s="77">
        <f t="shared" si="383"/>
        <v>8.8079999999999992E-2</v>
      </c>
      <c r="G98" s="16"/>
      <c r="H98" s="31">
        <f t="shared" ref="H98" si="384">SUM(H96:H97)</f>
        <v>1</v>
      </c>
      <c r="I98" s="77">
        <f t="shared" ref="I98" si="385">SUM(I96:I97)</f>
        <v>8.8079999999999992E-2</v>
      </c>
      <c r="J98" s="17"/>
      <c r="K98" s="31">
        <f t="shared" ref="K98" si="386">SUM(K96:K97)</f>
        <v>1</v>
      </c>
      <c r="L98" s="77">
        <f t="shared" ref="L98" si="387">SUM(L96:L97)</f>
        <v>1.1009999999999999E-2</v>
      </c>
      <c r="M98" s="26"/>
      <c r="N98" s="31">
        <f t="shared" ref="N98" si="388">SUM(N96:N97)</f>
        <v>0</v>
      </c>
      <c r="O98" s="77">
        <f t="shared" ref="O98" si="389">SUM(O96:O97)</f>
        <v>0</v>
      </c>
      <c r="P98" s="26"/>
      <c r="Q98" s="31">
        <f t="shared" ref="Q98" si="390">SUM(Q96:Q97)</f>
        <v>0</v>
      </c>
      <c r="R98" s="77">
        <f t="shared" ref="R98" si="391">SUM(R96:R97)</f>
        <v>0</v>
      </c>
      <c r="S98" s="31">
        <f t="shared" ref="S98" si="392">SUM(S96:S97)</f>
        <v>2</v>
      </c>
      <c r="T98" s="77">
        <f t="shared" ref="T98" si="393">SUM(T96:T97)</f>
        <v>9.9089999999999984E-2</v>
      </c>
      <c r="U98" s="31">
        <f t="shared" ref="U98" si="394">SUM(U96:U97)</f>
        <v>-1</v>
      </c>
      <c r="V98" s="77">
        <f t="shared" ref="V98" si="395">SUM(V96:V97)</f>
        <v>-1.1009999999999999E-2</v>
      </c>
    </row>
    <row r="99" spans="1:22">
      <c r="A99" s="26" t="s">
        <v>13</v>
      </c>
      <c r="B99" s="26" t="s">
        <v>37</v>
      </c>
      <c r="C99" s="26">
        <v>9.61</v>
      </c>
      <c r="D99" s="74">
        <v>10.5</v>
      </c>
      <c r="E99" s="28">
        <v>8</v>
      </c>
      <c r="F99" s="16">
        <f>(C99*D99*E99/1000)</f>
        <v>0.80723999999999996</v>
      </c>
      <c r="G99" s="16" t="s">
        <v>93</v>
      </c>
      <c r="H99" s="18">
        <v>8</v>
      </c>
      <c r="I99" s="19">
        <f>(C99*D99*H99/1000)</f>
        <v>0.80723999999999996</v>
      </c>
      <c r="J99" s="16"/>
      <c r="K99" s="18"/>
      <c r="L99" s="19">
        <f>(C99*D99*K99/1000)</f>
        <v>0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>+H99+K99+Q99+N99</f>
        <v>8</v>
      </c>
      <c r="T99" s="19">
        <f>+I99+L99+R99+O99</f>
        <v>0.80723999999999996</v>
      </c>
      <c r="U99" s="21">
        <f>E99-S99</f>
        <v>0</v>
      </c>
      <c r="V99" s="19">
        <f>F99-T99</f>
        <v>0</v>
      </c>
    </row>
    <row r="100" spans="1:22">
      <c r="A100" s="26"/>
      <c r="B100" s="41" t="s">
        <v>379</v>
      </c>
      <c r="C100" s="26"/>
      <c r="D100" s="74"/>
      <c r="E100" s="31">
        <f t="shared" ref="E100:F100" si="396">SUM(E99)</f>
        <v>8</v>
      </c>
      <c r="F100" s="77">
        <f t="shared" si="396"/>
        <v>0.80723999999999996</v>
      </c>
      <c r="G100" s="16" t="s">
        <v>451</v>
      </c>
      <c r="H100" s="31">
        <f t="shared" ref="H100" si="397">SUM(H99)</f>
        <v>8</v>
      </c>
      <c r="I100" s="77">
        <f t="shared" ref="I100" si="398">SUM(I99)</f>
        <v>0.80723999999999996</v>
      </c>
      <c r="J100" s="26"/>
      <c r="K100" s="31">
        <f t="shared" ref="K100" si="399">SUM(K99)</f>
        <v>0</v>
      </c>
      <c r="L100" s="77">
        <f t="shared" ref="L100" si="400">SUM(L99)</f>
        <v>0</v>
      </c>
      <c r="M100" s="26"/>
      <c r="N100" s="31">
        <f t="shared" ref="N100" si="401">SUM(N99)</f>
        <v>0</v>
      </c>
      <c r="O100" s="77">
        <f t="shared" ref="O100" si="402">SUM(O99)</f>
        <v>0</v>
      </c>
      <c r="P100" s="26"/>
      <c r="Q100" s="31">
        <f t="shared" ref="Q100" si="403">SUM(Q99)</f>
        <v>0</v>
      </c>
      <c r="R100" s="77">
        <f t="shared" ref="R100" si="404">SUM(R99)</f>
        <v>0</v>
      </c>
      <c r="S100" s="31">
        <f t="shared" ref="S100" si="405">SUM(S99)</f>
        <v>8</v>
      </c>
      <c r="T100" s="77">
        <f t="shared" ref="T100" si="406">SUM(T99)</f>
        <v>0.80723999999999996</v>
      </c>
      <c r="U100" s="31">
        <f t="shared" ref="U100" si="407">SUM(U99)</f>
        <v>0</v>
      </c>
      <c r="V100" s="77">
        <f t="shared" ref="V100" si="408">SUM(V99)</f>
        <v>0</v>
      </c>
    </row>
    <row r="101" spans="1:22">
      <c r="A101" s="26" t="s">
        <v>13</v>
      </c>
      <c r="B101" s="26" t="s">
        <v>18</v>
      </c>
      <c r="C101" s="26">
        <v>16.600000000000001</v>
      </c>
      <c r="D101" s="74">
        <v>8.3000000000000007</v>
      </c>
      <c r="E101" s="28">
        <v>1</v>
      </c>
      <c r="F101" s="16">
        <f>(C101*D101*E101/1000)</f>
        <v>0.13778000000000004</v>
      </c>
      <c r="G101" s="17" t="s">
        <v>86</v>
      </c>
      <c r="H101" s="18">
        <v>1</v>
      </c>
      <c r="I101" s="19">
        <f>(C101*D101*H101/1000)</f>
        <v>0.13778000000000004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>+H101+K101+Q101+N101</f>
        <v>1</v>
      </c>
      <c r="T101" s="19">
        <f>+I101+L101+R101+O101</f>
        <v>0.13778000000000004</v>
      </c>
      <c r="U101" s="21">
        <f>E101-S101</f>
        <v>0</v>
      </c>
      <c r="V101" s="19">
        <f>F101-T101</f>
        <v>0</v>
      </c>
    </row>
    <row r="102" spans="1:22">
      <c r="A102" s="26"/>
      <c r="B102" s="41" t="s">
        <v>379</v>
      </c>
      <c r="C102" s="26"/>
      <c r="D102" s="74"/>
      <c r="E102" s="31">
        <f t="shared" ref="E102:F102" si="409">SUM(E101)</f>
        <v>1</v>
      </c>
      <c r="F102" s="77">
        <f t="shared" si="409"/>
        <v>0.13778000000000004</v>
      </c>
      <c r="G102" s="17" t="s">
        <v>472</v>
      </c>
      <c r="H102" s="31">
        <f t="shared" ref="H102" si="410">SUM(H101)</f>
        <v>1</v>
      </c>
      <c r="I102" s="77">
        <f t="shared" ref="I102" si="411">SUM(I101)</f>
        <v>0.13778000000000004</v>
      </c>
      <c r="J102" s="26"/>
      <c r="K102" s="31">
        <f t="shared" ref="K102" si="412">SUM(K101)</f>
        <v>0</v>
      </c>
      <c r="L102" s="77">
        <f t="shared" ref="L102" si="413">SUM(L101)</f>
        <v>0</v>
      </c>
      <c r="M102" s="26"/>
      <c r="N102" s="31">
        <f t="shared" ref="N102" si="414">SUM(N101)</f>
        <v>0</v>
      </c>
      <c r="O102" s="77">
        <f t="shared" ref="O102" si="415">SUM(O101)</f>
        <v>0</v>
      </c>
      <c r="P102" s="26"/>
      <c r="Q102" s="31">
        <f t="shared" ref="Q102" si="416">SUM(Q101)</f>
        <v>0</v>
      </c>
      <c r="R102" s="77">
        <f t="shared" ref="R102" si="417">SUM(R101)</f>
        <v>0</v>
      </c>
      <c r="S102" s="31">
        <f t="shared" ref="S102" si="418">SUM(S101)</f>
        <v>1</v>
      </c>
      <c r="T102" s="77">
        <f t="shared" ref="T102" si="419">SUM(T101)</f>
        <v>0.13778000000000004</v>
      </c>
      <c r="U102" s="31">
        <f t="shared" ref="U102" si="420">SUM(U101)</f>
        <v>0</v>
      </c>
      <c r="V102" s="77">
        <f t="shared" ref="V102" si="421">SUM(V101)</f>
        <v>0</v>
      </c>
    </row>
    <row r="103" spans="1:22">
      <c r="A103" s="26" t="s">
        <v>13</v>
      </c>
      <c r="B103" s="26" t="s">
        <v>32</v>
      </c>
      <c r="C103" s="26">
        <v>11.8</v>
      </c>
      <c r="D103" s="74">
        <v>7</v>
      </c>
      <c r="E103" s="28">
        <v>10</v>
      </c>
      <c r="F103" s="16">
        <f>(C103*D103*E103/1000)</f>
        <v>0.82600000000000007</v>
      </c>
      <c r="G103" s="17" t="s">
        <v>86</v>
      </c>
      <c r="H103" s="18">
        <v>1</v>
      </c>
      <c r="I103" s="19">
        <f>(C103*D103*H103/1000)</f>
        <v>8.2600000000000007E-2</v>
      </c>
      <c r="J103" s="16"/>
      <c r="K103" s="18"/>
      <c r="L103" s="19">
        <f>(C103*D103*K103/1000)</f>
        <v>0</v>
      </c>
      <c r="M103" s="16"/>
      <c r="N103" s="18"/>
      <c r="O103" s="19">
        <f>(C103*D103*N103/1000)</f>
        <v>0</v>
      </c>
      <c r="P103" s="16"/>
      <c r="Q103" s="18"/>
      <c r="R103" s="19">
        <f>(C103*D103*Q103/1000)</f>
        <v>0</v>
      </c>
      <c r="S103" s="20">
        <f>+H103+K103+Q103+N103</f>
        <v>1</v>
      </c>
      <c r="T103" s="19">
        <f>+I103+L103+R103+O103</f>
        <v>8.2600000000000007E-2</v>
      </c>
      <c r="U103" s="21">
        <f>E103-S103</f>
        <v>9</v>
      </c>
      <c r="V103" s="19">
        <f>F103-T103</f>
        <v>0.74340000000000006</v>
      </c>
    </row>
    <row r="104" spans="1:22">
      <c r="A104" s="26" t="s">
        <v>13</v>
      </c>
      <c r="B104" s="26" t="s">
        <v>32</v>
      </c>
      <c r="C104" s="26">
        <v>11.8</v>
      </c>
      <c r="D104" s="74">
        <v>12</v>
      </c>
      <c r="E104" s="28">
        <v>17</v>
      </c>
      <c r="F104" s="16">
        <f t="shared" ref="F104:F109" si="422">(C104*D104*E104/1000)</f>
        <v>2.4072000000000005</v>
      </c>
      <c r="G104" s="17" t="s">
        <v>472</v>
      </c>
      <c r="H104" s="18">
        <v>17</v>
      </c>
      <c r="I104" s="19">
        <f t="shared" ref="I104:I109" si="423">(C104*D104*H104/1000)</f>
        <v>2.4072000000000005</v>
      </c>
      <c r="J104" s="16"/>
      <c r="K104" s="18"/>
      <c r="L104" s="19">
        <f t="shared" ref="L104:L109" si="424">(C104*D104*K104/1000)</f>
        <v>0</v>
      </c>
      <c r="M104" s="16"/>
      <c r="N104" s="18"/>
      <c r="O104" s="19">
        <f t="shared" ref="O104:O109" si="425">(C104*D104*N104/1000)</f>
        <v>0</v>
      </c>
      <c r="P104" s="16"/>
      <c r="Q104" s="18"/>
      <c r="R104" s="19">
        <f t="shared" ref="R104:R109" si="426">(C104*D104*Q104/1000)</f>
        <v>0</v>
      </c>
      <c r="S104" s="20">
        <f t="shared" ref="S104:S109" si="427">+H104+K104+Q104+N104</f>
        <v>17</v>
      </c>
      <c r="T104" s="19">
        <f t="shared" ref="T104:T109" si="428">+I104+L104+R104+O104</f>
        <v>2.4072000000000005</v>
      </c>
      <c r="U104" s="21">
        <f t="shared" ref="U104:U109" si="429">E104-S104</f>
        <v>0</v>
      </c>
      <c r="V104" s="19">
        <f t="shared" ref="V104:V109" si="430">F104-T104</f>
        <v>0</v>
      </c>
    </row>
    <row r="105" spans="1:22">
      <c r="A105" s="26" t="s">
        <v>13</v>
      </c>
      <c r="B105" s="26" t="s">
        <v>32</v>
      </c>
      <c r="C105" s="26">
        <v>11.8</v>
      </c>
      <c r="D105" s="74">
        <v>12</v>
      </c>
      <c r="E105" s="28"/>
      <c r="F105" s="16">
        <f t="shared" si="422"/>
        <v>0</v>
      </c>
      <c r="G105" s="17"/>
      <c r="H105" s="18">
        <v>8</v>
      </c>
      <c r="I105" s="19">
        <f t="shared" si="423"/>
        <v>1.1328000000000003</v>
      </c>
      <c r="J105" s="16"/>
      <c r="K105" s="18"/>
      <c r="L105" s="19">
        <f t="shared" si="424"/>
        <v>0</v>
      </c>
      <c r="M105" s="16"/>
      <c r="N105" s="18"/>
      <c r="O105" s="19">
        <f t="shared" si="425"/>
        <v>0</v>
      </c>
      <c r="P105" s="16"/>
      <c r="Q105" s="18"/>
      <c r="R105" s="19">
        <f t="shared" si="426"/>
        <v>0</v>
      </c>
      <c r="S105" s="20">
        <f t="shared" si="427"/>
        <v>8</v>
      </c>
      <c r="T105" s="19">
        <f t="shared" si="428"/>
        <v>1.1328000000000003</v>
      </c>
      <c r="U105" s="21">
        <f t="shared" si="429"/>
        <v>-8</v>
      </c>
      <c r="V105" s="19">
        <f t="shared" si="430"/>
        <v>-1.1328000000000003</v>
      </c>
    </row>
    <row r="106" spans="1:22">
      <c r="A106" s="26" t="s">
        <v>13</v>
      </c>
      <c r="B106" s="26" t="s">
        <v>32</v>
      </c>
      <c r="C106" s="26">
        <v>11.8</v>
      </c>
      <c r="D106" s="74">
        <v>11.2</v>
      </c>
      <c r="E106" s="28"/>
      <c r="F106" s="16">
        <f t="shared" si="422"/>
        <v>0</v>
      </c>
      <c r="G106" s="17"/>
      <c r="H106" s="18">
        <v>1</v>
      </c>
      <c r="I106" s="19">
        <f t="shared" si="423"/>
        <v>0.13216</v>
      </c>
      <c r="J106" s="16"/>
      <c r="K106" s="18"/>
      <c r="L106" s="19">
        <f t="shared" si="424"/>
        <v>0</v>
      </c>
      <c r="M106" s="16"/>
      <c r="N106" s="18"/>
      <c r="O106" s="19">
        <f t="shared" si="425"/>
        <v>0</v>
      </c>
      <c r="P106" s="16"/>
      <c r="Q106" s="18"/>
      <c r="R106" s="19">
        <f t="shared" si="426"/>
        <v>0</v>
      </c>
      <c r="S106" s="20">
        <f t="shared" si="427"/>
        <v>1</v>
      </c>
      <c r="T106" s="19">
        <f t="shared" si="428"/>
        <v>0.13216</v>
      </c>
      <c r="U106" s="21">
        <f t="shared" si="429"/>
        <v>-1</v>
      </c>
      <c r="V106" s="19">
        <f t="shared" si="430"/>
        <v>-0.13216</v>
      </c>
    </row>
    <row r="107" spans="1:22">
      <c r="A107" s="26" t="s">
        <v>13</v>
      </c>
      <c r="B107" s="26" t="s">
        <v>32</v>
      </c>
      <c r="C107" s="26">
        <v>11.8</v>
      </c>
      <c r="D107" s="74">
        <v>9.8000000000000007</v>
      </c>
      <c r="E107" s="28"/>
      <c r="F107" s="16">
        <f t="shared" si="422"/>
        <v>0</v>
      </c>
      <c r="G107" s="17"/>
      <c r="H107" s="18">
        <v>1</v>
      </c>
      <c r="I107" s="19">
        <f t="shared" si="423"/>
        <v>0.11564000000000002</v>
      </c>
      <c r="J107" s="16"/>
      <c r="K107" s="18"/>
      <c r="L107" s="19">
        <f t="shared" si="424"/>
        <v>0</v>
      </c>
      <c r="M107" s="16"/>
      <c r="N107" s="18"/>
      <c r="O107" s="19">
        <f t="shared" si="425"/>
        <v>0</v>
      </c>
      <c r="P107" s="16"/>
      <c r="Q107" s="18"/>
      <c r="R107" s="19">
        <f t="shared" si="426"/>
        <v>0</v>
      </c>
      <c r="S107" s="20">
        <f t="shared" si="427"/>
        <v>1</v>
      </c>
      <c r="T107" s="19">
        <f t="shared" si="428"/>
        <v>0.11564000000000002</v>
      </c>
      <c r="U107" s="21">
        <f t="shared" si="429"/>
        <v>-1</v>
      </c>
      <c r="V107" s="19">
        <f t="shared" si="430"/>
        <v>-0.11564000000000002</v>
      </c>
    </row>
    <row r="108" spans="1:22">
      <c r="A108" s="26" t="s">
        <v>13</v>
      </c>
      <c r="B108" s="26" t="s">
        <v>32</v>
      </c>
      <c r="C108" s="26">
        <v>11.8</v>
      </c>
      <c r="D108" s="74">
        <v>9</v>
      </c>
      <c r="E108" s="28"/>
      <c r="F108" s="16">
        <f t="shared" si="422"/>
        <v>0</v>
      </c>
      <c r="G108" s="17"/>
      <c r="H108" s="18">
        <v>2</v>
      </c>
      <c r="I108" s="19">
        <f t="shared" si="423"/>
        <v>0.21240000000000001</v>
      </c>
      <c r="J108" s="16"/>
      <c r="K108" s="18"/>
      <c r="L108" s="19">
        <f t="shared" si="424"/>
        <v>0</v>
      </c>
      <c r="M108" s="16"/>
      <c r="N108" s="18"/>
      <c r="O108" s="19">
        <f t="shared" si="425"/>
        <v>0</v>
      </c>
      <c r="P108" s="16"/>
      <c r="Q108" s="18"/>
      <c r="R108" s="19">
        <f t="shared" si="426"/>
        <v>0</v>
      </c>
      <c r="S108" s="20">
        <f t="shared" si="427"/>
        <v>2</v>
      </c>
      <c r="T108" s="19">
        <f t="shared" si="428"/>
        <v>0.21240000000000001</v>
      </c>
      <c r="U108" s="21">
        <f t="shared" si="429"/>
        <v>-2</v>
      </c>
      <c r="V108" s="19">
        <f t="shared" si="430"/>
        <v>-0.21240000000000001</v>
      </c>
    </row>
    <row r="109" spans="1:22">
      <c r="A109" s="26" t="s">
        <v>13</v>
      </c>
      <c r="B109" s="26" t="s">
        <v>32</v>
      </c>
      <c r="C109" s="26">
        <v>11.8</v>
      </c>
      <c r="D109" s="74">
        <v>6</v>
      </c>
      <c r="E109" s="28"/>
      <c r="F109" s="16">
        <f t="shared" si="422"/>
        <v>0</v>
      </c>
      <c r="G109" s="17"/>
      <c r="H109" s="18">
        <v>1</v>
      </c>
      <c r="I109" s="19">
        <f t="shared" si="423"/>
        <v>7.0800000000000016E-2</v>
      </c>
      <c r="J109" s="16"/>
      <c r="K109" s="18"/>
      <c r="L109" s="19">
        <f t="shared" si="424"/>
        <v>0</v>
      </c>
      <c r="M109" s="16"/>
      <c r="N109" s="18"/>
      <c r="O109" s="19">
        <f t="shared" si="425"/>
        <v>0</v>
      </c>
      <c r="P109" s="16"/>
      <c r="Q109" s="18"/>
      <c r="R109" s="19">
        <f t="shared" si="426"/>
        <v>0</v>
      </c>
      <c r="S109" s="20">
        <f t="shared" si="427"/>
        <v>1</v>
      </c>
      <c r="T109" s="19">
        <f t="shared" si="428"/>
        <v>7.0800000000000016E-2</v>
      </c>
      <c r="U109" s="21">
        <f t="shared" si="429"/>
        <v>-1</v>
      </c>
      <c r="V109" s="19">
        <f t="shared" si="430"/>
        <v>-7.0800000000000016E-2</v>
      </c>
    </row>
    <row r="110" spans="1:22">
      <c r="A110" s="26" t="s">
        <v>13</v>
      </c>
      <c r="B110" s="26" t="s">
        <v>32</v>
      </c>
      <c r="C110" s="26">
        <v>11.8</v>
      </c>
      <c r="D110" s="74"/>
      <c r="E110" s="28"/>
      <c r="F110" s="16">
        <f>(C110*D110*E110/1000)</f>
        <v>0</v>
      </c>
      <c r="G110" s="17"/>
      <c r="H110" s="18"/>
      <c r="I110" s="19">
        <f>(C110*D110*H110/1000)</f>
        <v>0</v>
      </c>
      <c r="J110" s="16"/>
      <c r="K110" s="18"/>
      <c r="L110" s="19">
        <f>(C110*D110*K110/1000)</f>
        <v>0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>+H110+K110+Q110+N110</f>
        <v>0</v>
      </c>
      <c r="T110" s="19">
        <f>+I110+L110+R110+O110</f>
        <v>0</v>
      </c>
      <c r="U110" s="21">
        <f>E110-S110</f>
        <v>0</v>
      </c>
      <c r="V110" s="19">
        <f>F110-T110</f>
        <v>0</v>
      </c>
    </row>
    <row r="111" spans="1:22">
      <c r="A111" s="26"/>
      <c r="B111" s="41" t="s">
        <v>379</v>
      </c>
      <c r="C111" s="26"/>
      <c r="D111" s="74"/>
      <c r="E111" s="31">
        <f t="shared" ref="E111:F111" si="431">SUM(E103:E110)</f>
        <v>27</v>
      </c>
      <c r="F111" s="77">
        <f t="shared" si="431"/>
        <v>3.2332000000000005</v>
      </c>
      <c r="G111" s="26"/>
      <c r="H111" s="31">
        <f t="shared" ref="H111" si="432">SUM(H103:H110)</f>
        <v>31</v>
      </c>
      <c r="I111" s="77">
        <f t="shared" ref="I111" si="433">SUM(I103:I110)</f>
        <v>4.1536000000000008</v>
      </c>
      <c r="J111" s="26"/>
      <c r="K111" s="31">
        <f t="shared" ref="K111" si="434">SUM(K103:K110)</f>
        <v>0</v>
      </c>
      <c r="L111" s="77">
        <f t="shared" ref="L111" si="435">SUM(L103:L110)</f>
        <v>0</v>
      </c>
      <c r="M111" s="26"/>
      <c r="N111" s="31">
        <f t="shared" ref="N111" si="436">SUM(N103:N110)</f>
        <v>0</v>
      </c>
      <c r="O111" s="77">
        <f t="shared" ref="O111" si="437">SUM(O103:O110)</f>
        <v>0</v>
      </c>
      <c r="P111" s="26"/>
      <c r="Q111" s="31">
        <f t="shared" ref="Q111" si="438">SUM(Q103:Q110)</f>
        <v>0</v>
      </c>
      <c r="R111" s="77">
        <f t="shared" ref="R111" si="439">SUM(R103:R110)</f>
        <v>0</v>
      </c>
      <c r="S111" s="31">
        <f t="shared" ref="S111" si="440">SUM(S103:S110)</f>
        <v>31</v>
      </c>
      <c r="T111" s="77">
        <f t="shared" ref="T111" si="441">SUM(T103:T110)</f>
        <v>4.1536000000000008</v>
      </c>
      <c r="U111" s="31">
        <f t="shared" ref="U111" si="442">SUM(U103:U110)</f>
        <v>-4</v>
      </c>
      <c r="V111" s="77">
        <f t="shared" ref="V111" si="443">SUM(V103:V110)</f>
        <v>-0.92040000000000022</v>
      </c>
    </row>
    <row r="112" spans="1:22">
      <c r="A112" s="26" t="s">
        <v>13</v>
      </c>
      <c r="B112" s="26" t="s">
        <v>47</v>
      </c>
      <c r="C112" s="26">
        <v>18.2</v>
      </c>
      <c r="D112" s="74">
        <v>9.4</v>
      </c>
      <c r="E112" s="28">
        <v>2</v>
      </c>
      <c r="F112" s="16">
        <f>(C112*D112*E112/1000)</f>
        <v>0.34216000000000002</v>
      </c>
      <c r="G112" s="16" t="s">
        <v>93</v>
      </c>
      <c r="H112" s="18">
        <v>2</v>
      </c>
      <c r="I112" s="19">
        <f>(C112*D112*H112/1000)</f>
        <v>0.34216000000000002</v>
      </c>
      <c r="J112" s="16"/>
      <c r="K112" s="18"/>
      <c r="L112" s="19">
        <f>(C112*D112*K112/1000)</f>
        <v>0</v>
      </c>
      <c r="M112" s="16"/>
      <c r="N112" s="18"/>
      <c r="O112" s="19">
        <f>(C112*D112*N112/1000)</f>
        <v>0</v>
      </c>
      <c r="P112" s="16"/>
      <c r="Q112" s="18"/>
      <c r="R112" s="19">
        <f>(C112*D112*Q112/1000)</f>
        <v>0</v>
      </c>
      <c r="S112" s="20">
        <f t="shared" ref="S112:T122" si="444">+H112+K112+Q112+N112</f>
        <v>2</v>
      </c>
      <c r="T112" s="19">
        <f t="shared" si="444"/>
        <v>0.34216000000000002</v>
      </c>
      <c r="U112" s="21">
        <f t="shared" ref="U112:V122" si="445">E112-S112</f>
        <v>0</v>
      </c>
      <c r="V112" s="19">
        <f t="shared" si="445"/>
        <v>0</v>
      </c>
    </row>
    <row r="113" spans="1:22">
      <c r="A113" s="26" t="s">
        <v>13</v>
      </c>
      <c r="B113" s="26" t="s">
        <v>47</v>
      </c>
      <c r="C113" s="26">
        <v>18.2</v>
      </c>
      <c r="D113" s="74">
        <v>11.4</v>
      </c>
      <c r="E113" s="28">
        <v>16</v>
      </c>
      <c r="F113" s="16">
        <f>(C113*D113*E113/1000)</f>
        <v>3.31968</v>
      </c>
      <c r="G113" s="16" t="s">
        <v>451</v>
      </c>
      <c r="H113" s="18">
        <v>8</v>
      </c>
      <c r="I113" s="19">
        <f>(C113*D113*H113/1000)</f>
        <v>1.65984</v>
      </c>
      <c r="J113" s="16"/>
      <c r="K113" s="18"/>
      <c r="L113" s="19">
        <f>(C113*D113*K113/1000)</f>
        <v>0</v>
      </c>
      <c r="M113" s="16"/>
      <c r="N113" s="18"/>
      <c r="O113" s="19">
        <f>(C113*D113*N113/1000)</f>
        <v>0</v>
      </c>
      <c r="P113" s="16"/>
      <c r="Q113" s="18"/>
      <c r="R113" s="19">
        <f>(C113*D113*Q113/1000)</f>
        <v>0</v>
      </c>
      <c r="S113" s="20">
        <f t="shared" si="444"/>
        <v>8</v>
      </c>
      <c r="T113" s="19">
        <f t="shared" si="444"/>
        <v>1.65984</v>
      </c>
      <c r="U113" s="21">
        <f t="shared" si="445"/>
        <v>8</v>
      </c>
      <c r="V113" s="19">
        <f t="shared" si="445"/>
        <v>1.65984</v>
      </c>
    </row>
    <row r="114" spans="1:22">
      <c r="A114" s="26" t="s">
        <v>13</v>
      </c>
      <c r="B114" s="26" t="s">
        <v>47</v>
      </c>
      <c r="C114" s="26">
        <v>18.2</v>
      </c>
      <c r="D114" s="74">
        <v>11.7</v>
      </c>
      <c r="E114" s="28">
        <v>16</v>
      </c>
      <c r="F114" s="16">
        <f t="shared" ref="F114:F121" si="446">(C114*D114*E114/1000)</f>
        <v>3.4070399999999994</v>
      </c>
      <c r="G114" s="17"/>
      <c r="H114" s="18">
        <v>18</v>
      </c>
      <c r="I114" s="19">
        <f t="shared" ref="I114:I121" si="447">(C114*D114*H114/1000)</f>
        <v>3.8329199999999997</v>
      </c>
      <c r="J114" s="16"/>
      <c r="K114" s="18"/>
      <c r="L114" s="19">
        <f t="shared" ref="L114:L121" si="448">(C114*D114*K114/1000)</f>
        <v>0</v>
      </c>
      <c r="M114" s="16"/>
      <c r="N114" s="18"/>
      <c r="O114" s="19">
        <f t="shared" ref="O114:O121" si="449">(C114*D114*N114/1000)</f>
        <v>0</v>
      </c>
      <c r="P114" s="16"/>
      <c r="Q114" s="18"/>
      <c r="R114" s="19">
        <f t="shared" ref="R114:R121" si="450">(C114*D114*Q114/1000)</f>
        <v>0</v>
      </c>
      <c r="S114" s="20">
        <f t="shared" ref="S114:S121" si="451">+H114+K114+Q114+N114</f>
        <v>18</v>
      </c>
      <c r="T114" s="19">
        <f t="shared" ref="T114:T121" si="452">+I114+L114+R114+O114</f>
        <v>3.8329199999999997</v>
      </c>
      <c r="U114" s="21">
        <f t="shared" ref="U114:U121" si="453">E114-S114</f>
        <v>-2</v>
      </c>
      <c r="V114" s="19">
        <f t="shared" ref="V114:V121" si="454">F114-T114</f>
        <v>-0.42588000000000026</v>
      </c>
    </row>
    <row r="115" spans="1:22">
      <c r="A115" s="26" t="s">
        <v>13</v>
      </c>
      <c r="B115" s="26" t="s">
        <v>47</v>
      </c>
      <c r="C115" s="26">
        <v>18.2</v>
      </c>
      <c r="D115" s="74">
        <v>9</v>
      </c>
      <c r="E115" s="28"/>
      <c r="F115" s="16">
        <f t="shared" si="446"/>
        <v>0</v>
      </c>
      <c r="G115" s="17"/>
      <c r="H115" s="18">
        <v>2</v>
      </c>
      <c r="I115" s="19">
        <f t="shared" si="447"/>
        <v>0.32759999999999995</v>
      </c>
      <c r="J115" s="16"/>
      <c r="K115" s="18"/>
      <c r="L115" s="19">
        <f t="shared" si="448"/>
        <v>0</v>
      </c>
      <c r="M115" s="16"/>
      <c r="N115" s="18"/>
      <c r="O115" s="19">
        <f t="shared" si="449"/>
        <v>0</v>
      </c>
      <c r="P115" s="16"/>
      <c r="Q115" s="18"/>
      <c r="R115" s="19">
        <f t="shared" si="450"/>
        <v>0</v>
      </c>
      <c r="S115" s="20">
        <f t="shared" si="451"/>
        <v>2</v>
      </c>
      <c r="T115" s="19">
        <f t="shared" si="452"/>
        <v>0.32759999999999995</v>
      </c>
      <c r="U115" s="21">
        <f t="shared" si="453"/>
        <v>-2</v>
      </c>
      <c r="V115" s="19">
        <f t="shared" si="454"/>
        <v>-0.32759999999999995</v>
      </c>
    </row>
    <row r="116" spans="1:22">
      <c r="A116" s="26" t="s">
        <v>13</v>
      </c>
      <c r="B116" s="26" t="s">
        <v>47</v>
      </c>
      <c r="C116" s="26">
        <v>18.2</v>
      </c>
      <c r="D116" s="74">
        <v>8.5</v>
      </c>
      <c r="E116" s="28"/>
      <c r="F116" s="16">
        <f t="shared" si="446"/>
        <v>0</v>
      </c>
      <c r="G116" s="17"/>
      <c r="H116" s="18">
        <v>1</v>
      </c>
      <c r="I116" s="19">
        <f t="shared" si="447"/>
        <v>0.15469999999999998</v>
      </c>
      <c r="J116" s="16"/>
      <c r="K116" s="18"/>
      <c r="L116" s="19">
        <f t="shared" si="448"/>
        <v>0</v>
      </c>
      <c r="M116" s="16"/>
      <c r="N116" s="18"/>
      <c r="O116" s="19">
        <f t="shared" si="449"/>
        <v>0</v>
      </c>
      <c r="P116" s="16"/>
      <c r="Q116" s="18"/>
      <c r="R116" s="19">
        <f t="shared" si="450"/>
        <v>0</v>
      </c>
      <c r="S116" s="20">
        <f t="shared" si="451"/>
        <v>1</v>
      </c>
      <c r="T116" s="19">
        <f t="shared" si="452"/>
        <v>0.15469999999999998</v>
      </c>
      <c r="U116" s="21">
        <f t="shared" si="453"/>
        <v>-1</v>
      </c>
      <c r="V116" s="19">
        <f t="shared" si="454"/>
        <v>-0.15469999999999998</v>
      </c>
    </row>
    <row r="117" spans="1:22">
      <c r="A117" s="26" t="s">
        <v>13</v>
      </c>
      <c r="B117" s="26" t="s">
        <v>47</v>
      </c>
      <c r="C117" s="26">
        <v>18.2</v>
      </c>
      <c r="D117" s="74">
        <v>8.9</v>
      </c>
      <c r="E117" s="28"/>
      <c r="F117" s="16">
        <f t="shared" si="446"/>
        <v>0</v>
      </c>
      <c r="G117" s="17"/>
      <c r="H117" s="18">
        <v>4</v>
      </c>
      <c r="I117" s="19">
        <f t="shared" si="447"/>
        <v>0.64791999999999994</v>
      </c>
      <c r="J117" s="16"/>
      <c r="K117" s="18"/>
      <c r="L117" s="19">
        <f t="shared" si="448"/>
        <v>0</v>
      </c>
      <c r="M117" s="16"/>
      <c r="N117" s="18"/>
      <c r="O117" s="19">
        <f t="shared" si="449"/>
        <v>0</v>
      </c>
      <c r="P117" s="16"/>
      <c r="Q117" s="18"/>
      <c r="R117" s="19">
        <f t="shared" si="450"/>
        <v>0</v>
      </c>
      <c r="S117" s="20">
        <f t="shared" si="451"/>
        <v>4</v>
      </c>
      <c r="T117" s="19">
        <f t="shared" si="452"/>
        <v>0.64791999999999994</v>
      </c>
      <c r="U117" s="21">
        <f t="shared" si="453"/>
        <v>-4</v>
      </c>
      <c r="V117" s="19">
        <f t="shared" si="454"/>
        <v>-0.64791999999999994</v>
      </c>
    </row>
    <row r="118" spans="1:22">
      <c r="A118" s="26" t="s">
        <v>13</v>
      </c>
      <c r="B118" s="26" t="s">
        <v>47</v>
      </c>
      <c r="C118" s="26">
        <v>18.2</v>
      </c>
      <c r="D118" s="74">
        <v>7</v>
      </c>
      <c r="E118" s="28"/>
      <c r="F118" s="16">
        <f t="shared" si="446"/>
        <v>0</v>
      </c>
      <c r="G118" s="17"/>
      <c r="H118" s="18">
        <v>1</v>
      </c>
      <c r="I118" s="19">
        <f t="shared" si="447"/>
        <v>0.12739999999999999</v>
      </c>
      <c r="J118" s="16"/>
      <c r="K118" s="18"/>
      <c r="L118" s="19">
        <f t="shared" si="448"/>
        <v>0</v>
      </c>
      <c r="M118" s="16"/>
      <c r="N118" s="18"/>
      <c r="O118" s="19">
        <f t="shared" si="449"/>
        <v>0</v>
      </c>
      <c r="P118" s="16"/>
      <c r="Q118" s="18"/>
      <c r="R118" s="19">
        <f t="shared" si="450"/>
        <v>0</v>
      </c>
      <c r="S118" s="20">
        <f t="shared" si="451"/>
        <v>1</v>
      </c>
      <c r="T118" s="19">
        <f t="shared" si="452"/>
        <v>0.12739999999999999</v>
      </c>
      <c r="U118" s="21">
        <f t="shared" si="453"/>
        <v>-1</v>
      </c>
      <c r="V118" s="19">
        <f t="shared" si="454"/>
        <v>-0.12739999999999999</v>
      </c>
    </row>
    <row r="119" spans="1:22">
      <c r="A119" s="26" t="s">
        <v>13</v>
      </c>
      <c r="B119" s="26" t="s">
        <v>47</v>
      </c>
      <c r="C119" s="26">
        <v>18.2</v>
      </c>
      <c r="D119" s="74">
        <v>9.5</v>
      </c>
      <c r="E119" s="28"/>
      <c r="F119" s="16">
        <f t="shared" si="446"/>
        <v>0</v>
      </c>
      <c r="G119" s="17"/>
      <c r="H119" s="18">
        <v>1</v>
      </c>
      <c r="I119" s="19">
        <f t="shared" si="447"/>
        <v>0.1729</v>
      </c>
      <c r="J119" s="16"/>
      <c r="K119" s="18"/>
      <c r="L119" s="19">
        <f t="shared" si="448"/>
        <v>0</v>
      </c>
      <c r="M119" s="16"/>
      <c r="N119" s="18"/>
      <c r="O119" s="19">
        <f t="shared" si="449"/>
        <v>0</v>
      </c>
      <c r="P119" s="16"/>
      <c r="Q119" s="18"/>
      <c r="R119" s="19">
        <f t="shared" si="450"/>
        <v>0</v>
      </c>
      <c r="S119" s="20">
        <f t="shared" si="451"/>
        <v>1</v>
      </c>
      <c r="T119" s="19">
        <f t="shared" si="452"/>
        <v>0.1729</v>
      </c>
      <c r="U119" s="21">
        <f t="shared" si="453"/>
        <v>-1</v>
      </c>
      <c r="V119" s="19">
        <f t="shared" si="454"/>
        <v>-0.1729</v>
      </c>
    </row>
    <row r="120" spans="1:22">
      <c r="A120" s="26" t="s">
        <v>13</v>
      </c>
      <c r="B120" s="26" t="s">
        <v>47</v>
      </c>
      <c r="C120" s="26">
        <v>18.2</v>
      </c>
      <c r="D120" s="74"/>
      <c r="E120" s="28"/>
      <c r="F120" s="16">
        <f t="shared" si="446"/>
        <v>0</v>
      </c>
      <c r="G120" s="17"/>
      <c r="H120" s="18"/>
      <c r="I120" s="19">
        <f t="shared" si="447"/>
        <v>0</v>
      </c>
      <c r="J120" s="16"/>
      <c r="K120" s="18"/>
      <c r="L120" s="19">
        <f t="shared" si="448"/>
        <v>0</v>
      </c>
      <c r="M120" s="16"/>
      <c r="N120" s="18"/>
      <c r="O120" s="19">
        <f t="shared" si="449"/>
        <v>0</v>
      </c>
      <c r="P120" s="16"/>
      <c r="Q120" s="18"/>
      <c r="R120" s="19">
        <f t="shared" si="450"/>
        <v>0</v>
      </c>
      <c r="S120" s="20">
        <f t="shared" si="451"/>
        <v>0</v>
      </c>
      <c r="T120" s="19">
        <f t="shared" si="452"/>
        <v>0</v>
      </c>
      <c r="U120" s="21">
        <f t="shared" si="453"/>
        <v>0</v>
      </c>
      <c r="V120" s="19">
        <f t="shared" si="454"/>
        <v>0</v>
      </c>
    </row>
    <row r="121" spans="1:22">
      <c r="A121" s="26" t="s">
        <v>13</v>
      </c>
      <c r="B121" s="26" t="s">
        <v>47</v>
      </c>
      <c r="C121" s="26">
        <v>18.2</v>
      </c>
      <c r="D121" s="74"/>
      <c r="E121" s="28"/>
      <c r="F121" s="16">
        <f t="shared" si="446"/>
        <v>0</v>
      </c>
      <c r="G121" s="17"/>
      <c r="H121" s="18"/>
      <c r="I121" s="19">
        <f t="shared" si="447"/>
        <v>0</v>
      </c>
      <c r="J121" s="16"/>
      <c r="K121" s="18"/>
      <c r="L121" s="19">
        <f t="shared" si="448"/>
        <v>0</v>
      </c>
      <c r="M121" s="16"/>
      <c r="N121" s="18"/>
      <c r="O121" s="19">
        <f t="shared" si="449"/>
        <v>0</v>
      </c>
      <c r="P121" s="16"/>
      <c r="Q121" s="18"/>
      <c r="R121" s="19">
        <f t="shared" si="450"/>
        <v>0</v>
      </c>
      <c r="S121" s="20">
        <f t="shared" si="451"/>
        <v>0</v>
      </c>
      <c r="T121" s="19">
        <f t="shared" si="452"/>
        <v>0</v>
      </c>
      <c r="U121" s="21">
        <f t="shared" si="453"/>
        <v>0</v>
      </c>
      <c r="V121" s="19">
        <f t="shared" si="454"/>
        <v>0</v>
      </c>
    </row>
    <row r="122" spans="1:22">
      <c r="A122" s="26" t="s">
        <v>13</v>
      </c>
      <c r="B122" s="26" t="s">
        <v>47</v>
      </c>
      <c r="C122" s="26">
        <v>18.2</v>
      </c>
      <c r="D122" s="74"/>
      <c r="E122" s="28"/>
      <c r="F122" s="16">
        <f>(C122*D122*E122/1000)</f>
        <v>0</v>
      </c>
      <c r="G122" s="17"/>
      <c r="H122" s="18"/>
      <c r="I122" s="19">
        <f>(C122*D122*H122/1000)</f>
        <v>0</v>
      </c>
      <c r="J122" s="16"/>
      <c r="K122" s="18"/>
      <c r="L122" s="19">
        <f>(C122*D122*K122/1000)</f>
        <v>0</v>
      </c>
      <c r="M122" s="16"/>
      <c r="N122" s="18"/>
      <c r="O122" s="19">
        <f>(C122*D122*N122/1000)</f>
        <v>0</v>
      </c>
      <c r="P122" s="16"/>
      <c r="Q122" s="18"/>
      <c r="R122" s="19">
        <f>(C122*D122*Q122/1000)</f>
        <v>0</v>
      </c>
      <c r="S122" s="20">
        <f t="shared" si="444"/>
        <v>0</v>
      </c>
      <c r="T122" s="19">
        <f t="shared" si="444"/>
        <v>0</v>
      </c>
      <c r="U122" s="21">
        <f t="shared" si="445"/>
        <v>0</v>
      </c>
      <c r="V122" s="19">
        <f t="shared" si="445"/>
        <v>0</v>
      </c>
    </row>
    <row r="123" spans="1:22">
      <c r="A123" s="26"/>
      <c r="B123" s="41" t="s">
        <v>379</v>
      </c>
      <c r="C123" s="26"/>
      <c r="D123" s="74"/>
      <c r="E123" s="31">
        <f t="shared" ref="E123:F123" si="455">SUM(E112:E122)</f>
        <v>34</v>
      </c>
      <c r="F123" s="77">
        <f t="shared" si="455"/>
        <v>7.0688799999999992</v>
      </c>
      <c r="G123" s="26"/>
      <c r="H123" s="31">
        <f t="shared" ref="H123" si="456">SUM(H112:H122)</f>
        <v>37</v>
      </c>
      <c r="I123" s="77">
        <f t="shared" ref="I123" si="457">SUM(I112:I122)</f>
        <v>7.2654399999999999</v>
      </c>
      <c r="J123" s="26"/>
      <c r="K123" s="31">
        <f t="shared" ref="K123" si="458">SUM(K112:K122)</f>
        <v>0</v>
      </c>
      <c r="L123" s="77">
        <f t="shared" ref="L123" si="459">SUM(L112:L122)</f>
        <v>0</v>
      </c>
      <c r="M123" s="26"/>
      <c r="N123" s="31">
        <f t="shared" ref="N123" si="460">SUM(N112:N122)</f>
        <v>0</v>
      </c>
      <c r="O123" s="77">
        <f t="shared" ref="O123" si="461">SUM(O112:O122)</f>
        <v>0</v>
      </c>
      <c r="P123" s="26"/>
      <c r="Q123" s="31">
        <f t="shared" ref="Q123" si="462">SUM(Q112:Q122)</f>
        <v>0</v>
      </c>
      <c r="R123" s="77">
        <f t="shared" ref="R123" si="463">SUM(R112:R122)</f>
        <v>0</v>
      </c>
      <c r="S123" s="31">
        <f t="shared" ref="S123" si="464">SUM(S112:S122)</f>
        <v>37</v>
      </c>
      <c r="T123" s="77">
        <f t="shared" ref="T123" si="465">SUM(T112:T122)</f>
        <v>7.2654399999999999</v>
      </c>
      <c r="U123" s="31">
        <f t="shared" ref="U123" si="466">SUM(U112:U122)</f>
        <v>-3</v>
      </c>
      <c r="V123" s="77">
        <f t="shared" ref="V123" si="467">SUM(V112:V122)</f>
        <v>-0.19656000000000004</v>
      </c>
    </row>
    <row r="124" spans="1:22">
      <c r="A124" s="26" t="s">
        <v>13</v>
      </c>
      <c r="B124" s="26" t="s">
        <v>49</v>
      </c>
      <c r="C124" s="26">
        <v>14.7</v>
      </c>
      <c r="D124" s="74">
        <v>9.6999999999999993</v>
      </c>
      <c r="E124" s="28">
        <v>8</v>
      </c>
      <c r="F124" s="16">
        <f>(C124*D124*E124/1000)</f>
        <v>1.1407199999999997</v>
      </c>
      <c r="G124" s="16" t="s">
        <v>93</v>
      </c>
      <c r="H124" s="18">
        <v>6</v>
      </c>
      <c r="I124" s="19">
        <f>(C124*D124*H124/1000)</f>
        <v>0.85553999999999986</v>
      </c>
      <c r="J124" s="16"/>
      <c r="K124" s="18"/>
      <c r="L124" s="19">
        <f>(C124*D124*K124/1000)</f>
        <v>0</v>
      </c>
      <c r="M124" s="16"/>
      <c r="N124" s="18"/>
      <c r="O124" s="19">
        <f>(C124*D124*N124/1000)</f>
        <v>0</v>
      </c>
      <c r="P124" s="16"/>
      <c r="Q124" s="18"/>
      <c r="R124" s="19">
        <f>(C124*D124*Q124/1000)</f>
        <v>0</v>
      </c>
      <c r="S124" s="20">
        <f t="shared" ref="S124:T136" si="468">+H124+K124+Q124+N124</f>
        <v>6</v>
      </c>
      <c r="T124" s="19">
        <f t="shared" si="468"/>
        <v>0.85553999999999986</v>
      </c>
      <c r="U124" s="21">
        <f t="shared" ref="U124:V136" si="469">E124-S124</f>
        <v>2</v>
      </c>
      <c r="V124" s="19">
        <f t="shared" si="469"/>
        <v>0.28517999999999988</v>
      </c>
    </row>
    <row r="125" spans="1:22">
      <c r="A125" s="26" t="s">
        <v>13</v>
      </c>
      <c r="B125" s="26" t="s">
        <v>49</v>
      </c>
      <c r="C125" s="26">
        <v>14.7</v>
      </c>
      <c r="D125" s="74">
        <v>11.1</v>
      </c>
      <c r="E125" s="28">
        <v>16</v>
      </c>
      <c r="F125" s="16">
        <f>(C125*D125*E125/1000)</f>
        <v>2.6107199999999997</v>
      </c>
      <c r="G125" s="16" t="s">
        <v>451</v>
      </c>
      <c r="H125" s="18">
        <v>8</v>
      </c>
      <c r="I125" s="19">
        <f>(C125*D125*H125/1000)</f>
        <v>1.3053599999999999</v>
      </c>
      <c r="J125" s="16"/>
      <c r="K125" s="18"/>
      <c r="L125" s="19">
        <f>(C125*D125*K125/1000)</f>
        <v>0</v>
      </c>
      <c r="M125" s="16"/>
      <c r="N125" s="18"/>
      <c r="O125" s="19">
        <f>(C125*D125*N125/1000)</f>
        <v>0</v>
      </c>
      <c r="P125" s="16"/>
      <c r="Q125" s="18"/>
      <c r="R125" s="19">
        <f>(C125*D125*Q125/1000)</f>
        <v>0</v>
      </c>
      <c r="S125" s="20">
        <f t="shared" si="468"/>
        <v>8</v>
      </c>
      <c r="T125" s="19">
        <f t="shared" si="468"/>
        <v>1.3053599999999999</v>
      </c>
      <c r="U125" s="21">
        <f t="shared" si="469"/>
        <v>8</v>
      </c>
      <c r="V125" s="19">
        <f t="shared" si="469"/>
        <v>1.3053599999999999</v>
      </c>
    </row>
    <row r="126" spans="1:22">
      <c r="A126" s="26" t="s">
        <v>13</v>
      </c>
      <c r="B126" s="26" t="s">
        <v>49</v>
      </c>
      <c r="C126" s="26">
        <v>14.7</v>
      </c>
      <c r="D126" s="74">
        <v>11.5</v>
      </c>
      <c r="E126" s="28">
        <v>24</v>
      </c>
      <c r="F126" s="16">
        <f t="shared" ref="F126:F134" si="470">(C126*D126*E126/1000)</f>
        <v>4.0571999999999999</v>
      </c>
      <c r="G126" s="17"/>
      <c r="H126" s="18">
        <v>14</v>
      </c>
      <c r="I126" s="19">
        <f t="shared" ref="I126:I134" si="471">(C126*D126*H126/1000)</f>
        <v>2.3666999999999998</v>
      </c>
      <c r="J126" s="16"/>
      <c r="K126" s="18"/>
      <c r="L126" s="19">
        <f t="shared" ref="L126:L134" si="472">(C126*D126*K126/1000)</f>
        <v>0</v>
      </c>
      <c r="M126" s="16"/>
      <c r="N126" s="18"/>
      <c r="O126" s="19">
        <f t="shared" ref="O126:O134" si="473">(C126*D126*N126/1000)</f>
        <v>0</v>
      </c>
      <c r="P126" s="16"/>
      <c r="Q126" s="18"/>
      <c r="R126" s="19">
        <f t="shared" ref="R126:R134" si="474">(C126*D126*Q126/1000)</f>
        <v>0</v>
      </c>
      <c r="S126" s="20">
        <f t="shared" ref="S126:S135" si="475">+H126+K126+Q126+N126</f>
        <v>14</v>
      </c>
      <c r="T126" s="19">
        <f t="shared" ref="T126:T135" si="476">+I126+L126+R126+O126</f>
        <v>2.3666999999999998</v>
      </c>
      <c r="U126" s="21">
        <f t="shared" ref="U126:U135" si="477">E126-S126</f>
        <v>10</v>
      </c>
      <c r="V126" s="19">
        <f t="shared" ref="V126:V135" si="478">F126-T126</f>
        <v>1.6905000000000001</v>
      </c>
    </row>
    <row r="127" spans="1:22">
      <c r="A127" s="26" t="s">
        <v>13</v>
      </c>
      <c r="B127" s="26" t="s">
        <v>49</v>
      </c>
      <c r="C127" s="26">
        <v>14.7</v>
      </c>
      <c r="D127" s="74">
        <v>12</v>
      </c>
      <c r="E127" s="28"/>
      <c r="F127" s="16">
        <f t="shared" si="470"/>
        <v>0</v>
      </c>
      <c r="G127" s="17"/>
      <c r="H127" s="18">
        <v>5</v>
      </c>
      <c r="I127" s="19">
        <f t="shared" si="471"/>
        <v>0.8819999999999999</v>
      </c>
      <c r="J127" s="16"/>
      <c r="K127" s="18"/>
      <c r="L127" s="19">
        <f t="shared" si="472"/>
        <v>0</v>
      </c>
      <c r="M127" s="16"/>
      <c r="N127" s="18"/>
      <c r="O127" s="19">
        <f t="shared" si="473"/>
        <v>0</v>
      </c>
      <c r="P127" s="16"/>
      <c r="Q127" s="18"/>
      <c r="R127" s="19">
        <f t="shared" si="474"/>
        <v>0</v>
      </c>
      <c r="S127" s="20">
        <f t="shared" si="475"/>
        <v>5</v>
      </c>
      <c r="T127" s="19">
        <f t="shared" si="476"/>
        <v>0.8819999999999999</v>
      </c>
      <c r="U127" s="21">
        <f t="shared" si="477"/>
        <v>-5</v>
      </c>
      <c r="V127" s="19">
        <f t="shared" si="478"/>
        <v>-0.8819999999999999</v>
      </c>
    </row>
    <row r="128" spans="1:22">
      <c r="A128" s="26" t="s">
        <v>13</v>
      </c>
      <c r="B128" s="26" t="s">
        <v>49</v>
      </c>
      <c r="C128" s="26">
        <v>14.7</v>
      </c>
      <c r="D128" s="74">
        <v>7</v>
      </c>
      <c r="E128" s="28"/>
      <c r="F128" s="16">
        <f t="shared" si="470"/>
        <v>0</v>
      </c>
      <c r="G128" s="17"/>
      <c r="H128" s="18">
        <v>3</v>
      </c>
      <c r="I128" s="19">
        <f t="shared" si="471"/>
        <v>0.30869999999999997</v>
      </c>
      <c r="J128" s="16"/>
      <c r="K128" s="18"/>
      <c r="L128" s="19">
        <f t="shared" si="472"/>
        <v>0</v>
      </c>
      <c r="M128" s="16"/>
      <c r="N128" s="18"/>
      <c r="O128" s="19">
        <f t="shared" si="473"/>
        <v>0</v>
      </c>
      <c r="P128" s="16"/>
      <c r="Q128" s="18"/>
      <c r="R128" s="19">
        <f t="shared" si="474"/>
        <v>0</v>
      </c>
      <c r="S128" s="20">
        <f t="shared" si="475"/>
        <v>3</v>
      </c>
      <c r="T128" s="19">
        <f t="shared" si="476"/>
        <v>0.30869999999999997</v>
      </c>
      <c r="U128" s="21">
        <f t="shared" si="477"/>
        <v>-3</v>
      </c>
      <c r="V128" s="19">
        <f t="shared" si="478"/>
        <v>-0.30869999999999997</v>
      </c>
    </row>
    <row r="129" spans="1:22">
      <c r="A129" s="26" t="s">
        <v>13</v>
      </c>
      <c r="B129" s="26" t="s">
        <v>49</v>
      </c>
      <c r="C129" s="26">
        <v>14.7</v>
      </c>
      <c r="D129" s="74">
        <v>7.7</v>
      </c>
      <c r="E129" s="28"/>
      <c r="F129" s="16">
        <f t="shared" si="470"/>
        <v>0</v>
      </c>
      <c r="G129" s="17"/>
      <c r="H129" s="18">
        <v>5</v>
      </c>
      <c r="I129" s="19">
        <f t="shared" si="471"/>
        <v>0.56595000000000006</v>
      </c>
      <c r="J129" s="16"/>
      <c r="K129" s="18"/>
      <c r="L129" s="19">
        <f t="shared" si="472"/>
        <v>0</v>
      </c>
      <c r="M129" s="16"/>
      <c r="N129" s="18"/>
      <c r="O129" s="19">
        <f t="shared" si="473"/>
        <v>0</v>
      </c>
      <c r="P129" s="16"/>
      <c r="Q129" s="18"/>
      <c r="R129" s="19">
        <f t="shared" si="474"/>
        <v>0</v>
      </c>
      <c r="S129" s="20">
        <f t="shared" si="475"/>
        <v>5</v>
      </c>
      <c r="T129" s="19">
        <f t="shared" si="476"/>
        <v>0.56595000000000006</v>
      </c>
      <c r="U129" s="21">
        <f t="shared" si="477"/>
        <v>-5</v>
      </c>
      <c r="V129" s="19">
        <f t="shared" si="478"/>
        <v>-0.56595000000000006</v>
      </c>
    </row>
    <row r="130" spans="1:22">
      <c r="A130" s="26" t="s">
        <v>13</v>
      </c>
      <c r="B130" s="26" t="s">
        <v>49</v>
      </c>
      <c r="C130" s="26">
        <v>14.7</v>
      </c>
      <c r="D130" s="74">
        <v>8</v>
      </c>
      <c r="E130" s="28"/>
      <c r="F130" s="16">
        <f t="shared" si="470"/>
        <v>0</v>
      </c>
      <c r="G130" s="17"/>
      <c r="H130" s="18">
        <v>2</v>
      </c>
      <c r="I130" s="19">
        <f t="shared" si="471"/>
        <v>0.23519999999999999</v>
      </c>
      <c r="J130" s="16"/>
      <c r="K130" s="18"/>
      <c r="L130" s="19">
        <f t="shared" si="472"/>
        <v>0</v>
      </c>
      <c r="M130" s="16"/>
      <c r="N130" s="18"/>
      <c r="O130" s="19">
        <f t="shared" si="473"/>
        <v>0</v>
      </c>
      <c r="P130" s="16"/>
      <c r="Q130" s="18"/>
      <c r="R130" s="19">
        <f t="shared" si="474"/>
        <v>0</v>
      </c>
      <c r="S130" s="20">
        <f t="shared" si="475"/>
        <v>2</v>
      </c>
      <c r="T130" s="19">
        <f t="shared" si="476"/>
        <v>0.23519999999999999</v>
      </c>
      <c r="U130" s="21">
        <f t="shared" si="477"/>
        <v>-2</v>
      </c>
      <c r="V130" s="19">
        <f t="shared" si="478"/>
        <v>-0.23519999999999999</v>
      </c>
    </row>
    <row r="131" spans="1:22">
      <c r="A131" s="26" t="s">
        <v>13</v>
      </c>
      <c r="B131" s="26" t="s">
        <v>49</v>
      </c>
      <c r="C131" s="26">
        <v>14.7</v>
      </c>
      <c r="D131" s="74">
        <v>7.3</v>
      </c>
      <c r="E131" s="28"/>
      <c r="F131" s="16">
        <f t="shared" si="470"/>
        <v>0</v>
      </c>
      <c r="G131" s="17"/>
      <c r="H131" s="18">
        <v>4</v>
      </c>
      <c r="I131" s="19">
        <f t="shared" si="471"/>
        <v>0.42923999999999995</v>
      </c>
      <c r="J131" s="16"/>
      <c r="K131" s="18"/>
      <c r="L131" s="19">
        <f t="shared" si="472"/>
        <v>0</v>
      </c>
      <c r="M131" s="16"/>
      <c r="N131" s="18"/>
      <c r="O131" s="19">
        <f t="shared" si="473"/>
        <v>0</v>
      </c>
      <c r="P131" s="16"/>
      <c r="Q131" s="18"/>
      <c r="R131" s="19">
        <f t="shared" si="474"/>
        <v>0</v>
      </c>
      <c r="S131" s="20">
        <f t="shared" si="475"/>
        <v>4</v>
      </c>
      <c r="T131" s="19">
        <f t="shared" si="476"/>
        <v>0.42923999999999995</v>
      </c>
      <c r="U131" s="21">
        <f t="shared" si="477"/>
        <v>-4</v>
      </c>
      <c r="V131" s="19">
        <f t="shared" si="478"/>
        <v>-0.42923999999999995</v>
      </c>
    </row>
    <row r="132" spans="1:22">
      <c r="A132" s="26" t="s">
        <v>13</v>
      </c>
      <c r="B132" s="26" t="s">
        <v>49</v>
      </c>
      <c r="C132" s="26">
        <v>14.7</v>
      </c>
      <c r="D132" s="74">
        <v>6.5</v>
      </c>
      <c r="E132" s="28"/>
      <c r="F132" s="16">
        <f t="shared" si="470"/>
        <v>0</v>
      </c>
      <c r="G132" s="17"/>
      <c r="H132" s="18">
        <v>1</v>
      </c>
      <c r="I132" s="19">
        <f t="shared" si="471"/>
        <v>9.5549999999999996E-2</v>
      </c>
      <c r="J132" s="16"/>
      <c r="K132" s="18"/>
      <c r="L132" s="19">
        <f t="shared" si="472"/>
        <v>0</v>
      </c>
      <c r="M132" s="16"/>
      <c r="N132" s="18"/>
      <c r="O132" s="19">
        <f t="shared" si="473"/>
        <v>0</v>
      </c>
      <c r="P132" s="16"/>
      <c r="Q132" s="18"/>
      <c r="R132" s="19">
        <f t="shared" si="474"/>
        <v>0</v>
      </c>
      <c r="S132" s="20">
        <f t="shared" si="475"/>
        <v>1</v>
      </c>
      <c r="T132" s="19">
        <f t="shared" si="476"/>
        <v>9.5549999999999996E-2</v>
      </c>
      <c r="U132" s="21">
        <f t="shared" si="477"/>
        <v>-1</v>
      </c>
      <c r="V132" s="19">
        <f t="shared" si="478"/>
        <v>-9.5549999999999996E-2</v>
      </c>
    </row>
    <row r="133" spans="1:22">
      <c r="A133" s="26" t="s">
        <v>13</v>
      </c>
      <c r="B133" s="26" t="s">
        <v>49</v>
      </c>
      <c r="C133" s="26">
        <v>14.7</v>
      </c>
      <c r="D133" s="74">
        <v>11.7</v>
      </c>
      <c r="E133" s="28"/>
      <c r="F133" s="16">
        <f t="shared" si="470"/>
        <v>0</v>
      </c>
      <c r="G133" s="17"/>
      <c r="H133" s="18">
        <v>3</v>
      </c>
      <c r="I133" s="19">
        <f t="shared" si="471"/>
        <v>0.51596999999999993</v>
      </c>
      <c r="J133" s="16"/>
      <c r="K133" s="18"/>
      <c r="L133" s="19">
        <f t="shared" si="472"/>
        <v>0</v>
      </c>
      <c r="M133" s="16"/>
      <c r="N133" s="18"/>
      <c r="O133" s="19">
        <f t="shared" si="473"/>
        <v>0</v>
      </c>
      <c r="P133" s="16"/>
      <c r="Q133" s="18"/>
      <c r="R133" s="19">
        <f t="shared" si="474"/>
        <v>0</v>
      </c>
      <c r="S133" s="20">
        <f t="shared" si="475"/>
        <v>3</v>
      </c>
      <c r="T133" s="19">
        <f t="shared" si="476"/>
        <v>0.51596999999999993</v>
      </c>
      <c r="U133" s="21">
        <f t="shared" si="477"/>
        <v>-3</v>
      </c>
      <c r="V133" s="19">
        <f t="shared" si="478"/>
        <v>-0.51596999999999993</v>
      </c>
    </row>
    <row r="134" spans="1:22">
      <c r="A134" s="26" t="s">
        <v>13</v>
      </c>
      <c r="B134" s="26" t="s">
        <v>49</v>
      </c>
      <c r="C134" s="26">
        <v>14.7</v>
      </c>
      <c r="D134" s="74">
        <v>9.6</v>
      </c>
      <c r="E134" s="28"/>
      <c r="F134" s="16">
        <f t="shared" si="470"/>
        <v>0</v>
      </c>
      <c r="G134" s="17"/>
      <c r="H134" s="18">
        <v>1</v>
      </c>
      <c r="I134" s="19">
        <f t="shared" si="471"/>
        <v>0.14111999999999997</v>
      </c>
      <c r="J134" s="16"/>
      <c r="K134" s="18"/>
      <c r="L134" s="19">
        <f t="shared" si="472"/>
        <v>0</v>
      </c>
      <c r="M134" s="16"/>
      <c r="N134" s="18"/>
      <c r="O134" s="19">
        <f t="shared" si="473"/>
        <v>0</v>
      </c>
      <c r="P134" s="16"/>
      <c r="Q134" s="18"/>
      <c r="R134" s="19">
        <f t="shared" si="474"/>
        <v>0</v>
      </c>
      <c r="S134" s="20">
        <f t="shared" si="475"/>
        <v>1</v>
      </c>
      <c r="T134" s="19">
        <f t="shared" si="476"/>
        <v>0.14111999999999997</v>
      </c>
      <c r="U134" s="21">
        <f t="shared" si="477"/>
        <v>-1</v>
      </c>
      <c r="V134" s="19">
        <f t="shared" si="478"/>
        <v>-0.14111999999999997</v>
      </c>
    </row>
    <row r="135" spans="1:22">
      <c r="A135" s="26" t="s">
        <v>13</v>
      </c>
      <c r="B135" s="26" t="s">
        <v>49</v>
      </c>
      <c r="C135" s="26">
        <v>14.7</v>
      </c>
      <c r="D135" s="74">
        <v>8.8000000000000007</v>
      </c>
      <c r="E135" s="28"/>
      <c r="F135" s="16">
        <f>(C135*D135*E135/1000)</f>
        <v>0</v>
      </c>
      <c r="G135" s="17"/>
      <c r="H135" s="18">
        <v>1</v>
      </c>
      <c r="I135" s="19">
        <f>(C135*D135*H135/1000)</f>
        <v>0.12936</v>
      </c>
      <c r="J135" s="16"/>
      <c r="K135" s="18"/>
      <c r="L135" s="19">
        <f>(C135*D135*K135/1000)</f>
        <v>0</v>
      </c>
      <c r="M135" s="16"/>
      <c r="N135" s="18"/>
      <c r="O135" s="19">
        <f>(C135*D135*N135/1000)</f>
        <v>0</v>
      </c>
      <c r="P135" s="16"/>
      <c r="Q135" s="18"/>
      <c r="R135" s="19">
        <f>(C135*D135*Q135/1000)</f>
        <v>0</v>
      </c>
      <c r="S135" s="20">
        <f t="shared" si="475"/>
        <v>1</v>
      </c>
      <c r="T135" s="19">
        <f t="shared" si="476"/>
        <v>0.12936</v>
      </c>
      <c r="U135" s="21">
        <f t="shared" si="477"/>
        <v>-1</v>
      </c>
      <c r="V135" s="19">
        <f t="shared" si="478"/>
        <v>-0.12936</v>
      </c>
    </row>
    <row r="136" spans="1:22">
      <c r="A136" s="26" t="s">
        <v>13</v>
      </c>
      <c r="B136" s="26" t="s">
        <v>49</v>
      </c>
      <c r="C136" s="26">
        <v>14.7</v>
      </c>
      <c r="D136" s="74">
        <v>9</v>
      </c>
      <c r="E136" s="28"/>
      <c r="F136" s="16">
        <f>(C136*D136*E136/1000)</f>
        <v>0</v>
      </c>
      <c r="G136" s="17"/>
      <c r="H136" s="18">
        <v>2</v>
      </c>
      <c r="I136" s="19">
        <f>(C136*D136*H136/1000)</f>
        <v>0.26459999999999995</v>
      </c>
      <c r="J136" s="16"/>
      <c r="K136" s="18"/>
      <c r="L136" s="19">
        <f>(C136*D136*K136/1000)</f>
        <v>0</v>
      </c>
      <c r="M136" s="16"/>
      <c r="N136" s="18"/>
      <c r="O136" s="19">
        <f>(C136*D136*N136/1000)</f>
        <v>0</v>
      </c>
      <c r="P136" s="16"/>
      <c r="Q136" s="18"/>
      <c r="R136" s="19">
        <f>(C136*D136*Q136/1000)</f>
        <v>0</v>
      </c>
      <c r="S136" s="20">
        <f t="shared" si="468"/>
        <v>2</v>
      </c>
      <c r="T136" s="19">
        <f t="shared" si="468"/>
        <v>0.26459999999999995</v>
      </c>
      <c r="U136" s="21">
        <f t="shared" si="469"/>
        <v>-2</v>
      </c>
      <c r="V136" s="19">
        <f t="shared" si="469"/>
        <v>-0.26459999999999995</v>
      </c>
    </row>
    <row r="137" spans="1:22">
      <c r="A137" s="26"/>
      <c r="B137" s="41" t="s">
        <v>379</v>
      </c>
      <c r="C137" s="26"/>
      <c r="D137" s="74"/>
      <c r="E137" s="31">
        <f t="shared" ref="E137:F137" si="479">SUM(E124:E136)</f>
        <v>48</v>
      </c>
      <c r="F137" s="77">
        <f t="shared" si="479"/>
        <v>7.8086399999999996</v>
      </c>
      <c r="G137" s="26"/>
      <c r="H137" s="31">
        <f t="shared" ref="H137" si="480">SUM(H124:H136)</f>
        <v>55</v>
      </c>
      <c r="I137" s="77">
        <f t="shared" ref="I137" si="481">SUM(I124:I136)</f>
        <v>8.0952900000000003</v>
      </c>
      <c r="J137" s="26"/>
      <c r="K137" s="31">
        <f t="shared" ref="K137" si="482">SUM(K124:K136)</f>
        <v>0</v>
      </c>
      <c r="L137" s="77">
        <f t="shared" ref="L137" si="483">SUM(L124:L136)</f>
        <v>0</v>
      </c>
      <c r="M137" s="26"/>
      <c r="N137" s="31">
        <f t="shared" ref="N137" si="484">SUM(N124:N136)</f>
        <v>0</v>
      </c>
      <c r="O137" s="77">
        <f t="shared" ref="O137" si="485">SUM(O124:O136)</f>
        <v>0</v>
      </c>
      <c r="P137" s="26"/>
      <c r="Q137" s="31">
        <f t="shared" ref="Q137" si="486">SUM(Q124:Q136)</f>
        <v>0</v>
      </c>
      <c r="R137" s="77">
        <f t="shared" ref="R137" si="487">SUM(R124:R136)</f>
        <v>0</v>
      </c>
      <c r="S137" s="31">
        <f t="shared" ref="S137" si="488">SUM(S124:S136)</f>
        <v>55</v>
      </c>
      <c r="T137" s="77">
        <f t="shared" ref="T137" si="489">SUM(T124:T136)</f>
        <v>8.0952900000000003</v>
      </c>
      <c r="U137" s="31">
        <f t="shared" ref="U137" si="490">SUM(U124:U136)</f>
        <v>-7</v>
      </c>
      <c r="V137" s="77">
        <f t="shared" ref="V137" si="491">SUM(V124:V136)</f>
        <v>-0.28664999999999952</v>
      </c>
    </row>
    <row r="138" spans="1:22">
      <c r="A138" s="26" t="s">
        <v>13</v>
      </c>
      <c r="B138" s="26" t="s">
        <v>50</v>
      </c>
      <c r="C138" s="26">
        <v>16.5</v>
      </c>
      <c r="D138" s="74">
        <v>10.3</v>
      </c>
      <c r="E138" s="28">
        <v>16</v>
      </c>
      <c r="F138" s="16">
        <f>(C138*D138*E138/1000)</f>
        <v>2.7192000000000003</v>
      </c>
      <c r="G138" s="16" t="s">
        <v>93</v>
      </c>
      <c r="H138" s="18">
        <v>15</v>
      </c>
      <c r="I138" s="19">
        <f>(C138*D138*H138/1000)</f>
        <v>2.5492500000000002</v>
      </c>
      <c r="J138" s="16"/>
      <c r="K138" s="18"/>
      <c r="L138" s="19">
        <f>(C138*D138*K138/1000)</f>
        <v>0</v>
      </c>
      <c r="M138" s="16"/>
      <c r="N138" s="18"/>
      <c r="O138" s="19">
        <f>(C138*D138*N138/1000)</f>
        <v>0</v>
      </c>
      <c r="P138" s="16"/>
      <c r="Q138" s="18"/>
      <c r="R138" s="19">
        <f>(C138*D138*Q138/1000)</f>
        <v>0</v>
      </c>
      <c r="S138" s="20">
        <f>+H138+K138+Q138+N138</f>
        <v>15</v>
      </c>
      <c r="T138" s="19">
        <f>+I138+L138+R138+O138</f>
        <v>2.5492500000000002</v>
      </c>
      <c r="U138" s="21">
        <f>E138-S138</f>
        <v>1</v>
      </c>
      <c r="V138" s="19">
        <f>F138-T138</f>
        <v>0.16995000000000005</v>
      </c>
    </row>
    <row r="139" spans="1:22">
      <c r="A139" s="26" t="s">
        <v>13</v>
      </c>
      <c r="B139" s="26" t="s">
        <v>50</v>
      </c>
      <c r="C139" s="26">
        <v>16.5</v>
      </c>
      <c r="D139" s="74">
        <v>11.5</v>
      </c>
      <c r="E139" s="28">
        <v>2</v>
      </c>
      <c r="F139" s="16">
        <f t="shared" ref="F139:F141" si="492">(C139*D139*E139/1000)</f>
        <v>0.3795</v>
      </c>
      <c r="G139" s="16" t="s">
        <v>451</v>
      </c>
      <c r="H139" s="18"/>
      <c r="I139" s="19">
        <f t="shared" ref="I139:I141" si="493">(C139*D139*H139/1000)</f>
        <v>0</v>
      </c>
      <c r="J139" s="16"/>
      <c r="K139" s="18"/>
      <c r="L139" s="19">
        <f t="shared" ref="L139:L141" si="494">(C139*D139*K139/1000)</f>
        <v>0</v>
      </c>
      <c r="M139" s="16"/>
      <c r="N139" s="18"/>
      <c r="O139" s="19">
        <f t="shared" ref="O139:O141" si="495">(C139*D139*N139/1000)</f>
        <v>0</v>
      </c>
      <c r="P139" s="16"/>
      <c r="Q139" s="18"/>
      <c r="R139" s="19">
        <f t="shared" ref="R139:R141" si="496">(C139*D139*Q139/1000)</f>
        <v>0</v>
      </c>
      <c r="S139" s="20">
        <f t="shared" ref="S139:S141" si="497">+H139+K139+Q139+N139</f>
        <v>0</v>
      </c>
      <c r="T139" s="19">
        <f t="shared" ref="T139:T141" si="498">+I139+L139+R139+O139</f>
        <v>0</v>
      </c>
      <c r="U139" s="21">
        <f t="shared" ref="U139:U141" si="499">E139-S139</f>
        <v>2</v>
      </c>
      <c r="V139" s="19">
        <f t="shared" ref="V139:V141" si="500">F139-T139</f>
        <v>0.3795</v>
      </c>
    </row>
    <row r="140" spans="1:22">
      <c r="A140" s="26" t="s">
        <v>13</v>
      </c>
      <c r="B140" s="26" t="s">
        <v>50</v>
      </c>
      <c r="C140" s="26">
        <v>16.5</v>
      </c>
      <c r="D140" s="74">
        <v>7.5</v>
      </c>
      <c r="E140" s="28"/>
      <c r="F140" s="16">
        <f t="shared" si="492"/>
        <v>0</v>
      </c>
      <c r="G140" s="16"/>
      <c r="H140" s="18">
        <v>2</v>
      </c>
      <c r="I140" s="19">
        <f t="shared" si="493"/>
        <v>0.2475</v>
      </c>
      <c r="J140" s="16"/>
      <c r="K140" s="18"/>
      <c r="L140" s="19">
        <f t="shared" si="494"/>
        <v>0</v>
      </c>
      <c r="M140" s="16"/>
      <c r="N140" s="18"/>
      <c r="O140" s="19">
        <f t="shared" si="495"/>
        <v>0</v>
      </c>
      <c r="P140" s="16"/>
      <c r="Q140" s="18"/>
      <c r="R140" s="19">
        <f t="shared" si="496"/>
        <v>0</v>
      </c>
      <c r="S140" s="20">
        <f t="shared" si="497"/>
        <v>2</v>
      </c>
      <c r="T140" s="19">
        <f t="shared" si="498"/>
        <v>0.2475</v>
      </c>
      <c r="U140" s="21">
        <f t="shared" si="499"/>
        <v>-2</v>
      </c>
      <c r="V140" s="19">
        <f t="shared" si="500"/>
        <v>-0.2475</v>
      </c>
    </row>
    <row r="141" spans="1:22">
      <c r="A141" s="26" t="s">
        <v>13</v>
      </c>
      <c r="B141" s="26" t="s">
        <v>50</v>
      </c>
      <c r="C141" s="26">
        <v>16.5</v>
      </c>
      <c r="D141" s="74">
        <v>7.8</v>
      </c>
      <c r="E141" s="28"/>
      <c r="F141" s="16">
        <f t="shared" si="492"/>
        <v>0</v>
      </c>
      <c r="G141" s="16"/>
      <c r="H141" s="18">
        <v>3</v>
      </c>
      <c r="I141" s="19">
        <f t="shared" si="493"/>
        <v>0.38609999999999994</v>
      </c>
      <c r="J141" s="16"/>
      <c r="K141" s="18"/>
      <c r="L141" s="19">
        <f t="shared" si="494"/>
        <v>0</v>
      </c>
      <c r="M141" s="16"/>
      <c r="N141" s="18"/>
      <c r="O141" s="19">
        <f t="shared" si="495"/>
        <v>0</v>
      </c>
      <c r="P141" s="16"/>
      <c r="Q141" s="18"/>
      <c r="R141" s="19">
        <f t="shared" si="496"/>
        <v>0</v>
      </c>
      <c r="S141" s="20">
        <f t="shared" si="497"/>
        <v>3</v>
      </c>
      <c r="T141" s="19">
        <f t="shared" si="498"/>
        <v>0.38609999999999994</v>
      </c>
      <c r="U141" s="21">
        <f t="shared" si="499"/>
        <v>-3</v>
      </c>
      <c r="V141" s="19">
        <f t="shared" si="500"/>
        <v>-0.38609999999999994</v>
      </c>
    </row>
    <row r="142" spans="1:22">
      <c r="A142" s="26" t="s">
        <v>13</v>
      </c>
      <c r="B142" s="26" t="s">
        <v>50</v>
      </c>
      <c r="C142" s="26">
        <v>16.5</v>
      </c>
      <c r="D142" s="74">
        <v>7.4</v>
      </c>
      <c r="E142" s="28"/>
      <c r="F142" s="16">
        <f>(C142*D142*E142/1000)</f>
        <v>0</v>
      </c>
      <c r="G142" s="16"/>
      <c r="H142" s="18">
        <v>1</v>
      </c>
      <c r="I142" s="19">
        <f>(C142*D142*H142/1000)</f>
        <v>0.12210000000000001</v>
      </c>
      <c r="J142" s="16"/>
      <c r="K142" s="18"/>
      <c r="L142" s="19">
        <f>(C142*D142*K142/1000)</f>
        <v>0</v>
      </c>
      <c r="M142" s="16"/>
      <c r="N142" s="18"/>
      <c r="O142" s="19">
        <f>(C142*D142*N142/1000)</f>
        <v>0</v>
      </c>
      <c r="P142" s="16"/>
      <c r="Q142" s="18"/>
      <c r="R142" s="19">
        <f>(C142*D142*Q142/1000)</f>
        <v>0</v>
      </c>
      <c r="S142" s="20">
        <f>+H142+K142+Q142+N142</f>
        <v>1</v>
      </c>
      <c r="T142" s="19">
        <f>+I142+L142+R142+O142</f>
        <v>0.12210000000000001</v>
      </c>
      <c r="U142" s="21">
        <f>E142-S142</f>
        <v>-1</v>
      </c>
      <c r="V142" s="19">
        <f>F142-T142</f>
        <v>-0.12210000000000001</v>
      </c>
    </row>
    <row r="143" spans="1:22">
      <c r="A143" s="26"/>
      <c r="B143" s="41" t="s">
        <v>379</v>
      </c>
      <c r="C143" s="26"/>
      <c r="D143" s="74"/>
      <c r="E143" s="31">
        <f t="shared" ref="E143:F143" si="501">SUM(E138:E142)</f>
        <v>18</v>
      </c>
      <c r="F143" s="77">
        <f t="shared" si="501"/>
        <v>3.0987000000000005</v>
      </c>
      <c r="G143" s="26"/>
      <c r="H143" s="31">
        <f t="shared" ref="H143" si="502">SUM(H138:H142)</f>
        <v>21</v>
      </c>
      <c r="I143" s="77">
        <f t="shared" ref="I143" si="503">SUM(I138:I142)</f>
        <v>3.3049500000000003</v>
      </c>
      <c r="J143" s="26"/>
      <c r="K143" s="31">
        <f t="shared" ref="K143" si="504">SUM(K138:K142)</f>
        <v>0</v>
      </c>
      <c r="L143" s="77">
        <f t="shared" ref="L143" si="505">SUM(L138:L142)</f>
        <v>0</v>
      </c>
      <c r="M143" s="26"/>
      <c r="N143" s="31">
        <f t="shared" ref="N143" si="506">SUM(N138:N142)</f>
        <v>0</v>
      </c>
      <c r="O143" s="77">
        <f t="shared" ref="O143" si="507">SUM(O138:O142)</f>
        <v>0</v>
      </c>
      <c r="P143" s="26"/>
      <c r="Q143" s="31">
        <f t="shared" ref="Q143" si="508">SUM(Q138:Q142)</f>
        <v>0</v>
      </c>
      <c r="R143" s="77">
        <f t="shared" ref="R143" si="509">SUM(R138:R142)</f>
        <v>0</v>
      </c>
      <c r="S143" s="31">
        <f t="shared" ref="S143" si="510">SUM(S138:S142)</f>
        <v>21</v>
      </c>
      <c r="T143" s="77">
        <f t="shared" ref="T143" si="511">SUM(T138:T142)</f>
        <v>3.3049500000000003</v>
      </c>
      <c r="U143" s="31">
        <f t="shared" ref="U143" si="512">SUM(U138:U142)</f>
        <v>-3</v>
      </c>
      <c r="V143" s="77">
        <f t="shared" ref="V143" si="513">SUM(V138:V142)</f>
        <v>-0.20624999999999996</v>
      </c>
    </row>
    <row r="144" spans="1:22">
      <c r="A144" s="26" t="s">
        <v>13</v>
      </c>
      <c r="B144" s="26" t="s">
        <v>75</v>
      </c>
      <c r="C144" s="26">
        <v>31.6</v>
      </c>
      <c r="D144" s="74">
        <v>8.4</v>
      </c>
      <c r="E144" s="28">
        <v>8</v>
      </c>
      <c r="F144" s="16">
        <f>(C144*D144*E144/1000)</f>
        <v>2.1235200000000001</v>
      </c>
      <c r="G144" s="16" t="s">
        <v>93</v>
      </c>
      <c r="H144" s="18">
        <v>8</v>
      </c>
      <c r="I144" s="19">
        <f>(C144*D144*H144/1000)</f>
        <v>2.1235200000000001</v>
      </c>
      <c r="J144" s="16"/>
      <c r="K144" s="18"/>
      <c r="L144" s="19">
        <f>(C144*D144*K144/1000)</f>
        <v>0</v>
      </c>
      <c r="M144" s="16"/>
      <c r="N144" s="18"/>
      <c r="O144" s="19">
        <f>(C144*D144*N144/1000)</f>
        <v>0</v>
      </c>
      <c r="P144" s="16"/>
      <c r="Q144" s="18"/>
      <c r="R144" s="19">
        <f>(C144*D144*Q144/1000)</f>
        <v>0</v>
      </c>
      <c r="S144" s="20">
        <f>+H144+K144+Q144+N144</f>
        <v>8</v>
      </c>
      <c r="T144" s="19">
        <f>+I144+L144+R144+O144</f>
        <v>2.1235200000000001</v>
      </c>
      <c r="U144" s="21">
        <f>E144-S144</f>
        <v>0</v>
      </c>
      <c r="V144" s="19">
        <f>F144-T144</f>
        <v>0</v>
      </c>
    </row>
    <row r="145" spans="1:22">
      <c r="A145" s="26"/>
      <c r="B145" s="41" t="s">
        <v>379</v>
      </c>
      <c r="C145" s="26"/>
      <c r="D145" s="74"/>
      <c r="E145" s="31">
        <f t="shared" ref="E145:F145" si="514">SUM(E144)</f>
        <v>8</v>
      </c>
      <c r="F145" s="77">
        <f t="shared" si="514"/>
        <v>2.1235200000000001</v>
      </c>
      <c r="G145" s="16" t="s">
        <v>454</v>
      </c>
      <c r="H145" s="31">
        <f t="shared" ref="H145" si="515">SUM(H144)</f>
        <v>8</v>
      </c>
      <c r="I145" s="77">
        <f t="shared" ref="I145" si="516">SUM(I144)</f>
        <v>2.1235200000000001</v>
      </c>
      <c r="J145" s="26"/>
      <c r="K145" s="31">
        <f t="shared" ref="K145" si="517">SUM(K144)</f>
        <v>0</v>
      </c>
      <c r="L145" s="77">
        <f t="shared" ref="L145" si="518">SUM(L144)</f>
        <v>0</v>
      </c>
      <c r="M145" s="26"/>
      <c r="N145" s="31">
        <f t="shared" ref="N145" si="519">SUM(N144)</f>
        <v>0</v>
      </c>
      <c r="O145" s="77">
        <f t="shared" ref="O145" si="520">SUM(O144)</f>
        <v>0</v>
      </c>
      <c r="P145" s="26"/>
      <c r="Q145" s="31">
        <f t="shared" ref="Q145" si="521">SUM(Q144)</f>
        <v>0</v>
      </c>
      <c r="R145" s="77">
        <f t="shared" ref="R145" si="522">SUM(R144)</f>
        <v>0</v>
      </c>
      <c r="S145" s="31">
        <f t="shared" ref="S145" si="523">SUM(S144)</f>
        <v>8</v>
      </c>
      <c r="T145" s="77">
        <f t="shared" ref="T145" si="524">SUM(T144)</f>
        <v>2.1235200000000001</v>
      </c>
      <c r="U145" s="31">
        <f t="shared" ref="U145" si="525">SUM(U144)</f>
        <v>0</v>
      </c>
      <c r="V145" s="77">
        <f t="shared" ref="V145" si="526">SUM(V144)</f>
        <v>0</v>
      </c>
    </row>
    <row r="146" spans="1:22">
      <c r="A146" s="26" t="s">
        <v>13</v>
      </c>
      <c r="B146" s="26" t="s">
        <v>57</v>
      </c>
      <c r="C146" s="26">
        <v>6.17</v>
      </c>
      <c r="D146" s="74">
        <v>12</v>
      </c>
      <c r="E146" s="28">
        <v>10</v>
      </c>
      <c r="F146" s="16">
        <f>(C146*D146*E146/1000)</f>
        <v>0.74039999999999984</v>
      </c>
      <c r="G146" s="16" t="s">
        <v>93</v>
      </c>
      <c r="H146" s="18"/>
      <c r="I146" s="19">
        <f>(C146*D146*H146/1000)</f>
        <v>0</v>
      </c>
      <c r="J146" s="17" t="s">
        <v>114</v>
      </c>
      <c r="K146" s="18"/>
      <c r="L146" s="19">
        <f>(C146*D146*K146/1000)</f>
        <v>0</v>
      </c>
      <c r="M146" s="16"/>
      <c r="N146" s="18"/>
      <c r="O146" s="19">
        <f>(C146*D146*N146/1000)</f>
        <v>0</v>
      </c>
      <c r="P146" s="16"/>
      <c r="Q146" s="18"/>
      <c r="R146" s="19">
        <f>(C146*D146*Q146/1000)</f>
        <v>0</v>
      </c>
      <c r="S146" s="20">
        <f>+H146+K146+Q146+N146</f>
        <v>0</v>
      </c>
      <c r="T146" s="19">
        <f>+I146+L146+R146+O146</f>
        <v>0</v>
      </c>
      <c r="U146" s="21">
        <f>E146-S146</f>
        <v>10</v>
      </c>
      <c r="V146" s="19">
        <f>F146-T146</f>
        <v>0.74039999999999984</v>
      </c>
    </row>
    <row r="147" spans="1:22">
      <c r="A147" s="26" t="s">
        <v>13</v>
      </c>
      <c r="B147" s="26" t="s">
        <v>57</v>
      </c>
      <c r="C147" s="26">
        <v>6.17</v>
      </c>
      <c r="D147" s="74">
        <v>10</v>
      </c>
      <c r="E147" s="28"/>
      <c r="F147" s="16">
        <f t="shared" ref="F147:F149" si="527">(C147*D147*E147/1000)</f>
        <v>0</v>
      </c>
      <c r="G147" s="16" t="s">
        <v>454</v>
      </c>
      <c r="H147" s="18">
        <v>8</v>
      </c>
      <c r="I147" s="19">
        <f t="shared" ref="I147:I149" si="528">(C147*D147*H147/1000)</f>
        <v>0.49360000000000004</v>
      </c>
      <c r="J147" s="17" t="s">
        <v>603</v>
      </c>
      <c r="K147" s="18"/>
      <c r="L147" s="19">
        <f t="shared" ref="L147:L149" si="529">(C147*D147*K147/1000)</f>
        <v>0</v>
      </c>
      <c r="M147" s="16"/>
      <c r="N147" s="18"/>
      <c r="O147" s="19">
        <f t="shared" ref="O147:O149" si="530">(C147*D147*N147/1000)</f>
        <v>0</v>
      </c>
      <c r="P147" s="16"/>
      <c r="Q147" s="18"/>
      <c r="R147" s="19">
        <f t="shared" ref="R147:R149" si="531">(C147*D147*Q147/1000)</f>
        <v>0</v>
      </c>
      <c r="S147" s="20">
        <f t="shared" ref="S147:S149" si="532">+H147+K147+Q147+N147</f>
        <v>8</v>
      </c>
      <c r="T147" s="19">
        <f t="shared" ref="T147:T149" si="533">+I147+L147+R147+O147</f>
        <v>0.49360000000000004</v>
      </c>
      <c r="U147" s="21">
        <f t="shared" ref="U147:U149" si="534">E147-S147</f>
        <v>-8</v>
      </c>
      <c r="V147" s="19">
        <f t="shared" ref="V147:V149" si="535">F147-T147</f>
        <v>-0.49360000000000004</v>
      </c>
    </row>
    <row r="148" spans="1:22">
      <c r="A148" s="26" t="s">
        <v>13</v>
      </c>
      <c r="B148" s="26" t="s">
        <v>57</v>
      </c>
      <c r="C148" s="26">
        <v>6.17</v>
      </c>
      <c r="D148" s="74">
        <v>10.25</v>
      </c>
      <c r="E148" s="28"/>
      <c r="F148" s="16">
        <f t="shared" ref="F148" si="536">(C148*D148*E148/1000)</f>
        <v>0</v>
      </c>
      <c r="G148" s="16"/>
      <c r="H148" s="18">
        <v>5</v>
      </c>
      <c r="I148" s="19">
        <f t="shared" ref="I148" si="537">(C148*D148*H148/1000)</f>
        <v>0.31621249999999995</v>
      </c>
      <c r="J148" s="16"/>
      <c r="K148" s="18"/>
      <c r="L148" s="19">
        <f t="shared" ref="L148" si="538">(C148*D148*K148/1000)</f>
        <v>0</v>
      </c>
      <c r="M148" s="16"/>
      <c r="N148" s="18"/>
      <c r="O148" s="19">
        <f t="shared" ref="O148" si="539">(C148*D148*N148/1000)</f>
        <v>0</v>
      </c>
      <c r="P148" s="16"/>
      <c r="Q148" s="18"/>
      <c r="R148" s="19">
        <f t="shared" ref="R148" si="540">(C148*D148*Q148/1000)</f>
        <v>0</v>
      </c>
      <c r="S148" s="20">
        <f t="shared" ref="S148" si="541">+H148+K148+Q148+N148</f>
        <v>5</v>
      </c>
      <c r="T148" s="19">
        <f t="shared" ref="T148" si="542">+I148+L148+R148+O148</f>
        <v>0.31621249999999995</v>
      </c>
      <c r="U148" s="21">
        <f t="shared" ref="U148" si="543">E148-S148</f>
        <v>-5</v>
      </c>
      <c r="V148" s="19">
        <f t="shared" ref="V148" si="544">F148-T148</f>
        <v>-0.31621249999999995</v>
      </c>
    </row>
    <row r="149" spans="1:22">
      <c r="A149" s="26" t="s">
        <v>13</v>
      </c>
      <c r="B149" s="26" t="s">
        <v>57</v>
      </c>
      <c r="C149" s="26">
        <v>6.17</v>
      </c>
      <c r="D149" s="74">
        <v>1.5</v>
      </c>
      <c r="E149" s="28"/>
      <c r="F149" s="16">
        <f t="shared" si="527"/>
        <v>0</v>
      </c>
      <c r="G149" s="16"/>
      <c r="H149" s="18"/>
      <c r="I149" s="19">
        <f t="shared" si="528"/>
        <v>0</v>
      </c>
      <c r="J149" s="16"/>
      <c r="K149" s="18">
        <v>1</v>
      </c>
      <c r="L149" s="19">
        <f t="shared" si="529"/>
        <v>9.2549999999999993E-3</v>
      </c>
      <c r="M149" s="16"/>
      <c r="N149" s="18"/>
      <c r="O149" s="19">
        <f t="shared" si="530"/>
        <v>0</v>
      </c>
      <c r="P149" s="16"/>
      <c r="Q149" s="18"/>
      <c r="R149" s="19">
        <f t="shared" si="531"/>
        <v>0</v>
      </c>
      <c r="S149" s="20">
        <f t="shared" si="532"/>
        <v>1</v>
      </c>
      <c r="T149" s="19">
        <f t="shared" si="533"/>
        <v>9.2549999999999993E-3</v>
      </c>
      <c r="U149" s="21">
        <f t="shared" si="534"/>
        <v>-1</v>
      </c>
      <c r="V149" s="19">
        <f t="shared" si="535"/>
        <v>-9.2549999999999993E-3</v>
      </c>
    </row>
    <row r="150" spans="1:22">
      <c r="A150" s="26"/>
      <c r="B150" s="41" t="s">
        <v>379</v>
      </c>
      <c r="C150" s="26"/>
      <c r="D150" s="74"/>
      <c r="E150" s="31">
        <f t="shared" ref="E150:F150" si="545">SUM(E146:E149)</f>
        <v>10</v>
      </c>
      <c r="F150" s="77">
        <f t="shared" si="545"/>
        <v>0.74039999999999984</v>
      </c>
      <c r="G150" s="16"/>
      <c r="H150" s="31">
        <f t="shared" ref="H150" si="546">SUM(H146:H149)</f>
        <v>13</v>
      </c>
      <c r="I150" s="77">
        <f t="shared" ref="I150" si="547">SUM(I146:I149)</f>
        <v>0.80981250000000005</v>
      </c>
      <c r="J150" s="26"/>
      <c r="K150" s="31">
        <f t="shared" ref="K150" si="548">SUM(K146:K149)</f>
        <v>1</v>
      </c>
      <c r="L150" s="77">
        <f t="shared" ref="L150" si="549">SUM(L146:L149)</f>
        <v>9.2549999999999993E-3</v>
      </c>
      <c r="M150" s="26"/>
      <c r="N150" s="31">
        <f t="shared" ref="N150" si="550">SUM(N146:N149)</f>
        <v>0</v>
      </c>
      <c r="O150" s="77">
        <f t="shared" ref="O150" si="551">SUM(O146:O149)</f>
        <v>0</v>
      </c>
      <c r="P150" s="26"/>
      <c r="Q150" s="31">
        <f t="shared" ref="Q150" si="552">SUM(Q146:Q149)</f>
        <v>0</v>
      </c>
      <c r="R150" s="77">
        <f t="shared" ref="R150" si="553">SUM(R146:R149)</f>
        <v>0</v>
      </c>
      <c r="S150" s="31">
        <f t="shared" ref="S150" si="554">SUM(S146:S149)</f>
        <v>14</v>
      </c>
      <c r="T150" s="77">
        <f t="shared" ref="T150" si="555">SUM(T146:T149)</f>
        <v>0.81906750000000006</v>
      </c>
      <c r="U150" s="31">
        <f t="shared" ref="U150" si="556">SUM(U146:U149)</f>
        <v>-4</v>
      </c>
      <c r="V150" s="77">
        <f t="shared" ref="V150" si="557">SUM(V146:V149)</f>
        <v>-7.8667500000000154E-2</v>
      </c>
    </row>
    <row r="151" spans="1:22">
      <c r="A151" s="26" t="s">
        <v>13</v>
      </c>
      <c r="B151" s="26" t="s">
        <v>124</v>
      </c>
      <c r="C151" s="26">
        <v>23</v>
      </c>
      <c r="D151" s="74">
        <v>6.4</v>
      </c>
      <c r="E151" s="28">
        <v>4</v>
      </c>
      <c r="F151" s="16">
        <f>(C151*D151*E151/1000)</f>
        <v>0.5888000000000001</v>
      </c>
      <c r="G151" s="17" t="s">
        <v>325</v>
      </c>
      <c r="H151" s="18">
        <v>4</v>
      </c>
      <c r="I151" s="19">
        <f>(C151*D151*H151/1000)</f>
        <v>0.5888000000000001</v>
      </c>
      <c r="J151" s="16"/>
      <c r="K151" s="18"/>
      <c r="L151" s="19">
        <f>(C151*D151*K151/1000)</f>
        <v>0</v>
      </c>
      <c r="M151" s="16"/>
      <c r="N151" s="18"/>
      <c r="O151" s="19">
        <f>(C151*D151*N151/1000)</f>
        <v>0</v>
      </c>
      <c r="P151" s="16"/>
      <c r="Q151" s="18"/>
      <c r="R151" s="19">
        <f>(C151*D151*Q151/1000)</f>
        <v>0</v>
      </c>
      <c r="S151" s="20">
        <f>+H151+K151+Q151+N151</f>
        <v>4</v>
      </c>
      <c r="T151" s="19">
        <f>+I151+L151+R151+O151</f>
        <v>0.5888000000000001</v>
      </c>
      <c r="U151" s="21">
        <f>E151-S151</f>
        <v>0</v>
      </c>
      <c r="V151" s="19">
        <f>F151-T151</f>
        <v>0</v>
      </c>
    </row>
    <row r="152" spans="1:22">
      <c r="A152" s="26" t="s">
        <v>13</v>
      </c>
      <c r="B152" s="26" t="s">
        <v>124</v>
      </c>
      <c r="C152" s="26">
        <v>23</v>
      </c>
      <c r="D152" s="74">
        <v>9</v>
      </c>
      <c r="E152" s="28">
        <v>3</v>
      </c>
      <c r="F152" s="16">
        <f>(C152*D152*E152/1000)</f>
        <v>0.621</v>
      </c>
      <c r="G152" s="17" t="s">
        <v>454</v>
      </c>
      <c r="H152" s="18">
        <v>3</v>
      </c>
      <c r="I152" s="19">
        <f>(C152*D152*H152/1000)</f>
        <v>0.621</v>
      </c>
      <c r="J152" s="16"/>
      <c r="K152" s="18"/>
      <c r="L152" s="19">
        <f>(C152*D152*K152/1000)</f>
        <v>0</v>
      </c>
      <c r="M152" s="16"/>
      <c r="N152" s="18"/>
      <c r="O152" s="19">
        <f>(C152*D152*N152/1000)</f>
        <v>0</v>
      </c>
      <c r="P152" s="16"/>
      <c r="Q152" s="18"/>
      <c r="R152" s="19">
        <f>(C152*D152*Q152/1000)</f>
        <v>0</v>
      </c>
      <c r="S152" s="20">
        <f>+H152+K152+Q152+N152</f>
        <v>3</v>
      </c>
      <c r="T152" s="19">
        <f>+I152+L152+R152+O152</f>
        <v>0.621</v>
      </c>
      <c r="U152" s="21">
        <f>E152-S152</f>
        <v>0</v>
      </c>
      <c r="V152" s="19">
        <f>F152-T152</f>
        <v>0</v>
      </c>
    </row>
    <row r="153" spans="1:22">
      <c r="A153" s="26"/>
      <c r="B153" s="41" t="s">
        <v>379</v>
      </c>
      <c r="C153" s="26"/>
      <c r="D153" s="74"/>
      <c r="E153" s="31">
        <f t="shared" ref="E153:F153" si="558">SUM(E151:E152)</f>
        <v>7</v>
      </c>
      <c r="F153" s="77">
        <f t="shared" si="558"/>
        <v>1.2098</v>
      </c>
      <c r="G153" s="26"/>
      <c r="H153" s="31">
        <f t="shared" ref="H153" si="559">SUM(H151:H152)</f>
        <v>7</v>
      </c>
      <c r="I153" s="77">
        <f t="shared" ref="I153" si="560">SUM(I151:I152)</f>
        <v>1.2098</v>
      </c>
      <c r="J153" s="26"/>
      <c r="K153" s="31">
        <f t="shared" ref="K153" si="561">SUM(K151:K152)</f>
        <v>0</v>
      </c>
      <c r="L153" s="77">
        <f t="shared" ref="L153" si="562">SUM(L151:L152)</f>
        <v>0</v>
      </c>
      <c r="M153" s="26"/>
      <c r="N153" s="31">
        <f t="shared" ref="N153" si="563">SUM(N151:N152)</f>
        <v>0</v>
      </c>
      <c r="O153" s="77">
        <f t="shared" ref="O153" si="564">SUM(O151:O152)</f>
        <v>0</v>
      </c>
      <c r="P153" s="26"/>
      <c r="Q153" s="31">
        <f t="shared" ref="Q153" si="565">SUM(Q151:Q152)</f>
        <v>0</v>
      </c>
      <c r="R153" s="77">
        <f t="shared" ref="R153" si="566">SUM(R151:R152)</f>
        <v>0</v>
      </c>
      <c r="S153" s="31">
        <f t="shared" ref="S153" si="567">SUM(S151:S152)</f>
        <v>7</v>
      </c>
      <c r="T153" s="77">
        <f t="shared" ref="T153" si="568">SUM(T151:T152)</f>
        <v>1.2098</v>
      </c>
      <c r="U153" s="31">
        <f t="shared" ref="U153" si="569">SUM(U151:U152)</f>
        <v>0</v>
      </c>
      <c r="V153" s="77">
        <f t="shared" ref="V153" si="570">SUM(V151:V152)</f>
        <v>0</v>
      </c>
    </row>
    <row r="154" spans="1:22">
      <c r="A154" s="26" t="s">
        <v>13</v>
      </c>
      <c r="B154" s="26" t="s">
        <v>161</v>
      </c>
      <c r="C154" s="26">
        <v>44.2</v>
      </c>
      <c r="D154" s="74">
        <v>10.1</v>
      </c>
      <c r="E154" s="28">
        <v>8</v>
      </c>
      <c r="F154" s="16">
        <f>(C154*D154*E154/1000)</f>
        <v>3.5713600000000003</v>
      </c>
      <c r="G154" s="17" t="s">
        <v>89</v>
      </c>
      <c r="H154" s="18">
        <v>8</v>
      </c>
      <c r="I154" s="19">
        <f>(C154*D154*H154/1000)</f>
        <v>3.5713600000000003</v>
      </c>
      <c r="J154" s="16"/>
      <c r="K154" s="18"/>
      <c r="L154" s="19">
        <f>(C154*D154*K154/1000)</f>
        <v>0</v>
      </c>
      <c r="M154" s="16"/>
      <c r="N154" s="18"/>
      <c r="O154" s="19">
        <f>(C154*D154*N154/1000)</f>
        <v>0</v>
      </c>
      <c r="P154" s="16"/>
      <c r="Q154" s="18"/>
      <c r="R154" s="19">
        <f>(C154*D154*Q154/1000)</f>
        <v>0</v>
      </c>
      <c r="S154" s="20">
        <f>+H154+K154+Q154+N154</f>
        <v>8</v>
      </c>
      <c r="T154" s="19">
        <f>+I154+L154+R154+O154</f>
        <v>3.5713600000000003</v>
      </c>
      <c r="U154" s="21">
        <f>E154-S154</f>
        <v>0</v>
      </c>
      <c r="V154" s="19">
        <f>F154-T154</f>
        <v>0</v>
      </c>
    </row>
    <row r="155" spans="1:22">
      <c r="A155" s="26"/>
      <c r="B155" s="41" t="s">
        <v>379</v>
      </c>
      <c r="C155" s="26"/>
      <c r="D155" s="74"/>
      <c r="E155" s="31">
        <f t="shared" ref="E155:F155" si="571">SUM(E154)</f>
        <v>8</v>
      </c>
      <c r="F155" s="77">
        <f t="shared" si="571"/>
        <v>3.5713600000000003</v>
      </c>
      <c r="G155" s="26" t="s">
        <v>458</v>
      </c>
      <c r="H155" s="31">
        <f t="shared" ref="H155" si="572">SUM(H154)</f>
        <v>8</v>
      </c>
      <c r="I155" s="77">
        <f t="shared" ref="I155" si="573">SUM(I154)</f>
        <v>3.5713600000000003</v>
      </c>
      <c r="J155" s="26"/>
      <c r="K155" s="31">
        <f t="shared" ref="K155" si="574">SUM(K154)</f>
        <v>0</v>
      </c>
      <c r="L155" s="77">
        <f t="shared" ref="L155" si="575">SUM(L154)</f>
        <v>0</v>
      </c>
      <c r="M155" s="26"/>
      <c r="N155" s="31">
        <f t="shared" ref="N155" si="576">SUM(N154)</f>
        <v>0</v>
      </c>
      <c r="O155" s="77">
        <f t="shared" ref="O155" si="577">SUM(O154)</f>
        <v>0</v>
      </c>
      <c r="P155" s="26"/>
      <c r="Q155" s="31">
        <f t="shared" ref="Q155" si="578">SUM(Q154)</f>
        <v>0</v>
      </c>
      <c r="R155" s="77">
        <f t="shared" ref="R155" si="579">SUM(R154)</f>
        <v>0</v>
      </c>
      <c r="S155" s="31">
        <f t="shared" ref="S155" si="580">SUM(S154)</f>
        <v>8</v>
      </c>
      <c r="T155" s="77">
        <f t="shared" ref="T155" si="581">SUM(T154)</f>
        <v>3.5713600000000003</v>
      </c>
      <c r="U155" s="31">
        <f t="shared" ref="U155" si="582">SUM(U154)</f>
        <v>0</v>
      </c>
      <c r="V155" s="77">
        <f t="shared" ref="V155" si="583">SUM(V154)</f>
        <v>0</v>
      </c>
    </row>
    <row r="156" spans="1:22">
      <c r="A156" s="26" t="s">
        <v>13</v>
      </c>
      <c r="B156" s="26" t="s">
        <v>127</v>
      </c>
      <c r="C156" s="26">
        <v>35.9</v>
      </c>
      <c r="D156" s="74">
        <v>8.4</v>
      </c>
      <c r="E156" s="28">
        <v>8</v>
      </c>
      <c r="F156" s="16">
        <f>(C156*D156*E156/1000)</f>
        <v>2.41248</v>
      </c>
      <c r="G156" s="17" t="s">
        <v>325</v>
      </c>
      <c r="H156" s="18">
        <v>8</v>
      </c>
      <c r="I156" s="19">
        <f>(C156*D156*H156/1000)</f>
        <v>2.41248</v>
      </c>
      <c r="J156" s="16"/>
      <c r="K156" s="18"/>
      <c r="L156" s="19">
        <f>(C156*D156*K156/1000)</f>
        <v>0</v>
      </c>
      <c r="M156" s="16"/>
      <c r="N156" s="18"/>
      <c r="O156" s="19">
        <f>(C156*D156*N156/1000)</f>
        <v>0</v>
      </c>
      <c r="P156" s="16"/>
      <c r="Q156" s="18"/>
      <c r="R156" s="19">
        <f>(C156*D156*Q156/1000)</f>
        <v>0</v>
      </c>
      <c r="S156" s="20">
        <f>+H156+K156+Q156+N156</f>
        <v>8</v>
      </c>
      <c r="T156" s="19">
        <f>+I156+L156+R156+O156</f>
        <v>2.41248</v>
      </c>
      <c r="U156" s="21">
        <f>E156-S156</f>
        <v>0</v>
      </c>
      <c r="V156" s="19">
        <f>F156-T156</f>
        <v>0</v>
      </c>
    </row>
    <row r="157" spans="1:22">
      <c r="A157" s="26"/>
      <c r="B157" s="41" t="s">
        <v>379</v>
      </c>
      <c r="C157" s="26"/>
      <c r="D157" s="74"/>
      <c r="E157" s="31">
        <f t="shared" ref="E157:F157" si="584">SUM(E156)</f>
        <v>8</v>
      </c>
      <c r="F157" s="77">
        <f t="shared" si="584"/>
        <v>2.41248</v>
      </c>
      <c r="G157" s="17" t="s">
        <v>454</v>
      </c>
      <c r="H157" s="31">
        <f t="shared" ref="H157" si="585">SUM(H156)</f>
        <v>8</v>
      </c>
      <c r="I157" s="77">
        <f t="shared" ref="I157" si="586">SUM(I156)</f>
        <v>2.41248</v>
      </c>
      <c r="J157" s="26"/>
      <c r="K157" s="31">
        <f t="shared" ref="K157" si="587">SUM(K156)</f>
        <v>0</v>
      </c>
      <c r="L157" s="77">
        <f t="shared" ref="L157" si="588">SUM(L156)</f>
        <v>0</v>
      </c>
      <c r="M157" s="26"/>
      <c r="N157" s="31">
        <f t="shared" ref="N157" si="589">SUM(N156)</f>
        <v>0</v>
      </c>
      <c r="O157" s="77">
        <f t="shared" ref="O157" si="590">SUM(O156)</f>
        <v>0</v>
      </c>
      <c r="P157" s="26"/>
      <c r="Q157" s="31">
        <f t="shared" ref="Q157" si="591">SUM(Q156)</f>
        <v>0</v>
      </c>
      <c r="R157" s="77">
        <f t="shared" ref="R157" si="592">SUM(R156)</f>
        <v>0</v>
      </c>
      <c r="S157" s="31">
        <f t="shared" ref="S157" si="593">SUM(S156)</f>
        <v>8</v>
      </c>
      <c r="T157" s="77">
        <f t="shared" ref="T157" si="594">SUM(T156)</f>
        <v>2.41248</v>
      </c>
      <c r="U157" s="31">
        <f t="shared" ref="U157" si="595">SUM(U156)</f>
        <v>0</v>
      </c>
      <c r="V157" s="77">
        <f t="shared" ref="V157" si="596">SUM(V156)</f>
        <v>0</v>
      </c>
    </row>
    <row r="158" spans="1:22">
      <c r="A158" s="26" t="s">
        <v>13</v>
      </c>
      <c r="B158" s="26" t="s">
        <v>31</v>
      </c>
      <c r="C158" s="26">
        <v>10.199999999999999</v>
      </c>
      <c r="D158" s="74">
        <v>6.2</v>
      </c>
      <c r="E158" s="28">
        <v>4</v>
      </c>
      <c r="F158" s="16">
        <f>(C158*D158*E158/1000)</f>
        <v>0.25295999999999996</v>
      </c>
      <c r="G158" s="17"/>
      <c r="H158" s="18"/>
      <c r="I158" s="19">
        <f>(C158*D158*H158/1000)</f>
        <v>0</v>
      </c>
      <c r="J158" s="16"/>
      <c r="K158" s="18"/>
      <c r="L158" s="19">
        <f>(C158*D158*K158/1000)</f>
        <v>0</v>
      </c>
      <c r="M158" s="16"/>
      <c r="N158" s="18"/>
      <c r="O158" s="19">
        <f>(C158*D158*N158/1000)</f>
        <v>0</v>
      </c>
      <c r="P158" s="16"/>
      <c r="Q158" s="18"/>
      <c r="R158" s="19">
        <f>(C158*D158*Q158/1000)</f>
        <v>0</v>
      </c>
      <c r="S158" s="20">
        <f>+H158+K158+Q158+N158</f>
        <v>0</v>
      </c>
      <c r="T158" s="19">
        <f>+I158+L158+R158+O158</f>
        <v>0</v>
      </c>
      <c r="U158" s="21">
        <f>E158-S158</f>
        <v>4</v>
      </c>
      <c r="V158" s="19">
        <f>F158-T158</f>
        <v>0.25295999999999996</v>
      </c>
    </row>
    <row r="159" spans="1:22">
      <c r="A159" s="26"/>
      <c r="B159" s="41" t="s">
        <v>379</v>
      </c>
      <c r="C159" s="26"/>
      <c r="D159" s="74"/>
      <c r="E159" s="31">
        <f t="shared" ref="E159:F159" si="597">SUM(E158)</f>
        <v>4</v>
      </c>
      <c r="F159" s="77">
        <f t="shared" si="597"/>
        <v>0.25295999999999996</v>
      </c>
      <c r="G159" s="26"/>
      <c r="H159" s="31">
        <f t="shared" ref="H159" si="598">SUM(H158)</f>
        <v>0</v>
      </c>
      <c r="I159" s="77">
        <f t="shared" ref="I159" si="599">SUM(I158)</f>
        <v>0</v>
      </c>
      <c r="J159" s="26"/>
      <c r="K159" s="31">
        <f t="shared" ref="K159" si="600">SUM(K158)</f>
        <v>0</v>
      </c>
      <c r="L159" s="77">
        <f t="shared" ref="L159" si="601">SUM(L158)</f>
        <v>0</v>
      </c>
      <c r="M159" s="26"/>
      <c r="N159" s="31">
        <f t="shared" ref="N159" si="602">SUM(N158)</f>
        <v>0</v>
      </c>
      <c r="O159" s="77">
        <f t="shared" ref="O159" si="603">SUM(O158)</f>
        <v>0</v>
      </c>
      <c r="P159" s="26"/>
      <c r="Q159" s="31">
        <f t="shared" ref="Q159" si="604">SUM(Q158)</f>
        <v>0</v>
      </c>
      <c r="R159" s="77">
        <f t="shared" ref="R159" si="605">SUM(R158)</f>
        <v>0</v>
      </c>
      <c r="S159" s="31">
        <f t="shared" ref="S159" si="606">SUM(S158)</f>
        <v>0</v>
      </c>
      <c r="T159" s="77">
        <f t="shared" ref="T159" si="607">SUM(T158)</f>
        <v>0</v>
      </c>
      <c r="U159" s="31">
        <f t="shared" ref="U159" si="608">SUM(U158)</f>
        <v>4</v>
      </c>
      <c r="V159" s="77">
        <f t="shared" ref="V159" si="609">SUM(V158)</f>
        <v>0.25295999999999996</v>
      </c>
    </row>
    <row r="160" spans="1:22">
      <c r="A160" s="26" t="s">
        <v>13</v>
      </c>
      <c r="B160" s="26" t="s">
        <v>36</v>
      </c>
      <c r="C160" s="26">
        <v>6.97</v>
      </c>
      <c r="D160" s="74">
        <v>12</v>
      </c>
      <c r="E160" s="28">
        <v>7</v>
      </c>
      <c r="F160" s="16">
        <f>(C160*D160*E160/1000)</f>
        <v>0.58548</v>
      </c>
      <c r="G160" s="17"/>
      <c r="H160" s="18"/>
      <c r="I160" s="19">
        <f>(C160*D160*H160/1000)</f>
        <v>0</v>
      </c>
      <c r="J160" s="16"/>
      <c r="K160" s="18"/>
      <c r="L160" s="19">
        <f>(C160*D160*K160/1000)</f>
        <v>0</v>
      </c>
      <c r="M160" s="16"/>
      <c r="N160" s="18"/>
      <c r="O160" s="19">
        <f>(C160*D160*N160/1000)</f>
        <v>0</v>
      </c>
      <c r="P160" s="16"/>
      <c r="Q160" s="18"/>
      <c r="R160" s="19">
        <f>(C160*D160*Q160/1000)</f>
        <v>0</v>
      </c>
      <c r="S160" s="20">
        <f>+H160+K160+Q160+N160</f>
        <v>0</v>
      </c>
      <c r="T160" s="19">
        <f>+I160+L160+R160+O160</f>
        <v>0</v>
      </c>
      <c r="U160" s="21">
        <f>E160-S160</f>
        <v>7</v>
      </c>
      <c r="V160" s="19">
        <f>F160-T160</f>
        <v>0.58548</v>
      </c>
    </row>
    <row r="161" spans="1:22">
      <c r="A161" s="26"/>
      <c r="B161" s="41" t="s">
        <v>379</v>
      </c>
      <c r="C161" s="26"/>
      <c r="D161" s="74"/>
      <c r="E161" s="31">
        <f t="shared" ref="E161:F161" si="610">SUM(E160)</f>
        <v>7</v>
      </c>
      <c r="F161" s="77">
        <f t="shared" si="610"/>
        <v>0.58548</v>
      </c>
      <c r="G161" s="26"/>
      <c r="H161" s="31">
        <f t="shared" ref="H161" si="611">SUM(H160)</f>
        <v>0</v>
      </c>
      <c r="I161" s="77">
        <f t="shared" ref="I161" si="612">SUM(I160)</f>
        <v>0</v>
      </c>
      <c r="J161" s="26"/>
      <c r="K161" s="31">
        <f t="shared" ref="K161" si="613">SUM(K160)</f>
        <v>0</v>
      </c>
      <c r="L161" s="77">
        <f t="shared" ref="L161" si="614">SUM(L160)</f>
        <v>0</v>
      </c>
      <c r="M161" s="26"/>
      <c r="N161" s="31">
        <f t="shared" ref="N161" si="615">SUM(N160)</f>
        <v>0</v>
      </c>
      <c r="O161" s="77">
        <f t="shared" ref="O161" si="616">SUM(O160)</f>
        <v>0</v>
      </c>
      <c r="P161" s="26"/>
      <c r="Q161" s="31">
        <f t="shared" ref="Q161" si="617">SUM(Q160)</f>
        <v>0</v>
      </c>
      <c r="R161" s="77">
        <f t="shared" ref="R161" si="618">SUM(R160)</f>
        <v>0</v>
      </c>
      <c r="S161" s="31">
        <f t="shared" ref="S161" si="619">SUM(S160)</f>
        <v>0</v>
      </c>
      <c r="T161" s="77">
        <f t="shared" ref="T161" si="620">SUM(T160)</f>
        <v>0</v>
      </c>
      <c r="U161" s="31">
        <f t="shared" ref="U161" si="621">SUM(U160)</f>
        <v>7</v>
      </c>
      <c r="V161" s="77">
        <f t="shared" ref="V161" si="622">SUM(V160)</f>
        <v>0.58548</v>
      </c>
    </row>
    <row r="162" spans="1:22">
      <c r="A162" s="26" t="s">
        <v>13</v>
      </c>
      <c r="B162" s="26" t="s">
        <v>212</v>
      </c>
      <c r="C162" s="26">
        <v>29.5</v>
      </c>
      <c r="D162" s="74">
        <v>7.2</v>
      </c>
      <c r="E162" s="28">
        <v>16</v>
      </c>
      <c r="F162" s="16">
        <f>(C162*D162*E162/1000)</f>
        <v>3.3984000000000001</v>
      </c>
      <c r="G162" s="16" t="s">
        <v>93</v>
      </c>
      <c r="H162" s="18">
        <v>16</v>
      </c>
      <c r="I162" s="19">
        <f>(C162*D162*H162/1000)</f>
        <v>3.3984000000000001</v>
      </c>
      <c r="J162" s="16"/>
      <c r="K162" s="18"/>
      <c r="L162" s="19">
        <f>(C162*D162*K162/1000)</f>
        <v>0</v>
      </c>
      <c r="M162" s="16"/>
      <c r="N162" s="18"/>
      <c r="O162" s="19">
        <f>(C162*D162*N162/1000)</f>
        <v>0</v>
      </c>
      <c r="P162" s="16"/>
      <c r="Q162" s="18"/>
      <c r="R162" s="19">
        <f>(C162*D162*Q162/1000)</f>
        <v>0</v>
      </c>
      <c r="S162" s="20">
        <f>+H162+K162+Q162+N162</f>
        <v>16</v>
      </c>
      <c r="T162" s="19">
        <f>+I162+L162+R162+O162</f>
        <v>3.3984000000000001</v>
      </c>
      <c r="U162" s="21">
        <f>E162-S162</f>
        <v>0</v>
      </c>
      <c r="V162" s="19">
        <f>F162-T162</f>
        <v>0</v>
      </c>
    </row>
    <row r="163" spans="1:22">
      <c r="A163" s="26"/>
      <c r="B163" s="41" t="s">
        <v>379</v>
      </c>
      <c r="C163" s="26"/>
      <c r="D163" s="74"/>
      <c r="E163" s="31">
        <f t="shared" ref="E163:F163" si="623">SUM(E162)</f>
        <v>16</v>
      </c>
      <c r="F163" s="77">
        <f t="shared" si="623"/>
        <v>3.3984000000000001</v>
      </c>
      <c r="G163" s="16" t="s">
        <v>454</v>
      </c>
      <c r="H163" s="31">
        <f t="shared" ref="H163" si="624">SUM(H162)</f>
        <v>16</v>
      </c>
      <c r="I163" s="77">
        <f t="shared" ref="I163" si="625">SUM(I162)</f>
        <v>3.3984000000000001</v>
      </c>
      <c r="J163" s="26"/>
      <c r="K163" s="31">
        <f t="shared" ref="K163" si="626">SUM(K162)</f>
        <v>0</v>
      </c>
      <c r="L163" s="77">
        <f t="shared" ref="L163" si="627">SUM(L162)</f>
        <v>0</v>
      </c>
      <c r="M163" s="26"/>
      <c r="N163" s="31">
        <f t="shared" ref="N163" si="628">SUM(N162)</f>
        <v>0</v>
      </c>
      <c r="O163" s="77">
        <f t="shared" ref="O163" si="629">SUM(O162)</f>
        <v>0</v>
      </c>
      <c r="P163" s="26"/>
      <c r="Q163" s="31">
        <f t="shared" ref="Q163" si="630">SUM(Q162)</f>
        <v>0</v>
      </c>
      <c r="R163" s="77">
        <f t="shared" ref="R163" si="631">SUM(R162)</f>
        <v>0</v>
      </c>
      <c r="S163" s="31">
        <f t="shared" ref="S163" si="632">SUM(S162)</f>
        <v>16</v>
      </c>
      <c r="T163" s="77">
        <f t="shared" ref="T163" si="633">SUM(T162)</f>
        <v>3.3984000000000001</v>
      </c>
      <c r="U163" s="31">
        <f t="shared" ref="U163" si="634">SUM(U162)</f>
        <v>0</v>
      </c>
      <c r="V163" s="77">
        <f t="shared" ref="V163" si="635">SUM(V162)</f>
        <v>0</v>
      </c>
    </row>
    <row r="164" spans="1:22">
      <c r="A164" s="26" t="s">
        <v>14</v>
      </c>
      <c r="B164" s="26" t="s">
        <v>34</v>
      </c>
      <c r="C164" s="26">
        <v>5.76</v>
      </c>
      <c r="D164" s="74">
        <v>11.5</v>
      </c>
      <c r="E164" s="28">
        <v>36</v>
      </c>
      <c r="F164" s="16">
        <f>(C164*D164*E164/1000)</f>
        <v>2.3846400000000001</v>
      </c>
      <c r="G164" s="17" t="s">
        <v>111</v>
      </c>
      <c r="H164" s="18">
        <v>32</v>
      </c>
      <c r="I164" s="19">
        <f>(C164*D164*H164/1000)</f>
        <v>2.1196799999999998</v>
      </c>
      <c r="J164" s="16" t="s">
        <v>93</v>
      </c>
      <c r="K164" s="18">
        <v>4</v>
      </c>
      <c r="L164" s="19">
        <f>(C164*D164*K164/1000)</f>
        <v>0.26495999999999997</v>
      </c>
      <c r="M164" s="16"/>
      <c r="N164" s="18"/>
      <c r="O164" s="19">
        <f>(C164*D164*N164/1000)</f>
        <v>0</v>
      </c>
      <c r="P164" s="16"/>
      <c r="Q164" s="18"/>
      <c r="R164" s="19">
        <f>(C164*D164*Q164/1000)</f>
        <v>0</v>
      </c>
      <c r="S164" s="20">
        <f>+H164+K164+Q164+N164</f>
        <v>36</v>
      </c>
      <c r="T164" s="19">
        <f>+I164+L164+R164+O164</f>
        <v>2.3846399999999996</v>
      </c>
      <c r="U164" s="21">
        <f>E164-S164</f>
        <v>0</v>
      </c>
      <c r="V164" s="19">
        <f>F164-T164</f>
        <v>0</v>
      </c>
    </row>
    <row r="165" spans="1:22">
      <c r="A165" s="26"/>
      <c r="B165" s="41" t="s">
        <v>76</v>
      </c>
      <c r="C165" s="26"/>
      <c r="D165" s="74"/>
      <c r="E165" s="31">
        <f t="shared" ref="E165:F165" si="636">SUM(E164)</f>
        <v>36</v>
      </c>
      <c r="F165" s="77">
        <f t="shared" si="636"/>
        <v>2.3846400000000001</v>
      </c>
      <c r="G165" s="17" t="s">
        <v>459</v>
      </c>
      <c r="H165" s="31">
        <f t="shared" ref="H165" si="637">SUM(H164)</f>
        <v>32</v>
      </c>
      <c r="I165" s="77">
        <f t="shared" ref="I165" si="638">SUM(I164)</f>
        <v>2.1196799999999998</v>
      </c>
      <c r="J165" s="16" t="s">
        <v>459</v>
      </c>
      <c r="K165" s="31">
        <f t="shared" ref="K165" si="639">SUM(K164)</f>
        <v>4</v>
      </c>
      <c r="L165" s="77">
        <f t="shared" ref="L165" si="640">SUM(L164)</f>
        <v>0.26495999999999997</v>
      </c>
      <c r="M165" s="26"/>
      <c r="N165" s="31">
        <f t="shared" ref="N165" si="641">SUM(N164)</f>
        <v>0</v>
      </c>
      <c r="O165" s="77">
        <f t="shared" ref="O165" si="642">SUM(O164)</f>
        <v>0</v>
      </c>
      <c r="P165" s="26"/>
      <c r="Q165" s="31">
        <f t="shared" ref="Q165" si="643">SUM(Q164)</f>
        <v>0</v>
      </c>
      <c r="R165" s="77">
        <f t="shared" ref="R165" si="644">SUM(R164)</f>
        <v>0</v>
      </c>
      <c r="S165" s="31">
        <f t="shared" ref="S165" si="645">SUM(S164)</f>
        <v>36</v>
      </c>
      <c r="T165" s="77">
        <f t="shared" ref="T165" si="646">SUM(T164)</f>
        <v>2.3846399999999996</v>
      </c>
      <c r="U165" s="31">
        <f t="shared" ref="U165" si="647">SUM(U164)</f>
        <v>0</v>
      </c>
      <c r="V165" s="77">
        <f t="shared" ref="V165" si="648">SUM(V164)</f>
        <v>0</v>
      </c>
    </row>
    <row r="166" spans="1:22">
      <c r="A166" s="26" t="s">
        <v>14</v>
      </c>
      <c r="B166" s="26" t="s">
        <v>35</v>
      </c>
      <c r="C166" s="26">
        <v>6.85</v>
      </c>
      <c r="D166" s="74">
        <v>12</v>
      </c>
      <c r="E166" s="28">
        <v>28</v>
      </c>
      <c r="F166" s="16">
        <f>(C166*D166*E166/1000)</f>
        <v>2.3015999999999996</v>
      </c>
      <c r="G166" s="16" t="s">
        <v>93</v>
      </c>
      <c r="H166" s="18">
        <v>28</v>
      </c>
      <c r="I166" s="19">
        <f>(C166*D166*H166/1000)</f>
        <v>2.3015999999999996</v>
      </c>
      <c r="J166" s="16"/>
      <c r="K166" s="18"/>
      <c r="L166" s="19">
        <f>(C166*D166*K166/1000)</f>
        <v>0</v>
      </c>
      <c r="M166" s="16"/>
      <c r="N166" s="18"/>
      <c r="O166" s="19">
        <f>(C166*D166*N166/1000)</f>
        <v>0</v>
      </c>
      <c r="P166" s="16"/>
      <c r="Q166" s="18"/>
      <c r="R166" s="19">
        <f>(C166*D166*Q166/1000)</f>
        <v>0</v>
      </c>
      <c r="S166" s="20">
        <f>+H166+K166+Q166+N166</f>
        <v>28</v>
      </c>
      <c r="T166" s="19">
        <f>+I166+L166+R166+O166</f>
        <v>2.3015999999999996</v>
      </c>
      <c r="U166" s="21">
        <f>E166-S166</f>
        <v>0</v>
      </c>
      <c r="V166" s="19">
        <f>F166-T166</f>
        <v>0</v>
      </c>
    </row>
    <row r="167" spans="1:22">
      <c r="A167" s="26"/>
      <c r="B167" s="41" t="s">
        <v>76</v>
      </c>
      <c r="C167" s="26"/>
      <c r="D167" s="74"/>
      <c r="E167" s="31">
        <f t="shared" ref="E167:F167" si="649">SUM(E166)</f>
        <v>28</v>
      </c>
      <c r="F167" s="77">
        <f t="shared" si="649"/>
        <v>2.3015999999999996</v>
      </c>
      <c r="G167" s="16" t="s">
        <v>459</v>
      </c>
      <c r="H167" s="31">
        <f t="shared" ref="H167" si="650">SUM(H166)</f>
        <v>28</v>
      </c>
      <c r="I167" s="77">
        <f t="shared" ref="I167" si="651">SUM(I166)</f>
        <v>2.3015999999999996</v>
      </c>
      <c r="J167" s="26"/>
      <c r="K167" s="31">
        <f t="shared" ref="K167" si="652">SUM(K166)</f>
        <v>0</v>
      </c>
      <c r="L167" s="77">
        <f t="shared" ref="L167" si="653">SUM(L166)</f>
        <v>0</v>
      </c>
      <c r="M167" s="26"/>
      <c r="N167" s="31">
        <f t="shared" ref="N167" si="654">SUM(N166)</f>
        <v>0</v>
      </c>
      <c r="O167" s="77">
        <f t="shared" ref="O167" si="655">SUM(O166)</f>
        <v>0</v>
      </c>
      <c r="P167" s="26"/>
      <c r="Q167" s="31">
        <f t="shared" ref="Q167" si="656">SUM(Q166)</f>
        <v>0</v>
      </c>
      <c r="R167" s="77">
        <f t="shared" ref="R167" si="657">SUM(R166)</f>
        <v>0</v>
      </c>
      <c r="S167" s="31">
        <f t="shared" ref="S167" si="658">SUM(S166)</f>
        <v>28</v>
      </c>
      <c r="T167" s="77">
        <f t="shared" ref="T167" si="659">SUM(T166)</f>
        <v>2.3015999999999996</v>
      </c>
      <c r="U167" s="31">
        <f t="shared" ref="U167" si="660">SUM(U166)</f>
        <v>0</v>
      </c>
      <c r="V167" s="77">
        <f t="shared" ref="V167" si="661">SUM(V166)</f>
        <v>0</v>
      </c>
    </row>
    <row r="168" spans="1:22">
      <c r="A168" s="26" t="s">
        <v>14</v>
      </c>
      <c r="B168" s="26" t="s">
        <v>58</v>
      </c>
      <c r="C168" s="26">
        <v>7.34</v>
      </c>
      <c r="D168" s="74">
        <v>12</v>
      </c>
      <c r="E168" s="28">
        <v>27</v>
      </c>
      <c r="F168" s="16">
        <f>(C168*D168*E168/1000)</f>
        <v>2.3781599999999998</v>
      </c>
      <c r="G168" s="17" t="s">
        <v>93</v>
      </c>
      <c r="H168" s="18">
        <v>27</v>
      </c>
      <c r="I168" s="19">
        <f>(C168*D168*H168/1000)</f>
        <v>2.3781599999999998</v>
      </c>
      <c r="J168" s="16"/>
      <c r="K168" s="18"/>
      <c r="L168" s="19">
        <f>(C168*D168*K168/1000)</f>
        <v>0</v>
      </c>
      <c r="M168" s="16"/>
      <c r="N168" s="18"/>
      <c r="O168" s="19">
        <f>(C168*D168*N168/1000)</f>
        <v>0</v>
      </c>
      <c r="P168" s="16"/>
      <c r="Q168" s="18"/>
      <c r="R168" s="19">
        <f>(C168*D168*Q168/1000)</f>
        <v>0</v>
      </c>
      <c r="S168" s="20">
        <f>+H168+K168+Q168+N168</f>
        <v>27</v>
      </c>
      <c r="T168" s="19">
        <f>+I168+L168+R168+O168</f>
        <v>2.3781599999999998</v>
      </c>
      <c r="U168" s="21">
        <f>E168-S168</f>
        <v>0</v>
      </c>
      <c r="V168" s="19">
        <f>F168-T168</f>
        <v>0</v>
      </c>
    </row>
    <row r="169" spans="1:22">
      <c r="A169" s="26"/>
      <c r="B169" s="41" t="s">
        <v>76</v>
      </c>
      <c r="C169" s="26"/>
      <c r="D169" s="74"/>
      <c r="E169" s="31">
        <f t="shared" ref="E169:F169" si="662">SUM(E168)</f>
        <v>27</v>
      </c>
      <c r="F169" s="77">
        <f t="shared" si="662"/>
        <v>2.3781599999999998</v>
      </c>
      <c r="G169" s="17" t="s">
        <v>452</v>
      </c>
      <c r="H169" s="31">
        <f t="shared" ref="H169" si="663">SUM(H168)</f>
        <v>27</v>
      </c>
      <c r="I169" s="77">
        <f t="shared" ref="I169" si="664">SUM(I168)</f>
        <v>2.3781599999999998</v>
      </c>
      <c r="J169" s="26"/>
      <c r="K169" s="31">
        <f t="shared" ref="K169" si="665">SUM(K168)</f>
        <v>0</v>
      </c>
      <c r="L169" s="77">
        <f t="shared" ref="L169" si="666">SUM(L168)</f>
        <v>0</v>
      </c>
      <c r="M169" s="26"/>
      <c r="N169" s="31">
        <f t="shared" ref="N169" si="667">SUM(N168)</f>
        <v>0</v>
      </c>
      <c r="O169" s="77">
        <f t="shared" ref="O169" si="668">SUM(O168)</f>
        <v>0</v>
      </c>
      <c r="P169" s="26"/>
      <c r="Q169" s="31">
        <f t="shared" ref="Q169" si="669">SUM(Q168)</f>
        <v>0</v>
      </c>
      <c r="R169" s="77">
        <f t="shared" ref="R169" si="670">SUM(R168)</f>
        <v>0</v>
      </c>
      <c r="S169" s="31">
        <f t="shared" ref="S169" si="671">SUM(S168)</f>
        <v>27</v>
      </c>
      <c r="T169" s="77">
        <f t="shared" ref="T169" si="672">SUM(T168)</f>
        <v>2.3781599999999998</v>
      </c>
      <c r="U169" s="31">
        <f t="shared" ref="U169" si="673">SUM(U168)</f>
        <v>0</v>
      </c>
      <c r="V169" s="77">
        <f t="shared" ref="V169" si="674">SUM(V168)</f>
        <v>0</v>
      </c>
    </row>
    <row r="170" spans="1:22">
      <c r="A170" s="26" t="s">
        <v>14</v>
      </c>
      <c r="B170" s="26" t="s">
        <v>26</v>
      </c>
      <c r="C170" s="26">
        <v>8.3000000000000007</v>
      </c>
      <c r="D170" s="74">
        <v>12</v>
      </c>
      <c r="E170" s="28">
        <v>25</v>
      </c>
      <c r="F170" s="16">
        <f>(C170*D170*E170/1000)</f>
        <v>2.4900000000000002</v>
      </c>
      <c r="G170" s="16" t="s">
        <v>325</v>
      </c>
      <c r="H170" s="18">
        <v>25</v>
      </c>
      <c r="I170" s="19">
        <f>(C170*D170*H170/1000)</f>
        <v>2.4900000000000002</v>
      </c>
      <c r="J170" s="16"/>
      <c r="K170" s="18"/>
      <c r="L170" s="19">
        <f>(C170*D170*K170/1000)</f>
        <v>0</v>
      </c>
      <c r="M170" s="16"/>
      <c r="N170" s="18"/>
      <c r="O170" s="19">
        <f>(C170*D170*N170/1000)</f>
        <v>0</v>
      </c>
      <c r="P170" s="16"/>
      <c r="Q170" s="18"/>
      <c r="R170" s="19">
        <f>(C170*D170*Q170/1000)</f>
        <v>0</v>
      </c>
      <c r="S170" s="20">
        <f>+H170+K170+Q170+N170</f>
        <v>25</v>
      </c>
      <c r="T170" s="19">
        <f>+I170+L170+R170+O170</f>
        <v>2.4900000000000002</v>
      </c>
      <c r="U170" s="21">
        <f>E170-S170</f>
        <v>0</v>
      </c>
      <c r="V170" s="19">
        <f>F170-T170</f>
        <v>0</v>
      </c>
    </row>
    <row r="171" spans="1:22">
      <c r="A171" s="26"/>
      <c r="B171" s="41" t="s">
        <v>76</v>
      </c>
      <c r="C171" s="26"/>
      <c r="D171" s="74"/>
      <c r="E171" s="31">
        <f t="shared" ref="E171:F171" si="675">SUM(E170)</f>
        <v>25</v>
      </c>
      <c r="F171" s="77">
        <f t="shared" si="675"/>
        <v>2.4900000000000002</v>
      </c>
      <c r="G171" s="16" t="s">
        <v>465</v>
      </c>
      <c r="H171" s="31">
        <f t="shared" ref="H171" si="676">SUM(H170)</f>
        <v>25</v>
      </c>
      <c r="I171" s="77">
        <f t="shared" ref="I171" si="677">SUM(I170)</f>
        <v>2.4900000000000002</v>
      </c>
      <c r="J171" s="26"/>
      <c r="K171" s="31">
        <f t="shared" ref="K171" si="678">SUM(K170)</f>
        <v>0</v>
      </c>
      <c r="L171" s="77">
        <f t="shared" ref="L171" si="679">SUM(L170)</f>
        <v>0</v>
      </c>
      <c r="M171" s="26"/>
      <c r="N171" s="31">
        <f t="shared" ref="N171" si="680">SUM(N170)</f>
        <v>0</v>
      </c>
      <c r="O171" s="77">
        <f t="shared" ref="O171" si="681">SUM(O170)</f>
        <v>0</v>
      </c>
      <c r="P171" s="26"/>
      <c r="Q171" s="31">
        <f t="shared" ref="Q171" si="682">SUM(Q170)</f>
        <v>0</v>
      </c>
      <c r="R171" s="77">
        <f t="shared" ref="R171" si="683">SUM(R170)</f>
        <v>0</v>
      </c>
      <c r="S171" s="31">
        <f t="shared" ref="S171" si="684">SUM(S170)</f>
        <v>25</v>
      </c>
      <c r="T171" s="77">
        <f t="shared" ref="T171" si="685">SUM(T170)</f>
        <v>2.4900000000000002</v>
      </c>
      <c r="U171" s="31">
        <f t="shared" ref="U171" si="686">SUM(U170)</f>
        <v>0</v>
      </c>
      <c r="V171" s="77">
        <f t="shared" ref="V171" si="687">SUM(V170)</f>
        <v>0</v>
      </c>
    </row>
    <row r="172" spans="1:22">
      <c r="A172" s="26" t="s">
        <v>14</v>
      </c>
      <c r="B172" s="26" t="s">
        <v>25</v>
      </c>
      <c r="C172" s="26">
        <v>13.4</v>
      </c>
      <c r="D172" s="74">
        <v>10.6</v>
      </c>
      <c r="E172" s="28">
        <v>4</v>
      </c>
      <c r="F172" s="16">
        <f>(C172*D172*E172/1000)</f>
        <v>0.56816</v>
      </c>
      <c r="G172" s="17" t="s">
        <v>114</v>
      </c>
      <c r="H172" s="18">
        <v>4</v>
      </c>
      <c r="I172" s="19">
        <f>(C172*D172*H172/1000)</f>
        <v>0.56816</v>
      </c>
      <c r="J172" s="16"/>
      <c r="K172" s="18"/>
      <c r="L172" s="19">
        <f>(C172*D172*K172/1000)</f>
        <v>0</v>
      </c>
      <c r="M172" s="16"/>
      <c r="N172" s="18"/>
      <c r="O172" s="19">
        <f>(C172*D172*N172/1000)</f>
        <v>0</v>
      </c>
      <c r="P172" s="16"/>
      <c r="Q172" s="18"/>
      <c r="R172" s="19">
        <f>(C172*D172*Q172/1000)</f>
        <v>0</v>
      </c>
      <c r="S172" s="20">
        <f>+H172+K172+Q172+N172</f>
        <v>4</v>
      </c>
      <c r="T172" s="19">
        <f>+I172+L172+R172+O172</f>
        <v>0.56816</v>
      </c>
      <c r="U172" s="21">
        <f>E172-S172</f>
        <v>0</v>
      </c>
      <c r="V172" s="19">
        <f>F172-T172</f>
        <v>0</v>
      </c>
    </row>
    <row r="173" spans="1:22">
      <c r="A173" s="26"/>
      <c r="B173" s="41" t="s">
        <v>76</v>
      </c>
      <c r="C173" s="26"/>
      <c r="D173" s="74"/>
      <c r="E173" s="31">
        <f t="shared" ref="E173:F173" si="688">SUM(E172)</f>
        <v>4</v>
      </c>
      <c r="F173" s="77">
        <f t="shared" si="688"/>
        <v>0.56816</v>
      </c>
      <c r="G173" s="26" t="s">
        <v>469</v>
      </c>
      <c r="H173" s="31">
        <f t="shared" ref="H173" si="689">SUM(H172)</f>
        <v>4</v>
      </c>
      <c r="I173" s="77">
        <f t="shared" ref="I173" si="690">SUM(I172)</f>
        <v>0.56816</v>
      </c>
      <c r="J173" s="26"/>
      <c r="K173" s="31">
        <f t="shared" ref="K173" si="691">SUM(K172)</f>
        <v>0</v>
      </c>
      <c r="L173" s="77">
        <f t="shared" ref="L173" si="692">SUM(L172)</f>
        <v>0</v>
      </c>
      <c r="M173" s="26"/>
      <c r="N173" s="31">
        <f t="shared" ref="N173" si="693">SUM(N172)</f>
        <v>0</v>
      </c>
      <c r="O173" s="77">
        <f t="shared" ref="O173" si="694">SUM(O172)</f>
        <v>0</v>
      </c>
      <c r="P173" s="26"/>
      <c r="Q173" s="31">
        <f t="shared" ref="Q173" si="695">SUM(Q172)</f>
        <v>0</v>
      </c>
      <c r="R173" s="77">
        <f t="shared" ref="R173" si="696">SUM(R172)</f>
        <v>0</v>
      </c>
      <c r="S173" s="31">
        <f t="shared" ref="S173" si="697">SUM(S172)</f>
        <v>4</v>
      </c>
      <c r="T173" s="77">
        <f t="shared" ref="T173" si="698">SUM(T172)</f>
        <v>0.56816</v>
      </c>
      <c r="U173" s="31">
        <f t="shared" ref="U173" si="699">SUM(U172)</f>
        <v>0</v>
      </c>
      <c r="V173" s="77">
        <f t="shared" ref="V173" si="700">SUM(V172)</f>
        <v>0</v>
      </c>
    </row>
    <row r="174" spans="1:22">
      <c r="A174" s="26" t="s">
        <v>14</v>
      </c>
      <c r="B174" s="26" t="s">
        <v>61</v>
      </c>
      <c r="C174" s="26">
        <v>12.2</v>
      </c>
      <c r="D174" s="74">
        <v>9.3000000000000007</v>
      </c>
      <c r="E174" s="28">
        <v>10</v>
      </c>
      <c r="F174" s="16">
        <f>(C174*D174*E174/1000)</f>
        <v>1.1346000000000001</v>
      </c>
      <c r="G174" s="17" t="s">
        <v>93</v>
      </c>
      <c r="H174" s="18">
        <v>5</v>
      </c>
      <c r="I174" s="19">
        <f>(C174*D174*H174/1000)</f>
        <v>0.56730000000000003</v>
      </c>
      <c r="J174" s="16"/>
      <c r="K174" s="18"/>
      <c r="L174" s="19">
        <f>(C174*D174*K174/1000)</f>
        <v>0</v>
      </c>
      <c r="M174" s="16"/>
      <c r="N174" s="18"/>
      <c r="O174" s="19">
        <f>(C174*D174*N174/1000)</f>
        <v>0</v>
      </c>
      <c r="P174" s="16"/>
      <c r="Q174" s="18"/>
      <c r="R174" s="19">
        <f>(C174*D174*Q174/1000)</f>
        <v>0</v>
      </c>
      <c r="S174" s="20">
        <f>+H174+K174+Q174+N174</f>
        <v>5</v>
      </c>
      <c r="T174" s="19">
        <f>+I174+L174+R174+O174</f>
        <v>0.56730000000000003</v>
      </c>
      <c r="U174" s="21">
        <f>E174-S174</f>
        <v>5</v>
      </c>
      <c r="V174" s="19">
        <f>F174-T174</f>
        <v>0.56730000000000003</v>
      </c>
    </row>
    <row r="175" spans="1:22">
      <c r="A175" s="26" t="s">
        <v>14</v>
      </c>
      <c r="B175" s="26" t="s">
        <v>61</v>
      </c>
      <c r="C175" s="26">
        <v>12.2</v>
      </c>
      <c r="D175" s="74">
        <v>10.9</v>
      </c>
      <c r="E175" s="28">
        <v>9</v>
      </c>
      <c r="F175" s="16">
        <f t="shared" ref="F175:F177" si="701">(C175*D175*E175/1000)</f>
        <v>1.19682</v>
      </c>
      <c r="G175" s="17" t="s">
        <v>452</v>
      </c>
      <c r="H175" s="18">
        <v>9</v>
      </c>
      <c r="I175" s="19">
        <f t="shared" ref="I175:I177" si="702">(C175*D175*H175/1000)</f>
        <v>1.19682</v>
      </c>
      <c r="J175" s="16"/>
      <c r="K175" s="18"/>
      <c r="L175" s="19">
        <f t="shared" ref="L175:L177" si="703">(C175*D175*K175/1000)</f>
        <v>0</v>
      </c>
      <c r="M175" s="16"/>
      <c r="N175" s="18"/>
      <c r="O175" s="19">
        <f t="shared" ref="O175:O177" si="704">(C175*D175*N175/1000)</f>
        <v>0</v>
      </c>
      <c r="P175" s="16"/>
      <c r="Q175" s="18"/>
      <c r="R175" s="19">
        <f t="shared" ref="R175:R177" si="705">(C175*D175*Q175/1000)</f>
        <v>0</v>
      </c>
      <c r="S175" s="20">
        <f t="shared" ref="S175:S177" si="706">+H175+K175+Q175+N175</f>
        <v>9</v>
      </c>
      <c r="T175" s="19">
        <f t="shared" ref="T175:T177" si="707">+I175+L175+R175+O175</f>
        <v>1.19682</v>
      </c>
      <c r="U175" s="21">
        <f t="shared" ref="U175:U177" si="708">E175-S175</f>
        <v>0</v>
      </c>
      <c r="V175" s="19">
        <f t="shared" ref="V175:V177" si="709">F175-T175</f>
        <v>0</v>
      </c>
    </row>
    <row r="176" spans="1:22">
      <c r="A176" s="26" t="s">
        <v>14</v>
      </c>
      <c r="B176" s="26" t="s">
        <v>61</v>
      </c>
      <c r="C176" s="26">
        <v>12.2</v>
      </c>
      <c r="D176" s="74">
        <v>8.6999999999999993</v>
      </c>
      <c r="E176" s="28"/>
      <c r="F176" s="16">
        <f t="shared" si="701"/>
        <v>0</v>
      </c>
      <c r="G176" s="17"/>
      <c r="H176" s="18">
        <v>1</v>
      </c>
      <c r="I176" s="19">
        <f t="shared" si="702"/>
        <v>0.10613999999999998</v>
      </c>
      <c r="J176" s="16"/>
      <c r="K176" s="18"/>
      <c r="L176" s="19">
        <f t="shared" si="703"/>
        <v>0</v>
      </c>
      <c r="M176" s="16"/>
      <c r="N176" s="18"/>
      <c r="O176" s="19">
        <f t="shared" si="704"/>
        <v>0</v>
      </c>
      <c r="P176" s="16"/>
      <c r="Q176" s="18"/>
      <c r="R176" s="19">
        <f t="shared" si="705"/>
        <v>0</v>
      </c>
      <c r="S176" s="20">
        <f t="shared" si="706"/>
        <v>1</v>
      </c>
      <c r="T176" s="19">
        <f t="shared" si="707"/>
        <v>0.10613999999999998</v>
      </c>
      <c r="U176" s="21">
        <f t="shared" si="708"/>
        <v>-1</v>
      </c>
      <c r="V176" s="19">
        <f t="shared" si="709"/>
        <v>-0.10613999999999998</v>
      </c>
    </row>
    <row r="177" spans="1:22">
      <c r="A177" s="26" t="s">
        <v>14</v>
      </c>
      <c r="B177" s="26" t="s">
        <v>61</v>
      </c>
      <c r="C177" s="26">
        <v>12.2</v>
      </c>
      <c r="D177" s="74">
        <v>8.9</v>
      </c>
      <c r="E177" s="28"/>
      <c r="F177" s="16">
        <f t="shared" si="701"/>
        <v>0</v>
      </c>
      <c r="G177" s="17"/>
      <c r="H177" s="18">
        <v>5</v>
      </c>
      <c r="I177" s="19">
        <f t="shared" si="702"/>
        <v>0.54289999999999994</v>
      </c>
      <c r="J177" s="16"/>
      <c r="K177" s="18"/>
      <c r="L177" s="19">
        <f t="shared" si="703"/>
        <v>0</v>
      </c>
      <c r="M177" s="16"/>
      <c r="N177" s="18"/>
      <c r="O177" s="19">
        <f t="shared" si="704"/>
        <v>0</v>
      </c>
      <c r="P177" s="16"/>
      <c r="Q177" s="18"/>
      <c r="R177" s="19">
        <f t="shared" si="705"/>
        <v>0</v>
      </c>
      <c r="S177" s="20">
        <f t="shared" si="706"/>
        <v>5</v>
      </c>
      <c r="T177" s="19">
        <f t="shared" si="707"/>
        <v>0.54289999999999994</v>
      </c>
      <c r="U177" s="21">
        <f t="shared" si="708"/>
        <v>-5</v>
      </c>
      <c r="V177" s="19">
        <f t="shared" si="709"/>
        <v>-0.54289999999999994</v>
      </c>
    </row>
    <row r="178" spans="1:22">
      <c r="A178" s="26" t="s">
        <v>14</v>
      </c>
      <c r="B178" s="26" t="s">
        <v>61</v>
      </c>
      <c r="C178" s="26">
        <v>12.2</v>
      </c>
      <c r="D178" s="74">
        <v>9</v>
      </c>
      <c r="E178" s="28"/>
      <c r="F178" s="16">
        <f>(C178*D178*E178/1000)</f>
        <v>0</v>
      </c>
      <c r="G178" s="17"/>
      <c r="H178" s="18">
        <v>1</v>
      </c>
      <c r="I178" s="19">
        <f>(C178*D178*H178/1000)</f>
        <v>0.10979999999999999</v>
      </c>
      <c r="J178" s="16"/>
      <c r="K178" s="18"/>
      <c r="L178" s="19">
        <f>(C178*D178*K178/1000)</f>
        <v>0</v>
      </c>
      <c r="M178" s="16"/>
      <c r="N178" s="18"/>
      <c r="O178" s="19">
        <f>(C178*D178*N178/1000)</f>
        <v>0</v>
      </c>
      <c r="P178" s="16"/>
      <c r="Q178" s="18"/>
      <c r="R178" s="19">
        <f>(C178*D178*Q178/1000)</f>
        <v>0</v>
      </c>
      <c r="S178" s="20">
        <f>+H178+K178+Q178+N178</f>
        <v>1</v>
      </c>
      <c r="T178" s="19">
        <f>+I178+L178+R178+O178</f>
        <v>0.10979999999999999</v>
      </c>
      <c r="U178" s="21">
        <f>E178-S178</f>
        <v>-1</v>
      </c>
      <c r="V178" s="19">
        <f>F178-T178</f>
        <v>-0.10979999999999999</v>
      </c>
    </row>
    <row r="179" spans="1:22">
      <c r="A179" s="26"/>
      <c r="B179" s="41" t="s">
        <v>76</v>
      </c>
      <c r="C179" s="26"/>
      <c r="D179" s="74"/>
      <c r="E179" s="31">
        <f t="shared" ref="E179:F179" si="710">SUM(E174:E178)</f>
        <v>19</v>
      </c>
      <c r="F179" s="77">
        <f t="shared" si="710"/>
        <v>2.33142</v>
      </c>
      <c r="G179" s="26"/>
      <c r="H179" s="31">
        <f t="shared" ref="H179" si="711">SUM(H174:H178)</f>
        <v>21</v>
      </c>
      <c r="I179" s="77">
        <f t="shared" ref="I179" si="712">SUM(I174:I178)</f>
        <v>2.5229599999999999</v>
      </c>
      <c r="J179" s="26"/>
      <c r="K179" s="31">
        <f t="shared" ref="K179" si="713">SUM(K174:K178)</f>
        <v>0</v>
      </c>
      <c r="L179" s="77">
        <f t="shared" ref="L179" si="714">SUM(L174:L178)</f>
        <v>0</v>
      </c>
      <c r="M179" s="26"/>
      <c r="N179" s="31">
        <f t="shared" ref="N179" si="715">SUM(N174:N178)</f>
        <v>0</v>
      </c>
      <c r="O179" s="77">
        <f t="shared" ref="O179" si="716">SUM(O174:O178)</f>
        <v>0</v>
      </c>
      <c r="P179" s="26"/>
      <c r="Q179" s="31">
        <f t="shared" ref="Q179" si="717">SUM(Q174:Q178)</f>
        <v>0</v>
      </c>
      <c r="R179" s="77">
        <f t="shared" ref="R179" si="718">SUM(R174:R178)</f>
        <v>0</v>
      </c>
      <c r="S179" s="31">
        <f t="shared" ref="S179" si="719">SUM(S174:S178)</f>
        <v>21</v>
      </c>
      <c r="T179" s="77">
        <f t="shared" ref="T179" si="720">SUM(T174:T178)</f>
        <v>2.5229599999999999</v>
      </c>
      <c r="U179" s="31">
        <f t="shared" ref="U179" si="721">SUM(U174:U178)</f>
        <v>-2</v>
      </c>
      <c r="V179" s="77">
        <f t="shared" ref="V179" si="722">SUM(V174:V178)</f>
        <v>-0.19153999999999993</v>
      </c>
    </row>
    <row r="180" spans="1:22">
      <c r="A180" s="26" t="s">
        <v>14</v>
      </c>
      <c r="B180" s="26" t="s">
        <v>45</v>
      </c>
      <c r="C180" s="26">
        <v>9.26</v>
      </c>
      <c r="D180" s="74">
        <v>11.7</v>
      </c>
      <c r="E180" s="28">
        <v>8</v>
      </c>
      <c r="F180" s="16">
        <f>(C180*D180*E180/1000)</f>
        <v>0.86673599999999984</v>
      </c>
      <c r="G180" s="17" t="s">
        <v>93</v>
      </c>
      <c r="H180" s="18">
        <v>8</v>
      </c>
      <c r="I180" s="19">
        <f>(C180*D180*H180/1000)</f>
        <v>0.86673599999999984</v>
      </c>
      <c r="J180" s="16"/>
      <c r="K180" s="18"/>
      <c r="L180" s="19">
        <f>(C180*D180*K180/1000)</f>
        <v>0</v>
      </c>
      <c r="M180" s="16"/>
      <c r="N180" s="18"/>
      <c r="O180" s="19">
        <f>(C180*D180*N180/1000)</f>
        <v>0</v>
      </c>
      <c r="P180" s="16"/>
      <c r="Q180" s="18"/>
      <c r="R180" s="19">
        <f>(C180*D180*Q180/1000)</f>
        <v>0</v>
      </c>
      <c r="S180" s="20">
        <f>+H180+K180+Q180+N180</f>
        <v>8</v>
      </c>
      <c r="T180" s="19">
        <f>+I180+L180+R180+O180</f>
        <v>0.86673599999999984</v>
      </c>
      <c r="U180" s="21">
        <f>E180-S180</f>
        <v>0</v>
      </c>
      <c r="V180" s="19">
        <f>F180-T180</f>
        <v>0</v>
      </c>
    </row>
    <row r="181" spans="1:22">
      <c r="A181" s="26"/>
      <c r="B181" s="41" t="s">
        <v>76</v>
      </c>
      <c r="C181" s="26"/>
      <c r="D181" s="74"/>
      <c r="E181" s="31">
        <f t="shared" ref="E181:F181" si="723">SUM(E180)</f>
        <v>8</v>
      </c>
      <c r="F181" s="77">
        <f t="shared" si="723"/>
        <v>0.86673599999999984</v>
      </c>
      <c r="G181" s="17" t="s">
        <v>452</v>
      </c>
      <c r="H181" s="31">
        <f t="shared" ref="H181" si="724">SUM(H180)</f>
        <v>8</v>
      </c>
      <c r="I181" s="77">
        <f t="shared" ref="I181" si="725">SUM(I180)</f>
        <v>0.86673599999999984</v>
      </c>
      <c r="J181" s="26"/>
      <c r="K181" s="31">
        <f t="shared" ref="K181" si="726">SUM(K180)</f>
        <v>0</v>
      </c>
      <c r="L181" s="77">
        <f t="shared" ref="L181" si="727">SUM(L180)</f>
        <v>0</v>
      </c>
      <c r="M181" s="26"/>
      <c r="N181" s="31">
        <f t="shared" ref="N181" si="728">SUM(N180)</f>
        <v>0</v>
      </c>
      <c r="O181" s="77">
        <f t="shared" ref="O181" si="729">SUM(O180)</f>
        <v>0</v>
      </c>
      <c r="P181" s="26"/>
      <c r="Q181" s="31">
        <f t="shared" ref="Q181" si="730">SUM(Q180)</f>
        <v>0</v>
      </c>
      <c r="R181" s="77">
        <f t="shared" ref="R181" si="731">SUM(R180)</f>
        <v>0</v>
      </c>
      <c r="S181" s="31">
        <f t="shared" ref="S181" si="732">SUM(S180)</f>
        <v>8</v>
      </c>
      <c r="T181" s="77">
        <f t="shared" ref="T181" si="733">SUM(T180)</f>
        <v>0.86673599999999984</v>
      </c>
      <c r="U181" s="31">
        <f t="shared" ref="U181" si="734">SUM(U180)</f>
        <v>0</v>
      </c>
      <c r="V181" s="77">
        <f t="shared" ref="V181" si="735">SUM(V180)</f>
        <v>0</v>
      </c>
    </row>
    <row r="182" spans="1:22">
      <c r="A182" s="26" t="s">
        <v>14</v>
      </c>
      <c r="B182" s="26" t="s">
        <v>51</v>
      </c>
      <c r="C182" s="26">
        <v>19.8</v>
      </c>
      <c r="D182" s="74">
        <v>9.6</v>
      </c>
      <c r="E182" s="28">
        <v>4</v>
      </c>
      <c r="F182" s="16">
        <f>(C182*D182*E182/1000)</f>
        <v>0.76032</v>
      </c>
      <c r="G182" s="17" t="s">
        <v>93</v>
      </c>
      <c r="H182" s="18">
        <v>4</v>
      </c>
      <c r="I182" s="19">
        <f>(C182*D182*H182/1000)</f>
        <v>0.76032</v>
      </c>
      <c r="J182" s="16"/>
      <c r="K182" s="18"/>
      <c r="L182" s="19">
        <f>(C182*D182*K182/1000)</f>
        <v>0</v>
      </c>
      <c r="M182" s="16"/>
      <c r="N182" s="18"/>
      <c r="O182" s="19">
        <f>(C182*D182*N182/1000)</f>
        <v>0</v>
      </c>
      <c r="P182" s="16"/>
      <c r="Q182" s="18"/>
      <c r="R182" s="19">
        <f>(C182*D182*Q182/1000)</f>
        <v>0</v>
      </c>
      <c r="S182" s="20">
        <f>+H182+K182+Q182+N182</f>
        <v>4</v>
      </c>
      <c r="T182" s="19">
        <f>+I182+L182+R182+O182</f>
        <v>0.76032</v>
      </c>
      <c r="U182" s="21">
        <f>E182-S182</f>
        <v>0</v>
      </c>
      <c r="V182" s="19">
        <f>F182-T182</f>
        <v>0</v>
      </c>
    </row>
    <row r="183" spans="1:22">
      <c r="A183" s="26"/>
      <c r="B183" s="41" t="s">
        <v>76</v>
      </c>
      <c r="C183" s="26"/>
      <c r="D183" s="74"/>
      <c r="E183" s="31">
        <f t="shared" ref="E183:F183" si="736">SUM(E182)</f>
        <v>4</v>
      </c>
      <c r="F183" s="77">
        <f t="shared" si="736"/>
        <v>0.76032</v>
      </c>
      <c r="G183" s="17" t="s">
        <v>452</v>
      </c>
      <c r="H183" s="31">
        <f t="shared" ref="H183" si="737">SUM(H182)</f>
        <v>4</v>
      </c>
      <c r="I183" s="77">
        <f t="shared" ref="I183" si="738">SUM(I182)</f>
        <v>0.76032</v>
      </c>
      <c r="J183" s="26"/>
      <c r="K183" s="31">
        <f t="shared" ref="K183" si="739">SUM(K182)</f>
        <v>0</v>
      </c>
      <c r="L183" s="77">
        <f t="shared" ref="L183" si="740">SUM(L182)</f>
        <v>0</v>
      </c>
      <c r="M183" s="26"/>
      <c r="N183" s="31">
        <f t="shared" ref="N183" si="741">SUM(N182)</f>
        <v>0</v>
      </c>
      <c r="O183" s="77">
        <f t="shared" ref="O183" si="742">SUM(O182)</f>
        <v>0</v>
      </c>
      <c r="P183" s="26"/>
      <c r="Q183" s="31">
        <f t="shared" ref="Q183" si="743">SUM(Q182)</f>
        <v>0</v>
      </c>
      <c r="R183" s="77">
        <f t="shared" ref="R183" si="744">SUM(R182)</f>
        <v>0</v>
      </c>
      <c r="S183" s="31">
        <f t="shared" ref="S183" si="745">SUM(S182)</f>
        <v>4</v>
      </c>
      <c r="T183" s="77">
        <f t="shared" ref="T183" si="746">SUM(T182)</f>
        <v>0.76032</v>
      </c>
      <c r="U183" s="31">
        <f t="shared" ref="U183" si="747">SUM(U182)</f>
        <v>0</v>
      </c>
      <c r="V183" s="77">
        <f t="shared" ref="V183" si="748">SUM(V182)</f>
        <v>0</v>
      </c>
    </row>
    <row r="184" spans="1:22">
      <c r="A184" s="26" t="s">
        <v>14</v>
      </c>
      <c r="B184" s="26" t="s">
        <v>46</v>
      </c>
      <c r="C184" s="26">
        <v>10.7</v>
      </c>
      <c r="D184" s="74">
        <v>11.4</v>
      </c>
      <c r="E184" s="28">
        <v>3</v>
      </c>
      <c r="F184" s="16">
        <f>(C184*D184*E184/1000)</f>
        <v>0.36593999999999993</v>
      </c>
      <c r="G184" s="17" t="s">
        <v>86</v>
      </c>
      <c r="H184" s="18"/>
      <c r="I184" s="19">
        <f>(C184*D184*H184/1000)</f>
        <v>0</v>
      </c>
      <c r="J184" s="16"/>
      <c r="K184" s="18"/>
      <c r="L184" s="19">
        <f>(C184*D184*K184/1000)</f>
        <v>0</v>
      </c>
      <c r="M184" s="16"/>
      <c r="N184" s="18"/>
      <c r="O184" s="19">
        <f>(C184*D184*N184/1000)</f>
        <v>0</v>
      </c>
      <c r="P184" s="16"/>
      <c r="Q184" s="18"/>
      <c r="R184" s="19">
        <f>(C184*D184*Q184/1000)</f>
        <v>0</v>
      </c>
      <c r="S184" s="20">
        <f>+H184+K184+Q184+N184</f>
        <v>0</v>
      </c>
      <c r="T184" s="19">
        <f>+I184+L184+R184+O184</f>
        <v>0</v>
      </c>
      <c r="U184" s="21">
        <f>E184-S184</f>
        <v>3</v>
      </c>
      <c r="V184" s="19">
        <f>F184-T184</f>
        <v>0.36593999999999993</v>
      </c>
    </row>
    <row r="185" spans="1:22">
      <c r="A185" s="26" t="s">
        <v>14</v>
      </c>
      <c r="B185" s="26" t="s">
        <v>46</v>
      </c>
      <c r="C185" s="26">
        <v>10.7</v>
      </c>
      <c r="D185" s="74">
        <v>10.9</v>
      </c>
      <c r="E185" s="28"/>
      <c r="F185" s="16">
        <f>(C185*D185*E185/1000)</f>
        <v>0</v>
      </c>
      <c r="G185" s="17" t="s">
        <v>472</v>
      </c>
      <c r="H185" s="18">
        <v>4</v>
      </c>
      <c r="I185" s="19">
        <f>(C185*D185*H185/1000)</f>
        <v>0.46651999999999999</v>
      </c>
      <c r="J185" s="16"/>
      <c r="K185" s="18"/>
      <c r="L185" s="19">
        <f>(C185*D185*K185/1000)</f>
        <v>0</v>
      </c>
      <c r="M185" s="16"/>
      <c r="N185" s="18"/>
      <c r="O185" s="19">
        <f>(C185*D185*N185/1000)</f>
        <v>0</v>
      </c>
      <c r="P185" s="16"/>
      <c r="Q185" s="18"/>
      <c r="R185" s="19">
        <f>(C185*D185*Q185/1000)</f>
        <v>0</v>
      </c>
      <c r="S185" s="20">
        <f>+H185+K185+Q185+N185</f>
        <v>4</v>
      </c>
      <c r="T185" s="19">
        <f>+I185+L185+R185+O185</f>
        <v>0.46651999999999999</v>
      </c>
      <c r="U185" s="21">
        <f>E185-S185</f>
        <v>-4</v>
      </c>
      <c r="V185" s="19">
        <f>F185-T185</f>
        <v>-0.46651999999999999</v>
      </c>
    </row>
    <row r="186" spans="1:22">
      <c r="A186" s="26"/>
      <c r="B186" s="41" t="s">
        <v>76</v>
      </c>
      <c r="C186" s="26"/>
      <c r="D186" s="74"/>
      <c r="E186" s="31">
        <f t="shared" ref="E186:F186" si="749">SUM(E184:E185)</f>
        <v>3</v>
      </c>
      <c r="F186" s="77">
        <f t="shared" si="749"/>
        <v>0.36593999999999993</v>
      </c>
      <c r="G186" s="17"/>
      <c r="H186" s="31">
        <f t="shared" ref="H186" si="750">SUM(H184:H185)</f>
        <v>4</v>
      </c>
      <c r="I186" s="77">
        <f t="shared" ref="I186" si="751">SUM(I184:I185)</f>
        <v>0.46651999999999999</v>
      </c>
      <c r="J186" s="26"/>
      <c r="K186" s="31">
        <f t="shared" ref="K186" si="752">SUM(K184:K185)</f>
        <v>0</v>
      </c>
      <c r="L186" s="77">
        <f t="shared" ref="L186" si="753">SUM(L184:L185)</f>
        <v>0</v>
      </c>
      <c r="M186" s="26"/>
      <c r="N186" s="31">
        <f t="shared" ref="N186" si="754">SUM(N184:N185)</f>
        <v>0</v>
      </c>
      <c r="O186" s="77">
        <f t="shared" ref="O186" si="755">SUM(O184:O185)</f>
        <v>0</v>
      </c>
      <c r="P186" s="26"/>
      <c r="Q186" s="31">
        <f t="shared" ref="Q186" si="756">SUM(Q184:Q185)</f>
        <v>0</v>
      </c>
      <c r="R186" s="77">
        <f t="shared" ref="R186" si="757">SUM(R184:R185)</f>
        <v>0</v>
      </c>
      <c r="S186" s="31">
        <f t="shared" ref="S186" si="758">SUM(S184:S185)</f>
        <v>4</v>
      </c>
      <c r="T186" s="77">
        <f t="shared" ref="T186" si="759">SUM(T184:T185)</f>
        <v>0.46651999999999999</v>
      </c>
      <c r="U186" s="31">
        <f t="shared" ref="U186" si="760">SUM(U184:U185)</f>
        <v>-1</v>
      </c>
      <c r="V186" s="77">
        <f t="shared" ref="V186" si="761">SUM(V184:V185)</f>
        <v>-0.10058000000000006</v>
      </c>
    </row>
    <row r="187" spans="1:22">
      <c r="A187" s="26" t="s">
        <v>13</v>
      </c>
      <c r="B187" s="26" t="s">
        <v>57</v>
      </c>
      <c r="C187" s="26">
        <v>6.17</v>
      </c>
      <c r="D187" s="74">
        <v>1</v>
      </c>
      <c r="E187" s="28">
        <v>1</v>
      </c>
      <c r="F187" s="16">
        <f>(C187*D187*E187/1000)</f>
        <v>6.1700000000000001E-3</v>
      </c>
      <c r="G187" s="17" t="s">
        <v>88</v>
      </c>
      <c r="H187" s="18">
        <v>1</v>
      </c>
      <c r="I187" s="19">
        <f>(C187*D187*H187/1000)</f>
        <v>6.1700000000000001E-3</v>
      </c>
      <c r="J187" s="16"/>
      <c r="K187" s="18"/>
      <c r="L187" s="19">
        <f>(C187*D187*K187/1000)</f>
        <v>0</v>
      </c>
      <c r="M187" s="16"/>
      <c r="N187" s="18"/>
      <c r="O187" s="19">
        <f>(C187*D187*N187/1000)</f>
        <v>0</v>
      </c>
      <c r="P187" s="16"/>
      <c r="Q187" s="18"/>
      <c r="R187" s="19">
        <f>(C187*D187*Q187/1000)</f>
        <v>0</v>
      </c>
      <c r="S187" s="20">
        <f>+H187+K187+Q187+N187</f>
        <v>1</v>
      </c>
      <c r="T187" s="19">
        <f>+I187+L187+R187+O187</f>
        <v>6.1700000000000001E-3</v>
      </c>
      <c r="U187" s="21">
        <f>E187-S187</f>
        <v>0</v>
      </c>
      <c r="V187" s="19">
        <f>F187-T187</f>
        <v>0</v>
      </c>
    </row>
    <row r="188" spans="1:22">
      <c r="A188" s="26"/>
      <c r="B188" s="41" t="s">
        <v>379</v>
      </c>
      <c r="C188" s="26"/>
      <c r="D188" s="74"/>
      <c r="E188" s="31">
        <f t="shared" ref="E188:F188" si="762">SUM(E187)</f>
        <v>1</v>
      </c>
      <c r="F188" s="77">
        <f t="shared" si="762"/>
        <v>6.1700000000000001E-3</v>
      </c>
      <c r="G188" s="26" t="s">
        <v>513</v>
      </c>
      <c r="H188" s="31">
        <f t="shared" ref="H188:I188" si="763">SUM(H187)</f>
        <v>1</v>
      </c>
      <c r="I188" s="77">
        <f t="shared" si="763"/>
        <v>6.1700000000000001E-3</v>
      </c>
      <c r="J188" s="26"/>
      <c r="K188" s="31">
        <f t="shared" ref="K188:L188" si="764">SUM(K187)</f>
        <v>0</v>
      </c>
      <c r="L188" s="77">
        <f t="shared" si="764"/>
        <v>0</v>
      </c>
      <c r="M188" s="26"/>
      <c r="N188" s="31">
        <f t="shared" ref="N188:O188" si="765">SUM(N187)</f>
        <v>0</v>
      </c>
      <c r="O188" s="77">
        <f t="shared" si="765"/>
        <v>0</v>
      </c>
      <c r="P188" s="26"/>
      <c r="Q188" s="31">
        <f t="shared" ref="Q188:V188" si="766">SUM(Q187)</f>
        <v>0</v>
      </c>
      <c r="R188" s="77">
        <f t="shared" si="766"/>
        <v>0</v>
      </c>
      <c r="S188" s="31">
        <f t="shared" si="766"/>
        <v>1</v>
      </c>
      <c r="T188" s="77">
        <f t="shared" si="766"/>
        <v>6.1700000000000001E-3</v>
      </c>
      <c r="U188" s="31">
        <f t="shared" si="766"/>
        <v>0</v>
      </c>
      <c r="V188" s="77">
        <f t="shared" si="766"/>
        <v>0</v>
      </c>
    </row>
    <row r="189" spans="1:22">
      <c r="A189" s="26" t="s">
        <v>13</v>
      </c>
      <c r="B189" s="26" t="s">
        <v>35</v>
      </c>
      <c r="C189" s="26">
        <v>6.85</v>
      </c>
      <c r="D189" s="74">
        <v>1</v>
      </c>
      <c r="E189" s="28">
        <v>1</v>
      </c>
      <c r="F189" s="16">
        <f>(C189*D189*E189/1000)</f>
        <v>6.8499999999999993E-3</v>
      </c>
      <c r="G189" s="17" t="s">
        <v>88</v>
      </c>
      <c r="H189" s="18">
        <v>1</v>
      </c>
      <c r="I189" s="19">
        <f>(C189*D189*H189/1000)</f>
        <v>6.8499999999999993E-3</v>
      </c>
      <c r="J189" s="16"/>
      <c r="K189" s="18"/>
      <c r="L189" s="19">
        <f>(C189*D189*K189/1000)</f>
        <v>0</v>
      </c>
      <c r="M189" s="16"/>
      <c r="N189" s="18"/>
      <c r="O189" s="19">
        <f>(C189*D189*N189/1000)</f>
        <v>0</v>
      </c>
      <c r="P189" s="16"/>
      <c r="Q189" s="18"/>
      <c r="R189" s="19">
        <f>(C189*D189*Q189/1000)</f>
        <v>0</v>
      </c>
      <c r="S189" s="20">
        <f>+H189+K189+Q189+N189</f>
        <v>1</v>
      </c>
      <c r="T189" s="19">
        <f>+I189+L189+R189+O189</f>
        <v>6.8499999999999993E-3</v>
      </c>
      <c r="U189" s="21">
        <f>E189-S189</f>
        <v>0</v>
      </c>
      <c r="V189" s="19">
        <f>F189-T189</f>
        <v>0</v>
      </c>
    </row>
    <row r="190" spans="1:22">
      <c r="A190" s="26"/>
      <c r="B190" s="41" t="s">
        <v>379</v>
      </c>
      <c r="C190" s="26"/>
      <c r="D190" s="74"/>
      <c r="E190" s="31">
        <f t="shared" ref="E190:F190" si="767">SUM(E189)</f>
        <v>1</v>
      </c>
      <c r="F190" s="77">
        <f t="shared" si="767"/>
        <v>6.8499999999999993E-3</v>
      </c>
      <c r="G190" s="26" t="s">
        <v>513</v>
      </c>
      <c r="H190" s="31">
        <f t="shared" ref="H190:I190" si="768">SUM(H189)</f>
        <v>1</v>
      </c>
      <c r="I190" s="77">
        <f t="shared" si="768"/>
        <v>6.8499999999999993E-3</v>
      </c>
      <c r="J190" s="26"/>
      <c r="K190" s="31">
        <f t="shared" ref="K190:L190" si="769">SUM(K189)</f>
        <v>0</v>
      </c>
      <c r="L190" s="77">
        <f t="shared" si="769"/>
        <v>0</v>
      </c>
      <c r="M190" s="26"/>
      <c r="N190" s="31">
        <f t="shared" ref="N190:O190" si="770">SUM(N189)</f>
        <v>0</v>
      </c>
      <c r="O190" s="77">
        <f t="shared" si="770"/>
        <v>0</v>
      </c>
      <c r="P190" s="26"/>
      <c r="Q190" s="31">
        <f t="shared" ref="Q190:V190" si="771">SUM(Q189)</f>
        <v>0</v>
      </c>
      <c r="R190" s="77">
        <f t="shared" si="771"/>
        <v>0</v>
      </c>
      <c r="S190" s="31">
        <f t="shared" si="771"/>
        <v>1</v>
      </c>
      <c r="T190" s="77">
        <f t="shared" si="771"/>
        <v>6.8499999999999993E-3</v>
      </c>
      <c r="U190" s="31">
        <f t="shared" si="771"/>
        <v>0</v>
      </c>
      <c r="V190" s="77">
        <f t="shared" si="771"/>
        <v>0</v>
      </c>
    </row>
    <row r="191" spans="1:22">
      <c r="A191" s="26"/>
      <c r="B191" s="26"/>
      <c r="C191" s="26"/>
      <c r="D191" s="26"/>
      <c r="E191" s="31">
        <f>SUM(E6:E190)/2</f>
        <v>926</v>
      </c>
      <c r="F191" s="38">
        <f>SUM(F6:F190)/2</f>
        <v>124.54267119999999</v>
      </c>
      <c r="G191" s="26"/>
      <c r="H191" s="31">
        <f>SUM(H6:H190)/2</f>
        <v>923</v>
      </c>
      <c r="I191" s="38">
        <f>SUM(I6:I190)/2</f>
        <v>123.76211370000001</v>
      </c>
      <c r="J191" s="26"/>
      <c r="K191" s="31">
        <f>SUM(K6:K190)/2</f>
        <v>31</v>
      </c>
      <c r="L191" s="38">
        <f>SUM(L6:L190)/2</f>
        <v>3.4952160000000001</v>
      </c>
      <c r="M191" s="26"/>
      <c r="N191" s="31">
        <f>SUM(N6:N190)/2</f>
        <v>0</v>
      </c>
      <c r="O191" s="38">
        <f>SUM(O6:O190)/2</f>
        <v>0</v>
      </c>
      <c r="P191" s="26"/>
      <c r="Q191" s="31">
        <f t="shared" ref="Q191:V191" si="772">SUM(Q6:Q190)/2</f>
        <v>0</v>
      </c>
      <c r="R191" s="38">
        <f t="shared" si="772"/>
        <v>0</v>
      </c>
      <c r="S191" s="31">
        <f t="shared" si="772"/>
        <v>953.5</v>
      </c>
      <c r="T191" s="38">
        <f t="shared" si="772"/>
        <v>127.25219219999998</v>
      </c>
      <c r="U191" s="31">
        <f t="shared" si="772"/>
        <v>-27.5</v>
      </c>
      <c r="V191" s="38">
        <f t="shared" si="772"/>
        <v>-2.7095209999999996</v>
      </c>
    </row>
    <row r="196" spans="1:24" s="56" customFormat="1">
      <c r="A196" s="57" t="s">
        <v>13</v>
      </c>
      <c r="B196" s="57" t="s">
        <v>53</v>
      </c>
      <c r="C196" s="57">
        <v>23.6</v>
      </c>
      <c r="D196" s="83">
        <v>7</v>
      </c>
      <c r="E196" s="60">
        <v>8</v>
      </c>
      <c r="F196" s="61">
        <f>(C196*D196*E196/1000)</f>
        <v>1.3216000000000001</v>
      </c>
      <c r="G196" s="62"/>
      <c r="H196" s="63"/>
      <c r="I196" s="64">
        <f>(C196*D196*H196/1000)</f>
        <v>0</v>
      </c>
      <c r="J196" s="61"/>
      <c r="K196" s="63"/>
      <c r="L196" s="64">
        <f>(C196*D196*K196/1000)</f>
        <v>0</v>
      </c>
      <c r="M196" s="61"/>
      <c r="N196" s="63"/>
      <c r="O196" s="64">
        <f>(C196*D196*N196/1000)</f>
        <v>0</v>
      </c>
      <c r="P196" s="61"/>
      <c r="Q196" s="63"/>
      <c r="R196" s="64">
        <f>(C196*D196*Q196/1000)</f>
        <v>0</v>
      </c>
      <c r="S196" s="65">
        <f>+H196+K196+Q196+N196</f>
        <v>0</v>
      </c>
      <c r="T196" s="64">
        <f>+I196+L196+R196+O196</f>
        <v>0</v>
      </c>
      <c r="U196" s="42">
        <f>E196-S196</f>
        <v>8</v>
      </c>
      <c r="V196" s="64">
        <f>F196-T196</f>
        <v>1.3216000000000001</v>
      </c>
    </row>
    <row r="197" spans="1:24" s="56" customFormat="1">
      <c r="A197" s="57" t="s">
        <v>13</v>
      </c>
      <c r="B197" s="57" t="s">
        <v>53</v>
      </c>
      <c r="C197" s="57">
        <v>23.6</v>
      </c>
      <c r="D197" s="83">
        <v>10</v>
      </c>
      <c r="E197" s="60">
        <v>8</v>
      </c>
      <c r="F197" s="61">
        <f>(C197*D197*E197/1000)</f>
        <v>1.8879999999999999</v>
      </c>
      <c r="G197" s="62"/>
      <c r="H197" s="63"/>
      <c r="I197" s="64">
        <f>(C197*D197*H197/1000)</f>
        <v>0</v>
      </c>
      <c r="J197" s="61"/>
      <c r="K197" s="63"/>
      <c r="L197" s="64">
        <f>(C197*D197*K197/1000)</f>
        <v>0</v>
      </c>
      <c r="M197" s="61"/>
      <c r="N197" s="63"/>
      <c r="O197" s="64">
        <f>(C197*D197*N197/1000)</f>
        <v>0</v>
      </c>
      <c r="P197" s="61"/>
      <c r="Q197" s="63"/>
      <c r="R197" s="64">
        <f>(C197*D197*Q197/1000)</f>
        <v>0</v>
      </c>
      <c r="S197" s="65">
        <f>+H197+K197+Q197+N197</f>
        <v>0</v>
      </c>
      <c r="T197" s="64">
        <f>+I197+L197+R197+O197</f>
        <v>0</v>
      </c>
      <c r="U197" s="42">
        <f>E197-S197</f>
        <v>8</v>
      </c>
      <c r="V197" s="64">
        <f>F197-T197</f>
        <v>1.8879999999999999</v>
      </c>
    </row>
    <row r="198" spans="1:24" s="56" customFormat="1">
      <c r="A198" s="57"/>
      <c r="B198" s="41" t="s">
        <v>378</v>
      </c>
      <c r="C198" s="57"/>
      <c r="D198" s="83"/>
      <c r="E198" s="68">
        <f t="shared" ref="E198:F198" si="773">SUM(E196:E197)</f>
        <v>16</v>
      </c>
      <c r="F198" s="85">
        <f t="shared" si="773"/>
        <v>3.2096</v>
      </c>
      <c r="G198" s="62"/>
      <c r="H198" s="68">
        <f t="shared" ref="H198" si="774">SUM(H196:H197)</f>
        <v>0</v>
      </c>
      <c r="I198" s="85">
        <f t="shared" ref="I198" si="775">SUM(I196:I197)</f>
        <v>0</v>
      </c>
      <c r="J198" s="61"/>
      <c r="K198" s="68">
        <f t="shared" ref="K198" si="776">SUM(K196:K197)</f>
        <v>0</v>
      </c>
      <c r="L198" s="85">
        <f t="shared" ref="L198" si="777">SUM(L196:L197)</f>
        <v>0</v>
      </c>
      <c r="M198" s="61"/>
      <c r="N198" s="68">
        <f t="shared" ref="N198" si="778">SUM(N196:N197)</f>
        <v>0</v>
      </c>
      <c r="O198" s="85">
        <f t="shared" ref="O198" si="779">SUM(O196:O197)</f>
        <v>0</v>
      </c>
      <c r="P198" s="61"/>
      <c r="Q198" s="68">
        <f t="shared" ref="Q198" si="780">SUM(Q196:Q197)</f>
        <v>0</v>
      </c>
      <c r="R198" s="85">
        <f t="shared" ref="R198" si="781">SUM(R196:R197)</f>
        <v>0</v>
      </c>
      <c r="S198" s="68">
        <f t="shared" ref="S198" si="782">SUM(S196:S197)</f>
        <v>0</v>
      </c>
      <c r="T198" s="85">
        <f t="shared" ref="T198" si="783">SUM(T196:T197)</f>
        <v>0</v>
      </c>
      <c r="U198" s="68">
        <f t="shared" ref="U198" si="784">SUM(U196:U197)</f>
        <v>16</v>
      </c>
      <c r="V198" s="85">
        <f t="shared" ref="V198" si="785">SUM(V196:V197)</f>
        <v>3.2096</v>
      </c>
    </row>
    <row r="199" spans="1:24" s="56" customFormat="1">
      <c r="A199" s="57" t="s">
        <v>13</v>
      </c>
      <c r="B199" s="57" t="s">
        <v>51</v>
      </c>
      <c r="C199" s="57">
        <v>19.8</v>
      </c>
      <c r="D199" s="83">
        <v>9.5</v>
      </c>
      <c r="E199" s="60">
        <v>11</v>
      </c>
      <c r="F199" s="61">
        <f>(C199*D199*E199/1000)</f>
        <v>2.0690999999999997</v>
      </c>
      <c r="G199" s="62"/>
      <c r="H199" s="63"/>
      <c r="I199" s="64">
        <f>(C199*D199*H199/1000)</f>
        <v>0</v>
      </c>
      <c r="J199" s="61"/>
      <c r="K199" s="63"/>
      <c r="L199" s="64">
        <f>(C199*D199*K199/1000)</f>
        <v>0</v>
      </c>
      <c r="M199" s="61"/>
      <c r="N199" s="63"/>
      <c r="O199" s="64">
        <f>(C199*D199*N199/1000)</f>
        <v>0</v>
      </c>
      <c r="P199" s="61"/>
      <c r="Q199" s="63"/>
      <c r="R199" s="64">
        <f>(C199*D199*Q199/1000)</f>
        <v>0</v>
      </c>
      <c r="S199" s="65">
        <f>+H199+K199+Q199+N199</f>
        <v>0</v>
      </c>
      <c r="T199" s="64">
        <f>+I199+L199+R199+O199</f>
        <v>0</v>
      </c>
      <c r="U199" s="42">
        <f>E199-S199</f>
        <v>11</v>
      </c>
      <c r="V199" s="64">
        <f>F199-T199</f>
        <v>2.0690999999999997</v>
      </c>
    </row>
    <row r="200" spans="1:24" s="56" customFormat="1">
      <c r="A200" s="57"/>
      <c r="B200" s="41" t="s">
        <v>378</v>
      </c>
      <c r="C200" s="57"/>
      <c r="D200" s="83"/>
      <c r="E200" s="68">
        <f t="shared" ref="E200:F200" si="786">SUM(E199)</f>
        <v>11</v>
      </c>
      <c r="F200" s="85">
        <f t="shared" si="786"/>
        <v>2.0690999999999997</v>
      </c>
      <c r="G200" s="62"/>
      <c r="H200" s="68">
        <f t="shared" ref="H200" si="787">SUM(H199)</f>
        <v>0</v>
      </c>
      <c r="I200" s="85">
        <f t="shared" ref="I200" si="788">SUM(I199)</f>
        <v>0</v>
      </c>
      <c r="J200" s="61"/>
      <c r="K200" s="68">
        <f t="shared" ref="K200" si="789">SUM(K199)</f>
        <v>0</v>
      </c>
      <c r="L200" s="85">
        <f t="shared" ref="L200" si="790">SUM(L199)</f>
        <v>0</v>
      </c>
      <c r="M200" s="61"/>
      <c r="N200" s="68">
        <f t="shared" ref="N200" si="791">SUM(N199)</f>
        <v>0</v>
      </c>
      <c r="O200" s="85">
        <f t="shared" ref="O200" si="792">SUM(O199)</f>
        <v>0</v>
      </c>
      <c r="P200" s="61"/>
      <c r="Q200" s="68">
        <f t="shared" ref="Q200" si="793">SUM(Q199)</f>
        <v>0</v>
      </c>
      <c r="R200" s="85">
        <f t="shared" ref="R200" si="794">SUM(R199)</f>
        <v>0</v>
      </c>
      <c r="S200" s="68">
        <f t="shared" ref="S200" si="795">SUM(S199)</f>
        <v>0</v>
      </c>
      <c r="T200" s="85">
        <f t="shared" ref="T200" si="796">SUM(T199)</f>
        <v>0</v>
      </c>
      <c r="U200" s="68">
        <f t="shared" ref="U200" si="797">SUM(U199)</f>
        <v>11</v>
      </c>
      <c r="V200" s="85">
        <f t="shared" ref="V200" si="798">SUM(V199)</f>
        <v>2.0690999999999997</v>
      </c>
      <c r="X200" s="69"/>
    </row>
    <row r="201" spans="1:24" s="56" customFormat="1">
      <c r="A201" s="57" t="s">
        <v>13</v>
      </c>
      <c r="B201" s="57" t="s">
        <v>50</v>
      </c>
      <c r="C201" s="57">
        <v>16.5</v>
      </c>
      <c r="D201" s="83">
        <v>11.9</v>
      </c>
      <c r="E201" s="60">
        <v>9</v>
      </c>
      <c r="F201" s="61">
        <f>(C201*D201*E201/1000)</f>
        <v>1.7671499999999998</v>
      </c>
      <c r="G201" s="62"/>
      <c r="H201" s="63"/>
      <c r="I201" s="64">
        <f>(C201*D201*H201/1000)</f>
        <v>0</v>
      </c>
      <c r="J201" s="61"/>
      <c r="K201" s="63"/>
      <c r="L201" s="64">
        <f>(C201*D201*K201/1000)</f>
        <v>0</v>
      </c>
      <c r="M201" s="61"/>
      <c r="N201" s="63"/>
      <c r="O201" s="64">
        <f>(C201*D201*N201/1000)</f>
        <v>0</v>
      </c>
      <c r="P201" s="61"/>
      <c r="Q201" s="63"/>
      <c r="R201" s="64">
        <f>(C201*D201*Q201/1000)</f>
        <v>0</v>
      </c>
      <c r="S201" s="65">
        <f>+H201+K201+Q201+N201</f>
        <v>0</v>
      </c>
      <c r="T201" s="64">
        <f>+I201+L201+R201+O201</f>
        <v>0</v>
      </c>
      <c r="U201" s="42">
        <f>E201-S201</f>
        <v>9</v>
      </c>
      <c r="V201" s="64">
        <f>F201-T201</f>
        <v>1.7671499999999998</v>
      </c>
    </row>
    <row r="202" spans="1:24" s="56" customFormat="1">
      <c r="A202" s="57"/>
      <c r="B202" s="41" t="s">
        <v>378</v>
      </c>
      <c r="C202" s="57"/>
      <c r="D202" s="83"/>
      <c r="E202" s="68">
        <f t="shared" ref="E202:F202" si="799">SUM(E201)</f>
        <v>9</v>
      </c>
      <c r="F202" s="85">
        <f t="shared" si="799"/>
        <v>1.7671499999999998</v>
      </c>
      <c r="G202" s="57"/>
      <c r="H202" s="68">
        <f t="shared" ref="H202" si="800">SUM(H201)</f>
        <v>0</v>
      </c>
      <c r="I202" s="85">
        <f t="shared" ref="I202" si="801">SUM(I201)</f>
        <v>0</v>
      </c>
      <c r="J202" s="57"/>
      <c r="K202" s="68">
        <f t="shared" ref="K202" si="802">SUM(K201)</f>
        <v>0</v>
      </c>
      <c r="L202" s="85">
        <f t="shared" ref="L202" si="803">SUM(L201)</f>
        <v>0</v>
      </c>
      <c r="M202" s="57"/>
      <c r="N202" s="68">
        <f t="shared" ref="N202" si="804">SUM(N201)</f>
        <v>0</v>
      </c>
      <c r="O202" s="85">
        <f t="shared" ref="O202" si="805">SUM(O201)</f>
        <v>0</v>
      </c>
      <c r="P202" s="57"/>
      <c r="Q202" s="68">
        <f t="shared" ref="Q202" si="806">SUM(Q201)</f>
        <v>0</v>
      </c>
      <c r="R202" s="85">
        <f t="shared" ref="R202" si="807">SUM(R201)</f>
        <v>0</v>
      </c>
      <c r="S202" s="68">
        <f t="shared" ref="S202" si="808">SUM(S201)</f>
        <v>0</v>
      </c>
      <c r="T202" s="85">
        <f t="shared" ref="T202" si="809">SUM(T201)</f>
        <v>0</v>
      </c>
      <c r="U202" s="68">
        <f t="shared" ref="U202" si="810">SUM(U201)</f>
        <v>9</v>
      </c>
      <c r="V202" s="85">
        <f t="shared" ref="V202" si="811">SUM(V201)</f>
        <v>1.7671499999999998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sheetPr codeName="Sheet75"/>
  <dimension ref="A1:X24"/>
  <sheetViews>
    <sheetView zoomScale="75" zoomScaleNormal="75" workbookViewId="0">
      <pane ySplit="5" topLeftCell="A6" activePane="bottomLeft" state="frozen"/>
      <selection pane="bottomLeft" activeCell="H27" sqref="H2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LOI-716  12.08.23</v>
      </c>
      <c r="D1" s="1"/>
      <c r="E1" s="2"/>
      <c r="F1" s="2"/>
      <c r="G1" s="143" t="s">
        <v>153</v>
      </c>
      <c r="H1" s="144"/>
      <c r="I1" s="145" t="s">
        <v>375</v>
      </c>
      <c r="J1" s="144"/>
      <c r="K1" s="3"/>
      <c r="L1" s="4"/>
      <c r="M1" s="4"/>
      <c r="N1" s="3"/>
      <c r="O1" s="4"/>
      <c r="P1" s="146" t="str">
        <f>+F2</f>
        <v>LOI-716  12.08.23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384</v>
      </c>
      <c r="B2" s="8"/>
      <c r="C2" s="9"/>
      <c r="D2" s="9"/>
      <c r="E2" s="10"/>
      <c r="F2" s="146" t="s">
        <v>381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LOI-716  12.08.23</v>
      </c>
      <c r="V2" s="146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35</v>
      </c>
      <c r="C6" s="26">
        <v>6.85</v>
      </c>
      <c r="D6" s="74">
        <v>10</v>
      </c>
      <c r="E6" s="28">
        <v>1</v>
      </c>
      <c r="F6" s="16">
        <f>(C6*D6*E6/1000)</f>
        <v>6.8500000000000005E-2</v>
      </c>
      <c r="G6" s="17" t="s">
        <v>111</v>
      </c>
      <c r="H6" s="18">
        <v>2</v>
      </c>
      <c r="I6" s="19">
        <f>(C6*D6*H6/1000)</f>
        <v>0.13700000000000001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2</v>
      </c>
      <c r="T6" s="19">
        <f>+I6+L6+R6+O6</f>
        <v>0.13700000000000001</v>
      </c>
      <c r="U6" s="21">
        <f>E6-S6</f>
        <v>-1</v>
      </c>
      <c r="V6" s="19">
        <f>F6-T6</f>
        <v>-6.8500000000000005E-2</v>
      </c>
    </row>
    <row r="7" spans="1:24">
      <c r="A7" s="26" t="s">
        <v>13</v>
      </c>
      <c r="B7" s="26" t="s">
        <v>35</v>
      </c>
      <c r="C7" s="26">
        <v>6.85</v>
      </c>
      <c r="D7" s="74"/>
      <c r="E7" s="28"/>
      <c r="F7" s="16">
        <f>(C7*D7*E7/1000)</f>
        <v>0</v>
      </c>
      <c r="G7" s="17" t="s">
        <v>430</v>
      </c>
      <c r="H7" s="18"/>
      <c r="I7" s="19">
        <f>(C7*D7*H7/1000)</f>
        <v>0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+H7+K7+Q7+N7</f>
        <v>0</v>
      </c>
      <c r="T7" s="19">
        <f>+I7+L7+R7+O7</f>
        <v>0</v>
      </c>
      <c r="U7" s="21">
        <f>E7-S7</f>
        <v>0</v>
      </c>
      <c r="V7" s="19">
        <f>F7-T7</f>
        <v>0</v>
      </c>
    </row>
    <row r="8" spans="1:24">
      <c r="A8" s="36"/>
      <c r="B8" s="36"/>
      <c r="C8" s="36"/>
      <c r="D8" s="76"/>
      <c r="E8" s="31">
        <f t="shared" ref="E8:F8" si="0">SUM(E6:E7)</f>
        <v>1</v>
      </c>
      <c r="F8" s="77">
        <f t="shared" si="0"/>
        <v>6.8500000000000005E-2</v>
      </c>
      <c r="G8" s="26"/>
      <c r="H8" s="31">
        <f t="shared" ref="H8" si="1">SUM(H6:H7)</f>
        <v>2</v>
      </c>
      <c r="I8" s="77">
        <f t="shared" ref="I8" si="2">SUM(I6:I7)</f>
        <v>0.13700000000000001</v>
      </c>
      <c r="J8" s="26"/>
      <c r="K8" s="31">
        <f t="shared" ref="K8" si="3">SUM(K6:K7)</f>
        <v>0</v>
      </c>
      <c r="L8" s="77">
        <f t="shared" ref="L8" si="4">SUM(L6:L7)</f>
        <v>0</v>
      </c>
      <c r="M8" s="26"/>
      <c r="N8" s="31">
        <f t="shared" ref="N8" si="5">SUM(N6:N7)</f>
        <v>0</v>
      </c>
      <c r="O8" s="77">
        <f t="shared" ref="O8" si="6">SUM(O6:O7)</f>
        <v>0</v>
      </c>
      <c r="P8" s="26"/>
      <c r="Q8" s="31">
        <f t="shared" ref="Q8" si="7">SUM(Q6:Q7)</f>
        <v>0</v>
      </c>
      <c r="R8" s="77">
        <f t="shared" ref="R8" si="8">SUM(R6:R7)</f>
        <v>0</v>
      </c>
      <c r="S8" s="31">
        <f t="shared" ref="S8" si="9">SUM(S6:S7)</f>
        <v>2</v>
      </c>
      <c r="T8" s="77">
        <f t="shared" ref="T8" si="10">SUM(T6:T7)</f>
        <v>0.13700000000000001</v>
      </c>
      <c r="U8" s="31">
        <f t="shared" ref="U8" si="11">SUM(U6:U7)</f>
        <v>-1</v>
      </c>
      <c r="V8" s="77">
        <f t="shared" ref="V8" si="12">SUM(V6:V7)</f>
        <v>-6.8500000000000005E-2</v>
      </c>
    </row>
    <row r="9" spans="1:24">
      <c r="A9" s="26" t="s">
        <v>13</v>
      </c>
      <c r="B9" s="26" t="s">
        <v>25</v>
      </c>
      <c r="C9" s="26">
        <v>13.4</v>
      </c>
      <c r="D9" s="74">
        <v>11.2</v>
      </c>
      <c r="E9" s="28">
        <v>1</v>
      </c>
      <c r="F9" s="16">
        <f>(C9*D9*E9/1000)</f>
        <v>0.15007999999999999</v>
      </c>
      <c r="G9" s="17" t="s">
        <v>295</v>
      </c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1</v>
      </c>
      <c r="V9" s="19">
        <f>F9-T9</f>
        <v>0.15007999999999999</v>
      </c>
    </row>
    <row r="10" spans="1:24">
      <c r="A10" s="26" t="s">
        <v>13</v>
      </c>
      <c r="B10" s="26" t="s">
        <v>25</v>
      </c>
      <c r="C10" s="26">
        <v>13.4</v>
      </c>
      <c r="D10" s="74">
        <v>9</v>
      </c>
      <c r="E10" s="28"/>
      <c r="F10" s="16">
        <f>(C10*D10*E10/1000)</f>
        <v>0</v>
      </c>
      <c r="G10" s="17" t="s">
        <v>429</v>
      </c>
      <c r="H10" s="18">
        <v>2</v>
      </c>
      <c r="I10" s="19">
        <f>(C10*D10*H10/1000)</f>
        <v>0.24120000000000003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2</v>
      </c>
      <c r="T10" s="19">
        <f>+I10+L10+R10+O10</f>
        <v>0.24120000000000003</v>
      </c>
      <c r="U10" s="21">
        <f>E10-S10</f>
        <v>-2</v>
      </c>
      <c r="V10" s="19">
        <f>F10-T10</f>
        <v>-0.24120000000000003</v>
      </c>
    </row>
    <row r="11" spans="1:24">
      <c r="A11" s="36"/>
      <c r="B11" s="36"/>
      <c r="C11" s="36"/>
      <c r="D11" s="76"/>
      <c r="E11" s="31">
        <f t="shared" ref="E11:F11" si="13">SUM(E9:E10)</f>
        <v>1</v>
      </c>
      <c r="F11" s="77">
        <f t="shared" si="13"/>
        <v>0.15007999999999999</v>
      </c>
      <c r="G11" s="17"/>
      <c r="H11" s="31">
        <f t="shared" ref="H11" si="14">SUM(H9:H10)</f>
        <v>2</v>
      </c>
      <c r="I11" s="77">
        <f t="shared" ref="I11" si="15">SUM(I9:I10)</f>
        <v>0.24120000000000003</v>
      </c>
      <c r="J11" s="16"/>
      <c r="K11" s="31">
        <f t="shared" ref="K11" si="16">SUM(K9:K10)</f>
        <v>0</v>
      </c>
      <c r="L11" s="77">
        <f t="shared" ref="L11" si="17">SUM(L9:L10)</f>
        <v>0</v>
      </c>
      <c r="M11" s="16"/>
      <c r="N11" s="31">
        <f t="shared" ref="N11" si="18">SUM(N9:N10)</f>
        <v>0</v>
      </c>
      <c r="O11" s="77">
        <f t="shared" ref="O11" si="19">SUM(O9:O10)</f>
        <v>0</v>
      </c>
      <c r="P11" s="16"/>
      <c r="Q11" s="31">
        <f t="shared" ref="Q11" si="20">SUM(Q9:Q10)</f>
        <v>0</v>
      </c>
      <c r="R11" s="77">
        <f t="shared" ref="R11" si="21">SUM(R9:R10)</f>
        <v>0</v>
      </c>
      <c r="S11" s="31">
        <f t="shared" ref="S11" si="22">SUM(S9:S10)</f>
        <v>2</v>
      </c>
      <c r="T11" s="77">
        <f t="shared" ref="T11" si="23">SUM(T9:T10)</f>
        <v>0.24120000000000003</v>
      </c>
      <c r="U11" s="31">
        <f t="shared" ref="U11" si="24">SUM(U9:U10)</f>
        <v>-1</v>
      </c>
      <c r="V11" s="77">
        <f t="shared" ref="V11" si="25">SUM(V9:V10)</f>
        <v>-9.1120000000000034E-2</v>
      </c>
    </row>
    <row r="12" spans="1:24">
      <c r="A12" s="26" t="s">
        <v>13</v>
      </c>
      <c r="B12" s="26" t="s">
        <v>26</v>
      </c>
      <c r="C12" s="26">
        <v>8.3000000000000007</v>
      </c>
      <c r="D12" s="74">
        <v>11.2</v>
      </c>
      <c r="E12" s="28">
        <v>2</v>
      </c>
      <c r="F12" s="16">
        <f>(C12*D12*E12/1000)</f>
        <v>0.18592000000000003</v>
      </c>
      <c r="G12" s="17" t="s">
        <v>295</v>
      </c>
      <c r="H12" s="18">
        <v>2</v>
      </c>
      <c r="I12" s="19">
        <f>(C12*D12*H12/1000)</f>
        <v>0.18592000000000003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2</v>
      </c>
      <c r="T12" s="19">
        <f>+I12+L12+R12+O12</f>
        <v>0.18592000000000003</v>
      </c>
      <c r="U12" s="21">
        <f>E12-S12</f>
        <v>0</v>
      </c>
      <c r="V12" s="19">
        <f>F12-T12</f>
        <v>0</v>
      </c>
    </row>
    <row r="13" spans="1:24">
      <c r="A13" s="36"/>
      <c r="B13" s="36"/>
      <c r="C13" s="36"/>
      <c r="D13" s="76"/>
      <c r="E13" s="31">
        <f t="shared" ref="E13:F13" si="26">SUM(E12)</f>
        <v>2</v>
      </c>
      <c r="F13" s="77">
        <f t="shared" si="26"/>
        <v>0.18592000000000003</v>
      </c>
      <c r="G13" s="17" t="s">
        <v>429</v>
      </c>
      <c r="H13" s="31">
        <f t="shared" ref="H13" si="27">SUM(H12)</f>
        <v>2</v>
      </c>
      <c r="I13" s="77">
        <f t="shared" ref="I13" si="28">SUM(I12)</f>
        <v>0.18592000000000003</v>
      </c>
      <c r="J13" s="16"/>
      <c r="K13" s="31">
        <f t="shared" ref="K13" si="29">SUM(K12)</f>
        <v>0</v>
      </c>
      <c r="L13" s="77">
        <f t="shared" ref="L13" si="30">SUM(L12)</f>
        <v>0</v>
      </c>
      <c r="M13" s="16"/>
      <c r="N13" s="31">
        <f t="shared" ref="N13" si="31">SUM(N12)</f>
        <v>0</v>
      </c>
      <c r="O13" s="77">
        <f t="shared" ref="O13" si="32">SUM(O12)</f>
        <v>0</v>
      </c>
      <c r="P13" s="16"/>
      <c r="Q13" s="31">
        <f t="shared" ref="Q13" si="33">SUM(Q12)</f>
        <v>0</v>
      </c>
      <c r="R13" s="77">
        <f t="shared" ref="R13" si="34">SUM(R12)</f>
        <v>0</v>
      </c>
      <c r="S13" s="31">
        <f t="shared" ref="S13" si="35">SUM(S12)</f>
        <v>2</v>
      </c>
      <c r="T13" s="77">
        <f t="shared" ref="T13" si="36">SUM(T12)</f>
        <v>0.18592000000000003</v>
      </c>
      <c r="U13" s="31">
        <f t="shared" ref="U13" si="37">SUM(U12)</f>
        <v>0</v>
      </c>
      <c r="V13" s="77">
        <f t="shared" ref="V13" si="38">SUM(V12)</f>
        <v>0</v>
      </c>
    </row>
    <row r="14" spans="1:24">
      <c r="A14" s="26" t="s">
        <v>13</v>
      </c>
      <c r="B14" s="26" t="s">
        <v>34</v>
      </c>
      <c r="C14" s="26">
        <v>5.76</v>
      </c>
      <c r="D14" s="74">
        <v>12</v>
      </c>
      <c r="E14" s="28">
        <v>1</v>
      </c>
      <c r="F14" s="16">
        <f>(C14*D14*E14/1000)</f>
        <v>6.9120000000000001E-2</v>
      </c>
      <c r="G14" s="17" t="s">
        <v>111</v>
      </c>
      <c r="H14" s="18"/>
      <c r="I14" s="19">
        <f>(C14*D14*H14/1000)</f>
        <v>0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0</v>
      </c>
      <c r="T14" s="19">
        <f>+I14+L14+R14+O14</f>
        <v>0</v>
      </c>
      <c r="U14" s="21">
        <f>E14-S14</f>
        <v>1</v>
      </c>
      <c r="V14" s="19">
        <f>F14-T14</f>
        <v>6.9120000000000001E-2</v>
      </c>
      <c r="X14" s="29"/>
    </row>
    <row r="15" spans="1:24">
      <c r="A15" s="26" t="s">
        <v>13</v>
      </c>
      <c r="B15" s="26" t="s">
        <v>34</v>
      </c>
      <c r="C15" s="26">
        <v>5.76</v>
      </c>
      <c r="D15" s="74">
        <v>10</v>
      </c>
      <c r="E15" s="28"/>
      <c r="F15" s="16">
        <f>(C15*D15*E15/1000)</f>
        <v>0</v>
      </c>
      <c r="G15" s="17" t="s">
        <v>430</v>
      </c>
      <c r="H15" s="18">
        <v>2</v>
      </c>
      <c r="I15" s="19">
        <f>(C15*D15*H15/1000)</f>
        <v>0.11519999999999998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2</v>
      </c>
      <c r="T15" s="19">
        <f>+I15+L15+R15+O15</f>
        <v>0.11519999999999998</v>
      </c>
      <c r="U15" s="21">
        <f>E15-S15</f>
        <v>-2</v>
      </c>
      <c r="V15" s="19">
        <f>F15-T15</f>
        <v>-0.11519999999999998</v>
      </c>
      <c r="X15" s="29"/>
    </row>
    <row r="16" spans="1:24">
      <c r="A16" s="36"/>
      <c r="B16" s="36"/>
      <c r="C16" s="36"/>
      <c r="D16" s="76"/>
      <c r="E16" s="31">
        <f>SUM(E14:E15)</f>
        <v>1</v>
      </c>
      <c r="F16" s="77">
        <f>SUM(F14:F15)</f>
        <v>6.9120000000000001E-2</v>
      </c>
      <c r="G16" s="17"/>
      <c r="H16" s="31">
        <f>SUM(H14:H15)</f>
        <v>2</v>
      </c>
      <c r="I16" s="77">
        <f>SUM(I14:I15)</f>
        <v>0.11519999999999998</v>
      </c>
      <c r="J16" s="16"/>
      <c r="K16" s="31">
        <f t="shared" ref="K16" si="39">SUM(K14)</f>
        <v>0</v>
      </c>
      <c r="L16" s="77">
        <f t="shared" ref="L16" si="40">SUM(L14)</f>
        <v>0</v>
      </c>
      <c r="M16" s="16"/>
      <c r="N16" s="31">
        <f t="shared" ref="N16" si="41">SUM(N14)</f>
        <v>0</v>
      </c>
      <c r="O16" s="77">
        <f t="shared" ref="O16" si="42">SUM(O14)</f>
        <v>0</v>
      </c>
      <c r="P16" s="16"/>
      <c r="Q16" s="31">
        <f t="shared" ref="Q16" si="43">SUM(Q14)</f>
        <v>0</v>
      </c>
      <c r="R16" s="77">
        <f t="shared" ref="R16" si="44">SUM(R14)</f>
        <v>0</v>
      </c>
      <c r="S16" s="31">
        <f t="shared" ref="S16" si="45">SUM(S14)</f>
        <v>0</v>
      </c>
      <c r="T16" s="77">
        <f t="shared" ref="T16" si="46">SUM(T14)</f>
        <v>0</v>
      </c>
      <c r="U16" s="31">
        <f t="shared" ref="U16" si="47">SUM(U14)</f>
        <v>1</v>
      </c>
      <c r="V16" s="77">
        <f t="shared" ref="V16" si="48">SUM(V14)</f>
        <v>6.9120000000000001E-2</v>
      </c>
    </row>
    <row r="17" spans="1:22">
      <c r="A17" s="26" t="s">
        <v>13</v>
      </c>
      <c r="B17" s="26" t="s">
        <v>58</v>
      </c>
      <c r="C17" s="26">
        <v>7.34</v>
      </c>
      <c r="D17" s="74">
        <v>12</v>
      </c>
      <c r="E17" s="28">
        <v>4</v>
      </c>
      <c r="F17" s="16">
        <f>(C17*D17*E17/1000)</f>
        <v>0.35231999999999997</v>
      </c>
      <c r="G17" s="17" t="s">
        <v>295</v>
      </c>
      <c r="H17" s="18">
        <v>4</v>
      </c>
      <c r="I17" s="19">
        <f>(C17*D17*H17/1000)</f>
        <v>0.35231999999999997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4</v>
      </c>
      <c r="T17" s="19">
        <f>+I17+L17+R17+O17</f>
        <v>0.35231999999999997</v>
      </c>
      <c r="U17" s="21">
        <f>E17-S17</f>
        <v>0</v>
      </c>
      <c r="V17" s="19">
        <f>F17-T17</f>
        <v>0</v>
      </c>
    </row>
    <row r="18" spans="1:22">
      <c r="A18" s="26" t="s">
        <v>13</v>
      </c>
      <c r="B18" s="26" t="s">
        <v>58</v>
      </c>
      <c r="C18" s="26">
        <v>7.34</v>
      </c>
      <c r="D18" s="74"/>
      <c r="E18" s="28"/>
      <c r="F18" s="16">
        <f>(C18*D18*E18/1000)</f>
        <v>0</v>
      </c>
      <c r="G18" s="17" t="s">
        <v>429</v>
      </c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0</v>
      </c>
      <c r="V18" s="19">
        <f>F18-T18</f>
        <v>0</v>
      </c>
    </row>
    <row r="19" spans="1:22">
      <c r="A19" s="36"/>
      <c r="B19" s="36"/>
      <c r="C19" s="36"/>
      <c r="D19" s="76"/>
      <c r="E19" s="31">
        <f t="shared" ref="E19" si="49">SUM(E17:E18)</f>
        <v>4</v>
      </c>
      <c r="F19" s="77">
        <f t="shared" ref="F19" si="50">SUM(F17:F18)</f>
        <v>0.35231999999999997</v>
      </c>
      <c r="G19" s="17"/>
      <c r="H19" s="31">
        <f t="shared" ref="H19" si="51">SUM(H17:H18)</f>
        <v>4</v>
      </c>
      <c r="I19" s="77">
        <f t="shared" ref="I19" si="52">SUM(I17:I18)</f>
        <v>0.35231999999999997</v>
      </c>
      <c r="J19" s="16"/>
      <c r="K19" s="31">
        <f t="shared" ref="K19" si="53">SUM(K17:K18)</f>
        <v>0</v>
      </c>
      <c r="L19" s="77">
        <f t="shared" ref="L19" si="54">SUM(L17:L18)</f>
        <v>0</v>
      </c>
      <c r="M19" s="16"/>
      <c r="N19" s="31">
        <f t="shared" ref="N19" si="55">SUM(N17:N18)</f>
        <v>0</v>
      </c>
      <c r="O19" s="77">
        <f t="shared" ref="O19" si="56">SUM(O17:O18)</f>
        <v>0</v>
      </c>
      <c r="P19" s="16"/>
      <c r="Q19" s="31">
        <f t="shared" ref="Q19" si="57">SUM(Q17:Q18)</f>
        <v>0</v>
      </c>
      <c r="R19" s="77">
        <f t="shared" ref="R19" si="58">SUM(R17:R18)</f>
        <v>0</v>
      </c>
      <c r="S19" s="31">
        <f t="shared" ref="S19" si="59">SUM(S17:S18)</f>
        <v>4</v>
      </c>
      <c r="T19" s="77">
        <f t="shared" ref="T19" si="60">SUM(T17:T18)</f>
        <v>0.35231999999999997</v>
      </c>
      <c r="U19" s="31">
        <f t="shared" ref="U19" si="61">SUM(U17:U18)</f>
        <v>0</v>
      </c>
      <c r="V19" s="77">
        <f t="shared" ref="V19" si="62">SUM(V17:V18)</f>
        <v>0</v>
      </c>
    </row>
    <row r="20" spans="1:22">
      <c r="A20" s="26" t="s">
        <v>13</v>
      </c>
      <c r="B20" s="26" t="s">
        <v>37</v>
      </c>
      <c r="C20" s="26">
        <v>9.61</v>
      </c>
      <c r="D20" s="74">
        <v>10.5</v>
      </c>
      <c r="E20" s="28">
        <v>1</v>
      </c>
      <c r="F20" s="16">
        <f>(C20*D20*E20/1000)</f>
        <v>0.10090499999999999</v>
      </c>
      <c r="G20" s="17" t="s">
        <v>295</v>
      </c>
      <c r="H20" s="18">
        <v>1</v>
      </c>
      <c r="I20" s="19">
        <f>(C20*D20*H20/1000)</f>
        <v>0.10090499999999999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1</v>
      </c>
      <c r="T20" s="19">
        <f>+I20+L20+R20+O20</f>
        <v>0.10090499999999999</v>
      </c>
      <c r="U20" s="21">
        <f>E20-S20</f>
        <v>0</v>
      </c>
      <c r="V20" s="19">
        <f>F20-T20</f>
        <v>0</v>
      </c>
    </row>
    <row r="21" spans="1:22">
      <c r="A21" s="36"/>
      <c r="B21" s="36"/>
      <c r="C21" s="36"/>
      <c r="D21" s="76"/>
      <c r="E21" s="31">
        <f t="shared" ref="E21:F21" si="63">SUM(E20)</f>
        <v>1</v>
      </c>
      <c r="F21" s="77">
        <f t="shared" si="63"/>
        <v>0.10090499999999999</v>
      </c>
      <c r="G21" s="17" t="s">
        <v>429</v>
      </c>
      <c r="H21" s="31">
        <f t="shared" ref="H21" si="64">SUM(H20)</f>
        <v>1</v>
      </c>
      <c r="I21" s="77">
        <f t="shared" ref="I21" si="65">SUM(I20)</f>
        <v>0.10090499999999999</v>
      </c>
      <c r="J21" s="16"/>
      <c r="K21" s="31">
        <f t="shared" ref="K21" si="66">SUM(K20)</f>
        <v>0</v>
      </c>
      <c r="L21" s="77">
        <f t="shared" ref="L21" si="67">SUM(L20)</f>
        <v>0</v>
      </c>
      <c r="M21" s="16"/>
      <c r="N21" s="31">
        <f t="shared" ref="N21" si="68">SUM(N20)</f>
        <v>0</v>
      </c>
      <c r="O21" s="77">
        <f t="shared" ref="O21" si="69">SUM(O20)</f>
        <v>0</v>
      </c>
      <c r="P21" s="16"/>
      <c r="Q21" s="31">
        <f t="shared" ref="Q21" si="70">SUM(Q20)</f>
        <v>0</v>
      </c>
      <c r="R21" s="77">
        <f t="shared" ref="R21" si="71">SUM(R20)</f>
        <v>0</v>
      </c>
      <c r="S21" s="31">
        <f t="shared" ref="S21" si="72">SUM(S20)</f>
        <v>1</v>
      </c>
      <c r="T21" s="77">
        <f t="shared" ref="T21" si="73">SUM(T20)</f>
        <v>0.10090499999999999</v>
      </c>
      <c r="U21" s="31">
        <f t="shared" ref="U21" si="74">SUM(U20)</f>
        <v>0</v>
      </c>
      <c r="V21" s="77">
        <f t="shared" ref="V21" si="75">SUM(V20)</f>
        <v>0</v>
      </c>
    </row>
    <row r="22" spans="1:22">
      <c r="A22" s="26" t="s">
        <v>13</v>
      </c>
      <c r="B22" s="26" t="s">
        <v>61</v>
      </c>
      <c r="C22" s="26">
        <v>12.2</v>
      </c>
      <c r="D22" s="74">
        <v>8.5</v>
      </c>
      <c r="E22" s="28">
        <v>1</v>
      </c>
      <c r="F22" s="16">
        <f>(C22*D22*E22/1000)</f>
        <v>0.10369999999999999</v>
      </c>
      <c r="G22" s="17"/>
      <c r="H22" s="18"/>
      <c r="I22" s="19">
        <f>(C22*D22*H22/1000)</f>
        <v>0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0</v>
      </c>
      <c r="T22" s="19">
        <f>+I22+L22+R22+O22</f>
        <v>0</v>
      </c>
      <c r="U22" s="21">
        <f>E22-S22</f>
        <v>1</v>
      </c>
      <c r="V22" s="19">
        <f>F22-T22</f>
        <v>0.10369999999999999</v>
      </c>
    </row>
    <row r="23" spans="1:22">
      <c r="A23" s="36"/>
      <c r="B23" s="36"/>
      <c r="C23" s="36"/>
      <c r="D23" s="76"/>
      <c r="E23" s="31">
        <f t="shared" ref="E23" si="76">SUM(E22)</f>
        <v>1</v>
      </c>
      <c r="F23" s="77">
        <f>SUM(F22)</f>
        <v>0.10369999999999999</v>
      </c>
      <c r="G23" s="17"/>
      <c r="H23" s="31">
        <f t="shared" ref="H23" si="77">SUM(H22)</f>
        <v>0</v>
      </c>
      <c r="I23" s="77">
        <f t="shared" ref="I23" si="78">SUM(I22)</f>
        <v>0</v>
      </c>
      <c r="J23" s="16"/>
      <c r="K23" s="31">
        <f t="shared" ref="K23" si="79">SUM(K22)</f>
        <v>0</v>
      </c>
      <c r="L23" s="77">
        <f t="shared" ref="L23" si="80">SUM(L22)</f>
        <v>0</v>
      </c>
      <c r="M23" s="16"/>
      <c r="N23" s="31">
        <f t="shared" ref="N23" si="81">SUM(N22)</f>
        <v>0</v>
      </c>
      <c r="O23" s="77">
        <f t="shared" ref="O23" si="82">SUM(O22)</f>
        <v>0</v>
      </c>
      <c r="P23" s="16"/>
      <c r="Q23" s="31">
        <f t="shared" ref="Q23" si="83">SUM(Q22)</f>
        <v>0</v>
      </c>
      <c r="R23" s="77">
        <f t="shared" ref="R23" si="84">SUM(R22)</f>
        <v>0</v>
      </c>
      <c r="S23" s="31">
        <f t="shared" ref="S23" si="85">SUM(S22)</f>
        <v>0</v>
      </c>
      <c r="T23" s="77">
        <f t="shared" ref="T23" si="86">SUM(T22)</f>
        <v>0</v>
      </c>
      <c r="U23" s="31">
        <f t="shared" ref="U23" si="87">SUM(U22)</f>
        <v>1</v>
      </c>
      <c r="V23" s="77">
        <f t="shared" ref="V23" si="88">SUM(V22)</f>
        <v>0.10369999999999999</v>
      </c>
    </row>
    <row r="24" spans="1:22">
      <c r="A24" s="26"/>
      <c r="B24" s="26"/>
      <c r="C24" s="26"/>
      <c r="D24" s="26"/>
      <c r="E24" s="31">
        <f t="shared" ref="E24:F24" si="89">SUM(E23,E21,E19,E16,E13,E11,E8)</f>
        <v>11</v>
      </c>
      <c r="F24" s="77">
        <f t="shared" si="89"/>
        <v>1.0305449999999998</v>
      </c>
      <c r="G24" s="26"/>
      <c r="H24" s="31">
        <f t="shared" ref="H24" si="90">SUM(H23,H21,H19,H16,H13,H11,H8)</f>
        <v>13</v>
      </c>
      <c r="I24" s="77">
        <f t="shared" ref="I24" si="91">SUM(I23,I21,I19,I16,I13,I11,I8)</f>
        <v>1.1325450000000001</v>
      </c>
      <c r="J24" s="26"/>
      <c r="K24" s="31">
        <f t="shared" ref="K24" si="92">SUM(K23,K21,K19,K16,K13,K11,K8)</f>
        <v>0</v>
      </c>
      <c r="L24" s="77">
        <f t="shared" ref="L24" si="93">SUM(L23,L21,L19,L16,L13,L11,L8)</f>
        <v>0</v>
      </c>
      <c r="M24" s="26"/>
      <c r="N24" s="31">
        <f t="shared" ref="N24" si="94">SUM(N23,N21,N19,N16,N13,N11,N8)</f>
        <v>0</v>
      </c>
      <c r="O24" s="77">
        <f t="shared" ref="O24" si="95">SUM(O23,O21,O19,O16,O13,O11,O8)</f>
        <v>0</v>
      </c>
      <c r="P24" s="26"/>
      <c r="Q24" s="31">
        <f t="shared" ref="Q24" si="96">SUM(Q23,Q21,Q19,Q16,Q13,Q11,Q8)</f>
        <v>0</v>
      </c>
      <c r="R24" s="77">
        <f t="shared" ref="R24" si="97">SUM(R23,R21,R19,R16,R13,R11,R8)</f>
        <v>0</v>
      </c>
      <c r="S24" s="31">
        <f t="shared" ref="S24" si="98">SUM(S23,S21,S19,S16,S13,S11,S8)</f>
        <v>11</v>
      </c>
      <c r="T24" s="77">
        <f t="shared" ref="T24" si="99">SUM(T23,T21,T19,T16,T13,T11,T8)</f>
        <v>1.0173450000000002</v>
      </c>
      <c r="U24" s="31">
        <f t="shared" ref="U24" si="100">SUM(U23,U21,U19,U16,U13,U11,U8)</f>
        <v>0</v>
      </c>
      <c r="V24" s="77">
        <f t="shared" ref="V24" si="101">SUM(V23,V21,V19,V16,V13,V11,V8)</f>
        <v>1.3199999999999934E-2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>
  <sheetPr codeName="Sheet76"/>
  <dimension ref="A1:V10"/>
  <sheetViews>
    <sheetView zoomScale="75" zoomScaleNormal="75" workbookViewId="0">
      <pane ySplit="5" topLeftCell="A6" activePane="bottomLeft" state="frozen"/>
      <selection pane="bottomLeft" activeCell="I21" sqref="I21:I22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LOI-749  28.08.23</v>
      </c>
      <c r="D1" s="1"/>
      <c r="E1" s="2"/>
      <c r="F1" s="2"/>
      <c r="G1" s="143" t="s">
        <v>382</v>
      </c>
      <c r="H1" s="144"/>
      <c r="I1" s="145" t="s">
        <v>413</v>
      </c>
      <c r="J1" s="144"/>
      <c r="K1" s="3"/>
      <c r="L1" s="4"/>
      <c r="M1" s="4"/>
      <c r="N1" s="3"/>
      <c r="O1" s="4"/>
      <c r="P1" s="146" t="str">
        <f>+F2</f>
        <v>LOI-749  28.08.23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410</v>
      </c>
      <c r="B2" s="8"/>
      <c r="C2" s="9"/>
      <c r="D2" s="9"/>
      <c r="E2" s="10"/>
      <c r="F2" s="146" t="s">
        <v>412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LOI-749  28.08.23</v>
      </c>
      <c r="V2" s="146"/>
    </row>
    <row r="3" spans="1:22">
      <c r="A3" s="12" t="s">
        <v>411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34</v>
      </c>
      <c r="C6" s="26">
        <v>5.76</v>
      </c>
      <c r="D6" s="74">
        <v>12</v>
      </c>
      <c r="E6" s="28">
        <v>15</v>
      </c>
      <c r="F6" s="16">
        <f>(C6*D6*E6/1000)</f>
        <v>1.0368000000000002</v>
      </c>
      <c r="G6" s="16" t="s">
        <v>114</v>
      </c>
      <c r="H6" s="18">
        <v>15</v>
      </c>
      <c r="I6" s="19">
        <f>(C6*D6*H6/1000)</f>
        <v>1.0368000000000002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15</v>
      </c>
      <c r="T6" s="19">
        <f>+I6+L6+R6+O6</f>
        <v>1.0368000000000002</v>
      </c>
      <c r="U6" s="21">
        <f>E6-S6</f>
        <v>0</v>
      </c>
      <c r="V6" s="19">
        <f>F6-T6</f>
        <v>0</v>
      </c>
    </row>
    <row r="7" spans="1:22">
      <c r="A7" s="26" t="s">
        <v>13</v>
      </c>
      <c r="B7" s="26" t="s">
        <v>34</v>
      </c>
      <c r="C7" s="26">
        <v>5.76</v>
      </c>
      <c r="D7" s="74"/>
      <c r="E7" s="28"/>
      <c r="F7" s="16">
        <f>(C7*D7*E7/1000)</f>
        <v>0</v>
      </c>
      <c r="G7" s="16" t="s">
        <v>420</v>
      </c>
      <c r="H7" s="18"/>
      <c r="I7" s="19">
        <f t="shared" ref="I7:I8" si="0">(C7*D7*H7/1000)</f>
        <v>0</v>
      </c>
      <c r="J7" s="16"/>
      <c r="K7" s="18"/>
      <c r="L7" s="19">
        <f t="shared" ref="L7:L8" si="1">(C7*D7*K7/1000)</f>
        <v>0</v>
      </c>
      <c r="M7" s="16"/>
      <c r="N7" s="18"/>
      <c r="O7" s="19">
        <f t="shared" ref="O7:O8" si="2">(C7*D7*N7/1000)</f>
        <v>0</v>
      </c>
      <c r="P7" s="16"/>
      <c r="Q7" s="18"/>
      <c r="R7" s="19">
        <f t="shared" ref="R7:R8" si="3">(C7*D7*Q7/1000)</f>
        <v>0</v>
      </c>
      <c r="S7" s="20">
        <f t="shared" ref="S7:S8" si="4">+H7+K7+Q7+N7</f>
        <v>0</v>
      </c>
      <c r="T7" s="19">
        <f t="shared" ref="T7:T8" si="5">+I7+L7+R7+O7</f>
        <v>0</v>
      </c>
      <c r="U7" s="21">
        <f t="shared" ref="U7:U8" si="6">E7-S7</f>
        <v>0</v>
      </c>
      <c r="V7" s="19">
        <f t="shared" ref="V7:V8" si="7">F7-T7</f>
        <v>0</v>
      </c>
    </row>
    <row r="8" spans="1:22">
      <c r="A8" s="26" t="s">
        <v>13</v>
      </c>
      <c r="B8" s="26" t="s">
        <v>34</v>
      </c>
      <c r="C8" s="26">
        <v>5.76</v>
      </c>
      <c r="D8" s="74"/>
      <c r="E8" s="28"/>
      <c r="F8" s="16">
        <f>(C8*D8*E8/1000)</f>
        <v>0</v>
      </c>
      <c r="G8" s="17"/>
      <c r="H8" s="18"/>
      <c r="I8" s="19">
        <f t="shared" si="0"/>
        <v>0</v>
      </c>
      <c r="J8" s="16"/>
      <c r="K8" s="18"/>
      <c r="L8" s="19">
        <f t="shared" si="1"/>
        <v>0</v>
      </c>
      <c r="M8" s="16"/>
      <c r="N8" s="18"/>
      <c r="O8" s="19">
        <f t="shared" si="2"/>
        <v>0</v>
      </c>
      <c r="P8" s="16"/>
      <c r="Q8" s="18"/>
      <c r="R8" s="19">
        <f t="shared" si="3"/>
        <v>0</v>
      </c>
      <c r="S8" s="20">
        <f t="shared" si="4"/>
        <v>0</v>
      </c>
      <c r="T8" s="19">
        <f t="shared" si="5"/>
        <v>0</v>
      </c>
      <c r="U8" s="21">
        <f t="shared" si="6"/>
        <v>0</v>
      </c>
      <c r="V8" s="19">
        <f t="shared" si="7"/>
        <v>0</v>
      </c>
    </row>
    <row r="9" spans="1:22">
      <c r="A9" s="26"/>
      <c r="B9" s="41" t="s">
        <v>377</v>
      </c>
      <c r="C9" s="26"/>
      <c r="D9" s="74"/>
      <c r="E9" s="31">
        <f>SUM(E6:E8)</f>
        <v>15</v>
      </c>
      <c r="F9" s="77">
        <f>SUM(F6:F8)</f>
        <v>1.0368000000000002</v>
      </c>
      <c r="G9" s="17"/>
      <c r="H9" s="31">
        <f>SUM(H6:H8)</f>
        <v>15</v>
      </c>
      <c r="I9" s="77">
        <f>SUM(I6:I8)</f>
        <v>1.0368000000000002</v>
      </c>
      <c r="J9" s="16"/>
      <c r="K9" s="31">
        <f>SUM(K6:K8)</f>
        <v>0</v>
      </c>
      <c r="L9" s="77">
        <f>SUM(L6:L8)</f>
        <v>0</v>
      </c>
      <c r="M9" s="16"/>
      <c r="N9" s="31">
        <f>SUM(N6:N8)</f>
        <v>0</v>
      </c>
      <c r="O9" s="77">
        <f>SUM(O6:O8)</f>
        <v>0</v>
      </c>
      <c r="P9" s="16"/>
      <c r="Q9" s="31">
        <f t="shared" ref="Q9:V9" si="8">SUM(Q6:Q8)</f>
        <v>0</v>
      </c>
      <c r="R9" s="77">
        <f t="shared" si="8"/>
        <v>0</v>
      </c>
      <c r="S9" s="31">
        <f t="shared" si="8"/>
        <v>15</v>
      </c>
      <c r="T9" s="77">
        <f t="shared" si="8"/>
        <v>1.0368000000000002</v>
      </c>
      <c r="U9" s="31">
        <f t="shared" si="8"/>
        <v>0</v>
      </c>
      <c r="V9" s="77">
        <f t="shared" si="8"/>
        <v>0</v>
      </c>
    </row>
    <row r="10" spans="1:22">
      <c r="A10" s="26"/>
      <c r="B10" s="26"/>
      <c r="C10" s="26"/>
      <c r="D10" s="26"/>
      <c r="E10" s="31">
        <f t="shared" ref="E10:F10" si="9">SUM(E9)</f>
        <v>15</v>
      </c>
      <c r="F10" s="77">
        <f t="shared" si="9"/>
        <v>1.0368000000000002</v>
      </c>
      <c r="G10" s="26"/>
      <c r="H10" s="31">
        <f t="shared" ref="H10" si="10">SUM(H9)</f>
        <v>15</v>
      </c>
      <c r="I10" s="77">
        <f t="shared" ref="I10" si="11">SUM(I9)</f>
        <v>1.0368000000000002</v>
      </c>
      <c r="J10" s="26"/>
      <c r="K10" s="31">
        <f t="shared" ref="K10" si="12">SUM(K9)</f>
        <v>0</v>
      </c>
      <c r="L10" s="77">
        <f t="shared" ref="L10" si="13">SUM(L9)</f>
        <v>0</v>
      </c>
      <c r="M10" s="26"/>
      <c r="N10" s="31">
        <f t="shared" ref="N10" si="14">SUM(N9)</f>
        <v>0</v>
      </c>
      <c r="O10" s="77">
        <f t="shared" ref="O10" si="15">SUM(O9)</f>
        <v>0</v>
      </c>
      <c r="P10" s="26"/>
      <c r="Q10" s="31">
        <f t="shared" ref="Q10" si="16">SUM(Q9)</f>
        <v>0</v>
      </c>
      <c r="R10" s="77">
        <f t="shared" ref="R10" si="17">SUM(R9)</f>
        <v>0</v>
      </c>
      <c r="S10" s="31">
        <f t="shared" ref="S10" si="18">SUM(S9)</f>
        <v>15</v>
      </c>
      <c r="T10" s="77">
        <f t="shared" ref="T10" si="19">SUM(T9)</f>
        <v>1.0368000000000002</v>
      </c>
      <c r="U10" s="31">
        <f t="shared" ref="U10" si="20">SUM(U9)</f>
        <v>0</v>
      </c>
      <c r="V10" s="77">
        <f t="shared" ref="V10" si="21">SUM(V9)</f>
        <v>0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>
  <sheetPr codeName="Sheet77"/>
  <dimension ref="A1:V18"/>
  <sheetViews>
    <sheetView zoomScale="75" zoomScaleNormal="75" workbookViewId="0">
      <pane ySplit="5" topLeftCell="A6" activePane="bottomLeft" state="frozen"/>
      <selection pane="bottomLeft" activeCell="J33" sqref="J3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LOI-764  29.08.23</v>
      </c>
      <c r="D1" s="1"/>
      <c r="E1" s="2"/>
      <c r="F1" s="2"/>
      <c r="G1" s="143" t="s">
        <v>404</v>
      </c>
      <c r="H1" s="144"/>
      <c r="I1" s="145" t="s">
        <v>333</v>
      </c>
      <c r="J1" s="144"/>
      <c r="K1" s="3"/>
      <c r="L1" s="4"/>
      <c r="M1" s="4"/>
      <c r="N1" s="3"/>
      <c r="O1" s="4"/>
      <c r="P1" s="146" t="str">
        <f>+F2</f>
        <v>LOI-764  29.08.23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405</v>
      </c>
      <c r="B2" s="8"/>
      <c r="C2" s="9"/>
      <c r="D2" s="9"/>
      <c r="E2" s="10"/>
      <c r="F2" s="146" t="s">
        <v>403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LOI-764  29.08.23</v>
      </c>
      <c r="V2" s="146"/>
    </row>
    <row r="3" spans="1:22">
      <c r="A3" s="12" t="s">
        <v>406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30">
        <v>12.2</v>
      </c>
      <c r="D6" s="74">
        <v>10</v>
      </c>
      <c r="E6" s="28">
        <v>6</v>
      </c>
      <c r="F6" s="16">
        <f>(C6*D6*E6/1000)</f>
        <v>0.73199999999999998</v>
      </c>
      <c r="G6" s="17" t="s">
        <v>64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6</v>
      </c>
      <c r="V6" s="19">
        <f>F6-T6</f>
        <v>0.73199999999999998</v>
      </c>
    </row>
    <row r="7" spans="1:22">
      <c r="A7" s="26" t="s">
        <v>13</v>
      </c>
      <c r="B7" s="26" t="s">
        <v>61</v>
      </c>
      <c r="C7" s="30">
        <v>12.2</v>
      </c>
      <c r="D7" s="74">
        <v>12</v>
      </c>
      <c r="E7" s="28"/>
      <c r="F7" s="16">
        <f t="shared" ref="F7:F8" si="0">(C7*D7*E7/1000)</f>
        <v>0</v>
      </c>
      <c r="G7" s="17" t="s">
        <v>425</v>
      </c>
      <c r="H7" s="18">
        <v>4</v>
      </c>
      <c r="I7" s="19">
        <f t="shared" ref="I7:I8" si="1">(C7*D7*H7/1000)</f>
        <v>0.5855999999999999</v>
      </c>
      <c r="J7" s="16"/>
      <c r="K7" s="18"/>
      <c r="L7" s="19">
        <f t="shared" ref="L7:L8" si="2">(C7*D7*K7/1000)</f>
        <v>0</v>
      </c>
      <c r="M7" s="16"/>
      <c r="N7" s="18"/>
      <c r="O7" s="19">
        <f t="shared" ref="O7:O8" si="3">(C7*D7*N7/1000)</f>
        <v>0</v>
      </c>
      <c r="P7" s="16"/>
      <c r="Q7" s="18"/>
      <c r="R7" s="19">
        <f t="shared" ref="R7:R8" si="4">(C7*D7*Q7/1000)</f>
        <v>0</v>
      </c>
      <c r="S7" s="20">
        <f t="shared" ref="S7:S8" si="5">+H7+K7+Q7+N7</f>
        <v>4</v>
      </c>
      <c r="T7" s="19">
        <f t="shared" ref="T7:T8" si="6">+I7+L7+R7+O7</f>
        <v>0.5855999999999999</v>
      </c>
      <c r="U7" s="21">
        <f t="shared" ref="U7:U8" si="7">E7-S7</f>
        <v>-4</v>
      </c>
      <c r="V7" s="19">
        <f t="shared" ref="V7:V8" si="8">F7-T7</f>
        <v>-0.5855999999999999</v>
      </c>
    </row>
    <row r="8" spans="1:22">
      <c r="A8" s="26" t="s">
        <v>13</v>
      </c>
      <c r="B8" s="26" t="s">
        <v>61</v>
      </c>
      <c r="C8" s="30">
        <v>12.2</v>
      </c>
      <c r="D8" s="74">
        <v>11.7</v>
      </c>
      <c r="E8" s="28"/>
      <c r="F8" s="16">
        <f t="shared" si="0"/>
        <v>0</v>
      </c>
      <c r="G8" s="17"/>
      <c r="H8" s="18">
        <v>2</v>
      </c>
      <c r="I8" s="19">
        <f t="shared" si="1"/>
        <v>0.28547999999999996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</v>
      </c>
      <c r="T8" s="19">
        <f t="shared" si="6"/>
        <v>0.28547999999999996</v>
      </c>
      <c r="U8" s="21">
        <f t="shared" si="7"/>
        <v>-2</v>
      </c>
      <c r="V8" s="19">
        <f t="shared" si="8"/>
        <v>-0.28547999999999996</v>
      </c>
    </row>
    <row r="9" spans="1:22">
      <c r="A9" s="26"/>
      <c r="B9" s="36" t="s">
        <v>139</v>
      </c>
      <c r="C9" s="30"/>
      <c r="D9" s="74"/>
      <c r="E9" s="31">
        <f t="shared" ref="E9:F9" si="9">SUM(E6:E8)</f>
        <v>6</v>
      </c>
      <c r="F9" s="38">
        <f t="shared" si="9"/>
        <v>0.73199999999999998</v>
      </c>
      <c r="G9" s="17"/>
      <c r="H9" s="31">
        <f t="shared" ref="H9" si="10">SUM(H6:H8)</f>
        <v>6</v>
      </c>
      <c r="I9" s="38">
        <f t="shared" ref="I9" si="11">SUM(I6:I8)</f>
        <v>0.87107999999999985</v>
      </c>
      <c r="J9" s="16"/>
      <c r="K9" s="31">
        <f t="shared" ref="K9" si="12">SUM(K6:K8)</f>
        <v>0</v>
      </c>
      <c r="L9" s="38">
        <f t="shared" ref="L9" si="13">SUM(L6:L8)</f>
        <v>0</v>
      </c>
      <c r="M9" s="16"/>
      <c r="N9" s="31">
        <f t="shared" ref="N9" si="14">SUM(N6:N8)</f>
        <v>0</v>
      </c>
      <c r="O9" s="38">
        <f t="shared" ref="O9" si="15">SUM(O6:O8)</f>
        <v>0</v>
      </c>
      <c r="P9" s="16"/>
      <c r="Q9" s="31">
        <f t="shared" ref="Q9" si="16">SUM(Q6:Q8)</f>
        <v>0</v>
      </c>
      <c r="R9" s="38">
        <f t="shared" ref="R9" si="17">SUM(R6:R8)</f>
        <v>0</v>
      </c>
      <c r="S9" s="31">
        <f t="shared" ref="S9" si="18">SUM(S6:S8)</f>
        <v>6</v>
      </c>
      <c r="T9" s="38">
        <f t="shared" ref="T9" si="19">SUM(T6:T8)</f>
        <v>0.87107999999999985</v>
      </c>
      <c r="U9" s="31">
        <f t="shared" ref="U9" si="20">SUM(U6:U8)</f>
        <v>0</v>
      </c>
      <c r="V9" s="38">
        <f t="shared" ref="V9" si="21">SUM(V6:V8)</f>
        <v>-0.13907999999999987</v>
      </c>
    </row>
    <row r="10" spans="1:22">
      <c r="A10" s="26" t="s">
        <v>13</v>
      </c>
      <c r="B10" s="26" t="s">
        <v>126</v>
      </c>
      <c r="C10" s="30">
        <v>33.799999999999997</v>
      </c>
      <c r="D10" s="74">
        <v>10</v>
      </c>
      <c r="E10" s="28">
        <v>11</v>
      </c>
      <c r="F10" s="16">
        <f>(C10*D10*E10/1000)</f>
        <v>3.718</v>
      </c>
      <c r="G10" s="17"/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11</v>
      </c>
      <c r="V10" s="19">
        <f>F10-T10</f>
        <v>3.718</v>
      </c>
    </row>
    <row r="11" spans="1:22">
      <c r="A11" s="26" t="s">
        <v>13</v>
      </c>
      <c r="B11" s="26" t="s">
        <v>126</v>
      </c>
      <c r="C11" s="30">
        <v>33.799999999999997</v>
      </c>
      <c r="D11" s="74">
        <v>10</v>
      </c>
      <c r="E11" s="28"/>
      <c r="F11" s="16">
        <f t="shared" ref="F11:F12" si="22">(C11*D11*E11/1000)</f>
        <v>0</v>
      </c>
      <c r="G11" s="17"/>
      <c r="H11" s="18">
        <v>8</v>
      </c>
      <c r="I11" s="19">
        <f t="shared" ref="I11:I12" si="23">(C11*D11*H11/1000)</f>
        <v>2.7040000000000002</v>
      </c>
      <c r="J11" s="16"/>
      <c r="K11" s="18"/>
      <c r="L11" s="19">
        <f t="shared" ref="L11:L12" si="24">(C11*D11*K11/1000)</f>
        <v>0</v>
      </c>
      <c r="M11" s="16"/>
      <c r="N11" s="18"/>
      <c r="O11" s="19">
        <f t="shared" ref="O11:O12" si="25">(C11*D11*N11/1000)</f>
        <v>0</v>
      </c>
      <c r="P11" s="16"/>
      <c r="Q11" s="18"/>
      <c r="R11" s="19">
        <f t="shared" ref="R11:R12" si="26">(C11*D11*Q11/1000)</f>
        <v>0</v>
      </c>
      <c r="S11" s="20">
        <f t="shared" ref="S11:S12" si="27">+H11+K11+Q11+N11</f>
        <v>8</v>
      </c>
      <c r="T11" s="19">
        <f t="shared" ref="T11:T12" si="28">+I11+L11+R11+O11</f>
        <v>2.7040000000000002</v>
      </c>
      <c r="U11" s="21">
        <f t="shared" ref="U11:U12" si="29">E11-S11</f>
        <v>-8</v>
      </c>
      <c r="V11" s="19">
        <f t="shared" ref="V11:V12" si="30">F11-T11</f>
        <v>-2.7040000000000002</v>
      </c>
    </row>
    <row r="12" spans="1:22">
      <c r="A12" s="26" t="s">
        <v>13</v>
      </c>
      <c r="B12" s="26" t="s">
        <v>126</v>
      </c>
      <c r="C12" s="30">
        <v>33.799999999999997</v>
      </c>
      <c r="D12" s="74">
        <v>6.5</v>
      </c>
      <c r="E12" s="28"/>
      <c r="F12" s="16">
        <f t="shared" si="22"/>
        <v>0</v>
      </c>
      <c r="G12" s="17"/>
      <c r="H12" s="18">
        <v>5</v>
      </c>
      <c r="I12" s="19">
        <f t="shared" si="23"/>
        <v>1.0985</v>
      </c>
      <c r="J12" s="16"/>
      <c r="K12" s="18"/>
      <c r="L12" s="19">
        <f t="shared" si="24"/>
        <v>0</v>
      </c>
      <c r="M12" s="16"/>
      <c r="N12" s="18"/>
      <c r="O12" s="19">
        <f t="shared" si="25"/>
        <v>0</v>
      </c>
      <c r="P12" s="16"/>
      <c r="Q12" s="18"/>
      <c r="R12" s="19">
        <f t="shared" si="26"/>
        <v>0</v>
      </c>
      <c r="S12" s="20">
        <f t="shared" si="27"/>
        <v>5</v>
      </c>
      <c r="T12" s="19">
        <f t="shared" si="28"/>
        <v>1.0985</v>
      </c>
      <c r="U12" s="21">
        <f t="shared" si="29"/>
        <v>-5</v>
      </c>
      <c r="V12" s="19">
        <f t="shared" si="30"/>
        <v>-1.0985</v>
      </c>
    </row>
    <row r="13" spans="1:22">
      <c r="A13" s="26"/>
      <c r="B13" s="36" t="s">
        <v>139</v>
      </c>
      <c r="C13" s="30"/>
      <c r="D13" s="74"/>
      <c r="E13" s="31">
        <f t="shared" ref="E13:F13" si="31">SUM(E10:E12)</f>
        <v>11</v>
      </c>
      <c r="F13" s="38">
        <f t="shared" si="31"/>
        <v>3.718</v>
      </c>
      <c r="G13" s="17"/>
      <c r="H13" s="31">
        <f t="shared" ref="H13" si="32">SUM(H10:H12)</f>
        <v>13</v>
      </c>
      <c r="I13" s="38">
        <f t="shared" ref="I13" si="33">SUM(I10:I12)</f>
        <v>3.8025000000000002</v>
      </c>
      <c r="J13" s="16"/>
      <c r="K13" s="31">
        <f t="shared" ref="K13" si="34">SUM(K10:K12)</f>
        <v>0</v>
      </c>
      <c r="L13" s="38">
        <f t="shared" ref="L13" si="35">SUM(L10:L12)</f>
        <v>0</v>
      </c>
      <c r="M13" s="16"/>
      <c r="N13" s="31">
        <f t="shared" ref="N13" si="36">SUM(N10:N12)</f>
        <v>0</v>
      </c>
      <c r="O13" s="38">
        <f t="shared" ref="O13" si="37">SUM(O10:O12)</f>
        <v>0</v>
      </c>
      <c r="P13" s="16"/>
      <c r="Q13" s="31">
        <f t="shared" ref="Q13" si="38">SUM(Q10:Q12)</f>
        <v>0</v>
      </c>
      <c r="R13" s="38">
        <f t="shared" ref="R13" si="39">SUM(R10:R12)</f>
        <v>0</v>
      </c>
      <c r="S13" s="31">
        <f t="shared" ref="S13" si="40">SUM(S10:S12)</f>
        <v>13</v>
      </c>
      <c r="T13" s="38">
        <f t="shared" ref="T13" si="41">SUM(T10:T12)</f>
        <v>3.8025000000000002</v>
      </c>
      <c r="U13" s="31">
        <f t="shared" ref="U13" si="42">SUM(U10:U12)</f>
        <v>-2</v>
      </c>
      <c r="V13" s="38">
        <f t="shared" ref="V13" si="43">SUM(V10:V12)</f>
        <v>-8.4500000000000242E-2</v>
      </c>
    </row>
    <row r="14" spans="1:22">
      <c r="A14" s="26" t="s">
        <v>13</v>
      </c>
      <c r="B14" s="26" t="s">
        <v>161</v>
      </c>
      <c r="C14" s="30">
        <v>44.2</v>
      </c>
      <c r="D14" s="74">
        <v>6.5</v>
      </c>
      <c r="E14" s="28">
        <v>2</v>
      </c>
      <c r="F14" s="16">
        <f>(C14*D14*E14/1000)</f>
        <v>0.5746</v>
      </c>
      <c r="G14" s="16" t="s">
        <v>111</v>
      </c>
      <c r="H14" s="18"/>
      <c r="I14" s="19">
        <f>(C14*D14*H14/1000)</f>
        <v>0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 t="shared" ref="S14:T16" si="44">+H14+K14+Q14+N14</f>
        <v>0</v>
      </c>
      <c r="T14" s="19">
        <f t="shared" si="44"/>
        <v>0</v>
      </c>
      <c r="U14" s="21">
        <f t="shared" ref="U14:V16" si="45">E14-S14</f>
        <v>2</v>
      </c>
      <c r="V14" s="19">
        <f t="shared" si="45"/>
        <v>0.5746</v>
      </c>
    </row>
    <row r="15" spans="1:22">
      <c r="A15" s="26" t="s">
        <v>13</v>
      </c>
      <c r="B15" s="26" t="s">
        <v>161</v>
      </c>
      <c r="C15" s="30">
        <v>44.2</v>
      </c>
      <c r="D15" s="74">
        <v>9.4</v>
      </c>
      <c r="E15" s="28">
        <v>1</v>
      </c>
      <c r="F15" s="16">
        <f>(C15*D15*E15/1000)</f>
        <v>0.41548000000000002</v>
      </c>
      <c r="G15" s="16" t="s">
        <v>424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 t="shared" si="44"/>
        <v>0</v>
      </c>
      <c r="T15" s="19">
        <f t="shared" si="44"/>
        <v>0</v>
      </c>
      <c r="U15" s="21">
        <f t="shared" si="45"/>
        <v>1</v>
      </c>
      <c r="V15" s="19">
        <f t="shared" si="45"/>
        <v>0.41548000000000002</v>
      </c>
    </row>
    <row r="16" spans="1:22">
      <c r="A16" s="26" t="s">
        <v>13</v>
      </c>
      <c r="B16" s="26" t="s">
        <v>161</v>
      </c>
      <c r="C16" s="30">
        <v>44.2</v>
      </c>
      <c r="D16" s="74">
        <v>7.3</v>
      </c>
      <c r="E16" s="28"/>
      <c r="F16" s="16">
        <f>(C16*D16*E16/1000)</f>
        <v>0</v>
      </c>
      <c r="G16" s="16"/>
      <c r="H16" s="18">
        <v>4</v>
      </c>
      <c r="I16" s="19">
        <f>(C16*D16*H16/1000)</f>
        <v>1.29064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 t="shared" si="44"/>
        <v>4</v>
      </c>
      <c r="T16" s="19">
        <f t="shared" si="44"/>
        <v>1.29064</v>
      </c>
      <c r="U16" s="21">
        <f t="shared" si="45"/>
        <v>-4</v>
      </c>
      <c r="V16" s="19">
        <f t="shared" si="45"/>
        <v>-1.29064</v>
      </c>
    </row>
    <row r="17" spans="1:22">
      <c r="A17" s="26"/>
      <c r="B17" s="36" t="s">
        <v>377</v>
      </c>
      <c r="C17" s="30"/>
      <c r="D17" s="28"/>
      <c r="E17" s="31">
        <f t="shared" ref="E17:F17" si="46">SUM(E14:E16)</f>
        <v>3</v>
      </c>
      <c r="F17" s="38">
        <f t="shared" si="46"/>
        <v>0.99008000000000007</v>
      </c>
      <c r="G17" s="17"/>
      <c r="H17" s="31">
        <f t="shared" ref="H17:I17" si="47">SUM(H16)</f>
        <v>4</v>
      </c>
      <c r="I17" s="77">
        <f t="shared" si="47"/>
        <v>1.29064</v>
      </c>
      <c r="J17" s="16"/>
      <c r="K17" s="31">
        <f t="shared" ref="K17:L17" si="48">SUM(K16)</f>
        <v>0</v>
      </c>
      <c r="L17" s="77">
        <f t="shared" si="48"/>
        <v>0</v>
      </c>
      <c r="M17" s="16"/>
      <c r="N17" s="31">
        <f t="shared" ref="N17:O17" si="49">SUM(N16)</f>
        <v>0</v>
      </c>
      <c r="O17" s="77">
        <f t="shared" si="49"/>
        <v>0</v>
      </c>
      <c r="P17" s="16"/>
      <c r="Q17" s="31">
        <f t="shared" ref="Q17:V17" si="50">SUM(Q16)</f>
        <v>0</v>
      </c>
      <c r="R17" s="77">
        <f t="shared" si="50"/>
        <v>0</v>
      </c>
      <c r="S17" s="31">
        <f t="shared" si="50"/>
        <v>4</v>
      </c>
      <c r="T17" s="77">
        <f t="shared" si="50"/>
        <v>1.29064</v>
      </c>
      <c r="U17" s="31">
        <f t="shared" si="50"/>
        <v>-4</v>
      </c>
      <c r="V17" s="77">
        <f t="shared" si="50"/>
        <v>-1.29064</v>
      </c>
    </row>
    <row r="18" spans="1:22">
      <c r="A18" s="33"/>
      <c r="B18" s="33"/>
      <c r="C18" s="33"/>
      <c r="D18" s="75"/>
      <c r="E18" s="34">
        <f t="shared" ref="E18:F18" si="51">SUM(E17,E13,E9)</f>
        <v>20</v>
      </c>
      <c r="F18" s="77">
        <f t="shared" si="51"/>
        <v>5.44008</v>
      </c>
      <c r="H18" s="34">
        <f t="shared" ref="H18" si="52">SUM(H17,H13,H9)</f>
        <v>23</v>
      </c>
      <c r="I18" s="77">
        <f t="shared" ref="I18" si="53">SUM(I17,I13,I9)</f>
        <v>5.9642200000000001</v>
      </c>
      <c r="K18" s="34">
        <f t="shared" ref="K18" si="54">SUM(K17,K13,K9)</f>
        <v>0</v>
      </c>
      <c r="L18" s="77">
        <f t="shared" ref="L18" si="55">SUM(L17,L13,L9)</f>
        <v>0</v>
      </c>
      <c r="N18" s="34">
        <f t="shared" ref="N18" si="56">SUM(N17,N13,N9)</f>
        <v>0</v>
      </c>
      <c r="O18" s="77">
        <f t="shared" ref="O18" si="57">SUM(O17,O13,O9)</f>
        <v>0</v>
      </c>
      <c r="Q18" s="34">
        <f t="shared" ref="Q18" si="58">SUM(Q17,Q13,Q9)</f>
        <v>0</v>
      </c>
      <c r="R18" s="77">
        <f t="shared" ref="R18" si="59">SUM(R17,R13,R9)</f>
        <v>0</v>
      </c>
      <c r="S18" s="34">
        <f t="shared" ref="S18" si="60">SUM(S17,S13,S9)</f>
        <v>23</v>
      </c>
      <c r="T18" s="77">
        <f t="shared" ref="T18" si="61">SUM(T17,T13,T9)</f>
        <v>5.9642200000000001</v>
      </c>
      <c r="U18" s="34">
        <f t="shared" ref="U18" si="62">SUM(U17,U13,U9)</f>
        <v>-6</v>
      </c>
      <c r="V18" s="77">
        <f t="shared" ref="V18" si="63">SUM(V17,V13,V9)</f>
        <v>-1.5142200000000001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>
  <sheetPr codeName="Sheet78"/>
  <dimension ref="A1:X152"/>
  <sheetViews>
    <sheetView zoomScale="75" zoomScaleNormal="75" workbookViewId="0">
      <pane ySplit="5" topLeftCell="A15" activePane="bottomLeft" state="frozen"/>
      <selection pane="bottomLeft" activeCell="M31" sqref="M3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LOI-765  29.08.23</v>
      </c>
      <c r="D1" s="1"/>
      <c r="E1" s="2"/>
      <c r="F1" s="2"/>
      <c r="G1" s="143" t="s">
        <v>364</v>
      </c>
      <c r="H1" s="144"/>
      <c r="I1" s="145" t="s">
        <v>408</v>
      </c>
      <c r="J1" s="144"/>
      <c r="K1" s="3"/>
      <c r="L1" s="4"/>
      <c r="M1" s="4"/>
      <c r="N1" s="3"/>
      <c r="O1" s="4"/>
      <c r="P1" s="146" t="str">
        <f>+F2</f>
        <v>LOI-765  29.08.23</v>
      </c>
      <c r="Q1" s="146"/>
      <c r="R1" s="5"/>
      <c r="S1" s="5"/>
      <c r="T1" s="147" t="s">
        <v>1</v>
      </c>
      <c r="U1" s="147"/>
      <c r="V1" s="147"/>
    </row>
    <row r="2" spans="1:24">
      <c r="A2" s="7" t="s">
        <v>366</v>
      </c>
      <c r="B2" s="8"/>
      <c r="C2" s="9"/>
      <c r="D2" s="9"/>
      <c r="E2" s="10"/>
      <c r="F2" s="146" t="s">
        <v>407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LOI-765  29.08.23</v>
      </c>
      <c r="V2" s="146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4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61</v>
      </c>
      <c r="C6" s="30">
        <v>12.2</v>
      </c>
      <c r="D6" s="27">
        <v>7.6</v>
      </c>
      <c r="E6" s="28">
        <v>2</v>
      </c>
      <c r="F6" s="16">
        <f>(C6*D6*E6/1000)</f>
        <v>0.18543999999999997</v>
      </c>
      <c r="G6" s="16" t="s">
        <v>86</v>
      </c>
      <c r="H6" s="18">
        <v>2</v>
      </c>
      <c r="I6" s="19">
        <f>(C6*D6*H6/1000)</f>
        <v>0.18543999999999997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2</v>
      </c>
      <c r="T6" s="19">
        <f>+I6+L6+R6+O6</f>
        <v>0.18543999999999997</v>
      </c>
      <c r="U6" s="21">
        <f>E6-S6</f>
        <v>0</v>
      </c>
      <c r="V6" s="19">
        <f>F6-T6</f>
        <v>0</v>
      </c>
    </row>
    <row r="7" spans="1:24">
      <c r="A7" s="36"/>
      <c r="B7" s="36"/>
      <c r="C7" s="37"/>
      <c r="D7" s="38"/>
      <c r="E7" s="31">
        <f t="shared" ref="E7:F7" si="0">SUM(E6)</f>
        <v>2</v>
      </c>
      <c r="F7" s="38">
        <f t="shared" si="0"/>
        <v>0.18543999999999997</v>
      </c>
      <c r="G7" s="17" t="s">
        <v>472</v>
      </c>
      <c r="H7" s="31">
        <f t="shared" ref="H7" si="1">SUM(H6)</f>
        <v>2</v>
      </c>
      <c r="I7" s="38">
        <f t="shared" ref="I7" si="2">SUM(I6)</f>
        <v>0.18543999999999997</v>
      </c>
      <c r="J7" s="26"/>
      <c r="K7" s="31">
        <f t="shared" ref="K7" si="3">SUM(K6)</f>
        <v>0</v>
      </c>
      <c r="L7" s="38">
        <f t="shared" ref="L7" si="4">SUM(L6)</f>
        <v>0</v>
      </c>
      <c r="M7" s="26"/>
      <c r="N7" s="31">
        <f t="shared" ref="N7" si="5">SUM(N6)</f>
        <v>0</v>
      </c>
      <c r="O7" s="38">
        <f t="shared" ref="O7" si="6">SUM(O6)</f>
        <v>0</v>
      </c>
      <c r="P7" s="2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2</v>
      </c>
      <c r="T7" s="38">
        <f t="shared" ref="T7" si="10">SUM(T6)</f>
        <v>0.18543999999999997</v>
      </c>
      <c r="U7" s="31">
        <f t="shared" ref="U7" si="11">SUM(U6)</f>
        <v>0</v>
      </c>
      <c r="V7" s="38">
        <f t="shared" ref="V7" si="12">SUM(V6)</f>
        <v>0</v>
      </c>
    </row>
    <row r="8" spans="1:24" s="107" customFormat="1">
      <c r="A8" s="26" t="s">
        <v>13</v>
      </c>
      <c r="B8" s="97" t="s">
        <v>123</v>
      </c>
      <c r="C8" s="98">
        <v>21.6</v>
      </c>
      <c r="D8" s="99">
        <v>8.5</v>
      </c>
      <c r="E8" s="100">
        <v>3</v>
      </c>
      <c r="F8" s="101">
        <f>(C8*D8*E8/1000)</f>
        <v>0.55080000000000007</v>
      </c>
      <c r="G8" s="16" t="s">
        <v>86</v>
      </c>
      <c r="H8" s="103">
        <v>3</v>
      </c>
      <c r="I8" s="104">
        <f>(C8*D8*H8/1000)</f>
        <v>0.55080000000000007</v>
      </c>
      <c r="J8" s="101" t="s">
        <v>93</v>
      </c>
      <c r="K8" s="103"/>
      <c r="L8" s="104">
        <f>(C8*D8*K8/1000)</f>
        <v>0</v>
      </c>
      <c r="M8" s="101" t="s">
        <v>86</v>
      </c>
      <c r="N8" s="103"/>
      <c r="O8" s="104">
        <f>(C8*D8*N8/1000)</f>
        <v>0</v>
      </c>
      <c r="P8" s="101"/>
      <c r="Q8" s="103"/>
      <c r="R8" s="104">
        <f>(C8*D8*Q8/1000)</f>
        <v>0</v>
      </c>
      <c r="S8" s="105">
        <f t="shared" ref="S8:T12" si="13">+H8+K8+Q8+N8</f>
        <v>3</v>
      </c>
      <c r="T8" s="104">
        <f t="shared" si="13"/>
        <v>0.55080000000000007</v>
      </c>
      <c r="U8" s="106">
        <f t="shared" ref="U8:V12" si="14">E8-S8</f>
        <v>0</v>
      </c>
      <c r="V8" s="104">
        <f t="shared" si="14"/>
        <v>0</v>
      </c>
    </row>
    <row r="9" spans="1:24" s="107" customFormat="1">
      <c r="A9" s="26" t="s">
        <v>13</v>
      </c>
      <c r="B9" s="97" t="s">
        <v>123</v>
      </c>
      <c r="C9" s="98">
        <v>21.6</v>
      </c>
      <c r="D9" s="99">
        <v>9.6999999999999993</v>
      </c>
      <c r="E9" s="100">
        <v>3</v>
      </c>
      <c r="F9" s="101">
        <f>(C9*D9*E9/1000)</f>
        <v>0.62856000000000001</v>
      </c>
      <c r="G9" s="17" t="s">
        <v>472</v>
      </c>
      <c r="H9" s="103"/>
      <c r="I9" s="104">
        <f>(C9*D9*H9/1000)</f>
        <v>0</v>
      </c>
      <c r="J9" s="101" t="s">
        <v>474</v>
      </c>
      <c r="K9" s="103">
        <v>2</v>
      </c>
      <c r="L9" s="104">
        <f>(C9*D9*K9/1000)</f>
        <v>0.41904000000000002</v>
      </c>
      <c r="M9" s="101" t="s">
        <v>480</v>
      </c>
      <c r="N9" s="103">
        <v>1</v>
      </c>
      <c r="O9" s="104">
        <f>(C9*D9*N9/1000)</f>
        <v>0.20952000000000001</v>
      </c>
      <c r="P9" s="101"/>
      <c r="Q9" s="103"/>
      <c r="R9" s="104">
        <f>(C9*D9*Q9/1000)</f>
        <v>0</v>
      </c>
      <c r="S9" s="105">
        <f t="shared" si="13"/>
        <v>3</v>
      </c>
      <c r="T9" s="104">
        <f t="shared" si="13"/>
        <v>0.62856000000000001</v>
      </c>
      <c r="U9" s="106">
        <f t="shared" si="14"/>
        <v>0</v>
      </c>
      <c r="V9" s="104">
        <f t="shared" si="14"/>
        <v>0</v>
      </c>
    </row>
    <row r="10" spans="1:24" s="107" customFormat="1">
      <c r="A10" s="26" t="s">
        <v>13</v>
      </c>
      <c r="B10" s="97" t="s">
        <v>123</v>
      </c>
      <c r="C10" s="98">
        <v>21.6</v>
      </c>
      <c r="D10" s="99">
        <v>8.6</v>
      </c>
      <c r="E10" s="100">
        <v>2</v>
      </c>
      <c r="F10" s="101">
        <f t="shared" ref="F10:F11" si="15">(C10*D10*E10/1000)</f>
        <v>0.37151999999999996</v>
      </c>
      <c r="G10" s="16"/>
      <c r="H10" s="103"/>
      <c r="I10" s="104">
        <f t="shared" ref="I10:I11" si="16">(C10*D10*H10/1000)</f>
        <v>0</v>
      </c>
      <c r="J10" s="101"/>
      <c r="K10" s="103">
        <v>2</v>
      </c>
      <c r="L10" s="104">
        <f t="shared" ref="L10:L11" si="17">(C10*D10*K10/1000)</f>
        <v>0.37151999999999996</v>
      </c>
      <c r="M10" s="101"/>
      <c r="N10" s="103"/>
      <c r="O10" s="104">
        <f t="shared" ref="O10:O11" si="18">(C10*D10*N10/1000)</f>
        <v>0</v>
      </c>
      <c r="P10" s="101"/>
      <c r="Q10" s="103"/>
      <c r="R10" s="104">
        <f t="shared" ref="R10:R11" si="19">(C10*D10*Q10/1000)</f>
        <v>0</v>
      </c>
      <c r="S10" s="105">
        <f t="shared" ref="S10:S11" si="20">+H10+K10+Q10+N10</f>
        <v>2</v>
      </c>
      <c r="T10" s="104">
        <f t="shared" ref="T10:T11" si="21">+I10+L10+R10+O10</f>
        <v>0.37151999999999996</v>
      </c>
      <c r="U10" s="106">
        <f t="shared" ref="U10:U11" si="22">E10-S10</f>
        <v>0</v>
      </c>
      <c r="V10" s="104">
        <f t="shared" ref="V10:V11" si="23">F10-T10</f>
        <v>0</v>
      </c>
    </row>
    <row r="11" spans="1:24" s="107" customFormat="1">
      <c r="A11" s="26" t="s">
        <v>13</v>
      </c>
      <c r="B11" s="97" t="s">
        <v>123</v>
      </c>
      <c r="C11" s="98">
        <v>21.6</v>
      </c>
      <c r="D11" s="99">
        <v>11.2</v>
      </c>
      <c r="E11" s="100">
        <v>2</v>
      </c>
      <c r="F11" s="101">
        <f t="shared" si="15"/>
        <v>0.48383999999999999</v>
      </c>
      <c r="G11" s="16"/>
      <c r="H11" s="103"/>
      <c r="I11" s="104">
        <f t="shared" si="16"/>
        <v>0</v>
      </c>
      <c r="J11" s="101"/>
      <c r="K11" s="103"/>
      <c r="L11" s="104">
        <f t="shared" si="17"/>
        <v>0</v>
      </c>
      <c r="M11" s="101"/>
      <c r="N11" s="103">
        <v>2</v>
      </c>
      <c r="O11" s="104">
        <f t="shared" si="18"/>
        <v>0.48383999999999999</v>
      </c>
      <c r="P11" s="101"/>
      <c r="Q11" s="103"/>
      <c r="R11" s="104">
        <f t="shared" si="19"/>
        <v>0</v>
      </c>
      <c r="S11" s="105">
        <f t="shared" si="20"/>
        <v>2</v>
      </c>
      <c r="T11" s="104">
        <f t="shared" si="21"/>
        <v>0.48383999999999999</v>
      </c>
      <c r="U11" s="106">
        <f t="shared" si="22"/>
        <v>0</v>
      </c>
      <c r="V11" s="104">
        <f t="shared" si="23"/>
        <v>0</v>
      </c>
    </row>
    <row r="12" spans="1:24" s="107" customFormat="1">
      <c r="A12" s="26" t="s">
        <v>13</v>
      </c>
      <c r="B12" s="97" t="s">
        <v>123</v>
      </c>
      <c r="C12" s="98">
        <v>21.6</v>
      </c>
      <c r="D12" s="99"/>
      <c r="E12" s="100"/>
      <c r="F12" s="101">
        <f>(C12*D12*E12/1000)</f>
        <v>0</v>
      </c>
      <c r="G12" s="16"/>
      <c r="H12" s="103"/>
      <c r="I12" s="104">
        <f>(C12*D12*H12/1000)</f>
        <v>0</v>
      </c>
      <c r="J12" s="101"/>
      <c r="K12" s="103"/>
      <c r="L12" s="104">
        <f>(C12*D12*K12/1000)</f>
        <v>0</v>
      </c>
      <c r="M12" s="101"/>
      <c r="N12" s="103"/>
      <c r="O12" s="104">
        <f>(C12*D12*N12/1000)</f>
        <v>0</v>
      </c>
      <c r="P12" s="101"/>
      <c r="Q12" s="103"/>
      <c r="R12" s="104">
        <f>(C12*D12*Q12/1000)</f>
        <v>0</v>
      </c>
      <c r="S12" s="105">
        <f t="shared" si="13"/>
        <v>0</v>
      </c>
      <c r="T12" s="104">
        <f t="shared" si="13"/>
        <v>0</v>
      </c>
      <c r="U12" s="106">
        <f t="shared" si="14"/>
        <v>0</v>
      </c>
      <c r="V12" s="104">
        <f t="shared" si="14"/>
        <v>0</v>
      </c>
    </row>
    <row r="13" spans="1:24" s="107" customFormat="1">
      <c r="A13" s="36"/>
      <c r="B13" s="36"/>
      <c r="C13" s="37"/>
      <c r="D13" s="38" t="s">
        <v>473</v>
      </c>
      <c r="E13" s="31">
        <f t="shared" ref="E13:F13" si="24">SUM(E8:E12)</f>
        <v>10</v>
      </c>
      <c r="F13" s="38">
        <f t="shared" si="24"/>
        <v>2.0347199999999996</v>
      </c>
      <c r="G13" s="17"/>
      <c r="H13" s="31">
        <f t="shared" ref="H13" si="25">SUM(H8:H12)</f>
        <v>3</v>
      </c>
      <c r="I13" s="38">
        <f t="shared" ref="I13" si="26">SUM(I8:I12)</f>
        <v>0.55080000000000007</v>
      </c>
      <c r="K13" s="31">
        <f t="shared" ref="K13" si="27">SUM(K8:K12)</f>
        <v>4</v>
      </c>
      <c r="L13" s="38">
        <f t="shared" ref="L13" si="28">SUM(L8:L12)</f>
        <v>0.79055999999999993</v>
      </c>
      <c r="N13" s="31">
        <f t="shared" ref="N13" si="29">SUM(N8:N12)</f>
        <v>3</v>
      </c>
      <c r="O13" s="38">
        <f t="shared" ref="O13" si="30">SUM(O8:O12)</f>
        <v>0.69335999999999998</v>
      </c>
      <c r="Q13" s="31">
        <f t="shared" ref="Q13" si="31">SUM(Q8:Q12)</f>
        <v>0</v>
      </c>
      <c r="R13" s="38">
        <f t="shared" ref="R13" si="32">SUM(R8:R12)</f>
        <v>0</v>
      </c>
      <c r="S13" s="31">
        <f t="shared" ref="S13" si="33">SUM(S8:S12)</f>
        <v>10</v>
      </c>
      <c r="T13" s="38">
        <f t="shared" ref="T13" si="34">SUM(T8:T12)</f>
        <v>2.0347199999999996</v>
      </c>
      <c r="U13" s="31">
        <f t="shared" ref="U13" si="35">SUM(U8:U12)</f>
        <v>0</v>
      </c>
      <c r="V13" s="38">
        <f t="shared" ref="V13" si="36">SUM(V8:V12)</f>
        <v>0</v>
      </c>
    </row>
    <row r="14" spans="1:24">
      <c r="A14" s="26" t="s">
        <v>13</v>
      </c>
      <c r="B14" s="26" t="s">
        <v>124</v>
      </c>
      <c r="C14" s="30">
        <v>23</v>
      </c>
      <c r="D14" s="27">
        <v>7.6</v>
      </c>
      <c r="E14" s="28">
        <v>20</v>
      </c>
      <c r="F14" s="16">
        <f t="shared" ref="F14:F15" si="37">(C14*D14*E14/1000)</f>
        <v>3.4959999999999996</v>
      </c>
      <c r="G14" s="16" t="s">
        <v>114</v>
      </c>
      <c r="H14" s="18">
        <v>20</v>
      </c>
      <c r="I14" s="19">
        <f t="shared" ref="I14:I15" si="38">(C14*D14*H14/1000)</f>
        <v>3.4959999999999996</v>
      </c>
      <c r="J14" s="16"/>
      <c r="K14" s="18"/>
      <c r="L14" s="19">
        <f t="shared" ref="L14:L15" si="39">(C14*D14*K14/1000)</f>
        <v>0</v>
      </c>
      <c r="M14" s="16"/>
      <c r="N14" s="18"/>
      <c r="O14" s="19">
        <f t="shared" ref="O14:O15" si="40">(C14*D14*N14/1000)</f>
        <v>0</v>
      </c>
      <c r="P14" s="16"/>
      <c r="Q14" s="18"/>
      <c r="R14" s="19">
        <f t="shared" ref="R14:R15" si="41">(C14*D14*Q14/1000)</f>
        <v>0</v>
      </c>
      <c r="S14" s="20">
        <f t="shared" ref="S14:S15" si="42">+H14+K14+Q14+N14</f>
        <v>20</v>
      </c>
      <c r="T14" s="19">
        <f t="shared" ref="T14:T15" si="43">+I14+L14+R14+O14</f>
        <v>3.4959999999999996</v>
      </c>
      <c r="U14" s="21">
        <f t="shared" ref="U14:U15" si="44">E14-S14</f>
        <v>0</v>
      </c>
      <c r="V14" s="19">
        <f t="shared" ref="V14:V15" si="45">F14-T14</f>
        <v>0</v>
      </c>
    </row>
    <row r="15" spans="1:24">
      <c r="A15" s="26" t="s">
        <v>13</v>
      </c>
      <c r="B15" s="26" t="s">
        <v>124</v>
      </c>
      <c r="C15" s="30">
        <v>23</v>
      </c>
      <c r="D15" s="27">
        <v>11.7</v>
      </c>
      <c r="E15" s="28">
        <v>5</v>
      </c>
      <c r="F15" s="16">
        <f t="shared" si="37"/>
        <v>1.3454999999999997</v>
      </c>
      <c r="G15" s="16" t="s">
        <v>465</v>
      </c>
      <c r="H15" s="18">
        <v>5</v>
      </c>
      <c r="I15" s="19">
        <f t="shared" si="38"/>
        <v>1.3454999999999997</v>
      </c>
      <c r="J15" s="16"/>
      <c r="K15" s="18"/>
      <c r="L15" s="19">
        <f t="shared" si="39"/>
        <v>0</v>
      </c>
      <c r="M15" s="16"/>
      <c r="N15" s="18"/>
      <c r="O15" s="19">
        <f t="shared" si="40"/>
        <v>0</v>
      </c>
      <c r="P15" s="16"/>
      <c r="Q15" s="18"/>
      <c r="R15" s="19">
        <f t="shared" si="41"/>
        <v>0</v>
      </c>
      <c r="S15" s="20">
        <f t="shared" si="42"/>
        <v>5</v>
      </c>
      <c r="T15" s="19">
        <f t="shared" si="43"/>
        <v>1.3454999999999997</v>
      </c>
      <c r="U15" s="21">
        <f t="shared" si="44"/>
        <v>0</v>
      </c>
      <c r="V15" s="19">
        <f t="shared" si="45"/>
        <v>0</v>
      </c>
    </row>
    <row r="16" spans="1:24">
      <c r="A16" s="36"/>
      <c r="B16" s="36"/>
      <c r="C16" s="37"/>
      <c r="D16" s="38"/>
      <c r="E16" s="31">
        <f t="shared" ref="E16:F16" si="46">SUM(E14:E15)</f>
        <v>25</v>
      </c>
      <c r="F16" s="38">
        <f t="shared" si="46"/>
        <v>4.841499999999999</v>
      </c>
      <c r="G16" s="17"/>
      <c r="H16" s="31">
        <f t="shared" ref="H16" si="47">SUM(H14:H15)</f>
        <v>25</v>
      </c>
      <c r="I16" s="38">
        <f t="shared" ref="I16" si="48">SUM(I14:I15)</f>
        <v>4.841499999999999</v>
      </c>
      <c r="J16" s="16"/>
      <c r="K16" s="31">
        <f t="shared" ref="K16" si="49">SUM(K14:K15)</f>
        <v>0</v>
      </c>
      <c r="L16" s="38">
        <f t="shared" ref="L16" si="50">SUM(L14:L15)</f>
        <v>0</v>
      </c>
      <c r="M16" s="16"/>
      <c r="N16" s="31">
        <f t="shared" ref="N16" si="51">SUM(N14:N15)</f>
        <v>0</v>
      </c>
      <c r="O16" s="38">
        <f t="shared" ref="O16" si="52">SUM(O14:O15)</f>
        <v>0</v>
      </c>
      <c r="P16" s="16"/>
      <c r="Q16" s="31">
        <f t="shared" ref="Q16" si="53">SUM(Q14:Q15)</f>
        <v>0</v>
      </c>
      <c r="R16" s="38">
        <f t="shared" ref="R16" si="54">SUM(R14:R15)</f>
        <v>0</v>
      </c>
      <c r="S16" s="31">
        <f t="shared" ref="S16" si="55">SUM(S14:S15)</f>
        <v>25</v>
      </c>
      <c r="T16" s="38">
        <f t="shared" ref="T16" si="56">SUM(T14:T15)</f>
        <v>4.841499999999999</v>
      </c>
      <c r="U16" s="31">
        <f t="shared" ref="U16" si="57">SUM(U14:U15)</f>
        <v>0</v>
      </c>
      <c r="V16" s="38">
        <f t="shared" ref="V16" si="58">SUM(V14:V15)</f>
        <v>0</v>
      </c>
      <c r="X16" s="29"/>
    </row>
    <row r="17" spans="1:22">
      <c r="A17" s="26" t="s">
        <v>13</v>
      </c>
      <c r="B17" s="26" t="s">
        <v>125</v>
      </c>
      <c r="C17" s="30">
        <v>27.3</v>
      </c>
      <c r="D17" s="27">
        <v>7.5</v>
      </c>
      <c r="E17" s="28">
        <v>72</v>
      </c>
      <c r="F17" s="16">
        <f t="shared" ref="F17:F25" si="59">(C17*D17*E17/1000)</f>
        <v>14.742000000000001</v>
      </c>
      <c r="G17" s="16" t="s">
        <v>93</v>
      </c>
      <c r="H17" s="18">
        <f>27+36</f>
        <v>63</v>
      </c>
      <c r="I17" s="19">
        <f t="shared" ref="I17:I25" si="60">(C17*D17*H17/1000)</f>
        <v>12.89925</v>
      </c>
      <c r="J17" s="17" t="s">
        <v>89</v>
      </c>
      <c r="K17" s="18"/>
      <c r="L17" s="19">
        <f t="shared" ref="L17:L25" si="61">(C17*D17*K17/1000)</f>
        <v>0</v>
      </c>
      <c r="M17" s="16" t="s">
        <v>93</v>
      </c>
      <c r="N17" s="18"/>
      <c r="O17" s="19">
        <f t="shared" ref="O17:O25" si="62">(C17*D17*N17/1000)</f>
        <v>0</v>
      </c>
      <c r="P17" s="17" t="s">
        <v>89</v>
      </c>
      <c r="Q17" s="18"/>
      <c r="R17" s="19">
        <f t="shared" ref="R17:R25" si="63">(C17*D17*Q17/1000)</f>
        <v>0</v>
      </c>
      <c r="S17" s="20">
        <f t="shared" ref="S17:S25" si="64">+H17+K17+Q17+N17</f>
        <v>63</v>
      </c>
      <c r="T17" s="19">
        <f t="shared" ref="T17:T25" si="65">+I17+L17+R17+O17</f>
        <v>12.89925</v>
      </c>
      <c r="U17" s="21">
        <f t="shared" ref="U17:U25" si="66">E17-S17</f>
        <v>9</v>
      </c>
      <c r="V17" s="19">
        <f t="shared" ref="V17:V25" si="67">F17-T17</f>
        <v>1.8427500000000006</v>
      </c>
    </row>
    <row r="18" spans="1:22">
      <c r="A18" s="26" t="s">
        <v>13</v>
      </c>
      <c r="B18" s="26" t="s">
        <v>125</v>
      </c>
      <c r="C18" s="30">
        <v>27.3</v>
      </c>
      <c r="D18" s="27">
        <v>12</v>
      </c>
      <c r="E18" s="28">
        <v>70</v>
      </c>
      <c r="F18" s="16">
        <f t="shared" ref="F18:F24" si="68">(C18*D18*E18/1000)</f>
        <v>22.931999999999999</v>
      </c>
      <c r="G18" s="16" t="s">
        <v>454</v>
      </c>
      <c r="H18" s="18">
        <v>18</v>
      </c>
      <c r="I18" s="19">
        <f t="shared" ref="I18:I24" si="69">(C18*D18*H18/1000)</f>
        <v>5.8967999999999998</v>
      </c>
      <c r="J18" s="26" t="s">
        <v>458</v>
      </c>
      <c r="K18" s="18">
        <v>41</v>
      </c>
      <c r="L18" s="19">
        <f t="shared" ref="L18:L24" si="70">(C18*D18*K18/1000)</f>
        <v>13.4316</v>
      </c>
      <c r="M18" s="16" t="s">
        <v>469</v>
      </c>
      <c r="N18" s="18"/>
      <c r="O18" s="19">
        <f t="shared" ref="O18:O24" si="71">(C18*D18*N18/1000)</f>
        <v>0</v>
      </c>
      <c r="P18" s="17" t="s">
        <v>470</v>
      </c>
      <c r="Q18" s="18">
        <v>3</v>
      </c>
      <c r="R18" s="19">
        <f t="shared" ref="R18:R24" si="72">(C18*D18*Q18/1000)</f>
        <v>0.98280000000000012</v>
      </c>
      <c r="S18" s="20">
        <f t="shared" ref="S18:S24" si="73">+H18+K18+Q18+N18</f>
        <v>62</v>
      </c>
      <c r="T18" s="19">
        <f t="shared" ref="T18:T24" si="74">+I18+L18+R18+O18</f>
        <v>20.311199999999999</v>
      </c>
      <c r="U18" s="21">
        <f t="shared" ref="U18:U24" si="75">E18-S18</f>
        <v>8</v>
      </c>
      <c r="V18" s="19">
        <f t="shared" ref="V18:V24" si="76">F18-T18</f>
        <v>2.6207999999999991</v>
      </c>
    </row>
    <row r="19" spans="1:22">
      <c r="A19" s="26" t="s">
        <v>13</v>
      </c>
      <c r="B19" s="26" t="s">
        <v>125</v>
      </c>
      <c r="C19" s="30">
        <v>27.3</v>
      </c>
      <c r="D19" s="27">
        <v>11.4</v>
      </c>
      <c r="E19" s="28"/>
      <c r="F19" s="16">
        <f t="shared" si="68"/>
        <v>0</v>
      </c>
      <c r="G19" s="16"/>
      <c r="H19" s="18"/>
      <c r="I19" s="19">
        <f t="shared" si="69"/>
        <v>0</v>
      </c>
      <c r="J19" s="26"/>
      <c r="K19" s="18"/>
      <c r="L19" s="19">
        <f t="shared" si="70"/>
        <v>0</v>
      </c>
      <c r="M19" s="16"/>
      <c r="N19" s="18">
        <v>5</v>
      </c>
      <c r="O19" s="19">
        <f t="shared" si="71"/>
        <v>1.5561</v>
      </c>
      <c r="P19" s="16"/>
      <c r="Q19" s="18"/>
      <c r="R19" s="19">
        <f t="shared" si="72"/>
        <v>0</v>
      </c>
      <c r="S19" s="20">
        <f t="shared" si="73"/>
        <v>5</v>
      </c>
      <c r="T19" s="19">
        <f t="shared" si="74"/>
        <v>1.5561</v>
      </c>
      <c r="U19" s="21">
        <f t="shared" si="75"/>
        <v>-5</v>
      </c>
      <c r="V19" s="19">
        <f t="shared" si="76"/>
        <v>-1.5561</v>
      </c>
    </row>
    <row r="20" spans="1:22">
      <c r="A20" s="26" t="s">
        <v>13</v>
      </c>
      <c r="B20" s="26" t="s">
        <v>125</v>
      </c>
      <c r="C20" s="30">
        <v>27.3</v>
      </c>
      <c r="D20" s="27">
        <v>11.2</v>
      </c>
      <c r="E20" s="28"/>
      <c r="F20" s="16">
        <f t="shared" si="68"/>
        <v>0</v>
      </c>
      <c r="G20" s="16"/>
      <c r="H20" s="18"/>
      <c r="I20" s="19">
        <f t="shared" si="69"/>
        <v>0</v>
      </c>
      <c r="J20" s="26"/>
      <c r="K20" s="18"/>
      <c r="L20" s="19">
        <f t="shared" si="70"/>
        <v>0</v>
      </c>
      <c r="M20" s="16"/>
      <c r="N20" s="18">
        <v>2</v>
      </c>
      <c r="O20" s="19">
        <f t="shared" si="71"/>
        <v>0.61151999999999995</v>
      </c>
      <c r="P20" s="16"/>
      <c r="Q20" s="18">
        <v>1</v>
      </c>
      <c r="R20" s="19">
        <f t="shared" si="72"/>
        <v>0.30575999999999998</v>
      </c>
      <c r="S20" s="20">
        <f t="shared" si="73"/>
        <v>3</v>
      </c>
      <c r="T20" s="19">
        <f t="shared" si="74"/>
        <v>0.91727999999999987</v>
      </c>
      <c r="U20" s="21">
        <f t="shared" si="75"/>
        <v>-3</v>
      </c>
      <c r="V20" s="19">
        <f t="shared" si="76"/>
        <v>-0.91727999999999987</v>
      </c>
    </row>
    <row r="21" spans="1:22">
      <c r="A21" s="26" t="s">
        <v>13</v>
      </c>
      <c r="B21" s="26" t="s">
        <v>125</v>
      </c>
      <c r="C21" s="30">
        <v>27.3</v>
      </c>
      <c r="D21" s="27">
        <v>7</v>
      </c>
      <c r="E21" s="28"/>
      <c r="F21" s="16">
        <f t="shared" si="68"/>
        <v>0</v>
      </c>
      <c r="G21" s="16"/>
      <c r="H21" s="18"/>
      <c r="I21" s="19">
        <f t="shared" si="69"/>
        <v>0</v>
      </c>
      <c r="J21" s="26"/>
      <c r="K21" s="18"/>
      <c r="L21" s="19">
        <f t="shared" si="70"/>
        <v>0</v>
      </c>
      <c r="M21" s="16"/>
      <c r="N21" s="18">
        <v>2</v>
      </c>
      <c r="O21" s="19">
        <f t="shared" si="71"/>
        <v>0.38219999999999998</v>
      </c>
      <c r="P21" s="16"/>
      <c r="Q21" s="18">
        <v>1</v>
      </c>
      <c r="R21" s="19">
        <f t="shared" si="72"/>
        <v>0.19109999999999999</v>
      </c>
      <c r="S21" s="20">
        <f t="shared" si="73"/>
        <v>3</v>
      </c>
      <c r="T21" s="19">
        <f t="shared" si="74"/>
        <v>0.57329999999999992</v>
      </c>
      <c r="U21" s="21">
        <f t="shared" si="75"/>
        <v>-3</v>
      </c>
      <c r="V21" s="19">
        <f t="shared" si="76"/>
        <v>-0.57329999999999992</v>
      </c>
    </row>
    <row r="22" spans="1:22">
      <c r="A22" s="26" t="s">
        <v>13</v>
      </c>
      <c r="B22" s="26" t="s">
        <v>125</v>
      </c>
      <c r="C22" s="30">
        <v>27.3</v>
      </c>
      <c r="D22" s="27">
        <v>7.1</v>
      </c>
      <c r="E22" s="28"/>
      <c r="F22" s="16">
        <f t="shared" si="68"/>
        <v>0</v>
      </c>
      <c r="G22" s="16"/>
      <c r="H22" s="18"/>
      <c r="I22" s="19">
        <f t="shared" si="69"/>
        <v>0</v>
      </c>
      <c r="J22" s="26"/>
      <c r="K22" s="18"/>
      <c r="L22" s="19">
        <f t="shared" si="70"/>
        <v>0</v>
      </c>
      <c r="M22" s="16"/>
      <c r="N22" s="18">
        <v>3</v>
      </c>
      <c r="O22" s="19">
        <f t="shared" si="71"/>
        <v>0.58149000000000006</v>
      </c>
      <c r="P22" s="16"/>
      <c r="Q22" s="18">
        <v>1</v>
      </c>
      <c r="R22" s="19">
        <f t="shared" si="72"/>
        <v>0.19382999999999997</v>
      </c>
      <c r="S22" s="20">
        <f t="shared" si="73"/>
        <v>4</v>
      </c>
      <c r="T22" s="19">
        <f t="shared" si="74"/>
        <v>0.77532000000000001</v>
      </c>
      <c r="U22" s="21">
        <f t="shared" si="75"/>
        <v>-4</v>
      </c>
      <c r="V22" s="19">
        <f t="shared" si="76"/>
        <v>-0.77532000000000001</v>
      </c>
    </row>
    <row r="23" spans="1:22">
      <c r="A23" s="26" t="s">
        <v>13</v>
      </c>
      <c r="B23" s="26" t="s">
        <v>125</v>
      </c>
      <c r="C23" s="30">
        <v>27.3</v>
      </c>
      <c r="D23" s="27">
        <v>11.7</v>
      </c>
      <c r="E23" s="28"/>
      <c r="F23" s="16">
        <f t="shared" si="68"/>
        <v>0</v>
      </c>
      <c r="G23" s="16"/>
      <c r="H23" s="18"/>
      <c r="I23" s="19">
        <f t="shared" si="69"/>
        <v>0</v>
      </c>
      <c r="J23" s="26"/>
      <c r="K23" s="18"/>
      <c r="L23" s="19">
        <f t="shared" si="70"/>
        <v>0</v>
      </c>
      <c r="M23" s="16"/>
      <c r="N23" s="18"/>
      <c r="O23" s="19">
        <f t="shared" si="71"/>
        <v>0</v>
      </c>
      <c r="P23" s="16"/>
      <c r="Q23" s="18">
        <v>1</v>
      </c>
      <c r="R23" s="19">
        <f t="shared" si="72"/>
        <v>0.31940999999999997</v>
      </c>
      <c r="S23" s="20">
        <f t="shared" si="73"/>
        <v>1</v>
      </c>
      <c r="T23" s="19">
        <f t="shared" si="74"/>
        <v>0.31940999999999997</v>
      </c>
      <c r="U23" s="21">
        <f t="shared" si="75"/>
        <v>-1</v>
      </c>
      <c r="V23" s="19">
        <f t="shared" si="76"/>
        <v>-0.31940999999999997</v>
      </c>
    </row>
    <row r="24" spans="1:22">
      <c r="A24" s="26" t="s">
        <v>13</v>
      </c>
      <c r="B24" s="26" t="s">
        <v>125</v>
      </c>
      <c r="C24" s="30">
        <v>27.3</v>
      </c>
      <c r="D24" s="27">
        <v>6.4</v>
      </c>
      <c r="E24" s="28"/>
      <c r="F24" s="16">
        <f t="shared" si="68"/>
        <v>0</v>
      </c>
      <c r="G24" s="16"/>
      <c r="H24" s="18"/>
      <c r="I24" s="19">
        <f t="shared" si="69"/>
        <v>0</v>
      </c>
      <c r="J24" s="26"/>
      <c r="K24" s="18"/>
      <c r="L24" s="19">
        <f t="shared" si="70"/>
        <v>0</v>
      </c>
      <c r="M24" s="16"/>
      <c r="N24" s="18"/>
      <c r="O24" s="19">
        <f t="shared" si="71"/>
        <v>0</v>
      </c>
      <c r="P24" s="16"/>
      <c r="Q24" s="18">
        <v>3</v>
      </c>
      <c r="R24" s="19">
        <f t="shared" si="72"/>
        <v>0.52416000000000007</v>
      </c>
      <c r="S24" s="20">
        <f t="shared" si="73"/>
        <v>3</v>
      </c>
      <c r="T24" s="19">
        <f t="shared" si="74"/>
        <v>0.52416000000000007</v>
      </c>
      <c r="U24" s="21">
        <f t="shared" si="75"/>
        <v>-3</v>
      </c>
      <c r="V24" s="19">
        <f t="shared" si="76"/>
        <v>-0.52416000000000007</v>
      </c>
    </row>
    <row r="25" spans="1:22">
      <c r="A25" s="26" t="s">
        <v>13</v>
      </c>
      <c r="B25" s="26" t="s">
        <v>125</v>
      </c>
      <c r="C25" s="30">
        <v>27.3</v>
      </c>
      <c r="D25" s="27"/>
      <c r="E25" s="28"/>
      <c r="F25" s="16">
        <f t="shared" si="59"/>
        <v>0</v>
      </c>
      <c r="G25" s="16"/>
      <c r="H25" s="18"/>
      <c r="I25" s="19">
        <f t="shared" si="60"/>
        <v>0</v>
      </c>
      <c r="J25" s="26"/>
      <c r="K25" s="18"/>
      <c r="L25" s="19">
        <f t="shared" si="61"/>
        <v>0</v>
      </c>
      <c r="M25" s="16"/>
      <c r="N25" s="18"/>
      <c r="O25" s="19">
        <f t="shared" si="62"/>
        <v>0</v>
      </c>
      <c r="P25" s="16"/>
      <c r="Q25" s="18"/>
      <c r="R25" s="19">
        <f t="shared" si="63"/>
        <v>0</v>
      </c>
      <c r="S25" s="20">
        <f t="shared" si="64"/>
        <v>0</v>
      </c>
      <c r="T25" s="19">
        <f t="shared" si="65"/>
        <v>0</v>
      </c>
      <c r="U25" s="21">
        <f t="shared" si="66"/>
        <v>0</v>
      </c>
      <c r="V25" s="19">
        <f t="shared" si="67"/>
        <v>0</v>
      </c>
    </row>
    <row r="26" spans="1:22">
      <c r="A26" s="36"/>
      <c r="B26" s="36"/>
      <c r="C26" s="37"/>
      <c r="D26" s="38"/>
      <c r="E26" s="31">
        <f t="shared" ref="E26:F26" si="77">SUM(E17:E25)</f>
        <v>142</v>
      </c>
      <c r="F26" s="38">
        <f t="shared" si="77"/>
        <v>37.673999999999999</v>
      </c>
      <c r="G26" s="17"/>
      <c r="H26" s="31">
        <f t="shared" ref="H26" si="78">SUM(H17:H25)</f>
        <v>81</v>
      </c>
      <c r="I26" s="38">
        <f t="shared" ref="I26" si="79">SUM(I17:I25)</f>
        <v>18.796050000000001</v>
      </c>
      <c r="J26" s="16"/>
      <c r="K26" s="31">
        <f t="shared" ref="K26" si="80">SUM(K17:K25)</f>
        <v>41</v>
      </c>
      <c r="L26" s="38">
        <f t="shared" ref="L26" si="81">SUM(L17:L25)</f>
        <v>13.4316</v>
      </c>
      <c r="M26" s="16"/>
      <c r="N26" s="31">
        <f t="shared" ref="N26" si="82">SUM(N17:N25)</f>
        <v>12</v>
      </c>
      <c r="O26" s="38">
        <f t="shared" ref="O26" si="83">SUM(O17:O25)</f>
        <v>3.13131</v>
      </c>
      <c r="P26" s="16"/>
      <c r="Q26" s="31">
        <f t="shared" ref="Q26" si="84">SUM(Q17:Q25)</f>
        <v>10</v>
      </c>
      <c r="R26" s="38">
        <f t="shared" ref="R26" si="85">SUM(R17:R25)</f>
        <v>2.5170600000000003</v>
      </c>
      <c r="S26" s="31">
        <f t="shared" ref="S26" si="86">SUM(S17:S25)</f>
        <v>144</v>
      </c>
      <c r="T26" s="38">
        <f t="shared" ref="T26" si="87">SUM(T17:T25)</f>
        <v>37.876020000000004</v>
      </c>
      <c r="U26" s="31">
        <f t="shared" ref="U26" si="88">SUM(U17:U25)</f>
        <v>-2</v>
      </c>
      <c r="V26" s="38">
        <f t="shared" ref="V26" si="89">SUM(V17:V25)</f>
        <v>-0.20201999999999998</v>
      </c>
    </row>
    <row r="27" spans="1:22">
      <c r="A27" s="26" t="s">
        <v>13</v>
      </c>
      <c r="B27" s="26" t="s">
        <v>75</v>
      </c>
      <c r="C27" s="30">
        <v>31.6</v>
      </c>
      <c r="D27" s="27">
        <v>10.7</v>
      </c>
      <c r="E27" s="28">
        <v>12</v>
      </c>
      <c r="F27" s="16">
        <f>(C27*D27*E27/1000)</f>
        <v>4.0574399999999997</v>
      </c>
      <c r="G27" s="17" t="s">
        <v>89</v>
      </c>
      <c r="H27" s="18">
        <v>6</v>
      </c>
      <c r="I27" s="19">
        <f>(C27*D27*H27/1000)</f>
        <v>2.0287199999999999</v>
      </c>
      <c r="J27" s="17" t="s">
        <v>89</v>
      </c>
      <c r="K27" s="18">
        <v>6</v>
      </c>
      <c r="L27" s="19">
        <f>(C27*D27*K27/1000)</f>
        <v>2.0287199999999999</v>
      </c>
      <c r="M27" s="16"/>
      <c r="N27" s="18"/>
      <c r="O27" s="19">
        <f>(C27*D27*N27/1000)</f>
        <v>0</v>
      </c>
      <c r="P27" s="16"/>
      <c r="Q27" s="18"/>
      <c r="R27" s="19">
        <f>(C27*D27*Q27/1000)</f>
        <v>0</v>
      </c>
      <c r="S27" s="20">
        <f>+H27+K27+Q27+N27</f>
        <v>12</v>
      </c>
      <c r="T27" s="19">
        <f>+I27+L27+R27+O27</f>
        <v>4.0574399999999997</v>
      </c>
      <c r="U27" s="21">
        <f>E27-S27</f>
        <v>0</v>
      </c>
      <c r="V27" s="19">
        <f>F27-T27</f>
        <v>0</v>
      </c>
    </row>
    <row r="28" spans="1:22">
      <c r="A28" s="36"/>
      <c r="B28" s="36"/>
      <c r="C28" s="37"/>
      <c r="D28" s="38"/>
      <c r="E28" s="31">
        <f t="shared" ref="E28:F28" si="90">SUM(E27)</f>
        <v>12</v>
      </c>
      <c r="F28" s="38">
        <f t="shared" si="90"/>
        <v>4.0574399999999997</v>
      </c>
      <c r="G28" s="26" t="s">
        <v>458</v>
      </c>
      <c r="H28" s="31">
        <f t="shared" ref="H28" si="91">SUM(H27)</f>
        <v>6</v>
      </c>
      <c r="I28" s="38">
        <f t="shared" ref="I28" si="92">SUM(I27)</f>
        <v>2.0287199999999999</v>
      </c>
      <c r="J28" s="17" t="s">
        <v>470</v>
      </c>
      <c r="K28" s="31">
        <f t="shared" ref="K28" si="93">SUM(K27)</f>
        <v>6</v>
      </c>
      <c r="L28" s="38">
        <f t="shared" ref="L28" si="94">SUM(L27)</f>
        <v>2.0287199999999999</v>
      </c>
      <c r="M28" s="16"/>
      <c r="N28" s="31">
        <f t="shared" ref="N28" si="95">SUM(N27)</f>
        <v>0</v>
      </c>
      <c r="O28" s="38">
        <f t="shared" ref="O28" si="96">SUM(O27)</f>
        <v>0</v>
      </c>
      <c r="P28" s="16"/>
      <c r="Q28" s="31">
        <f t="shared" ref="Q28" si="97">SUM(Q27)</f>
        <v>0</v>
      </c>
      <c r="R28" s="38">
        <f t="shared" ref="R28" si="98">SUM(R27)</f>
        <v>0</v>
      </c>
      <c r="S28" s="31">
        <f t="shared" ref="S28" si="99">SUM(S27)</f>
        <v>12</v>
      </c>
      <c r="T28" s="38">
        <f t="shared" ref="T28" si="100">SUM(T27)</f>
        <v>4.0574399999999997</v>
      </c>
      <c r="U28" s="31">
        <f t="shared" ref="U28" si="101">SUM(U27)</f>
        <v>0</v>
      </c>
      <c r="V28" s="38">
        <f t="shared" ref="V28" si="102">SUM(V27)</f>
        <v>0</v>
      </c>
    </row>
    <row r="29" spans="1:22">
      <c r="A29" s="26" t="s">
        <v>13</v>
      </c>
      <c r="B29" s="26" t="s">
        <v>127</v>
      </c>
      <c r="C29" s="30">
        <v>35.9</v>
      </c>
      <c r="D29" s="27">
        <v>8.1</v>
      </c>
      <c r="E29" s="28">
        <v>144</v>
      </c>
      <c r="F29" s="16">
        <f t="shared" ref="F29:F39" si="103">(C29*D29*E29/1000)</f>
        <v>41.873759999999997</v>
      </c>
      <c r="G29" s="17" t="s">
        <v>325</v>
      </c>
      <c r="H29" s="18">
        <v>71</v>
      </c>
      <c r="I29" s="19">
        <f t="shared" ref="I29:I39" si="104">(C29*D29*H29/1000)</f>
        <v>20.646089999999997</v>
      </c>
      <c r="J29" s="16" t="s">
        <v>86</v>
      </c>
      <c r="K29" s="18">
        <f>17+49</f>
        <v>66</v>
      </c>
      <c r="L29" s="19">
        <f t="shared" ref="L29:L39" si="105">(C29*D29*K29/1000)</f>
        <v>19.192139999999998</v>
      </c>
      <c r="M29" s="16" t="s">
        <v>325</v>
      </c>
      <c r="N29" s="18"/>
      <c r="O29" s="19">
        <f t="shared" ref="O29:O39" si="106">(C29*D29*N29/1000)</f>
        <v>0</v>
      </c>
      <c r="P29" s="17" t="s">
        <v>89</v>
      </c>
      <c r="Q29" s="18">
        <v>5</v>
      </c>
      <c r="R29" s="19">
        <f t="shared" ref="R29:R39" si="107">(C29*D29*Q29/1000)</f>
        <v>1.4539499999999999</v>
      </c>
      <c r="S29" s="20">
        <f t="shared" ref="S29:S39" si="108">+H29+K29+Q29+N29</f>
        <v>142</v>
      </c>
      <c r="T29" s="19">
        <f t="shared" ref="T29:T39" si="109">+I29+L29+R29+O29</f>
        <v>41.292179999999995</v>
      </c>
      <c r="U29" s="21">
        <f t="shared" ref="U29:U39" si="110">E29-S29</f>
        <v>2</v>
      </c>
      <c r="V29" s="19">
        <f t="shared" ref="V29:V39" si="111">F29-T29</f>
        <v>0.58158000000000243</v>
      </c>
    </row>
    <row r="30" spans="1:22">
      <c r="A30" s="26" t="s">
        <v>13</v>
      </c>
      <c r="B30" s="26" t="s">
        <v>127</v>
      </c>
      <c r="C30" s="30">
        <v>35.9</v>
      </c>
      <c r="D30" s="27">
        <v>10.4</v>
      </c>
      <c r="E30" s="28">
        <v>36</v>
      </c>
      <c r="F30" s="16">
        <f t="shared" si="103"/>
        <v>13.44096</v>
      </c>
      <c r="G30" s="17" t="s">
        <v>454</v>
      </c>
      <c r="H30" s="18">
        <v>6</v>
      </c>
      <c r="I30" s="19">
        <f t="shared" si="104"/>
        <v>2.2401599999999999</v>
      </c>
      <c r="J30" s="16" t="s">
        <v>457</v>
      </c>
      <c r="K30" s="18">
        <v>25</v>
      </c>
      <c r="L30" s="19">
        <f t="shared" si="105"/>
        <v>9.3339999999999996</v>
      </c>
      <c r="M30" s="16" t="s">
        <v>465</v>
      </c>
      <c r="N30" s="18"/>
      <c r="O30" s="19">
        <f t="shared" si="106"/>
        <v>0</v>
      </c>
      <c r="P30" s="17" t="s">
        <v>470</v>
      </c>
      <c r="Q30" s="18"/>
      <c r="R30" s="19">
        <f t="shared" si="107"/>
        <v>0</v>
      </c>
      <c r="S30" s="20">
        <f t="shared" si="108"/>
        <v>31</v>
      </c>
      <c r="T30" s="19">
        <f t="shared" si="109"/>
        <v>11.574159999999999</v>
      </c>
      <c r="U30" s="21">
        <f t="shared" si="110"/>
        <v>5</v>
      </c>
      <c r="V30" s="19">
        <f t="shared" si="111"/>
        <v>1.8668000000000013</v>
      </c>
    </row>
    <row r="31" spans="1:22">
      <c r="A31" s="26" t="s">
        <v>13</v>
      </c>
      <c r="B31" s="26" t="s">
        <v>127</v>
      </c>
      <c r="C31" s="30">
        <v>35.9</v>
      </c>
      <c r="D31" s="27">
        <v>10.9</v>
      </c>
      <c r="E31" s="28">
        <v>18</v>
      </c>
      <c r="F31" s="16">
        <f t="shared" ref="F31:F38" si="112">(C31*D31*E31/1000)</f>
        <v>7.0435799999999995</v>
      </c>
      <c r="G31" s="17"/>
      <c r="H31" s="18">
        <v>5</v>
      </c>
      <c r="I31" s="19">
        <f t="shared" ref="I31:I38" si="113">(C31*D31*H31/1000)</f>
        <v>1.95655</v>
      </c>
      <c r="J31" s="16"/>
      <c r="K31" s="18">
        <v>6</v>
      </c>
      <c r="L31" s="19">
        <f t="shared" ref="L31:L38" si="114">(C31*D31*K31/1000)</f>
        <v>2.3478600000000003</v>
      </c>
      <c r="M31" s="16"/>
      <c r="N31" s="18"/>
      <c r="O31" s="19">
        <f t="shared" ref="O31:O38" si="115">(C31*D31*N31/1000)</f>
        <v>0</v>
      </c>
      <c r="P31" s="16"/>
      <c r="Q31" s="18">
        <v>1</v>
      </c>
      <c r="R31" s="19">
        <f t="shared" ref="R31:R38" si="116">(C31*D31*Q31/1000)</f>
        <v>0.39130999999999999</v>
      </c>
      <c r="S31" s="20">
        <f t="shared" ref="S31:S38" si="117">+H31+K31+Q31+N31</f>
        <v>12</v>
      </c>
      <c r="T31" s="19">
        <f t="shared" ref="T31:T38" si="118">+I31+L31+R31+O31</f>
        <v>4.6957200000000006</v>
      </c>
      <c r="U31" s="21">
        <f t="shared" ref="U31:U38" si="119">E31-S31</f>
        <v>6</v>
      </c>
      <c r="V31" s="19">
        <f t="shared" ref="V31:V38" si="120">F31-T31</f>
        <v>2.3478599999999989</v>
      </c>
    </row>
    <row r="32" spans="1:22">
      <c r="A32" s="26" t="s">
        <v>13</v>
      </c>
      <c r="B32" s="26" t="s">
        <v>127</v>
      </c>
      <c r="C32" s="30">
        <v>35.9</v>
      </c>
      <c r="D32" s="27">
        <v>7.5</v>
      </c>
      <c r="E32" s="28"/>
      <c r="F32" s="16">
        <f t="shared" si="112"/>
        <v>0</v>
      </c>
      <c r="G32" s="17"/>
      <c r="H32" s="18"/>
      <c r="I32" s="19">
        <f t="shared" si="113"/>
        <v>0</v>
      </c>
      <c r="J32" s="16"/>
      <c r="K32" s="18"/>
      <c r="L32" s="19">
        <f t="shared" si="114"/>
        <v>0</v>
      </c>
      <c r="M32" s="16"/>
      <c r="N32" s="18">
        <v>7</v>
      </c>
      <c r="O32" s="19">
        <f t="shared" si="115"/>
        <v>1.8847499999999999</v>
      </c>
      <c r="P32" s="16"/>
      <c r="Q32" s="18">
        <v>1</v>
      </c>
      <c r="R32" s="19">
        <f t="shared" si="116"/>
        <v>0.26924999999999999</v>
      </c>
      <c r="S32" s="20">
        <f t="shared" si="117"/>
        <v>8</v>
      </c>
      <c r="T32" s="19">
        <f t="shared" si="118"/>
        <v>2.1539999999999999</v>
      </c>
      <c r="U32" s="21">
        <f t="shared" si="119"/>
        <v>-8</v>
      </c>
      <c r="V32" s="19">
        <f t="shared" si="120"/>
        <v>-2.1539999999999999</v>
      </c>
    </row>
    <row r="33" spans="1:22">
      <c r="A33" s="26" t="s">
        <v>13</v>
      </c>
      <c r="B33" s="26" t="s">
        <v>127</v>
      </c>
      <c r="C33" s="30">
        <v>35.9</v>
      </c>
      <c r="D33" s="27">
        <v>7.75</v>
      </c>
      <c r="E33" s="28"/>
      <c r="F33" s="16">
        <f t="shared" si="112"/>
        <v>0</v>
      </c>
      <c r="G33" s="17"/>
      <c r="H33" s="18"/>
      <c r="I33" s="19">
        <f t="shared" si="113"/>
        <v>0</v>
      </c>
      <c r="J33" s="16"/>
      <c r="K33" s="18"/>
      <c r="L33" s="19">
        <f t="shared" si="114"/>
        <v>0</v>
      </c>
      <c r="M33" s="16"/>
      <c r="N33" s="18">
        <v>3</v>
      </c>
      <c r="O33" s="19">
        <f t="shared" si="115"/>
        <v>0.83467499999999994</v>
      </c>
      <c r="P33" s="16"/>
      <c r="Q33" s="18"/>
      <c r="R33" s="19">
        <f t="shared" si="116"/>
        <v>0</v>
      </c>
      <c r="S33" s="20">
        <f t="shared" si="117"/>
        <v>3</v>
      </c>
      <c r="T33" s="19">
        <f t="shared" si="118"/>
        <v>0.83467499999999994</v>
      </c>
      <c r="U33" s="21">
        <f t="shared" si="119"/>
        <v>-3</v>
      </c>
      <c r="V33" s="19">
        <f t="shared" si="120"/>
        <v>-0.83467499999999994</v>
      </c>
    </row>
    <row r="34" spans="1:22">
      <c r="A34" s="26" t="s">
        <v>13</v>
      </c>
      <c r="B34" s="26" t="s">
        <v>127</v>
      </c>
      <c r="C34" s="30">
        <v>35.9</v>
      </c>
      <c r="D34" s="27">
        <v>7.9</v>
      </c>
      <c r="E34" s="28"/>
      <c r="F34" s="16">
        <f t="shared" si="112"/>
        <v>0</v>
      </c>
      <c r="G34" s="17"/>
      <c r="H34" s="18"/>
      <c r="I34" s="19">
        <f t="shared" si="113"/>
        <v>0</v>
      </c>
      <c r="J34" s="16"/>
      <c r="K34" s="18"/>
      <c r="L34" s="19">
        <f t="shared" si="114"/>
        <v>0</v>
      </c>
      <c r="M34" s="16"/>
      <c r="N34" s="18">
        <v>2</v>
      </c>
      <c r="O34" s="19">
        <f t="shared" si="115"/>
        <v>0.56722000000000006</v>
      </c>
      <c r="P34" s="16"/>
      <c r="Q34" s="18"/>
      <c r="R34" s="19">
        <f t="shared" si="116"/>
        <v>0</v>
      </c>
      <c r="S34" s="20">
        <f t="shared" si="117"/>
        <v>2</v>
      </c>
      <c r="T34" s="19">
        <f t="shared" si="118"/>
        <v>0.56722000000000006</v>
      </c>
      <c r="U34" s="21">
        <f t="shared" si="119"/>
        <v>-2</v>
      </c>
      <c r="V34" s="19">
        <f t="shared" si="120"/>
        <v>-0.56722000000000006</v>
      </c>
    </row>
    <row r="35" spans="1:22">
      <c r="A35" s="26" t="s">
        <v>13</v>
      </c>
      <c r="B35" s="26" t="s">
        <v>127</v>
      </c>
      <c r="C35" s="30">
        <v>35.9</v>
      </c>
      <c r="D35" s="27">
        <v>10</v>
      </c>
      <c r="E35" s="28"/>
      <c r="F35" s="16">
        <f t="shared" si="112"/>
        <v>0</v>
      </c>
      <c r="G35" s="17"/>
      <c r="H35" s="18"/>
      <c r="I35" s="19">
        <f t="shared" si="113"/>
        <v>0</v>
      </c>
      <c r="J35" s="16"/>
      <c r="K35" s="18"/>
      <c r="L35" s="19">
        <f t="shared" si="114"/>
        <v>0</v>
      </c>
      <c r="M35" s="16"/>
      <c r="N35" s="18"/>
      <c r="O35" s="19">
        <f t="shared" si="115"/>
        <v>0</v>
      </c>
      <c r="P35" s="16"/>
      <c r="Q35" s="18">
        <v>1</v>
      </c>
      <c r="R35" s="19">
        <f t="shared" si="116"/>
        <v>0.35899999999999999</v>
      </c>
      <c r="S35" s="20">
        <f t="shared" si="117"/>
        <v>1</v>
      </c>
      <c r="T35" s="19">
        <f t="shared" si="118"/>
        <v>0.35899999999999999</v>
      </c>
      <c r="U35" s="21">
        <f t="shared" si="119"/>
        <v>-1</v>
      </c>
      <c r="V35" s="19">
        <f t="shared" si="120"/>
        <v>-0.35899999999999999</v>
      </c>
    </row>
    <row r="36" spans="1:22">
      <c r="A36" s="26" t="s">
        <v>13</v>
      </c>
      <c r="B36" s="26" t="s">
        <v>127</v>
      </c>
      <c r="C36" s="30">
        <v>35.9</v>
      </c>
      <c r="D36" s="27">
        <v>7.8</v>
      </c>
      <c r="E36" s="28"/>
      <c r="F36" s="16">
        <f t="shared" si="112"/>
        <v>0</v>
      </c>
      <c r="G36" s="17"/>
      <c r="H36" s="18"/>
      <c r="I36" s="19">
        <f t="shared" si="113"/>
        <v>0</v>
      </c>
      <c r="J36" s="16"/>
      <c r="K36" s="18"/>
      <c r="L36" s="19">
        <f t="shared" si="114"/>
        <v>0</v>
      </c>
      <c r="M36" s="16"/>
      <c r="N36" s="18"/>
      <c r="O36" s="19">
        <f t="shared" si="115"/>
        <v>0</v>
      </c>
      <c r="P36" s="16"/>
      <c r="Q36" s="18">
        <v>1</v>
      </c>
      <c r="R36" s="19">
        <f t="shared" si="116"/>
        <v>0.28001999999999999</v>
      </c>
      <c r="S36" s="20">
        <f t="shared" si="117"/>
        <v>1</v>
      </c>
      <c r="T36" s="19">
        <f t="shared" si="118"/>
        <v>0.28001999999999999</v>
      </c>
      <c r="U36" s="21">
        <f t="shared" si="119"/>
        <v>-1</v>
      </c>
      <c r="V36" s="19">
        <f t="shared" si="120"/>
        <v>-0.28001999999999999</v>
      </c>
    </row>
    <row r="37" spans="1:22">
      <c r="A37" s="26" t="s">
        <v>13</v>
      </c>
      <c r="B37" s="26" t="s">
        <v>127</v>
      </c>
      <c r="C37" s="30">
        <v>35.9</v>
      </c>
      <c r="D37" s="27">
        <v>8</v>
      </c>
      <c r="E37" s="28"/>
      <c r="F37" s="16">
        <f t="shared" si="112"/>
        <v>0</v>
      </c>
      <c r="G37" s="17"/>
      <c r="H37" s="18"/>
      <c r="I37" s="19">
        <f t="shared" si="113"/>
        <v>0</v>
      </c>
      <c r="J37" s="16"/>
      <c r="K37" s="18"/>
      <c r="L37" s="19">
        <f t="shared" si="114"/>
        <v>0</v>
      </c>
      <c r="M37" s="16"/>
      <c r="N37" s="18"/>
      <c r="O37" s="19">
        <f t="shared" si="115"/>
        <v>0</v>
      </c>
      <c r="P37" s="16"/>
      <c r="Q37" s="18">
        <v>1</v>
      </c>
      <c r="R37" s="19">
        <f t="shared" si="116"/>
        <v>0.28720000000000001</v>
      </c>
      <c r="S37" s="20">
        <f t="shared" si="117"/>
        <v>1</v>
      </c>
      <c r="T37" s="19">
        <f t="shared" si="118"/>
        <v>0.28720000000000001</v>
      </c>
      <c r="U37" s="21">
        <f t="shared" si="119"/>
        <v>-1</v>
      </c>
      <c r="V37" s="19">
        <f t="shared" si="120"/>
        <v>-0.28720000000000001</v>
      </c>
    </row>
    <row r="38" spans="1:22">
      <c r="A38" s="26" t="s">
        <v>13</v>
      </c>
      <c r="B38" s="26" t="s">
        <v>127</v>
      </c>
      <c r="C38" s="30">
        <v>35.9</v>
      </c>
      <c r="D38" s="27">
        <v>7.9</v>
      </c>
      <c r="E38" s="28"/>
      <c r="F38" s="16">
        <f t="shared" si="112"/>
        <v>0</v>
      </c>
      <c r="G38" s="17"/>
      <c r="H38" s="18"/>
      <c r="I38" s="19">
        <f t="shared" si="113"/>
        <v>0</v>
      </c>
      <c r="J38" s="16"/>
      <c r="K38" s="18"/>
      <c r="L38" s="19">
        <f t="shared" si="114"/>
        <v>0</v>
      </c>
      <c r="M38" s="16"/>
      <c r="N38" s="18"/>
      <c r="O38" s="19">
        <f t="shared" si="115"/>
        <v>0</v>
      </c>
      <c r="P38" s="16"/>
      <c r="Q38" s="18">
        <v>2</v>
      </c>
      <c r="R38" s="19">
        <f t="shared" si="116"/>
        <v>0.56722000000000006</v>
      </c>
      <c r="S38" s="20">
        <f t="shared" si="117"/>
        <v>2</v>
      </c>
      <c r="T38" s="19">
        <f t="shared" si="118"/>
        <v>0.56722000000000006</v>
      </c>
      <c r="U38" s="21">
        <f t="shared" si="119"/>
        <v>-2</v>
      </c>
      <c r="V38" s="19">
        <f t="shared" si="120"/>
        <v>-0.56722000000000006</v>
      </c>
    </row>
    <row r="39" spans="1:22">
      <c r="A39" s="26" t="s">
        <v>13</v>
      </c>
      <c r="B39" s="26" t="s">
        <v>127</v>
      </c>
      <c r="C39" s="30">
        <v>35.9</v>
      </c>
      <c r="D39" s="27"/>
      <c r="E39" s="28"/>
      <c r="F39" s="16">
        <f t="shared" si="103"/>
        <v>0</v>
      </c>
      <c r="G39" s="17"/>
      <c r="H39" s="18"/>
      <c r="I39" s="19">
        <f t="shared" si="104"/>
        <v>0</v>
      </c>
      <c r="J39" s="16"/>
      <c r="K39" s="18"/>
      <c r="L39" s="19">
        <f t="shared" si="105"/>
        <v>0</v>
      </c>
      <c r="M39" s="16"/>
      <c r="N39" s="18"/>
      <c r="O39" s="19">
        <f t="shared" si="106"/>
        <v>0</v>
      </c>
      <c r="P39" s="16"/>
      <c r="Q39" s="18"/>
      <c r="R39" s="19">
        <f t="shared" si="107"/>
        <v>0</v>
      </c>
      <c r="S39" s="20">
        <f t="shared" si="108"/>
        <v>0</v>
      </c>
      <c r="T39" s="19">
        <f t="shared" si="109"/>
        <v>0</v>
      </c>
      <c r="U39" s="21">
        <f t="shared" si="110"/>
        <v>0</v>
      </c>
      <c r="V39" s="19">
        <f t="shared" si="111"/>
        <v>0</v>
      </c>
    </row>
    <row r="40" spans="1:22">
      <c r="A40" s="36"/>
      <c r="B40" s="36"/>
      <c r="C40" s="37"/>
      <c r="D40" s="38"/>
      <c r="E40" s="31">
        <f t="shared" ref="E40:F40" si="121">SUM(E29:E39)</f>
        <v>198</v>
      </c>
      <c r="F40" s="38">
        <f t="shared" si="121"/>
        <v>62.358299999999993</v>
      </c>
      <c r="G40" s="17"/>
      <c r="H40" s="31">
        <f t="shared" ref="H40" si="122">SUM(H29:H39)</f>
        <v>82</v>
      </c>
      <c r="I40" s="38">
        <f t="shared" ref="I40" si="123">SUM(I29:I39)</f>
        <v>24.842799999999997</v>
      </c>
      <c r="J40" s="16"/>
      <c r="K40" s="31">
        <f t="shared" ref="K40" si="124">SUM(K29:K39)</f>
        <v>97</v>
      </c>
      <c r="L40" s="38">
        <f t="shared" ref="L40" si="125">SUM(L29:L39)</f>
        <v>30.873999999999999</v>
      </c>
      <c r="M40" s="16"/>
      <c r="N40" s="31">
        <f t="shared" ref="N40" si="126">SUM(N29:N39)</f>
        <v>12</v>
      </c>
      <c r="O40" s="38">
        <f t="shared" ref="O40" si="127">SUM(O29:O39)</f>
        <v>3.286645</v>
      </c>
      <c r="P40" s="16"/>
      <c r="Q40" s="31">
        <f t="shared" ref="Q40" si="128">SUM(Q29:Q39)</f>
        <v>12</v>
      </c>
      <c r="R40" s="38">
        <f t="shared" ref="R40" si="129">SUM(R29:R39)</f>
        <v>3.6079499999999998</v>
      </c>
      <c r="S40" s="31">
        <f t="shared" ref="S40" si="130">SUM(S29:S39)</f>
        <v>203</v>
      </c>
      <c r="T40" s="38">
        <f>SUM(T29:T39)</f>
        <v>62.611394999999995</v>
      </c>
      <c r="U40" s="31">
        <f t="shared" ref="U40" si="131">SUM(U29:U39)</f>
        <v>-5</v>
      </c>
      <c r="V40" s="38">
        <f t="shared" ref="V40" si="132">SUM(V29:V39)</f>
        <v>-0.25309499999999707</v>
      </c>
    </row>
    <row r="41" spans="1:22">
      <c r="A41" s="26" t="s">
        <v>13</v>
      </c>
      <c r="B41" s="26" t="s">
        <v>128</v>
      </c>
      <c r="C41" s="30">
        <v>40.1</v>
      </c>
      <c r="D41" s="27">
        <v>8.5</v>
      </c>
      <c r="E41" s="28">
        <v>48</v>
      </c>
      <c r="F41" s="16">
        <f>(C41*D41*E41/1000)</f>
        <v>16.360800000000001</v>
      </c>
      <c r="G41" s="16" t="s">
        <v>86</v>
      </c>
      <c r="H41" s="18">
        <v>6</v>
      </c>
      <c r="I41" s="19">
        <f>(C41*D41*H41/1000)</f>
        <v>2.0451000000000001</v>
      </c>
      <c r="J41" s="17" t="s">
        <v>89</v>
      </c>
      <c r="K41" s="18">
        <f>17+4</f>
        <v>21</v>
      </c>
      <c r="L41" s="19">
        <f>(C41*D41*K41/1000)</f>
        <v>7.1578500000000007</v>
      </c>
      <c r="M41" s="16" t="s">
        <v>114</v>
      </c>
      <c r="N41" s="18">
        <v>7</v>
      </c>
      <c r="O41" s="19">
        <f>(C41*D41*N41/1000)</f>
        <v>2.3859500000000002</v>
      </c>
      <c r="P41" s="17" t="s">
        <v>89</v>
      </c>
      <c r="Q41" s="18">
        <v>6</v>
      </c>
      <c r="R41" s="19">
        <f>(C41*D41*Q41/1000)</f>
        <v>2.0451000000000001</v>
      </c>
      <c r="S41" s="20">
        <f>+H41+K41+Q41+N41</f>
        <v>40</v>
      </c>
      <c r="T41" s="19">
        <f>+I41+L41+R41+O41</f>
        <v>13.634</v>
      </c>
      <c r="U41" s="21">
        <f>E41-S41</f>
        <v>8</v>
      </c>
      <c r="V41" s="19">
        <f>F41-T41</f>
        <v>2.7268000000000008</v>
      </c>
    </row>
    <row r="42" spans="1:22">
      <c r="A42" s="26" t="s">
        <v>13</v>
      </c>
      <c r="B42" s="26" t="s">
        <v>128</v>
      </c>
      <c r="C42" s="30">
        <v>40.1</v>
      </c>
      <c r="D42" s="27">
        <v>10</v>
      </c>
      <c r="E42" s="28"/>
      <c r="F42" s="16">
        <f t="shared" ref="F42:F44" si="133">(C42*D42*E42/1000)</f>
        <v>0</v>
      </c>
      <c r="G42" s="16" t="s">
        <v>457</v>
      </c>
      <c r="H42" s="18"/>
      <c r="I42" s="19">
        <f t="shared" ref="I42:I44" si="134">(C42*D42*H42/1000)</f>
        <v>0</v>
      </c>
      <c r="J42" s="26" t="s">
        <v>458</v>
      </c>
      <c r="K42" s="18"/>
      <c r="L42" s="19">
        <f t="shared" ref="L42:L44" si="135">(C42*D42*K42/1000)</f>
        <v>0</v>
      </c>
      <c r="M42" s="16" t="s">
        <v>93</v>
      </c>
      <c r="N42" s="18">
        <v>5</v>
      </c>
      <c r="O42" s="19">
        <f t="shared" ref="O42:O44" si="136">(C42*D42*N42/1000)</f>
        <v>2.0049999999999999</v>
      </c>
      <c r="P42" s="17" t="s">
        <v>470</v>
      </c>
      <c r="Q42" s="18"/>
      <c r="R42" s="19">
        <f t="shared" ref="R42:R44" si="137">(C42*D42*Q42/1000)</f>
        <v>0</v>
      </c>
      <c r="S42" s="20">
        <f t="shared" ref="S42:S44" si="138">+H42+K42+Q42+N42</f>
        <v>5</v>
      </c>
      <c r="T42" s="19">
        <f t="shared" ref="T42:T44" si="139">+I42+L42+R42+O42</f>
        <v>2.0049999999999999</v>
      </c>
      <c r="U42" s="21">
        <f t="shared" ref="U42:U44" si="140">E42-S42</f>
        <v>-5</v>
      </c>
      <c r="V42" s="19">
        <f t="shared" ref="V42:V44" si="141">F42-T42</f>
        <v>-2.0049999999999999</v>
      </c>
    </row>
    <row r="43" spans="1:22">
      <c r="A43" s="26" t="s">
        <v>13</v>
      </c>
      <c r="B43" s="26" t="s">
        <v>128</v>
      </c>
      <c r="C43" s="30">
        <v>40.1</v>
      </c>
      <c r="D43" s="27">
        <v>10.9</v>
      </c>
      <c r="E43" s="28"/>
      <c r="F43" s="16">
        <f t="shared" si="133"/>
        <v>0</v>
      </c>
      <c r="G43" s="16"/>
      <c r="H43" s="18"/>
      <c r="I43" s="19">
        <f t="shared" si="134"/>
        <v>0</v>
      </c>
      <c r="J43" s="26"/>
      <c r="K43" s="18"/>
      <c r="L43" s="19">
        <f t="shared" si="135"/>
        <v>0</v>
      </c>
      <c r="M43" s="16" t="s">
        <v>469</v>
      </c>
      <c r="N43" s="18"/>
      <c r="O43" s="19">
        <f t="shared" si="136"/>
        <v>0</v>
      </c>
      <c r="P43" s="17"/>
      <c r="Q43" s="18">
        <v>2</v>
      </c>
      <c r="R43" s="19">
        <f t="shared" si="137"/>
        <v>0.87418000000000007</v>
      </c>
      <c r="S43" s="20">
        <f t="shared" si="138"/>
        <v>2</v>
      </c>
      <c r="T43" s="19">
        <f t="shared" si="139"/>
        <v>0.87418000000000007</v>
      </c>
      <c r="U43" s="21">
        <f t="shared" si="140"/>
        <v>-2</v>
      </c>
      <c r="V43" s="19">
        <f t="shared" si="141"/>
        <v>-0.87418000000000007</v>
      </c>
    </row>
    <row r="44" spans="1:22">
      <c r="A44" s="26" t="s">
        <v>13</v>
      </c>
      <c r="B44" s="26" t="s">
        <v>128</v>
      </c>
      <c r="C44" s="30">
        <v>40.1</v>
      </c>
      <c r="D44" s="27">
        <v>10.7</v>
      </c>
      <c r="E44" s="28"/>
      <c r="F44" s="16">
        <f t="shared" si="133"/>
        <v>0</v>
      </c>
      <c r="G44" s="16"/>
      <c r="H44" s="18"/>
      <c r="I44" s="19">
        <f t="shared" si="134"/>
        <v>0</v>
      </c>
      <c r="J44" s="26"/>
      <c r="K44" s="18"/>
      <c r="L44" s="19">
        <f t="shared" si="135"/>
        <v>0</v>
      </c>
      <c r="M44" s="16"/>
      <c r="N44" s="18"/>
      <c r="O44" s="19">
        <f t="shared" si="136"/>
        <v>0</v>
      </c>
      <c r="P44" s="17"/>
      <c r="Q44" s="18">
        <v>1</v>
      </c>
      <c r="R44" s="19">
        <f t="shared" si="137"/>
        <v>0.42907000000000001</v>
      </c>
      <c r="S44" s="20">
        <f t="shared" si="138"/>
        <v>1</v>
      </c>
      <c r="T44" s="19">
        <f t="shared" si="139"/>
        <v>0.42907000000000001</v>
      </c>
      <c r="U44" s="21">
        <f t="shared" si="140"/>
        <v>-1</v>
      </c>
      <c r="V44" s="19">
        <f t="shared" si="141"/>
        <v>-0.42907000000000001</v>
      </c>
    </row>
    <row r="45" spans="1:22">
      <c r="A45" s="26" t="s">
        <v>13</v>
      </c>
      <c r="B45" s="26" t="s">
        <v>128</v>
      </c>
      <c r="C45" s="30">
        <v>40.1</v>
      </c>
      <c r="D45" s="27"/>
      <c r="E45" s="28"/>
      <c r="F45" s="16">
        <f>(C45*D45*E45/1000)</f>
        <v>0</v>
      </c>
      <c r="G45" s="16"/>
      <c r="H45" s="18"/>
      <c r="I45" s="19">
        <f>(C45*D45*H45/1000)</f>
        <v>0</v>
      </c>
      <c r="J45" s="26"/>
      <c r="K45" s="18"/>
      <c r="L45" s="19">
        <f>(C45*D45*K45/1000)</f>
        <v>0</v>
      </c>
      <c r="M45" s="16"/>
      <c r="N45" s="18"/>
      <c r="O45" s="19">
        <f>(C45*D45*N45/1000)</f>
        <v>0</v>
      </c>
      <c r="P45" s="17"/>
      <c r="Q45" s="18"/>
      <c r="R45" s="19">
        <f>(C45*D45*Q45/1000)</f>
        <v>0</v>
      </c>
      <c r="S45" s="20">
        <f>+H45+K45+Q45+N45</f>
        <v>0</v>
      </c>
      <c r="T45" s="19">
        <f>+I45+L45+R45+O45</f>
        <v>0</v>
      </c>
      <c r="U45" s="21">
        <f>E45-S45</f>
        <v>0</v>
      </c>
      <c r="V45" s="19">
        <f>F45-T45</f>
        <v>0</v>
      </c>
    </row>
    <row r="46" spans="1:22">
      <c r="A46" s="36"/>
      <c r="B46" s="36"/>
      <c r="C46" s="37"/>
      <c r="D46" s="38"/>
      <c r="E46" s="31">
        <f t="shared" ref="E46:F46" si="142">SUM(E41:E45)</f>
        <v>48</v>
      </c>
      <c r="F46" s="38">
        <f t="shared" si="142"/>
        <v>16.360800000000001</v>
      </c>
      <c r="G46" s="16"/>
      <c r="H46" s="31">
        <f t="shared" ref="H46" si="143">SUM(H41:H45)</f>
        <v>6</v>
      </c>
      <c r="I46" s="38">
        <f t="shared" ref="I46" si="144">SUM(I41:I45)</f>
        <v>2.0451000000000001</v>
      </c>
      <c r="J46" s="26"/>
      <c r="K46" s="31">
        <f t="shared" ref="K46" si="145">SUM(K41:K45)</f>
        <v>21</v>
      </c>
      <c r="L46" s="38">
        <f t="shared" ref="L46" si="146">SUM(L41:L45)</f>
        <v>7.1578500000000007</v>
      </c>
      <c r="M46" s="16"/>
      <c r="N46" s="31">
        <f t="shared" ref="N46" si="147">SUM(N41:N45)</f>
        <v>12</v>
      </c>
      <c r="O46" s="38">
        <f t="shared" ref="O46" si="148">SUM(O41:O45)</f>
        <v>4.3909500000000001</v>
      </c>
      <c r="P46" s="26"/>
      <c r="Q46" s="31">
        <f t="shared" ref="Q46" si="149">SUM(Q41:Q45)</f>
        <v>9</v>
      </c>
      <c r="R46" s="38">
        <f t="shared" ref="R46" si="150">SUM(R41:R45)</f>
        <v>3.3483499999999999</v>
      </c>
      <c r="S46" s="31">
        <f t="shared" ref="S46" si="151">SUM(S41:S45)</f>
        <v>48</v>
      </c>
      <c r="T46" s="38">
        <f t="shared" ref="T46" si="152">SUM(T41:T45)</f>
        <v>16.942249999999998</v>
      </c>
      <c r="U46" s="31">
        <f t="shared" ref="U46" si="153">SUM(U41:U45)</f>
        <v>0</v>
      </c>
      <c r="V46" s="38">
        <f t="shared" ref="V46" si="154">SUM(V41:V45)</f>
        <v>-0.58144999999999913</v>
      </c>
    </row>
    <row r="47" spans="1:22">
      <c r="A47" s="26" t="s">
        <v>14</v>
      </c>
      <c r="B47" s="26" t="s">
        <v>45</v>
      </c>
      <c r="C47" s="30">
        <v>9.26</v>
      </c>
      <c r="D47" s="27">
        <v>8</v>
      </c>
      <c r="E47" s="28">
        <v>69</v>
      </c>
      <c r="F47" s="16">
        <f t="shared" ref="F47:F62" si="155">(C47*D47*E47/1000)</f>
        <v>5.1115199999999996</v>
      </c>
      <c r="G47" s="17" t="s">
        <v>89</v>
      </c>
      <c r="H47" s="18"/>
      <c r="I47" s="19">
        <f t="shared" ref="I47:I62" si="156">(C47*D47*H47/1000)</f>
        <v>0</v>
      </c>
      <c r="J47" s="17" t="s">
        <v>93</v>
      </c>
      <c r="K47" s="18">
        <v>19</v>
      </c>
      <c r="L47" s="19">
        <f t="shared" ref="L47:L62" si="157">(C47*D47*K47/1000)</f>
        <v>1.4075199999999999</v>
      </c>
      <c r="M47" s="17" t="s">
        <v>88</v>
      </c>
      <c r="N47" s="18">
        <v>24</v>
      </c>
      <c r="O47" s="19">
        <f t="shared" ref="O47:O62" si="158">(C47*D47*N47/1000)</f>
        <v>1.7779200000000002</v>
      </c>
      <c r="P47" s="16" t="s">
        <v>111</v>
      </c>
      <c r="Q47" s="18"/>
      <c r="R47" s="19">
        <f t="shared" ref="R47:R62" si="159">(C47*D47*Q47/1000)</f>
        <v>0</v>
      </c>
      <c r="S47" s="20">
        <f t="shared" ref="S47:S62" si="160">+H47+K47+Q47+N47</f>
        <v>43</v>
      </c>
      <c r="T47" s="19">
        <f t="shared" ref="T47:T62" si="161">+I47+L47+R47+O47</f>
        <v>3.1854399999999998</v>
      </c>
      <c r="U47" s="21">
        <f t="shared" ref="U47:U62" si="162">E47-S47</f>
        <v>26</v>
      </c>
      <c r="V47" s="19">
        <f t="shared" ref="V47:V62" si="163">F47-T47</f>
        <v>1.9260799999999998</v>
      </c>
    </row>
    <row r="48" spans="1:22">
      <c r="A48" s="26" t="s">
        <v>14</v>
      </c>
      <c r="B48" s="26" t="s">
        <v>45</v>
      </c>
      <c r="C48" s="30">
        <v>9.26</v>
      </c>
      <c r="D48" s="27">
        <v>9.1999999999999993</v>
      </c>
      <c r="E48" s="28">
        <v>31</v>
      </c>
      <c r="F48" s="16">
        <f t="shared" si="155"/>
        <v>2.640952</v>
      </c>
      <c r="G48" s="17" t="s">
        <v>448</v>
      </c>
      <c r="H48" s="18">
        <v>1</v>
      </c>
      <c r="I48" s="19">
        <f t="shared" si="156"/>
        <v>8.519199999999999E-2</v>
      </c>
      <c r="J48" s="17" t="s">
        <v>471</v>
      </c>
      <c r="K48" s="18"/>
      <c r="L48" s="19">
        <f t="shared" si="157"/>
        <v>0</v>
      </c>
      <c r="M48" s="17" t="s">
        <v>471</v>
      </c>
      <c r="N48" s="18">
        <v>13</v>
      </c>
      <c r="O48" s="19">
        <f t="shared" si="158"/>
        <v>1.1074959999999998</v>
      </c>
      <c r="P48" s="16" t="s">
        <v>471</v>
      </c>
      <c r="Q48" s="18">
        <v>10</v>
      </c>
      <c r="R48" s="19">
        <f t="shared" si="159"/>
        <v>0.85192000000000001</v>
      </c>
      <c r="S48" s="20">
        <f t="shared" si="160"/>
        <v>24</v>
      </c>
      <c r="T48" s="19">
        <f t="shared" si="161"/>
        <v>2.0446079999999998</v>
      </c>
      <c r="U48" s="21">
        <f t="shared" si="162"/>
        <v>7</v>
      </c>
      <c r="V48" s="19">
        <f t="shared" si="163"/>
        <v>0.59634400000000021</v>
      </c>
    </row>
    <row r="49" spans="1:22">
      <c r="A49" s="26" t="s">
        <v>14</v>
      </c>
      <c r="B49" s="26" t="s">
        <v>45</v>
      </c>
      <c r="C49" s="30">
        <v>9.26</v>
      </c>
      <c r="D49" s="27">
        <v>10.5</v>
      </c>
      <c r="E49" s="28">
        <v>36</v>
      </c>
      <c r="F49" s="16">
        <f t="shared" si="155"/>
        <v>3.5002800000000001</v>
      </c>
      <c r="G49" s="17"/>
      <c r="H49" s="18"/>
      <c r="I49" s="19">
        <f t="shared" si="156"/>
        <v>0</v>
      </c>
      <c r="J49" s="16"/>
      <c r="K49" s="18">
        <v>20</v>
      </c>
      <c r="L49" s="19">
        <f t="shared" si="157"/>
        <v>1.9446000000000001</v>
      </c>
      <c r="M49" s="16"/>
      <c r="N49" s="18"/>
      <c r="O49" s="19">
        <f t="shared" si="158"/>
        <v>0</v>
      </c>
      <c r="P49" s="16"/>
      <c r="Q49" s="18">
        <v>16</v>
      </c>
      <c r="R49" s="19">
        <f t="shared" si="159"/>
        <v>1.5556800000000002</v>
      </c>
      <c r="S49" s="20">
        <f t="shared" si="160"/>
        <v>36</v>
      </c>
      <c r="T49" s="19">
        <f t="shared" si="161"/>
        <v>3.5002800000000001</v>
      </c>
      <c r="U49" s="21">
        <f t="shared" si="162"/>
        <v>0</v>
      </c>
      <c r="V49" s="19">
        <f t="shared" si="163"/>
        <v>0</v>
      </c>
    </row>
    <row r="50" spans="1:22">
      <c r="A50" s="26" t="s">
        <v>14</v>
      </c>
      <c r="B50" s="26" t="s">
        <v>45</v>
      </c>
      <c r="C50" s="30">
        <v>9.26</v>
      </c>
      <c r="D50" s="27">
        <v>11.5</v>
      </c>
      <c r="E50" s="28">
        <v>28</v>
      </c>
      <c r="F50" s="16">
        <f t="shared" si="155"/>
        <v>2.9817199999999997</v>
      </c>
      <c r="G50" s="17"/>
      <c r="H50" s="18"/>
      <c r="I50" s="19">
        <f t="shared" si="156"/>
        <v>0</v>
      </c>
      <c r="J50" s="16"/>
      <c r="K50" s="18"/>
      <c r="L50" s="19">
        <f t="shared" si="157"/>
        <v>0</v>
      </c>
      <c r="M50" s="16"/>
      <c r="N50" s="18">
        <v>24</v>
      </c>
      <c r="O50" s="19">
        <f t="shared" si="158"/>
        <v>2.5557599999999998</v>
      </c>
      <c r="P50" s="16"/>
      <c r="Q50" s="18">
        <v>7</v>
      </c>
      <c r="R50" s="19">
        <f t="shared" si="159"/>
        <v>0.74542999999999993</v>
      </c>
      <c r="S50" s="20">
        <f t="shared" si="160"/>
        <v>31</v>
      </c>
      <c r="T50" s="19">
        <f t="shared" si="161"/>
        <v>3.3011899999999996</v>
      </c>
      <c r="U50" s="21">
        <f t="shared" si="162"/>
        <v>-3</v>
      </c>
      <c r="V50" s="19">
        <f t="shared" si="163"/>
        <v>-0.31946999999999992</v>
      </c>
    </row>
    <row r="51" spans="1:22">
      <c r="A51" s="26" t="s">
        <v>14</v>
      </c>
      <c r="B51" s="26" t="s">
        <v>45</v>
      </c>
      <c r="C51" s="30">
        <v>9.26</v>
      </c>
      <c r="D51" s="27">
        <v>11.7</v>
      </c>
      <c r="E51" s="28">
        <v>54</v>
      </c>
      <c r="F51" s="16">
        <f t="shared" si="155"/>
        <v>5.8504679999999993</v>
      </c>
      <c r="G51" s="17"/>
      <c r="H51" s="18"/>
      <c r="I51" s="19">
        <f t="shared" si="156"/>
        <v>0</v>
      </c>
      <c r="J51" s="16"/>
      <c r="K51" s="18"/>
      <c r="L51" s="19">
        <f t="shared" si="157"/>
        <v>0</v>
      </c>
      <c r="M51" s="16"/>
      <c r="N51" s="18">
        <v>6</v>
      </c>
      <c r="O51" s="19">
        <f t="shared" si="158"/>
        <v>0.65005199999999985</v>
      </c>
      <c r="P51" s="16"/>
      <c r="Q51" s="18">
        <v>7</v>
      </c>
      <c r="R51" s="19">
        <f t="shared" si="159"/>
        <v>0.7583939999999999</v>
      </c>
      <c r="S51" s="20">
        <f t="shared" si="160"/>
        <v>13</v>
      </c>
      <c r="T51" s="19">
        <f t="shared" si="161"/>
        <v>1.4084459999999996</v>
      </c>
      <c r="U51" s="21">
        <f t="shared" si="162"/>
        <v>41</v>
      </c>
      <c r="V51" s="19">
        <f t="shared" si="163"/>
        <v>4.4420219999999997</v>
      </c>
    </row>
    <row r="52" spans="1:22">
      <c r="A52" s="26" t="s">
        <v>14</v>
      </c>
      <c r="B52" s="26" t="s">
        <v>45</v>
      </c>
      <c r="C52" s="30">
        <v>9.26</v>
      </c>
      <c r="D52" s="27">
        <v>12</v>
      </c>
      <c r="E52" s="28">
        <v>87</v>
      </c>
      <c r="F52" s="16">
        <f t="shared" ref="F52:F61" si="164">(C52*D52*E52/1000)</f>
        <v>9.6674400000000009</v>
      </c>
      <c r="G52" s="17"/>
      <c r="H52" s="18">
        <v>41</v>
      </c>
      <c r="I52" s="19">
        <f t="shared" ref="I52:I61" si="165">(C52*D52*H52/1000)</f>
        <v>4.5559200000000004</v>
      </c>
      <c r="J52" s="16"/>
      <c r="K52" s="18"/>
      <c r="L52" s="19">
        <f t="shared" ref="L52:L61" si="166">(C52*D52*K52/1000)</f>
        <v>0</v>
      </c>
      <c r="M52" s="16"/>
      <c r="N52" s="18">
        <v>86</v>
      </c>
      <c r="O52" s="19">
        <f t="shared" ref="O52:O61" si="167">(C52*D52*N52/1000)</f>
        <v>9.5563199999999995</v>
      </c>
      <c r="P52" s="16"/>
      <c r="Q52" s="18"/>
      <c r="R52" s="19">
        <f t="shared" ref="R52:R61" si="168">(C52*D52*Q52/1000)</f>
        <v>0</v>
      </c>
      <c r="S52" s="20">
        <f t="shared" ref="S52:S61" si="169">+H52+K52+Q52+N52</f>
        <v>127</v>
      </c>
      <c r="T52" s="19">
        <f t="shared" ref="T52:T61" si="170">+I52+L52+R52+O52</f>
        <v>14.11224</v>
      </c>
      <c r="U52" s="21">
        <f t="shared" ref="U52:U61" si="171">E52-S52</f>
        <v>-40</v>
      </c>
      <c r="V52" s="19">
        <f t="shared" ref="V52:V61" si="172">F52-T52</f>
        <v>-4.444799999999999</v>
      </c>
    </row>
    <row r="53" spans="1:22">
      <c r="A53" s="26" t="s">
        <v>14</v>
      </c>
      <c r="B53" s="26" t="s">
        <v>45</v>
      </c>
      <c r="C53" s="30">
        <v>9.26</v>
      </c>
      <c r="D53" s="27">
        <v>9.3000000000000007</v>
      </c>
      <c r="E53" s="28"/>
      <c r="F53" s="16">
        <f t="shared" si="164"/>
        <v>0</v>
      </c>
      <c r="G53" s="17"/>
      <c r="H53" s="18">
        <v>1</v>
      </c>
      <c r="I53" s="19">
        <f t="shared" si="165"/>
        <v>8.6118000000000014E-2</v>
      </c>
      <c r="J53" s="16"/>
      <c r="K53" s="18"/>
      <c r="L53" s="19">
        <f t="shared" si="166"/>
        <v>0</v>
      </c>
      <c r="M53" s="16"/>
      <c r="N53" s="18"/>
      <c r="O53" s="19">
        <f t="shared" si="167"/>
        <v>0</v>
      </c>
      <c r="P53" s="16"/>
      <c r="Q53" s="18"/>
      <c r="R53" s="19">
        <f t="shared" si="168"/>
        <v>0</v>
      </c>
      <c r="S53" s="20">
        <f t="shared" si="169"/>
        <v>1</v>
      </c>
      <c r="T53" s="19">
        <f t="shared" si="170"/>
        <v>8.6118000000000014E-2</v>
      </c>
      <c r="U53" s="21">
        <f t="shared" si="171"/>
        <v>-1</v>
      </c>
      <c r="V53" s="19">
        <f t="shared" si="172"/>
        <v>-8.6118000000000014E-2</v>
      </c>
    </row>
    <row r="54" spans="1:22">
      <c r="A54" s="26" t="s">
        <v>14</v>
      </c>
      <c r="B54" s="26" t="s">
        <v>45</v>
      </c>
      <c r="C54" s="30">
        <v>9.26</v>
      </c>
      <c r="D54" s="27">
        <v>8.5</v>
      </c>
      <c r="E54" s="28"/>
      <c r="F54" s="16">
        <f t="shared" si="164"/>
        <v>0</v>
      </c>
      <c r="G54" s="17"/>
      <c r="H54" s="18">
        <v>1</v>
      </c>
      <c r="I54" s="19">
        <f t="shared" si="165"/>
        <v>7.8709999999999988E-2</v>
      </c>
      <c r="J54" s="16"/>
      <c r="K54" s="18"/>
      <c r="L54" s="19">
        <f t="shared" si="166"/>
        <v>0</v>
      </c>
      <c r="M54" s="16"/>
      <c r="N54" s="18"/>
      <c r="O54" s="19">
        <f t="shared" si="167"/>
        <v>0</v>
      </c>
      <c r="P54" s="16"/>
      <c r="Q54" s="18"/>
      <c r="R54" s="19">
        <f t="shared" si="168"/>
        <v>0</v>
      </c>
      <c r="S54" s="20">
        <f t="shared" si="169"/>
        <v>1</v>
      </c>
      <c r="T54" s="19">
        <f t="shared" si="170"/>
        <v>7.8709999999999988E-2</v>
      </c>
      <c r="U54" s="21">
        <f t="shared" si="171"/>
        <v>-1</v>
      </c>
      <c r="V54" s="19">
        <f t="shared" si="172"/>
        <v>-7.8709999999999988E-2</v>
      </c>
    </row>
    <row r="55" spans="1:22">
      <c r="A55" s="26" t="s">
        <v>14</v>
      </c>
      <c r="B55" s="26" t="s">
        <v>45</v>
      </c>
      <c r="C55" s="30">
        <v>9.26</v>
      </c>
      <c r="D55" s="27">
        <v>9</v>
      </c>
      <c r="E55" s="28"/>
      <c r="F55" s="16">
        <f t="shared" si="164"/>
        <v>0</v>
      </c>
      <c r="G55" s="17"/>
      <c r="H55" s="18">
        <v>5</v>
      </c>
      <c r="I55" s="19">
        <f t="shared" si="165"/>
        <v>0.41670000000000007</v>
      </c>
      <c r="J55" s="16"/>
      <c r="K55" s="18"/>
      <c r="L55" s="19">
        <f t="shared" si="166"/>
        <v>0</v>
      </c>
      <c r="M55" s="16"/>
      <c r="N55" s="18"/>
      <c r="O55" s="19">
        <f t="shared" si="167"/>
        <v>0</v>
      </c>
      <c r="P55" s="16"/>
      <c r="Q55" s="18"/>
      <c r="R55" s="19">
        <f t="shared" si="168"/>
        <v>0</v>
      </c>
      <c r="S55" s="20">
        <f t="shared" si="169"/>
        <v>5</v>
      </c>
      <c r="T55" s="19">
        <f t="shared" si="170"/>
        <v>0.41670000000000007</v>
      </c>
      <c r="U55" s="21">
        <f t="shared" si="171"/>
        <v>-5</v>
      </c>
      <c r="V55" s="19">
        <f t="shared" si="172"/>
        <v>-0.41670000000000007</v>
      </c>
    </row>
    <row r="56" spans="1:22">
      <c r="A56" s="26" t="s">
        <v>14</v>
      </c>
      <c r="B56" s="26" t="s">
        <v>45</v>
      </c>
      <c r="C56" s="30">
        <v>9.26</v>
      </c>
      <c r="D56" s="27">
        <v>7.5</v>
      </c>
      <c r="E56" s="28"/>
      <c r="F56" s="16">
        <f t="shared" si="164"/>
        <v>0</v>
      </c>
      <c r="G56" s="17"/>
      <c r="H56" s="18">
        <v>3</v>
      </c>
      <c r="I56" s="19">
        <f t="shared" si="165"/>
        <v>0.20835000000000004</v>
      </c>
      <c r="J56" s="16"/>
      <c r="K56" s="18"/>
      <c r="L56" s="19">
        <f t="shared" si="166"/>
        <v>0</v>
      </c>
      <c r="M56" s="16"/>
      <c r="N56" s="18"/>
      <c r="O56" s="19">
        <f t="shared" si="167"/>
        <v>0</v>
      </c>
      <c r="P56" s="16"/>
      <c r="Q56" s="18"/>
      <c r="R56" s="19">
        <f t="shared" si="168"/>
        <v>0</v>
      </c>
      <c r="S56" s="20">
        <f t="shared" si="169"/>
        <v>3</v>
      </c>
      <c r="T56" s="19">
        <f t="shared" si="170"/>
        <v>0.20835000000000004</v>
      </c>
      <c r="U56" s="21">
        <f t="shared" si="171"/>
        <v>-3</v>
      </c>
      <c r="V56" s="19">
        <f t="shared" si="172"/>
        <v>-0.20835000000000004</v>
      </c>
    </row>
    <row r="57" spans="1:22">
      <c r="A57" s="26" t="s">
        <v>14</v>
      </c>
      <c r="B57" s="26" t="s">
        <v>45</v>
      </c>
      <c r="C57" s="30">
        <v>9.26</v>
      </c>
      <c r="D57" s="27">
        <v>8</v>
      </c>
      <c r="E57" s="28"/>
      <c r="F57" s="16">
        <f t="shared" si="164"/>
        <v>0</v>
      </c>
      <c r="G57" s="17"/>
      <c r="H57" s="18">
        <v>3</v>
      </c>
      <c r="I57" s="19">
        <f t="shared" si="165"/>
        <v>0.22224000000000002</v>
      </c>
      <c r="J57" s="16"/>
      <c r="K57" s="18"/>
      <c r="L57" s="19">
        <f t="shared" si="166"/>
        <v>0</v>
      </c>
      <c r="M57" s="16"/>
      <c r="N57" s="18"/>
      <c r="O57" s="19">
        <f t="shared" si="167"/>
        <v>0</v>
      </c>
      <c r="P57" s="16"/>
      <c r="Q57" s="18">
        <v>11</v>
      </c>
      <c r="R57" s="19">
        <f t="shared" si="168"/>
        <v>0.81488000000000005</v>
      </c>
      <c r="S57" s="20">
        <f t="shared" si="169"/>
        <v>14</v>
      </c>
      <c r="T57" s="19">
        <f t="shared" si="170"/>
        <v>1.03712</v>
      </c>
      <c r="U57" s="21">
        <f t="shared" si="171"/>
        <v>-14</v>
      </c>
      <c r="V57" s="19">
        <f t="shared" si="172"/>
        <v>-1.03712</v>
      </c>
    </row>
    <row r="58" spans="1:22">
      <c r="A58" s="26" t="s">
        <v>14</v>
      </c>
      <c r="B58" s="26" t="s">
        <v>45</v>
      </c>
      <c r="C58" s="30">
        <v>9.26</v>
      </c>
      <c r="D58" s="27">
        <v>8.75</v>
      </c>
      <c r="E58" s="28"/>
      <c r="F58" s="16">
        <f t="shared" si="164"/>
        <v>0</v>
      </c>
      <c r="G58" s="17"/>
      <c r="H58" s="18">
        <v>3</v>
      </c>
      <c r="I58" s="19">
        <f t="shared" si="165"/>
        <v>0.24307499999999999</v>
      </c>
      <c r="J58" s="16"/>
      <c r="K58" s="18"/>
      <c r="L58" s="19">
        <f t="shared" si="166"/>
        <v>0</v>
      </c>
      <c r="M58" s="16"/>
      <c r="N58" s="18"/>
      <c r="O58" s="19">
        <f t="shared" si="167"/>
        <v>0</v>
      </c>
      <c r="P58" s="16"/>
      <c r="Q58" s="18"/>
      <c r="R58" s="19">
        <f t="shared" si="168"/>
        <v>0</v>
      </c>
      <c r="S58" s="20">
        <f t="shared" si="169"/>
        <v>3</v>
      </c>
      <c r="T58" s="19">
        <f t="shared" si="170"/>
        <v>0.24307499999999999</v>
      </c>
      <c r="U58" s="21">
        <f t="shared" si="171"/>
        <v>-3</v>
      </c>
      <c r="V58" s="19">
        <f t="shared" si="172"/>
        <v>-0.24307499999999999</v>
      </c>
    </row>
    <row r="59" spans="1:22">
      <c r="A59" s="26" t="s">
        <v>14</v>
      </c>
      <c r="B59" s="26" t="s">
        <v>45</v>
      </c>
      <c r="C59" s="30">
        <v>9.26</v>
      </c>
      <c r="D59" s="27">
        <v>11.3</v>
      </c>
      <c r="E59" s="28"/>
      <c r="F59" s="16">
        <f t="shared" si="164"/>
        <v>0</v>
      </c>
      <c r="G59" s="17"/>
      <c r="H59" s="18">
        <v>1</v>
      </c>
      <c r="I59" s="19">
        <f t="shared" si="165"/>
        <v>0.10463800000000001</v>
      </c>
      <c r="J59" s="16"/>
      <c r="K59" s="18"/>
      <c r="L59" s="19">
        <f t="shared" si="166"/>
        <v>0</v>
      </c>
      <c r="M59" s="16"/>
      <c r="N59" s="18"/>
      <c r="O59" s="19">
        <f t="shared" si="167"/>
        <v>0</v>
      </c>
      <c r="P59" s="16"/>
      <c r="Q59" s="18"/>
      <c r="R59" s="19">
        <f t="shared" si="168"/>
        <v>0</v>
      </c>
      <c r="S59" s="20">
        <f t="shared" si="169"/>
        <v>1</v>
      </c>
      <c r="T59" s="19">
        <f t="shared" si="170"/>
        <v>0.10463800000000001</v>
      </c>
      <c r="U59" s="21">
        <f t="shared" si="171"/>
        <v>-1</v>
      </c>
      <c r="V59" s="19">
        <f t="shared" si="172"/>
        <v>-0.10463800000000001</v>
      </c>
    </row>
    <row r="60" spans="1:22">
      <c r="A60" s="26" t="s">
        <v>14</v>
      </c>
      <c r="B60" s="26" t="s">
        <v>45</v>
      </c>
      <c r="C60" s="30">
        <v>9.26</v>
      </c>
      <c r="D60" s="27">
        <v>7.9</v>
      </c>
      <c r="E60" s="28"/>
      <c r="F60" s="16">
        <f t="shared" si="164"/>
        <v>0</v>
      </c>
      <c r="G60" s="17"/>
      <c r="H60" s="18"/>
      <c r="I60" s="19">
        <f t="shared" si="165"/>
        <v>0</v>
      </c>
      <c r="J60" s="16"/>
      <c r="K60" s="18"/>
      <c r="L60" s="19">
        <f t="shared" si="166"/>
        <v>0</v>
      </c>
      <c r="M60" s="16"/>
      <c r="N60" s="18"/>
      <c r="O60" s="19">
        <f t="shared" si="167"/>
        <v>0</v>
      </c>
      <c r="P60" s="16"/>
      <c r="Q60" s="18">
        <v>1</v>
      </c>
      <c r="R60" s="19">
        <f t="shared" si="168"/>
        <v>7.3153999999999997E-2</v>
      </c>
      <c r="S60" s="20">
        <f t="shared" si="169"/>
        <v>1</v>
      </c>
      <c r="T60" s="19">
        <f t="shared" si="170"/>
        <v>7.3153999999999997E-2</v>
      </c>
      <c r="U60" s="21">
        <f t="shared" si="171"/>
        <v>-1</v>
      </c>
      <c r="V60" s="19">
        <f t="shared" si="172"/>
        <v>-7.3153999999999997E-2</v>
      </c>
    </row>
    <row r="61" spans="1:22">
      <c r="A61" s="26" t="s">
        <v>14</v>
      </c>
      <c r="B61" s="26" t="s">
        <v>45</v>
      </c>
      <c r="C61" s="30">
        <v>9.26</v>
      </c>
      <c r="D61" s="27">
        <v>10</v>
      </c>
      <c r="E61" s="28"/>
      <c r="F61" s="16">
        <f t="shared" si="164"/>
        <v>0</v>
      </c>
      <c r="G61" s="17"/>
      <c r="H61" s="18"/>
      <c r="I61" s="19">
        <f t="shared" si="165"/>
        <v>0</v>
      </c>
      <c r="J61" s="16"/>
      <c r="K61" s="18"/>
      <c r="L61" s="19">
        <f t="shared" si="166"/>
        <v>0</v>
      </c>
      <c r="M61" s="16"/>
      <c r="N61" s="18"/>
      <c r="O61" s="19">
        <f t="shared" si="167"/>
        <v>0</v>
      </c>
      <c r="P61" s="16"/>
      <c r="Q61" s="18">
        <v>1</v>
      </c>
      <c r="R61" s="19">
        <f t="shared" si="168"/>
        <v>9.2599999999999988E-2</v>
      </c>
      <c r="S61" s="20">
        <f t="shared" si="169"/>
        <v>1</v>
      </c>
      <c r="T61" s="19">
        <f t="shared" si="170"/>
        <v>9.2599999999999988E-2</v>
      </c>
      <c r="U61" s="21">
        <f t="shared" si="171"/>
        <v>-1</v>
      </c>
      <c r="V61" s="19">
        <f t="shared" si="172"/>
        <v>-9.2599999999999988E-2</v>
      </c>
    </row>
    <row r="62" spans="1:22">
      <c r="A62" s="26" t="s">
        <v>14</v>
      </c>
      <c r="B62" s="26" t="s">
        <v>45</v>
      </c>
      <c r="C62" s="30">
        <v>9.26</v>
      </c>
      <c r="D62" s="27">
        <v>9</v>
      </c>
      <c r="E62" s="28"/>
      <c r="F62" s="16">
        <f t="shared" si="155"/>
        <v>0</v>
      </c>
      <c r="G62" s="17"/>
      <c r="H62" s="18"/>
      <c r="I62" s="19">
        <f t="shared" si="156"/>
        <v>0</v>
      </c>
      <c r="J62" s="16"/>
      <c r="K62" s="18"/>
      <c r="L62" s="19">
        <f t="shared" si="157"/>
        <v>0</v>
      </c>
      <c r="M62" s="16"/>
      <c r="N62" s="18"/>
      <c r="O62" s="19">
        <f t="shared" si="158"/>
        <v>0</v>
      </c>
      <c r="P62" s="16"/>
      <c r="Q62" s="18">
        <v>1</v>
      </c>
      <c r="R62" s="19">
        <f t="shared" si="159"/>
        <v>8.3339999999999997E-2</v>
      </c>
      <c r="S62" s="20">
        <f t="shared" si="160"/>
        <v>1</v>
      </c>
      <c r="T62" s="19">
        <f t="shared" si="161"/>
        <v>8.3339999999999997E-2</v>
      </c>
      <c r="U62" s="21">
        <f t="shared" si="162"/>
        <v>-1</v>
      </c>
      <c r="V62" s="19">
        <f t="shared" si="163"/>
        <v>-8.3339999999999997E-2</v>
      </c>
    </row>
    <row r="63" spans="1:22">
      <c r="A63" s="36"/>
      <c r="B63" s="36"/>
      <c r="C63" s="37"/>
      <c r="D63" s="38"/>
      <c r="E63" s="31">
        <f t="shared" ref="E63:F63" si="173">SUM(E47:E62)</f>
        <v>305</v>
      </c>
      <c r="F63" s="38">
        <f t="shared" si="173"/>
        <v>29.752379999999995</v>
      </c>
      <c r="H63" s="31">
        <f t="shared" ref="H63" si="174">SUM(H47:H62)</f>
        <v>59</v>
      </c>
      <c r="I63" s="38">
        <f t="shared" ref="I63" si="175">SUM(I47:I62)</f>
        <v>6.0009430000000012</v>
      </c>
      <c r="K63" s="31">
        <f t="shared" ref="K63" si="176">SUM(K47:K62)</f>
        <v>39</v>
      </c>
      <c r="L63" s="38">
        <f t="shared" ref="L63" si="177">SUM(L47:L62)</f>
        <v>3.3521200000000002</v>
      </c>
      <c r="N63" s="31">
        <f t="shared" ref="N63" si="178">SUM(N47:N62)</f>
        <v>153</v>
      </c>
      <c r="O63" s="38">
        <f t="shared" ref="O63" si="179">SUM(O47:O62)</f>
        <v>15.647548</v>
      </c>
      <c r="Q63" s="31">
        <f t="shared" ref="Q63" si="180">SUM(Q47:Q62)</f>
        <v>54</v>
      </c>
      <c r="R63" s="38">
        <f t="shared" ref="R63" si="181">SUM(R47:R62)</f>
        <v>4.9753980000000002</v>
      </c>
      <c r="S63" s="31">
        <f t="shared" ref="S63" si="182">SUM(S47:S62)</f>
        <v>305</v>
      </c>
      <c r="T63" s="38">
        <f t="shared" ref="T63" si="183">SUM(T47:T62)</f>
        <v>29.976009000000001</v>
      </c>
      <c r="U63" s="31">
        <f t="shared" ref="U63" si="184">SUM(U47:U62)</f>
        <v>0</v>
      </c>
      <c r="V63" s="38">
        <f t="shared" ref="V63" si="185">SUM(V47:V62)</f>
        <v>-0.2236289999999993</v>
      </c>
    </row>
    <row r="64" spans="1:22">
      <c r="A64" s="26" t="s">
        <v>14</v>
      </c>
      <c r="B64" s="26" t="s">
        <v>46</v>
      </c>
      <c r="C64" s="30">
        <v>10.7</v>
      </c>
      <c r="D64" s="27">
        <v>6.3</v>
      </c>
      <c r="E64" s="28">
        <v>30</v>
      </c>
      <c r="F64" s="16">
        <f t="shared" ref="F64:F67" si="186">(C64*D64*E64/1000)</f>
        <v>2.0223</v>
      </c>
      <c r="G64" s="17" t="s">
        <v>88</v>
      </c>
      <c r="H64" s="18">
        <v>16</v>
      </c>
      <c r="I64" s="19">
        <f t="shared" ref="I64:I67" si="187">(C64*D64*H64/1000)</f>
        <v>1.07856</v>
      </c>
      <c r="J64" s="16" t="s">
        <v>111</v>
      </c>
      <c r="K64" s="18">
        <v>14</v>
      </c>
      <c r="L64" s="19">
        <f t="shared" ref="L64:L67" si="188">(C64*D64*K64/1000)</f>
        <v>0.94374000000000002</v>
      </c>
      <c r="M64" s="16"/>
      <c r="N64" s="18"/>
      <c r="O64" s="19">
        <f t="shared" ref="O64:O67" si="189">(C64*D64*N64/1000)</f>
        <v>0</v>
      </c>
      <c r="P64" s="16"/>
      <c r="Q64" s="18"/>
      <c r="R64" s="19">
        <f t="shared" ref="R64:R67" si="190">(C64*D64*Q64/1000)</f>
        <v>0</v>
      </c>
      <c r="S64" s="20">
        <f t="shared" ref="S64:S67" si="191">+H64+K64+Q64+N64</f>
        <v>30</v>
      </c>
      <c r="T64" s="19">
        <f t="shared" ref="T64:T67" si="192">+I64+L64+R64+O64</f>
        <v>2.0223</v>
      </c>
      <c r="U64" s="21">
        <f t="shared" ref="U64:U67" si="193">E64-S64</f>
        <v>0</v>
      </c>
      <c r="V64" s="19">
        <f t="shared" ref="V64:V67" si="194">F64-T64</f>
        <v>0</v>
      </c>
    </row>
    <row r="65" spans="1:22">
      <c r="A65" s="26" t="s">
        <v>14</v>
      </c>
      <c r="B65" s="26" t="s">
        <v>46</v>
      </c>
      <c r="C65" s="30">
        <v>10.7</v>
      </c>
      <c r="D65" s="27">
        <v>10</v>
      </c>
      <c r="E65" s="28">
        <v>21</v>
      </c>
      <c r="F65" s="16">
        <f t="shared" si="186"/>
        <v>2.2469999999999999</v>
      </c>
      <c r="G65" s="17" t="s">
        <v>471</v>
      </c>
      <c r="H65" s="18">
        <v>5</v>
      </c>
      <c r="I65" s="19">
        <f t="shared" si="187"/>
        <v>0.53500000000000003</v>
      </c>
      <c r="J65" s="16" t="s">
        <v>471</v>
      </c>
      <c r="K65" s="18">
        <v>15</v>
      </c>
      <c r="L65" s="19">
        <f t="shared" si="188"/>
        <v>1.605</v>
      </c>
      <c r="M65" s="16"/>
      <c r="N65" s="18"/>
      <c r="O65" s="19">
        <f t="shared" si="189"/>
        <v>0</v>
      </c>
      <c r="P65" s="16"/>
      <c r="Q65" s="18"/>
      <c r="R65" s="19">
        <f t="shared" si="190"/>
        <v>0</v>
      </c>
      <c r="S65" s="20">
        <f t="shared" si="191"/>
        <v>20</v>
      </c>
      <c r="T65" s="19">
        <f t="shared" si="192"/>
        <v>2.14</v>
      </c>
      <c r="U65" s="21">
        <f t="shared" si="193"/>
        <v>1</v>
      </c>
      <c r="V65" s="19">
        <f t="shared" si="194"/>
        <v>0.10699999999999976</v>
      </c>
    </row>
    <row r="66" spans="1:22">
      <c r="A66" s="26" t="s">
        <v>14</v>
      </c>
      <c r="B66" s="26" t="s">
        <v>46</v>
      </c>
      <c r="C66" s="30">
        <v>10.7</v>
      </c>
      <c r="D66" s="27">
        <v>10.5</v>
      </c>
      <c r="E66" s="28">
        <v>26</v>
      </c>
      <c r="F66" s="16">
        <f t="shared" si="186"/>
        <v>2.9211</v>
      </c>
      <c r="G66" s="17"/>
      <c r="H66" s="18">
        <v>16</v>
      </c>
      <c r="I66" s="19">
        <f t="shared" si="187"/>
        <v>1.7975999999999999</v>
      </c>
      <c r="J66" s="16"/>
      <c r="K66" s="18">
        <v>10</v>
      </c>
      <c r="L66" s="19">
        <f t="shared" si="188"/>
        <v>1.1234999999999999</v>
      </c>
      <c r="M66" s="16"/>
      <c r="N66" s="18"/>
      <c r="O66" s="19">
        <f t="shared" si="189"/>
        <v>0</v>
      </c>
      <c r="P66" s="16"/>
      <c r="Q66" s="18"/>
      <c r="R66" s="19">
        <f t="shared" si="190"/>
        <v>0</v>
      </c>
      <c r="S66" s="20">
        <f t="shared" si="191"/>
        <v>26</v>
      </c>
      <c r="T66" s="19">
        <f t="shared" si="192"/>
        <v>2.9211</v>
      </c>
      <c r="U66" s="21">
        <f t="shared" si="193"/>
        <v>0</v>
      </c>
      <c r="V66" s="19">
        <f t="shared" si="194"/>
        <v>0</v>
      </c>
    </row>
    <row r="67" spans="1:22">
      <c r="A67" s="26" t="s">
        <v>14</v>
      </c>
      <c r="B67" s="26" t="s">
        <v>46</v>
      </c>
      <c r="C67" s="30">
        <v>10.7</v>
      </c>
      <c r="D67" s="27">
        <v>11.3</v>
      </c>
      <c r="E67" s="28">
        <v>33</v>
      </c>
      <c r="F67" s="16">
        <f t="shared" si="186"/>
        <v>3.99003</v>
      </c>
      <c r="G67" s="17"/>
      <c r="H67" s="18">
        <v>20</v>
      </c>
      <c r="I67" s="19">
        <f t="shared" si="187"/>
        <v>2.4181999999999997</v>
      </c>
      <c r="J67" s="16"/>
      <c r="K67" s="18">
        <v>14</v>
      </c>
      <c r="L67" s="19">
        <f t="shared" si="188"/>
        <v>1.6927399999999999</v>
      </c>
      <c r="M67" s="16"/>
      <c r="N67" s="18"/>
      <c r="O67" s="19">
        <f t="shared" si="189"/>
        <v>0</v>
      </c>
      <c r="P67" s="16"/>
      <c r="Q67" s="18"/>
      <c r="R67" s="19">
        <f t="shared" si="190"/>
        <v>0</v>
      </c>
      <c r="S67" s="20">
        <f t="shared" si="191"/>
        <v>34</v>
      </c>
      <c r="T67" s="19">
        <f t="shared" si="192"/>
        <v>4.1109399999999994</v>
      </c>
      <c r="U67" s="21">
        <f t="shared" si="193"/>
        <v>-1</v>
      </c>
      <c r="V67" s="19">
        <f t="shared" si="194"/>
        <v>-0.12090999999999941</v>
      </c>
    </row>
    <row r="68" spans="1:22">
      <c r="A68" s="36"/>
      <c r="B68" s="36"/>
      <c r="C68" s="37"/>
      <c r="D68" s="38"/>
      <c r="E68" s="31">
        <f t="shared" ref="E68:F68" si="195">SUM(E64:E67)</f>
        <v>110</v>
      </c>
      <c r="F68" s="38">
        <f t="shared" si="195"/>
        <v>11.180429999999999</v>
      </c>
      <c r="H68" s="31">
        <f t="shared" ref="H68" si="196">SUM(H64:H67)</f>
        <v>57</v>
      </c>
      <c r="I68" s="38">
        <f t="shared" ref="I68" si="197">SUM(I64:I67)</f>
        <v>5.8293599999999994</v>
      </c>
      <c r="K68" s="31">
        <f t="shared" ref="K68" si="198">SUM(K64:K67)</f>
        <v>53</v>
      </c>
      <c r="L68" s="38">
        <f t="shared" ref="L68" si="199">SUM(L64:L67)</f>
        <v>5.3649800000000001</v>
      </c>
      <c r="N68" s="31">
        <f t="shared" ref="N68" si="200">SUM(N64:N67)</f>
        <v>0</v>
      </c>
      <c r="O68" s="38">
        <f t="shared" ref="O68" si="201">SUM(O64:O67)</f>
        <v>0</v>
      </c>
      <c r="Q68" s="31">
        <f t="shared" ref="Q68" si="202">SUM(Q64:Q67)</f>
        <v>0</v>
      </c>
      <c r="R68" s="38">
        <f t="shared" ref="R68" si="203">SUM(R64:R67)</f>
        <v>0</v>
      </c>
      <c r="S68" s="31">
        <f t="shared" ref="S68" si="204">SUM(S64:S67)</f>
        <v>110</v>
      </c>
      <c r="T68" s="38">
        <f t="shared" ref="T68" si="205">SUM(T64:T67)</f>
        <v>11.19434</v>
      </c>
      <c r="U68" s="31">
        <f t="shared" ref="U68" si="206">SUM(U64:U67)</f>
        <v>0</v>
      </c>
      <c r="V68" s="38">
        <f t="shared" ref="V68" si="207">SUM(V64:V67)</f>
        <v>-1.3909999999999645E-2</v>
      </c>
    </row>
    <row r="69" spans="1:22">
      <c r="A69" s="26" t="s">
        <v>14</v>
      </c>
      <c r="B69" s="26" t="s">
        <v>61</v>
      </c>
      <c r="C69" s="30">
        <v>12.2</v>
      </c>
      <c r="D69" s="27">
        <v>6.2</v>
      </c>
      <c r="E69" s="28">
        <v>73</v>
      </c>
      <c r="F69" s="16">
        <f t="shared" ref="F69:F76" si="208">(C69*D69*E69/1000)</f>
        <v>5.5217200000000002</v>
      </c>
      <c r="G69" s="17" t="s">
        <v>93</v>
      </c>
      <c r="H69" s="18">
        <v>15</v>
      </c>
      <c r="I69" s="19">
        <f t="shared" ref="I69:I76" si="209">(C69*D69*H69/1000)</f>
        <v>1.1345999999999998</v>
      </c>
      <c r="J69" s="17" t="s">
        <v>88</v>
      </c>
      <c r="K69" s="18">
        <f>11+21</f>
        <v>32</v>
      </c>
      <c r="L69" s="19">
        <f t="shared" ref="L69:L76" si="210">(C69*D69*K69/1000)</f>
        <v>2.42048</v>
      </c>
      <c r="M69" s="16" t="s">
        <v>111</v>
      </c>
      <c r="N69" s="18">
        <v>27</v>
      </c>
      <c r="O69" s="19">
        <f t="shared" ref="O69:O76" si="211">(C69*D69*N69/1000)</f>
        <v>2.0422799999999999</v>
      </c>
      <c r="P69" s="16" t="s">
        <v>86</v>
      </c>
      <c r="Q69" s="18"/>
      <c r="R69" s="19">
        <f t="shared" ref="R69:R76" si="212">(C69*D69*Q69/1000)</f>
        <v>0</v>
      </c>
      <c r="S69" s="20">
        <f t="shared" ref="S69:S76" si="213">+H69+K69+Q69+N69</f>
        <v>74</v>
      </c>
      <c r="T69" s="19">
        <f t="shared" ref="T69:T76" si="214">+I69+L69+R69+O69</f>
        <v>5.5973600000000001</v>
      </c>
      <c r="U69" s="21">
        <f t="shared" ref="U69:U76" si="215">E69-S69</f>
        <v>-1</v>
      </c>
      <c r="V69" s="19">
        <f t="shared" ref="V69:V76" si="216">F69-T69</f>
        <v>-7.563999999999993E-2</v>
      </c>
    </row>
    <row r="70" spans="1:22">
      <c r="A70" s="26" t="s">
        <v>14</v>
      </c>
      <c r="B70" s="26" t="s">
        <v>61</v>
      </c>
      <c r="C70" s="30">
        <v>12.2</v>
      </c>
      <c r="D70" s="27">
        <v>6.9</v>
      </c>
      <c r="E70" s="28">
        <v>33</v>
      </c>
      <c r="F70" s="16">
        <f t="shared" si="208"/>
        <v>2.7779399999999996</v>
      </c>
      <c r="G70" s="17" t="s">
        <v>471</v>
      </c>
      <c r="H70" s="18">
        <v>25</v>
      </c>
      <c r="I70" s="19">
        <f t="shared" si="209"/>
        <v>2.1044999999999998</v>
      </c>
      <c r="J70" s="17" t="s">
        <v>471</v>
      </c>
      <c r="K70" s="18"/>
      <c r="L70" s="19">
        <f t="shared" si="210"/>
        <v>0</v>
      </c>
      <c r="M70" s="16" t="s">
        <v>471</v>
      </c>
      <c r="N70" s="18">
        <v>8</v>
      </c>
      <c r="O70" s="19">
        <f t="shared" si="211"/>
        <v>0.67343999999999993</v>
      </c>
      <c r="P70" s="17" t="s">
        <v>472</v>
      </c>
      <c r="Q70" s="18"/>
      <c r="R70" s="19">
        <f t="shared" si="212"/>
        <v>0</v>
      </c>
      <c r="S70" s="20">
        <f t="shared" si="213"/>
        <v>33</v>
      </c>
      <c r="T70" s="19">
        <f t="shared" si="214"/>
        <v>2.7779399999999996</v>
      </c>
      <c r="U70" s="21">
        <f t="shared" si="215"/>
        <v>0</v>
      </c>
      <c r="V70" s="19">
        <f t="shared" si="216"/>
        <v>0</v>
      </c>
    </row>
    <row r="71" spans="1:22">
      <c r="A71" s="26" t="s">
        <v>14</v>
      </c>
      <c r="B71" s="26" t="s">
        <v>61</v>
      </c>
      <c r="C71" s="30">
        <v>12.2</v>
      </c>
      <c r="D71" s="27">
        <v>8.5</v>
      </c>
      <c r="E71" s="28">
        <v>23</v>
      </c>
      <c r="F71" s="16">
        <f t="shared" si="208"/>
        <v>2.3851</v>
      </c>
      <c r="G71" s="17"/>
      <c r="H71" s="18">
        <v>8</v>
      </c>
      <c r="I71" s="19">
        <f t="shared" si="209"/>
        <v>0.82959999999999989</v>
      </c>
      <c r="J71" s="16"/>
      <c r="K71" s="18"/>
      <c r="L71" s="19">
        <f t="shared" si="210"/>
        <v>0</v>
      </c>
      <c r="M71" s="16"/>
      <c r="N71" s="18">
        <v>13</v>
      </c>
      <c r="O71" s="19">
        <f t="shared" si="211"/>
        <v>1.3480999999999999</v>
      </c>
      <c r="P71" s="16"/>
      <c r="Q71" s="18">
        <v>1</v>
      </c>
      <c r="R71" s="19">
        <f t="shared" si="212"/>
        <v>0.10369999999999999</v>
      </c>
      <c r="S71" s="20">
        <f t="shared" si="213"/>
        <v>22</v>
      </c>
      <c r="T71" s="19">
        <f t="shared" si="214"/>
        <v>2.2813999999999997</v>
      </c>
      <c r="U71" s="21">
        <f t="shared" si="215"/>
        <v>1</v>
      </c>
      <c r="V71" s="19">
        <f t="shared" si="216"/>
        <v>0.10370000000000035</v>
      </c>
    </row>
    <row r="72" spans="1:22">
      <c r="A72" s="26" t="s">
        <v>14</v>
      </c>
      <c r="B72" s="26" t="s">
        <v>61</v>
      </c>
      <c r="C72" s="30">
        <v>12.2</v>
      </c>
      <c r="D72" s="27">
        <v>9.5</v>
      </c>
      <c r="E72" s="28">
        <v>35</v>
      </c>
      <c r="F72" s="16">
        <f t="shared" si="208"/>
        <v>4.0564999999999998</v>
      </c>
      <c r="G72" s="17"/>
      <c r="H72" s="18">
        <v>18</v>
      </c>
      <c r="I72" s="19">
        <f t="shared" si="209"/>
        <v>2.0861999999999998</v>
      </c>
      <c r="J72" s="16"/>
      <c r="K72" s="18"/>
      <c r="L72" s="19">
        <f t="shared" si="210"/>
        <v>0</v>
      </c>
      <c r="M72" s="16"/>
      <c r="N72" s="18">
        <v>16</v>
      </c>
      <c r="O72" s="19">
        <f t="shared" si="211"/>
        <v>1.8543999999999998</v>
      </c>
      <c r="P72" s="16"/>
      <c r="Q72" s="18">
        <v>1</v>
      </c>
      <c r="R72" s="19">
        <f t="shared" si="212"/>
        <v>0.11589999999999999</v>
      </c>
      <c r="S72" s="20">
        <f t="shared" si="213"/>
        <v>35</v>
      </c>
      <c r="T72" s="19">
        <f t="shared" si="214"/>
        <v>4.0564999999999998</v>
      </c>
      <c r="U72" s="21">
        <f t="shared" si="215"/>
        <v>0</v>
      </c>
      <c r="V72" s="19">
        <f t="shared" si="216"/>
        <v>0</v>
      </c>
    </row>
    <row r="73" spans="1:22">
      <c r="A73" s="26" t="s">
        <v>14</v>
      </c>
      <c r="B73" s="26" t="s">
        <v>61</v>
      </c>
      <c r="C73" s="30">
        <v>12.2</v>
      </c>
      <c r="D73" s="27">
        <v>10.199999999999999</v>
      </c>
      <c r="E73" s="28">
        <v>27</v>
      </c>
      <c r="F73" s="16">
        <f t="shared" si="208"/>
        <v>3.3598799999999995</v>
      </c>
      <c r="G73" s="17"/>
      <c r="H73" s="18">
        <v>16</v>
      </c>
      <c r="I73" s="19">
        <f t="shared" si="209"/>
        <v>1.9910399999999997</v>
      </c>
      <c r="J73" s="16"/>
      <c r="K73" s="18"/>
      <c r="L73" s="19">
        <f t="shared" si="210"/>
        <v>0</v>
      </c>
      <c r="M73" s="16"/>
      <c r="N73" s="18">
        <v>11</v>
      </c>
      <c r="O73" s="19">
        <f t="shared" si="211"/>
        <v>1.3688399999999998</v>
      </c>
      <c r="P73" s="16"/>
      <c r="Q73" s="18"/>
      <c r="R73" s="19">
        <f t="shared" si="212"/>
        <v>0</v>
      </c>
      <c r="S73" s="20">
        <f t="shared" si="213"/>
        <v>27</v>
      </c>
      <c r="T73" s="19">
        <f t="shared" si="214"/>
        <v>3.3598799999999995</v>
      </c>
      <c r="U73" s="21">
        <f t="shared" si="215"/>
        <v>0</v>
      </c>
      <c r="V73" s="19">
        <f t="shared" si="216"/>
        <v>0</v>
      </c>
    </row>
    <row r="74" spans="1:22">
      <c r="A74" s="26" t="s">
        <v>14</v>
      </c>
      <c r="B74" s="26" t="s">
        <v>61</v>
      </c>
      <c r="C74" s="30">
        <v>12.2</v>
      </c>
      <c r="D74" s="27">
        <v>10.7</v>
      </c>
      <c r="E74" s="28">
        <v>33</v>
      </c>
      <c r="F74" s="16">
        <f t="shared" si="208"/>
        <v>4.3078199999999995</v>
      </c>
      <c r="G74" s="17"/>
      <c r="H74" s="18">
        <v>16</v>
      </c>
      <c r="I74" s="19">
        <f t="shared" si="209"/>
        <v>2.0886399999999998</v>
      </c>
      <c r="J74" s="16"/>
      <c r="K74" s="18"/>
      <c r="L74" s="19">
        <f t="shared" si="210"/>
        <v>0</v>
      </c>
      <c r="M74" s="16"/>
      <c r="N74" s="18">
        <v>13</v>
      </c>
      <c r="O74" s="19">
        <f t="shared" si="211"/>
        <v>1.69702</v>
      </c>
      <c r="P74" s="16"/>
      <c r="Q74" s="18">
        <v>4</v>
      </c>
      <c r="R74" s="19">
        <f t="shared" si="212"/>
        <v>0.52215999999999996</v>
      </c>
      <c r="S74" s="20">
        <f t="shared" si="213"/>
        <v>33</v>
      </c>
      <c r="T74" s="19">
        <f t="shared" si="214"/>
        <v>4.3078199999999995</v>
      </c>
      <c r="U74" s="21">
        <f t="shared" si="215"/>
        <v>0</v>
      </c>
      <c r="V74" s="19">
        <f t="shared" si="216"/>
        <v>0</v>
      </c>
    </row>
    <row r="75" spans="1:22">
      <c r="A75" s="26" t="s">
        <v>14</v>
      </c>
      <c r="B75" s="26" t="s">
        <v>61</v>
      </c>
      <c r="C75" s="30">
        <v>12.2</v>
      </c>
      <c r="D75" s="27">
        <v>12</v>
      </c>
      <c r="E75" s="28">
        <v>18</v>
      </c>
      <c r="F75" s="16">
        <f t="shared" ref="F75" si="217">(C75*D75*E75/1000)</f>
        <v>2.6351999999999998</v>
      </c>
      <c r="G75" s="17"/>
      <c r="H75" s="18">
        <v>15</v>
      </c>
      <c r="I75" s="19">
        <f t="shared" ref="I75" si="218">(C75*D75*H75/1000)</f>
        <v>2.1959999999999997</v>
      </c>
      <c r="J75" s="16"/>
      <c r="K75" s="18"/>
      <c r="L75" s="19">
        <f t="shared" ref="L75" si="219">(C75*D75*K75/1000)</f>
        <v>0</v>
      </c>
      <c r="M75" s="16"/>
      <c r="N75" s="18">
        <v>3</v>
      </c>
      <c r="O75" s="19">
        <f t="shared" ref="O75" si="220">(C75*D75*N75/1000)</f>
        <v>0.43919999999999992</v>
      </c>
      <c r="P75" s="16"/>
      <c r="Q75" s="18"/>
      <c r="R75" s="19">
        <f t="shared" ref="R75" si="221">(C75*D75*Q75/1000)</f>
        <v>0</v>
      </c>
      <c r="S75" s="20">
        <f t="shared" ref="S75" si="222">+H75+K75+Q75+N75</f>
        <v>18</v>
      </c>
      <c r="T75" s="19">
        <f t="shared" ref="T75" si="223">+I75+L75+R75+O75</f>
        <v>2.6351999999999998</v>
      </c>
      <c r="U75" s="21">
        <f t="shared" ref="U75" si="224">E75-S75</f>
        <v>0</v>
      </c>
      <c r="V75" s="19">
        <f t="shared" ref="V75" si="225">F75-T75</f>
        <v>0</v>
      </c>
    </row>
    <row r="76" spans="1:22">
      <c r="A76" s="26" t="s">
        <v>14</v>
      </c>
      <c r="B76" s="26" t="s">
        <v>61</v>
      </c>
      <c r="C76" s="30">
        <v>12.2</v>
      </c>
      <c r="D76" s="27">
        <v>8.6</v>
      </c>
      <c r="E76" s="28"/>
      <c r="F76" s="16">
        <f t="shared" si="208"/>
        <v>0</v>
      </c>
      <c r="G76" s="17"/>
      <c r="H76" s="18"/>
      <c r="I76" s="19">
        <f t="shared" si="209"/>
        <v>0</v>
      </c>
      <c r="J76" s="16"/>
      <c r="K76" s="18"/>
      <c r="L76" s="19">
        <f t="shared" si="210"/>
        <v>0</v>
      </c>
      <c r="M76" s="16"/>
      <c r="N76" s="18"/>
      <c r="O76" s="19">
        <f t="shared" si="211"/>
        <v>0</v>
      </c>
      <c r="P76" s="16"/>
      <c r="Q76" s="18">
        <v>1</v>
      </c>
      <c r="R76" s="19">
        <f t="shared" si="212"/>
        <v>0.10491999999999999</v>
      </c>
      <c r="S76" s="20">
        <f t="shared" si="213"/>
        <v>1</v>
      </c>
      <c r="T76" s="19">
        <f t="shared" si="214"/>
        <v>0.10491999999999999</v>
      </c>
      <c r="U76" s="21">
        <f t="shared" si="215"/>
        <v>-1</v>
      </c>
      <c r="V76" s="19">
        <f t="shared" si="216"/>
        <v>-0.10491999999999999</v>
      </c>
    </row>
    <row r="77" spans="1:22">
      <c r="A77" s="36"/>
      <c r="B77" s="36"/>
      <c r="C77" s="37"/>
      <c r="D77" s="38"/>
      <c r="E77" s="31">
        <f t="shared" ref="E77:F77" si="226">SUM(E69:E76)</f>
        <v>242</v>
      </c>
      <c r="F77" s="38">
        <f t="shared" si="226"/>
        <v>25.044159999999998</v>
      </c>
      <c r="H77" s="31">
        <f t="shared" ref="H77" si="227">SUM(H69:H76)</f>
        <v>113</v>
      </c>
      <c r="I77" s="38">
        <f t="shared" ref="I77" si="228">SUM(I69:I76)</f>
        <v>12.430579999999999</v>
      </c>
      <c r="K77" s="31">
        <f t="shared" ref="K77" si="229">SUM(K69:K76)</f>
        <v>32</v>
      </c>
      <c r="L77" s="38">
        <f t="shared" ref="L77" si="230">SUM(L69:L76)</f>
        <v>2.42048</v>
      </c>
      <c r="N77" s="31">
        <f t="shared" ref="N77" si="231">SUM(N69:N76)</f>
        <v>91</v>
      </c>
      <c r="O77" s="38">
        <f t="shared" ref="O77" si="232">SUM(O69:O76)</f>
        <v>9.4232799999999983</v>
      </c>
      <c r="Q77" s="31">
        <f t="shared" ref="Q77" si="233">SUM(Q69:Q76)</f>
        <v>7</v>
      </c>
      <c r="R77" s="38">
        <f t="shared" ref="R77" si="234">SUM(R69:R76)</f>
        <v>0.84667999999999999</v>
      </c>
      <c r="S77" s="31">
        <f t="shared" ref="S77" si="235">SUM(S69:S76)</f>
        <v>243</v>
      </c>
      <c r="T77" s="38">
        <f t="shared" ref="T77" si="236">SUM(T69:T76)</f>
        <v>25.121019999999998</v>
      </c>
      <c r="U77" s="31">
        <f t="shared" ref="U77" si="237">SUM(U69:U76)</f>
        <v>-1</v>
      </c>
      <c r="V77" s="38">
        <f t="shared" ref="V77" si="238">SUM(V69:V76)</f>
        <v>-7.6859999999999568E-2</v>
      </c>
    </row>
    <row r="78" spans="1:22" ht="15.6">
      <c r="A78" s="26" t="s">
        <v>14</v>
      </c>
      <c r="B78" s="26" t="s">
        <v>49</v>
      </c>
      <c r="C78" s="30">
        <v>14.7</v>
      </c>
      <c r="D78" s="27">
        <v>8.4</v>
      </c>
      <c r="E78" s="28">
        <v>10</v>
      </c>
      <c r="F78" s="16">
        <f t="shared" ref="F78:F91" si="239">(C78*D78*E78/1000)</f>
        <v>1.2347999999999999</v>
      </c>
      <c r="G78" s="17" t="s">
        <v>89</v>
      </c>
      <c r="H78" s="18"/>
      <c r="I78" s="19">
        <f t="shared" ref="I78:I91" si="240">(C78*D78*H78/1000)</f>
        <v>0</v>
      </c>
      <c r="J78" s="110" t="s">
        <v>93</v>
      </c>
      <c r="K78" s="18">
        <v>10</v>
      </c>
      <c r="L78" s="19">
        <f t="shared" ref="L78:L91" si="241">(C78*D78*K78/1000)</f>
        <v>1.2347999999999999</v>
      </c>
      <c r="M78" s="17" t="s">
        <v>89</v>
      </c>
      <c r="N78" s="18"/>
      <c r="O78" s="19">
        <f t="shared" ref="O78:O91" si="242">(C78*D78*N78/1000)</f>
        <v>0</v>
      </c>
      <c r="P78" s="16"/>
      <c r="Q78" s="18"/>
      <c r="R78" s="19">
        <f t="shared" ref="R78:R91" si="243">(C78*D78*Q78/1000)</f>
        <v>0</v>
      </c>
      <c r="S78" s="20">
        <f t="shared" ref="S78:S91" si="244">+H78+K78+Q78+N78</f>
        <v>10</v>
      </c>
      <c r="T78" s="19">
        <f t="shared" ref="T78:T91" si="245">+I78+L78+R78+O78</f>
        <v>1.2347999999999999</v>
      </c>
      <c r="U78" s="21">
        <f t="shared" ref="U78:U91" si="246">E78-S78</f>
        <v>0</v>
      </c>
      <c r="V78" s="19">
        <f t="shared" ref="V78:V91" si="247">F78-T78</f>
        <v>0</v>
      </c>
    </row>
    <row r="79" spans="1:22" ht="15.6">
      <c r="A79" s="26" t="s">
        <v>14</v>
      </c>
      <c r="B79" s="26" t="s">
        <v>49</v>
      </c>
      <c r="C79" s="30">
        <v>14.7</v>
      </c>
      <c r="D79" s="27">
        <v>8.8000000000000007</v>
      </c>
      <c r="E79" s="28">
        <v>23</v>
      </c>
      <c r="F79" s="16">
        <f t="shared" si="239"/>
        <v>2.9752800000000001</v>
      </c>
      <c r="G79" s="17" t="s">
        <v>443</v>
      </c>
      <c r="H79" s="18">
        <v>20</v>
      </c>
      <c r="I79" s="19">
        <f t="shared" si="240"/>
        <v>2.5872000000000002</v>
      </c>
      <c r="J79" s="110" t="s">
        <v>444</v>
      </c>
      <c r="K79" s="18">
        <v>3</v>
      </c>
      <c r="L79" s="19">
        <f t="shared" si="241"/>
        <v>0.38808000000000004</v>
      </c>
      <c r="M79" s="17" t="s">
        <v>448</v>
      </c>
      <c r="N79" s="18"/>
      <c r="O79" s="19">
        <f t="shared" si="242"/>
        <v>0</v>
      </c>
      <c r="P79" s="16"/>
      <c r="Q79" s="18"/>
      <c r="R79" s="19">
        <f t="shared" si="243"/>
        <v>0</v>
      </c>
      <c r="S79" s="20">
        <f t="shared" si="244"/>
        <v>23</v>
      </c>
      <c r="T79" s="19">
        <f t="shared" si="245"/>
        <v>2.9752800000000001</v>
      </c>
      <c r="U79" s="21">
        <f t="shared" si="246"/>
        <v>0</v>
      </c>
      <c r="V79" s="19">
        <f t="shared" si="247"/>
        <v>0</v>
      </c>
    </row>
    <row r="80" spans="1:22">
      <c r="A80" s="26" t="s">
        <v>14</v>
      </c>
      <c r="B80" s="26" t="s">
        <v>49</v>
      </c>
      <c r="C80" s="30">
        <v>14.7</v>
      </c>
      <c r="D80" s="27">
        <v>10</v>
      </c>
      <c r="E80" s="28">
        <v>22</v>
      </c>
      <c r="F80" s="16">
        <f t="shared" si="239"/>
        <v>3.234</v>
      </c>
      <c r="G80" s="17"/>
      <c r="H80" s="18">
        <v>7</v>
      </c>
      <c r="I80" s="19">
        <f t="shared" si="240"/>
        <v>1.0289999999999999</v>
      </c>
      <c r="J80" s="16"/>
      <c r="K80" s="18">
        <v>15</v>
      </c>
      <c r="L80" s="19">
        <f t="shared" si="241"/>
        <v>2.2050000000000001</v>
      </c>
      <c r="M80" s="16"/>
      <c r="N80" s="18"/>
      <c r="O80" s="19">
        <f t="shared" si="242"/>
        <v>0</v>
      </c>
      <c r="P80" s="16"/>
      <c r="Q80" s="18"/>
      <c r="R80" s="19">
        <f t="shared" si="243"/>
        <v>0</v>
      </c>
      <c r="S80" s="20">
        <f t="shared" si="244"/>
        <v>22</v>
      </c>
      <c r="T80" s="19">
        <f t="shared" si="245"/>
        <v>3.234</v>
      </c>
      <c r="U80" s="21">
        <f t="shared" si="246"/>
        <v>0</v>
      </c>
      <c r="V80" s="19">
        <f t="shared" si="247"/>
        <v>0</v>
      </c>
    </row>
    <row r="81" spans="1:22">
      <c r="A81" s="26" t="s">
        <v>14</v>
      </c>
      <c r="B81" s="26" t="s">
        <v>49</v>
      </c>
      <c r="C81" s="30">
        <v>14.7</v>
      </c>
      <c r="D81" s="27">
        <v>10.199999999999999</v>
      </c>
      <c r="E81" s="28">
        <v>6</v>
      </c>
      <c r="F81" s="16">
        <f t="shared" si="239"/>
        <v>0.89963999999999988</v>
      </c>
      <c r="G81" s="17"/>
      <c r="H81" s="18">
        <v>6</v>
      </c>
      <c r="I81" s="19">
        <f t="shared" si="240"/>
        <v>0.89963999999999988</v>
      </c>
      <c r="J81" s="16"/>
      <c r="K81" s="18"/>
      <c r="L81" s="19">
        <f t="shared" si="241"/>
        <v>0</v>
      </c>
      <c r="M81" s="16"/>
      <c r="N81" s="18"/>
      <c r="O81" s="19">
        <f t="shared" si="242"/>
        <v>0</v>
      </c>
      <c r="P81" s="16"/>
      <c r="Q81" s="18"/>
      <c r="R81" s="19">
        <f t="shared" si="243"/>
        <v>0</v>
      </c>
      <c r="S81" s="20">
        <f t="shared" si="244"/>
        <v>6</v>
      </c>
      <c r="T81" s="19">
        <f t="shared" si="245"/>
        <v>0.89963999999999988</v>
      </c>
      <c r="U81" s="21">
        <f t="shared" si="246"/>
        <v>0</v>
      </c>
      <c r="V81" s="19">
        <f t="shared" si="247"/>
        <v>0</v>
      </c>
    </row>
    <row r="82" spans="1:22">
      <c r="A82" s="26" t="s">
        <v>14</v>
      </c>
      <c r="B82" s="26" t="s">
        <v>49</v>
      </c>
      <c r="C82" s="30">
        <v>14.7</v>
      </c>
      <c r="D82" s="27">
        <v>10.6</v>
      </c>
      <c r="E82" s="28">
        <v>4</v>
      </c>
      <c r="F82" s="16">
        <f t="shared" si="239"/>
        <v>0.62327999999999995</v>
      </c>
      <c r="G82" s="17"/>
      <c r="H82" s="18">
        <v>3</v>
      </c>
      <c r="I82" s="19">
        <f t="shared" si="240"/>
        <v>0.46745999999999999</v>
      </c>
      <c r="J82" s="16"/>
      <c r="K82" s="18"/>
      <c r="L82" s="19">
        <f t="shared" si="241"/>
        <v>0</v>
      </c>
      <c r="M82" s="16"/>
      <c r="N82" s="18">
        <v>1</v>
      </c>
      <c r="O82" s="19">
        <f t="shared" si="242"/>
        <v>0.15581999999999999</v>
      </c>
      <c r="P82" s="16"/>
      <c r="Q82" s="18"/>
      <c r="R82" s="19">
        <f t="shared" si="243"/>
        <v>0</v>
      </c>
      <c r="S82" s="20">
        <f t="shared" si="244"/>
        <v>4</v>
      </c>
      <c r="T82" s="19">
        <f t="shared" si="245"/>
        <v>0.62327999999999995</v>
      </c>
      <c r="U82" s="21">
        <f t="shared" si="246"/>
        <v>0</v>
      </c>
      <c r="V82" s="19">
        <f t="shared" si="247"/>
        <v>0</v>
      </c>
    </row>
    <row r="83" spans="1:22">
      <c r="A83" s="26" t="s">
        <v>14</v>
      </c>
      <c r="B83" s="26" t="s">
        <v>49</v>
      </c>
      <c r="C83" s="30">
        <v>14.7</v>
      </c>
      <c r="D83" s="27">
        <v>11</v>
      </c>
      <c r="E83" s="28">
        <v>18</v>
      </c>
      <c r="F83" s="16">
        <f t="shared" si="239"/>
        <v>2.9106000000000001</v>
      </c>
      <c r="G83" s="17"/>
      <c r="H83" s="18">
        <v>9</v>
      </c>
      <c r="I83" s="19">
        <f t="shared" si="240"/>
        <v>1.4553</v>
      </c>
      <c r="J83" s="16"/>
      <c r="K83" s="18">
        <v>7</v>
      </c>
      <c r="L83" s="19">
        <f t="shared" si="241"/>
        <v>1.1318999999999999</v>
      </c>
      <c r="M83" s="16"/>
      <c r="N83" s="18">
        <v>2</v>
      </c>
      <c r="O83" s="19">
        <f t="shared" si="242"/>
        <v>0.32339999999999997</v>
      </c>
      <c r="P83" s="16"/>
      <c r="Q83" s="18"/>
      <c r="R83" s="19">
        <f t="shared" si="243"/>
        <v>0</v>
      </c>
      <c r="S83" s="20">
        <f t="shared" si="244"/>
        <v>18</v>
      </c>
      <c r="T83" s="19">
        <f t="shared" si="245"/>
        <v>2.9106000000000001</v>
      </c>
      <c r="U83" s="21">
        <f t="shared" si="246"/>
        <v>0</v>
      </c>
      <c r="V83" s="19">
        <f t="shared" si="247"/>
        <v>0</v>
      </c>
    </row>
    <row r="84" spans="1:22">
      <c r="A84" s="26" t="s">
        <v>14</v>
      </c>
      <c r="B84" s="26" t="s">
        <v>49</v>
      </c>
      <c r="C84" s="30">
        <v>14.7</v>
      </c>
      <c r="D84" s="27">
        <v>11.5</v>
      </c>
      <c r="E84" s="28">
        <v>27</v>
      </c>
      <c r="F84" s="16">
        <f t="shared" si="239"/>
        <v>4.5643499999999992</v>
      </c>
      <c r="G84" s="17"/>
      <c r="H84" s="18">
        <v>20</v>
      </c>
      <c r="I84" s="19">
        <f t="shared" si="240"/>
        <v>3.3809999999999993</v>
      </c>
      <c r="J84" s="16"/>
      <c r="K84" s="18">
        <v>7</v>
      </c>
      <c r="L84" s="19">
        <f t="shared" si="241"/>
        <v>1.1833499999999999</v>
      </c>
      <c r="M84" s="16"/>
      <c r="N84" s="18"/>
      <c r="O84" s="19">
        <f t="shared" si="242"/>
        <v>0</v>
      </c>
      <c r="P84" s="16"/>
      <c r="Q84" s="18"/>
      <c r="R84" s="19">
        <f t="shared" si="243"/>
        <v>0</v>
      </c>
      <c r="S84" s="20">
        <f t="shared" si="244"/>
        <v>27</v>
      </c>
      <c r="T84" s="19">
        <f t="shared" si="245"/>
        <v>4.5643499999999992</v>
      </c>
      <c r="U84" s="21">
        <f t="shared" si="246"/>
        <v>0</v>
      </c>
      <c r="V84" s="19">
        <f t="shared" si="247"/>
        <v>0</v>
      </c>
    </row>
    <row r="85" spans="1:22">
      <c r="A85" s="26" t="s">
        <v>14</v>
      </c>
      <c r="B85" s="26" t="s">
        <v>49</v>
      </c>
      <c r="C85" s="30">
        <v>14.7</v>
      </c>
      <c r="D85" s="27">
        <v>11.7</v>
      </c>
      <c r="E85" s="28">
        <v>62</v>
      </c>
      <c r="F85" s="16">
        <f t="shared" si="239"/>
        <v>10.66338</v>
      </c>
      <c r="G85" s="17"/>
      <c r="H85" s="18">
        <v>49</v>
      </c>
      <c r="I85" s="19">
        <f t="shared" si="240"/>
        <v>8.4275099999999981</v>
      </c>
      <c r="J85" s="16"/>
      <c r="K85" s="18">
        <v>13</v>
      </c>
      <c r="L85" s="19">
        <f t="shared" si="241"/>
        <v>2.2358699999999998</v>
      </c>
      <c r="M85" s="16"/>
      <c r="N85" s="18"/>
      <c r="O85" s="19">
        <f t="shared" si="242"/>
        <v>0</v>
      </c>
      <c r="P85" s="16"/>
      <c r="Q85" s="18"/>
      <c r="R85" s="19">
        <f t="shared" si="243"/>
        <v>0</v>
      </c>
      <c r="S85" s="20">
        <f t="shared" si="244"/>
        <v>62</v>
      </c>
      <c r="T85" s="19">
        <f t="shared" si="245"/>
        <v>10.663379999999998</v>
      </c>
      <c r="U85" s="21">
        <f t="shared" si="246"/>
        <v>0</v>
      </c>
      <c r="V85" s="19">
        <f t="shared" si="247"/>
        <v>0</v>
      </c>
    </row>
    <row r="86" spans="1:22">
      <c r="A86" s="26" t="s">
        <v>14</v>
      </c>
      <c r="B86" s="26" t="s">
        <v>49</v>
      </c>
      <c r="C86" s="30">
        <v>14.7</v>
      </c>
      <c r="D86" s="27">
        <v>12</v>
      </c>
      <c r="E86" s="28">
        <v>81</v>
      </c>
      <c r="F86" s="16">
        <f t="shared" ref="F86:F90" si="248">(C86*D86*E86/1000)</f>
        <v>14.288399999999998</v>
      </c>
      <c r="G86" s="17"/>
      <c r="H86" s="18">
        <v>46</v>
      </c>
      <c r="I86" s="19">
        <f t="shared" ref="I86:I90" si="249">(C86*D86*H86/1000)</f>
        <v>8.1143999999999981</v>
      </c>
      <c r="J86" s="16"/>
      <c r="K86" s="18">
        <f t="shared" ref="K86" si="250">2+18</f>
        <v>20</v>
      </c>
      <c r="L86" s="19">
        <f t="shared" ref="L86:L90" si="251">(C86*D86*K86/1000)</f>
        <v>3.5279999999999996</v>
      </c>
      <c r="M86" s="16"/>
      <c r="N86" s="18">
        <v>15</v>
      </c>
      <c r="O86" s="19">
        <f t="shared" ref="O86:O90" si="252">(C86*D86*N86/1000)</f>
        <v>2.6459999999999995</v>
      </c>
      <c r="P86" s="16"/>
      <c r="Q86" s="18"/>
      <c r="R86" s="19">
        <f t="shared" ref="R86:R90" si="253">(C86*D86*Q86/1000)</f>
        <v>0</v>
      </c>
      <c r="S86" s="20">
        <f t="shared" ref="S86:S90" si="254">+H86+K86+Q86+N86</f>
        <v>81</v>
      </c>
      <c r="T86" s="19">
        <f t="shared" ref="T86:T90" si="255">+I86+L86+R86+O86</f>
        <v>14.288399999999998</v>
      </c>
      <c r="U86" s="21">
        <f t="shared" ref="U86:U90" si="256">E86-S86</f>
        <v>0</v>
      </c>
      <c r="V86" s="19">
        <f t="shared" ref="V86:V90" si="257">F86-T86</f>
        <v>0</v>
      </c>
    </row>
    <row r="87" spans="1:22">
      <c r="A87" s="26" t="s">
        <v>14</v>
      </c>
      <c r="B87" s="26" t="s">
        <v>49</v>
      </c>
      <c r="C87" s="30">
        <v>14.7</v>
      </c>
      <c r="D87" s="27">
        <v>11.9</v>
      </c>
      <c r="E87" s="28">
        <v>3</v>
      </c>
      <c r="F87" s="16">
        <f t="shared" si="248"/>
        <v>0.52478999999999998</v>
      </c>
      <c r="G87" s="17"/>
      <c r="H87" s="18"/>
      <c r="I87" s="19">
        <f t="shared" si="249"/>
        <v>0</v>
      </c>
      <c r="J87" s="16"/>
      <c r="K87" s="18"/>
      <c r="L87" s="19">
        <f t="shared" si="251"/>
        <v>0</v>
      </c>
      <c r="M87" s="16"/>
      <c r="N87" s="18">
        <v>3</v>
      </c>
      <c r="O87" s="19">
        <f t="shared" si="252"/>
        <v>0.52478999999999998</v>
      </c>
      <c r="P87" s="16"/>
      <c r="Q87" s="18"/>
      <c r="R87" s="19">
        <f t="shared" si="253"/>
        <v>0</v>
      </c>
      <c r="S87" s="20">
        <f t="shared" si="254"/>
        <v>3</v>
      </c>
      <c r="T87" s="19">
        <f t="shared" si="255"/>
        <v>0.52478999999999998</v>
      </c>
      <c r="U87" s="21">
        <f t="shared" si="256"/>
        <v>0</v>
      </c>
      <c r="V87" s="19">
        <f t="shared" si="257"/>
        <v>0</v>
      </c>
    </row>
    <row r="88" spans="1:22">
      <c r="A88" s="26" t="s">
        <v>14</v>
      </c>
      <c r="B88" s="26" t="s">
        <v>49</v>
      </c>
      <c r="C88" s="30">
        <v>14.7</v>
      </c>
      <c r="D88" s="27">
        <v>11.1</v>
      </c>
      <c r="E88" s="28">
        <v>1</v>
      </c>
      <c r="F88" s="16">
        <f t="shared" si="248"/>
        <v>0.16316999999999998</v>
      </c>
      <c r="G88" s="17"/>
      <c r="H88" s="18"/>
      <c r="I88" s="19">
        <f t="shared" si="249"/>
        <v>0</v>
      </c>
      <c r="J88" s="16"/>
      <c r="K88" s="18"/>
      <c r="L88" s="19">
        <f t="shared" si="251"/>
        <v>0</v>
      </c>
      <c r="M88" s="16"/>
      <c r="N88" s="18">
        <v>1</v>
      </c>
      <c r="O88" s="19">
        <f t="shared" si="252"/>
        <v>0.16316999999999998</v>
      </c>
      <c r="P88" s="16"/>
      <c r="Q88" s="18"/>
      <c r="R88" s="19">
        <f t="shared" si="253"/>
        <v>0</v>
      </c>
      <c r="S88" s="20">
        <f t="shared" si="254"/>
        <v>1</v>
      </c>
      <c r="T88" s="19">
        <f t="shared" si="255"/>
        <v>0.16316999999999998</v>
      </c>
      <c r="U88" s="21">
        <f t="shared" si="256"/>
        <v>0</v>
      </c>
      <c r="V88" s="19">
        <f t="shared" si="257"/>
        <v>0</v>
      </c>
    </row>
    <row r="89" spans="1:22">
      <c r="A89" s="26" t="s">
        <v>14</v>
      </c>
      <c r="B89" s="26" t="s">
        <v>49</v>
      </c>
      <c r="C89" s="30">
        <v>14.7</v>
      </c>
      <c r="D89" s="27">
        <v>10.5</v>
      </c>
      <c r="E89" s="28">
        <v>2</v>
      </c>
      <c r="F89" s="16">
        <f t="shared" si="248"/>
        <v>0.30869999999999997</v>
      </c>
      <c r="G89" s="17"/>
      <c r="H89" s="18"/>
      <c r="I89" s="19">
        <f t="shared" si="249"/>
        <v>0</v>
      </c>
      <c r="J89" s="16"/>
      <c r="K89" s="18"/>
      <c r="L89" s="19">
        <f t="shared" si="251"/>
        <v>0</v>
      </c>
      <c r="M89" s="16"/>
      <c r="N89" s="18">
        <v>2</v>
      </c>
      <c r="O89" s="19">
        <f t="shared" si="252"/>
        <v>0.30869999999999997</v>
      </c>
      <c r="P89" s="16"/>
      <c r="Q89" s="18"/>
      <c r="R89" s="19">
        <f t="shared" si="253"/>
        <v>0</v>
      </c>
      <c r="S89" s="20">
        <f t="shared" si="254"/>
        <v>2</v>
      </c>
      <c r="T89" s="19">
        <f t="shared" si="255"/>
        <v>0.30869999999999997</v>
      </c>
      <c r="U89" s="21">
        <f t="shared" si="256"/>
        <v>0</v>
      </c>
      <c r="V89" s="19">
        <f t="shared" si="257"/>
        <v>0</v>
      </c>
    </row>
    <row r="90" spans="1:22">
      <c r="A90" s="26" t="s">
        <v>14</v>
      </c>
      <c r="B90" s="26" t="s">
        <v>49</v>
      </c>
      <c r="C90" s="30">
        <v>14.7</v>
      </c>
      <c r="D90" s="27">
        <v>11.3</v>
      </c>
      <c r="E90" s="28">
        <v>10</v>
      </c>
      <c r="F90" s="16">
        <f t="shared" si="248"/>
        <v>1.6611000000000002</v>
      </c>
      <c r="G90" s="17"/>
      <c r="H90" s="18"/>
      <c r="I90" s="19">
        <f t="shared" si="249"/>
        <v>0</v>
      </c>
      <c r="J90" s="16"/>
      <c r="K90" s="18"/>
      <c r="L90" s="19">
        <f t="shared" si="251"/>
        <v>0</v>
      </c>
      <c r="M90" s="16"/>
      <c r="N90" s="18">
        <v>10</v>
      </c>
      <c r="O90" s="19">
        <f t="shared" si="252"/>
        <v>1.6611000000000002</v>
      </c>
      <c r="P90" s="16"/>
      <c r="Q90" s="18"/>
      <c r="R90" s="19">
        <f t="shared" si="253"/>
        <v>0</v>
      </c>
      <c r="S90" s="20">
        <f t="shared" si="254"/>
        <v>10</v>
      </c>
      <c r="T90" s="19">
        <f t="shared" si="255"/>
        <v>1.6611000000000002</v>
      </c>
      <c r="U90" s="21">
        <f t="shared" si="256"/>
        <v>0</v>
      </c>
      <c r="V90" s="19">
        <f t="shared" si="257"/>
        <v>0</v>
      </c>
    </row>
    <row r="91" spans="1:22">
      <c r="A91" s="26" t="s">
        <v>14</v>
      </c>
      <c r="B91" s="26" t="s">
        <v>49</v>
      </c>
      <c r="C91" s="30">
        <v>14.7</v>
      </c>
      <c r="D91" s="27"/>
      <c r="E91" s="28">
        <v>0</v>
      </c>
      <c r="F91" s="16">
        <f t="shared" si="239"/>
        <v>0</v>
      </c>
      <c r="G91" s="17"/>
      <c r="H91" s="18"/>
      <c r="I91" s="19">
        <f t="shared" si="240"/>
        <v>0</v>
      </c>
      <c r="J91" s="16"/>
      <c r="K91" s="18"/>
      <c r="L91" s="19">
        <f t="shared" si="241"/>
        <v>0</v>
      </c>
      <c r="M91" s="16"/>
      <c r="N91" s="18"/>
      <c r="O91" s="19">
        <f t="shared" si="242"/>
        <v>0</v>
      </c>
      <c r="P91" s="16"/>
      <c r="Q91" s="18"/>
      <c r="R91" s="19">
        <f t="shared" si="243"/>
        <v>0</v>
      </c>
      <c r="S91" s="20">
        <f t="shared" si="244"/>
        <v>0</v>
      </c>
      <c r="T91" s="19">
        <f t="shared" si="245"/>
        <v>0</v>
      </c>
      <c r="U91" s="21">
        <f t="shared" si="246"/>
        <v>0</v>
      </c>
      <c r="V91" s="19">
        <f t="shared" si="247"/>
        <v>0</v>
      </c>
    </row>
    <row r="92" spans="1:22">
      <c r="A92" s="36"/>
      <c r="B92" s="36"/>
      <c r="C92" s="37"/>
      <c r="D92" s="38"/>
      <c r="E92" s="31">
        <f t="shared" ref="E92:F92" si="258">SUM(E78:E91)</f>
        <v>269</v>
      </c>
      <c r="F92" s="38">
        <f t="shared" si="258"/>
        <v>44.051490000000001</v>
      </c>
      <c r="H92" s="31">
        <f t="shared" ref="H92" si="259">SUM(H78:H91)</f>
        <v>160</v>
      </c>
      <c r="I92" s="38">
        <f t="shared" ref="I92" si="260">SUM(I78:I91)</f>
        <v>26.361509999999996</v>
      </c>
      <c r="K92" s="31">
        <f t="shared" ref="K92" si="261">SUM(K78:K91)</f>
        <v>75</v>
      </c>
      <c r="L92" s="38">
        <f t="shared" ref="L92" si="262">SUM(L78:L91)</f>
        <v>11.907</v>
      </c>
      <c r="N92" s="31">
        <f t="shared" ref="N92" si="263">SUM(N78:N91)</f>
        <v>34</v>
      </c>
      <c r="O92" s="38">
        <f t="shared" ref="O92" si="264">SUM(O78:O91)</f>
        <v>5.7829799999999993</v>
      </c>
      <c r="Q92" s="31">
        <f t="shared" ref="Q92" si="265">SUM(Q78:Q91)</f>
        <v>0</v>
      </c>
      <c r="R92" s="38">
        <f t="shared" ref="R92" si="266">SUM(R78:R91)</f>
        <v>0</v>
      </c>
      <c r="S92" s="31">
        <f t="shared" ref="S92" si="267">SUM(S78:S91)</f>
        <v>269</v>
      </c>
      <c r="T92" s="38">
        <f t="shared" ref="T92" si="268">SUM(T78:T91)</f>
        <v>44.051489999999994</v>
      </c>
      <c r="U92" s="31">
        <f t="shared" ref="U92" si="269">SUM(U78:U91)</f>
        <v>0</v>
      </c>
      <c r="V92" s="38">
        <f t="shared" ref="V92" si="270">SUM(V78:V91)</f>
        <v>0</v>
      </c>
    </row>
    <row r="93" spans="1:22">
      <c r="A93" s="26" t="s">
        <v>14</v>
      </c>
      <c r="B93" s="26" t="s">
        <v>34</v>
      </c>
      <c r="C93" s="30">
        <v>5.76</v>
      </c>
      <c r="D93" s="27">
        <v>11</v>
      </c>
      <c r="E93" s="28">
        <v>72</v>
      </c>
      <c r="F93" s="16">
        <f t="shared" ref="F93:F94" si="271">(C93*D93*E93/1000)</f>
        <v>4.5619199999999998</v>
      </c>
      <c r="G93" s="17" t="s">
        <v>111</v>
      </c>
      <c r="H93" s="18">
        <v>33</v>
      </c>
      <c r="I93" s="19">
        <f t="shared" ref="I93:I94" si="272">(C93*D93*H93/1000)</f>
        <v>2.0908800000000003</v>
      </c>
      <c r="J93" s="16" t="s">
        <v>93</v>
      </c>
      <c r="K93" s="18">
        <v>39</v>
      </c>
      <c r="L93" s="19">
        <f t="shared" ref="L93:L94" si="273">(C93*D93*K93/1000)</f>
        <v>2.4710399999999999</v>
      </c>
      <c r="M93" s="16"/>
      <c r="N93" s="18"/>
      <c r="O93" s="19">
        <f t="shared" ref="O93:O94" si="274">(C93*D93*N93/1000)</f>
        <v>0</v>
      </c>
      <c r="P93" s="16"/>
      <c r="Q93" s="18"/>
      <c r="R93" s="19">
        <f t="shared" ref="R93:R94" si="275">(C93*D93*Q93/1000)</f>
        <v>0</v>
      </c>
      <c r="S93" s="20">
        <f t="shared" ref="S93:S94" si="276">+H93+K93+Q93+N93</f>
        <v>72</v>
      </c>
      <c r="T93" s="19">
        <f t="shared" ref="T93:T94" si="277">+I93+L93+R93+O93</f>
        <v>4.5619200000000006</v>
      </c>
      <c r="U93" s="21">
        <f t="shared" ref="U93:U94" si="278">E93-S93</f>
        <v>0</v>
      </c>
      <c r="V93" s="19">
        <f t="shared" ref="V93:V94" si="279">F93-T93</f>
        <v>0</v>
      </c>
    </row>
    <row r="94" spans="1:22">
      <c r="A94" s="26" t="s">
        <v>14</v>
      </c>
      <c r="B94" s="26" t="s">
        <v>34</v>
      </c>
      <c r="C94" s="30">
        <v>5.76</v>
      </c>
      <c r="D94" s="27">
        <v>12</v>
      </c>
      <c r="E94" s="28">
        <v>58</v>
      </c>
      <c r="F94" s="16">
        <f t="shared" si="271"/>
        <v>4.0089600000000001</v>
      </c>
      <c r="G94" s="17" t="s">
        <v>459</v>
      </c>
      <c r="H94" s="18">
        <v>32</v>
      </c>
      <c r="I94" s="19">
        <f t="shared" si="272"/>
        <v>2.21184</v>
      </c>
      <c r="J94" s="16" t="s">
        <v>459</v>
      </c>
      <c r="K94" s="18">
        <v>26</v>
      </c>
      <c r="L94" s="19">
        <f t="shared" si="273"/>
        <v>1.7971200000000001</v>
      </c>
      <c r="M94" s="16"/>
      <c r="N94" s="18"/>
      <c r="O94" s="19">
        <f t="shared" si="274"/>
        <v>0</v>
      </c>
      <c r="P94" s="16"/>
      <c r="Q94" s="18"/>
      <c r="R94" s="19">
        <f t="shared" si="275"/>
        <v>0</v>
      </c>
      <c r="S94" s="20">
        <f t="shared" si="276"/>
        <v>58</v>
      </c>
      <c r="T94" s="19">
        <f t="shared" si="277"/>
        <v>4.0089600000000001</v>
      </c>
      <c r="U94" s="21">
        <f t="shared" si="278"/>
        <v>0</v>
      </c>
      <c r="V94" s="19">
        <f t="shared" si="279"/>
        <v>0</v>
      </c>
    </row>
    <row r="95" spans="1:22">
      <c r="A95" s="36"/>
      <c r="B95" s="36"/>
      <c r="C95" s="37"/>
      <c r="D95" s="38"/>
      <c r="E95" s="31">
        <f t="shared" ref="E95:F95" si="280">SUM(E93:E94)</f>
        <v>130</v>
      </c>
      <c r="F95" s="38">
        <f t="shared" si="280"/>
        <v>8.5708799999999989</v>
      </c>
      <c r="H95" s="31">
        <f t="shared" ref="H95" si="281">SUM(H93:H94)</f>
        <v>65</v>
      </c>
      <c r="I95" s="38">
        <f t="shared" ref="I95" si="282">SUM(I93:I94)</f>
        <v>4.3027200000000008</v>
      </c>
      <c r="K95" s="31">
        <f t="shared" ref="K95" si="283">SUM(K93:K94)</f>
        <v>65</v>
      </c>
      <c r="L95" s="38">
        <f t="shared" ref="L95" si="284">SUM(L93:L94)</f>
        <v>4.26816</v>
      </c>
      <c r="N95" s="31">
        <f t="shared" ref="N95" si="285">SUM(N93:N94)</f>
        <v>0</v>
      </c>
      <c r="O95" s="38">
        <f t="shared" ref="O95" si="286">SUM(O93:O94)</f>
        <v>0</v>
      </c>
      <c r="Q95" s="31">
        <f t="shared" ref="Q95" si="287">SUM(Q93:Q94)</f>
        <v>0</v>
      </c>
      <c r="R95" s="38">
        <f t="shared" ref="R95" si="288">SUM(R93:R94)</f>
        <v>0</v>
      </c>
      <c r="S95" s="31">
        <f t="shared" ref="S95" si="289">SUM(S93:S94)</f>
        <v>130</v>
      </c>
      <c r="T95" s="38">
        <f t="shared" ref="T95" si="290">SUM(T93:T94)</f>
        <v>8.5708800000000007</v>
      </c>
      <c r="U95" s="31">
        <f t="shared" ref="U95" si="291">SUM(U93:U94)</f>
        <v>0</v>
      </c>
      <c r="V95" s="38">
        <f t="shared" ref="V95" si="292">SUM(V93:V94)</f>
        <v>0</v>
      </c>
    </row>
    <row r="96" spans="1:22">
      <c r="A96" s="26" t="s">
        <v>14</v>
      </c>
      <c r="B96" s="26" t="s">
        <v>35</v>
      </c>
      <c r="C96" s="30">
        <v>6.85</v>
      </c>
      <c r="D96" s="27">
        <v>8.1</v>
      </c>
      <c r="E96" s="28">
        <v>36</v>
      </c>
      <c r="F96" s="16">
        <f t="shared" ref="F96:F98" si="293">(C96*D96*E96/1000)</f>
        <v>1.9974599999999998</v>
      </c>
      <c r="G96" s="17" t="s">
        <v>111</v>
      </c>
      <c r="H96" s="18">
        <v>11</v>
      </c>
      <c r="I96" s="19">
        <f t="shared" ref="I96:I98" si="294">(C96*D96*H96/1000)</f>
        <v>0.61033499999999996</v>
      </c>
      <c r="J96" s="16" t="s">
        <v>93</v>
      </c>
      <c r="K96" s="18"/>
      <c r="L96" s="19">
        <f t="shared" ref="L96:L98" si="295">(C96*D96*K96/1000)</f>
        <v>0</v>
      </c>
      <c r="M96" s="16" t="s">
        <v>325</v>
      </c>
      <c r="N96" s="18"/>
      <c r="O96" s="19">
        <f t="shared" ref="O96:O98" si="296">(C96*D96*N96/1000)</f>
        <v>0</v>
      </c>
      <c r="P96" s="16"/>
      <c r="Q96" s="18"/>
      <c r="R96" s="19">
        <f t="shared" ref="R96:R98" si="297">(C96*D96*Q96/1000)</f>
        <v>0</v>
      </c>
      <c r="S96" s="20">
        <f t="shared" ref="S96:S98" si="298">+H96+K96+Q96+N96</f>
        <v>11</v>
      </c>
      <c r="T96" s="19">
        <f t="shared" ref="T96:T98" si="299">+I96+L96+R96+O96</f>
        <v>0.61033499999999996</v>
      </c>
      <c r="U96" s="21">
        <f t="shared" ref="U96:U98" si="300">E96-S96</f>
        <v>25</v>
      </c>
      <c r="V96" s="19">
        <f t="shared" ref="V96:V98" si="301">F96-T96</f>
        <v>1.3871249999999997</v>
      </c>
    </row>
    <row r="97" spans="1:22">
      <c r="A97" s="26" t="s">
        <v>14</v>
      </c>
      <c r="B97" s="26" t="s">
        <v>35</v>
      </c>
      <c r="C97" s="30">
        <v>6.85</v>
      </c>
      <c r="D97" s="27">
        <v>11.5</v>
      </c>
      <c r="E97" s="28">
        <v>78</v>
      </c>
      <c r="F97" s="16">
        <f t="shared" si="293"/>
        <v>6.1444499999999991</v>
      </c>
      <c r="G97" s="17" t="s">
        <v>459</v>
      </c>
      <c r="H97" s="18">
        <f>10+38</f>
        <v>48</v>
      </c>
      <c r="I97" s="19">
        <f t="shared" si="294"/>
        <v>3.7811999999999997</v>
      </c>
      <c r="J97" s="16" t="s">
        <v>459</v>
      </c>
      <c r="K97" s="18">
        <v>23</v>
      </c>
      <c r="L97" s="19">
        <f t="shared" si="295"/>
        <v>1.8118249999999998</v>
      </c>
      <c r="M97" s="16" t="s">
        <v>465</v>
      </c>
      <c r="N97" s="18"/>
      <c r="O97" s="19">
        <f t="shared" si="296"/>
        <v>0</v>
      </c>
      <c r="P97" s="16"/>
      <c r="Q97" s="18"/>
      <c r="R97" s="19">
        <f t="shared" si="297"/>
        <v>0</v>
      </c>
      <c r="S97" s="20">
        <f t="shared" si="298"/>
        <v>71</v>
      </c>
      <c r="T97" s="19">
        <f t="shared" si="299"/>
        <v>5.593024999999999</v>
      </c>
      <c r="U97" s="21">
        <f t="shared" si="300"/>
        <v>7</v>
      </c>
      <c r="V97" s="19">
        <f t="shared" si="301"/>
        <v>0.55142500000000005</v>
      </c>
    </row>
    <row r="98" spans="1:22">
      <c r="A98" s="26" t="s">
        <v>14</v>
      </c>
      <c r="B98" s="26" t="s">
        <v>35</v>
      </c>
      <c r="C98" s="30">
        <v>6.85</v>
      </c>
      <c r="D98" s="27">
        <v>11.7</v>
      </c>
      <c r="E98" s="28">
        <v>56</v>
      </c>
      <c r="F98" s="16">
        <f t="shared" si="293"/>
        <v>4.4881200000000003</v>
      </c>
      <c r="G98" s="17"/>
      <c r="H98" s="18">
        <v>29</v>
      </c>
      <c r="I98" s="19">
        <f t="shared" si="294"/>
        <v>2.3242050000000001</v>
      </c>
      <c r="J98" s="16"/>
      <c r="K98" s="18">
        <v>13</v>
      </c>
      <c r="L98" s="19">
        <f t="shared" si="295"/>
        <v>1.041885</v>
      </c>
      <c r="M98" s="16"/>
      <c r="N98" s="18"/>
      <c r="O98" s="19">
        <f t="shared" si="296"/>
        <v>0</v>
      </c>
      <c r="P98" s="16"/>
      <c r="Q98" s="18"/>
      <c r="R98" s="19">
        <f t="shared" si="297"/>
        <v>0</v>
      </c>
      <c r="S98" s="20">
        <f t="shared" si="298"/>
        <v>42</v>
      </c>
      <c r="T98" s="19">
        <f t="shared" si="299"/>
        <v>3.3660899999999998</v>
      </c>
      <c r="U98" s="21">
        <f t="shared" si="300"/>
        <v>14</v>
      </c>
      <c r="V98" s="19">
        <f t="shared" si="301"/>
        <v>1.1220300000000005</v>
      </c>
    </row>
    <row r="99" spans="1:22">
      <c r="A99" s="26" t="s">
        <v>14</v>
      </c>
      <c r="B99" s="26" t="s">
        <v>35</v>
      </c>
      <c r="C99" s="30">
        <v>6.85</v>
      </c>
      <c r="D99" s="27">
        <v>12</v>
      </c>
      <c r="E99" s="28">
        <v>75</v>
      </c>
      <c r="F99" s="16">
        <f t="shared" ref="F99" si="302">(C99*D99*E99/1000)</f>
        <v>6.1649999999999991</v>
      </c>
      <c r="G99" s="17"/>
      <c r="H99" s="18">
        <v>72</v>
      </c>
      <c r="I99" s="19">
        <f t="shared" ref="I99" si="303">(C99*D99*H99/1000)</f>
        <v>5.9183999999999992</v>
      </c>
      <c r="J99" s="16"/>
      <c r="K99" s="18"/>
      <c r="L99" s="19">
        <f t="shared" ref="L99" si="304">(C99*D99*K99/1000)</f>
        <v>0</v>
      </c>
      <c r="M99" s="16"/>
      <c r="N99" s="18">
        <v>19</v>
      </c>
      <c r="O99" s="19">
        <f t="shared" ref="O99:O108" si="305">(C99*D99*N99/1000)</f>
        <v>1.5617999999999996</v>
      </c>
      <c r="P99" s="16"/>
      <c r="Q99" s="18"/>
      <c r="R99" s="19">
        <f t="shared" ref="R99:R108" si="306">(C99*D99*Q99/1000)</f>
        <v>0</v>
      </c>
      <c r="S99" s="20">
        <f t="shared" ref="S99:S108" si="307">+H99+K99+Q99+N99</f>
        <v>91</v>
      </c>
      <c r="T99" s="19">
        <f t="shared" ref="T99:T108" si="308">+I99+L99+R99+O99</f>
        <v>7.4801999999999991</v>
      </c>
      <c r="U99" s="21">
        <f t="shared" ref="U99:U108" si="309">E99-S99</f>
        <v>-16</v>
      </c>
      <c r="V99" s="19">
        <f t="shared" ref="V99:V108" si="310">F99-T99</f>
        <v>-1.3151999999999999</v>
      </c>
    </row>
    <row r="100" spans="1:22">
      <c r="A100" s="26" t="s">
        <v>14</v>
      </c>
      <c r="B100" s="26" t="s">
        <v>35</v>
      </c>
      <c r="C100" s="30">
        <v>6.85</v>
      </c>
      <c r="D100" s="27">
        <v>6</v>
      </c>
      <c r="E100" s="28"/>
      <c r="F100" s="16">
        <f t="shared" ref="F100:F108" si="311">(C100*D100*E100/1000)</f>
        <v>0</v>
      </c>
      <c r="G100" s="17"/>
      <c r="H100" s="18"/>
      <c r="I100" s="19">
        <f t="shared" ref="I100:I108" si="312">(C100*D100*H100/1000)</f>
        <v>0</v>
      </c>
      <c r="J100" s="16"/>
      <c r="K100" s="18"/>
      <c r="L100" s="19">
        <f t="shared" ref="L100:L108" si="313">(C100*D100*K100/1000)</f>
        <v>0</v>
      </c>
      <c r="M100" s="16"/>
      <c r="N100" s="18">
        <v>2</v>
      </c>
      <c r="O100" s="19">
        <f t="shared" si="305"/>
        <v>8.2199999999999995E-2</v>
      </c>
      <c r="P100" s="16"/>
      <c r="Q100" s="18"/>
      <c r="R100" s="19">
        <f t="shared" si="306"/>
        <v>0</v>
      </c>
      <c r="S100" s="20">
        <f t="shared" si="307"/>
        <v>2</v>
      </c>
      <c r="T100" s="19">
        <f t="shared" si="308"/>
        <v>8.2199999999999995E-2</v>
      </c>
      <c r="U100" s="21">
        <f t="shared" si="309"/>
        <v>-2</v>
      </c>
      <c r="V100" s="19">
        <f t="shared" si="310"/>
        <v>-8.2199999999999995E-2</v>
      </c>
    </row>
    <row r="101" spans="1:22">
      <c r="A101" s="26" t="s">
        <v>14</v>
      </c>
      <c r="B101" s="26" t="s">
        <v>35</v>
      </c>
      <c r="C101" s="30">
        <v>6.85</v>
      </c>
      <c r="D101" s="27">
        <v>7.3</v>
      </c>
      <c r="E101" s="28"/>
      <c r="F101" s="16">
        <f t="shared" si="311"/>
        <v>0</v>
      </c>
      <c r="G101" s="17"/>
      <c r="H101" s="18"/>
      <c r="I101" s="19">
        <f t="shared" si="312"/>
        <v>0</v>
      </c>
      <c r="J101" s="16"/>
      <c r="K101" s="18"/>
      <c r="L101" s="19">
        <f t="shared" si="313"/>
        <v>0</v>
      </c>
      <c r="M101" s="16"/>
      <c r="N101" s="18">
        <v>1</v>
      </c>
      <c r="O101" s="19">
        <f t="shared" si="305"/>
        <v>5.0004999999999994E-2</v>
      </c>
      <c r="P101" s="16"/>
      <c r="Q101" s="18"/>
      <c r="R101" s="19">
        <f t="shared" si="306"/>
        <v>0</v>
      </c>
      <c r="S101" s="20">
        <f t="shared" si="307"/>
        <v>1</v>
      </c>
      <c r="T101" s="19">
        <f t="shared" si="308"/>
        <v>5.0004999999999994E-2</v>
      </c>
      <c r="U101" s="21">
        <f t="shared" si="309"/>
        <v>-1</v>
      </c>
      <c r="V101" s="19">
        <f t="shared" si="310"/>
        <v>-5.0004999999999994E-2</v>
      </c>
    </row>
    <row r="102" spans="1:22">
      <c r="A102" s="26" t="s">
        <v>14</v>
      </c>
      <c r="B102" s="26" t="s">
        <v>35</v>
      </c>
      <c r="C102" s="30">
        <v>6.85</v>
      </c>
      <c r="D102" s="27">
        <v>8.1999999999999993</v>
      </c>
      <c r="E102" s="28"/>
      <c r="F102" s="16">
        <f t="shared" si="311"/>
        <v>0</v>
      </c>
      <c r="G102" s="17"/>
      <c r="H102" s="18"/>
      <c r="I102" s="19">
        <f t="shared" si="312"/>
        <v>0</v>
      </c>
      <c r="J102" s="16"/>
      <c r="K102" s="18"/>
      <c r="L102" s="19">
        <f t="shared" si="313"/>
        <v>0</v>
      </c>
      <c r="M102" s="16"/>
      <c r="N102" s="18">
        <v>1</v>
      </c>
      <c r="O102" s="19">
        <f t="shared" si="305"/>
        <v>5.6169999999999998E-2</v>
      </c>
      <c r="P102" s="16"/>
      <c r="Q102" s="18"/>
      <c r="R102" s="19">
        <f t="shared" si="306"/>
        <v>0</v>
      </c>
      <c r="S102" s="20">
        <f t="shared" si="307"/>
        <v>1</v>
      </c>
      <c r="T102" s="19">
        <f t="shared" si="308"/>
        <v>5.6169999999999998E-2</v>
      </c>
      <c r="U102" s="21">
        <f t="shared" si="309"/>
        <v>-1</v>
      </c>
      <c r="V102" s="19">
        <f t="shared" si="310"/>
        <v>-5.6169999999999998E-2</v>
      </c>
    </row>
    <row r="103" spans="1:22">
      <c r="A103" s="26" t="s">
        <v>14</v>
      </c>
      <c r="B103" s="26" t="s">
        <v>35</v>
      </c>
      <c r="C103" s="30">
        <v>6.85</v>
      </c>
      <c r="D103" s="27">
        <v>9.8000000000000007</v>
      </c>
      <c r="E103" s="28"/>
      <c r="F103" s="16">
        <f t="shared" si="311"/>
        <v>0</v>
      </c>
      <c r="G103" s="17"/>
      <c r="H103" s="18"/>
      <c r="I103" s="19">
        <f t="shared" si="312"/>
        <v>0</v>
      </c>
      <c r="J103" s="16"/>
      <c r="K103" s="18"/>
      <c r="L103" s="19">
        <f t="shared" si="313"/>
        <v>0</v>
      </c>
      <c r="M103" s="16"/>
      <c r="N103" s="18">
        <v>1</v>
      </c>
      <c r="O103" s="19">
        <f t="shared" si="305"/>
        <v>6.7129999999999995E-2</v>
      </c>
      <c r="P103" s="16"/>
      <c r="Q103" s="18"/>
      <c r="R103" s="19">
        <f t="shared" si="306"/>
        <v>0</v>
      </c>
      <c r="S103" s="20">
        <f t="shared" si="307"/>
        <v>1</v>
      </c>
      <c r="T103" s="19">
        <f t="shared" si="308"/>
        <v>6.7129999999999995E-2</v>
      </c>
      <c r="U103" s="21">
        <f t="shared" si="309"/>
        <v>-1</v>
      </c>
      <c r="V103" s="19">
        <f t="shared" si="310"/>
        <v>-6.7129999999999995E-2</v>
      </c>
    </row>
    <row r="104" spans="1:22">
      <c r="A104" s="26" t="s">
        <v>14</v>
      </c>
      <c r="B104" s="26" t="s">
        <v>35</v>
      </c>
      <c r="C104" s="30">
        <v>6.85</v>
      </c>
      <c r="D104" s="27">
        <v>10</v>
      </c>
      <c r="E104" s="28"/>
      <c r="F104" s="16">
        <f t="shared" si="311"/>
        <v>0</v>
      </c>
      <c r="G104" s="17"/>
      <c r="H104" s="18"/>
      <c r="I104" s="19">
        <f t="shared" si="312"/>
        <v>0</v>
      </c>
      <c r="J104" s="16"/>
      <c r="K104" s="18"/>
      <c r="L104" s="19">
        <f t="shared" si="313"/>
        <v>0</v>
      </c>
      <c r="M104" s="16"/>
      <c r="N104" s="18">
        <v>8</v>
      </c>
      <c r="O104" s="19">
        <f t="shared" si="305"/>
        <v>0.54800000000000004</v>
      </c>
      <c r="P104" s="16"/>
      <c r="Q104" s="18"/>
      <c r="R104" s="19">
        <f t="shared" si="306"/>
        <v>0</v>
      </c>
      <c r="S104" s="20">
        <f t="shared" si="307"/>
        <v>8</v>
      </c>
      <c r="T104" s="19">
        <f t="shared" si="308"/>
        <v>0.54800000000000004</v>
      </c>
      <c r="U104" s="21">
        <f t="shared" si="309"/>
        <v>-8</v>
      </c>
      <c r="V104" s="19">
        <f t="shared" si="310"/>
        <v>-0.54800000000000004</v>
      </c>
    </row>
    <row r="105" spans="1:22">
      <c r="A105" s="26" t="s">
        <v>14</v>
      </c>
      <c r="B105" s="26" t="s">
        <v>35</v>
      </c>
      <c r="C105" s="30">
        <v>6.85</v>
      </c>
      <c r="D105" s="27">
        <v>10.5</v>
      </c>
      <c r="E105" s="28"/>
      <c r="F105" s="16">
        <f t="shared" si="311"/>
        <v>0</v>
      </c>
      <c r="G105" s="17"/>
      <c r="H105" s="18"/>
      <c r="I105" s="19">
        <f t="shared" si="312"/>
        <v>0</v>
      </c>
      <c r="J105" s="16"/>
      <c r="K105" s="18"/>
      <c r="L105" s="19">
        <f t="shared" si="313"/>
        <v>0</v>
      </c>
      <c r="M105" s="16"/>
      <c r="N105" s="18">
        <v>5</v>
      </c>
      <c r="O105" s="19">
        <f t="shared" si="305"/>
        <v>0.35962499999999997</v>
      </c>
      <c r="P105" s="16"/>
      <c r="Q105" s="18"/>
      <c r="R105" s="19">
        <f t="shared" si="306"/>
        <v>0</v>
      </c>
      <c r="S105" s="20">
        <f t="shared" si="307"/>
        <v>5</v>
      </c>
      <c r="T105" s="19">
        <f t="shared" si="308"/>
        <v>0.35962499999999997</v>
      </c>
      <c r="U105" s="21">
        <f t="shared" si="309"/>
        <v>-5</v>
      </c>
      <c r="V105" s="19">
        <f t="shared" si="310"/>
        <v>-0.35962499999999997</v>
      </c>
    </row>
    <row r="106" spans="1:22">
      <c r="A106" s="26" t="s">
        <v>14</v>
      </c>
      <c r="B106" s="26" t="s">
        <v>35</v>
      </c>
      <c r="C106" s="30">
        <v>6.85</v>
      </c>
      <c r="D106" s="27">
        <v>10.6</v>
      </c>
      <c r="E106" s="28"/>
      <c r="F106" s="16">
        <f t="shared" si="311"/>
        <v>0</v>
      </c>
      <c r="G106" s="17"/>
      <c r="H106" s="18"/>
      <c r="I106" s="19">
        <f t="shared" si="312"/>
        <v>0</v>
      </c>
      <c r="J106" s="16"/>
      <c r="K106" s="18"/>
      <c r="L106" s="19">
        <f t="shared" si="313"/>
        <v>0</v>
      </c>
      <c r="M106" s="16"/>
      <c r="N106" s="18">
        <v>1</v>
      </c>
      <c r="O106" s="19">
        <f t="shared" si="305"/>
        <v>7.2609999999999994E-2</v>
      </c>
      <c r="P106" s="16"/>
      <c r="Q106" s="18"/>
      <c r="R106" s="19">
        <f t="shared" si="306"/>
        <v>0</v>
      </c>
      <c r="S106" s="20">
        <f t="shared" si="307"/>
        <v>1</v>
      </c>
      <c r="T106" s="19">
        <f t="shared" si="308"/>
        <v>7.2609999999999994E-2</v>
      </c>
      <c r="U106" s="21">
        <f t="shared" si="309"/>
        <v>-1</v>
      </c>
      <c r="V106" s="19">
        <f t="shared" si="310"/>
        <v>-7.2609999999999994E-2</v>
      </c>
    </row>
    <row r="107" spans="1:22">
      <c r="A107" s="26" t="s">
        <v>14</v>
      </c>
      <c r="B107" s="26" t="s">
        <v>35</v>
      </c>
      <c r="C107" s="30">
        <v>6.85</v>
      </c>
      <c r="D107" s="27">
        <v>11</v>
      </c>
      <c r="E107" s="28"/>
      <c r="F107" s="16">
        <f t="shared" si="311"/>
        <v>0</v>
      </c>
      <c r="G107" s="17"/>
      <c r="H107" s="18"/>
      <c r="I107" s="19">
        <f t="shared" si="312"/>
        <v>0</v>
      </c>
      <c r="J107" s="16"/>
      <c r="K107" s="18"/>
      <c r="L107" s="19">
        <f t="shared" si="313"/>
        <v>0</v>
      </c>
      <c r="M107" s="16"/>
      <c r="N107" s="18">
        <v>6</v>
      </c>
      <c r="O107" s="19">
        <f t="shared" si="305"/>
        <v>0.45209999999999995</v>
      </c>
      <c r="P107" s="16"/>
      <c r="Q107" s="18"/>
      <c r="R107" s="19">
        <f t="shared" si="306"/>
        <v>0</v>
      </c>
      <c r="S107" s="20">
        <f t="shared" si="307"/>
        <v>6</v>
      </c>
      <c r="T107" s="19">
        <f t="shared" si="308"/>
        <v>0.45209999999999995</v>
      </c>
      <c r="U107" s="21">
        <f t="shared" si="309"/>
        <v>-6</v>
      </c>
      <c r="V107" s="19">
        <f t="shared" si="310"/>
        <v>-0.45209999999999995</v>
      </c>
    </row>
    <row r="108" spans="1:22">
      <c r="A108" s="26" t="s">
        <v>14</v>
      </c>
      <c r="B108" s="26" t="s">
        <v>35</v>
      </c>
      <c r="C108" s="30">
        <v>6.85</v>
      </c>
      <c r="D108" s="27">
        <v>11.2</v>
      </c>
      <c r="E108" s="28"/>
      <c r="F108" s="16">
        <f t="shared" si="311"/>
        <v>0</v>
      </c>
      <c r="G108" s="17"/>
      <c r="H108" s="18"/>
      <c r="I108" s="19">
        <f t="shared" si="312"/>
        <v>0</v>
      </c>
      <c r="J108" s="16"/>
      <c r="K108" s="18"/>
      <c r="L108" s="19">
        <f t="shared" si="313"/>
        <v>0</v>
      </c>
      <c r="M108" s="16"/>
      <c r="N108" s="18">
        <v>2</v>
      </c>
      <c r="O108" s="19">
        <f t="shared" si="305"/>
        <v>0.15343999999999997</v>
      </c>
      <c r="P108" s="16"/>
      <c r="Q108" s="18"/>
      <c r="R108" s="19">
        <f t="shared" si="306"/>
        <v>0</v>
      </c>
      <c r="S108" s="20">
        <f t="shared" si="307"/>
        <v>2</v>
      </c>
      <c r="T108" s="19">
        <f t="shared" si="308"/>
        <v>0.15343999999999997</v>
      </c>
      <c r="U108" s="21">
        <f t="shared" si="309"/>
        <v>-2</v>
      </c>
      <c r="V108" s="19">
        <f t="shared" si="310"/>
        <v>-0.15343999999999997</v>
      </c>
    </row>
    <row r="109" spans="1:22">
      <c r="A109" s="36"/>
      <c r="B109" s="36"/>
      <c r="C109" s="37"/>
      <c r="D109" s="38"/>
      <c r="E109" s="31">
        <f>SUM(E96:E108)</f>
        <v>245</v>
      </c>
      <c r="F109" s="38">
        <f>SUM(F96:F108)</f>
        <v>18.795029999999997</v>
      </c>
      <c r="H109" s="31">
        <f>SUM(H96:H108)</f>
        <v>160</v>
      </c>
      <c r="I109" s="38">
        <f>SUM(I96:I108)</f>
        <v>12.634139999999999</v>
      </c>
      <c r="K109" s="31">
        <f>SUM(K96:K108)</f>
        <v>36</v>
      </c>
      <c r="L109" s="38">
        <f>SUM(L96:L108)</f>
        <v>2.8537099999999995</v>
      </c>
      <c r="N109" s="31">
        <f>SUM(N96:N108)</f>
        <v>46</v>
      </c>
      <c r="O109" s="38">
        <f>SUM(O96:O108)</f>
        <v>3.4030799999999992</v>
      </c>
      <c r="Q109" s="31">
        <f t="shared" ref="Q109:V109" si="314">SUM(Q96:Q108)</f>
        <v>0</v>
      </c>
      <c r="R109" s="38">
        <f t="shared" si="314"/>
        <v>0</v>
      </c>
      <c r="S109" s="31">
        <f t="shared" si="314"/>
        <v>242</v>
      </c>
      <c r="T109" s="38">
        <f t="shared" si="314"/>
        <v>18.890930000000004</v>
      </c>
      <c r="U109" s="31">
        <f t="shared" si="314"/>
        <v>3</v>
      </c>
      <c r="V109" s="38">
        <f t="shared" si="314"/>
        <v>-9.5899999999999597E-2</v>
      </c>
    </row>
    <row r="110" spans="1:22" ht="15.6">
      <c r="A110" s="26" t="s">
        <v>14</v>
      </c>
      <c r="B110" s="26" t="s">
        <v>58</v>
      </c>
      <c r="C110" s="30">
        <v>7.34</v>
      </c>
      <c r="D110" s="27">
        <v>10.3</v>
      </c>
      <c r="E110" s="28">
        <v>67</v>
      </c>
      <c r="F110" s="16">
        <f t="shared" ref="F110:F116" si="315">(C110*D110*E110/1000)</f>
        <v>5.065334</v>
      </c>
      <c r="G110" s="17" t="s">
        <v>89</v>
      </c>
      <c r="H110" s="18">
        <v>20</v>
      </c>
      <c r="I110" s="19">
        <f t="shared" ref="I110:I116" si="316">(C110*D110*H110/1000)</f>
        <v>1.5120400000000001</v>
      </c>
      <c r="J110" s="110" t="s">
        <v>93</v>
      </c>
      <c r="K110" s="18">
        <v>29</v>
      </c>
      <c r="L110" s="19">
        <f t="shared" ref="L110:L116" si="317">(C110*D110*K110/1000)</f>
        <v>2.1924580000000002</v>
      </c>
      <c r="M110" s="17" t="s">
        <v>89</v>
      </c>
      <c r="N110" s="18"/>
      <c r="O110" s="19">
        <f t="shared" ref="O110:O116" si="318">(C110*D110*N110/1000)</f>
        <v>0</v>
      </c>
      <c r="P110" s="16"/>
      <c r="Q110" s="18"/>
      <c r="R110" s="19">
        <f t="shared" ref="R110:R116" si="319">(C110*D110*Q110/1000)</f>
        <v>0</v>
      </c>
      <c r="S110" s="20">
        <f t="shared" ref="S110:S116" si="320">+H110+K110+Q110+N110</f>
        <v>49</v>
      </c>
      <c r="T110" s="19">
        <f t="shared" ref="T110:T116" si="321">+I110+L110+R110+O110</f>
        <v>3.7044980000000001</v>
      </c>
      <c r="U110" s="21">
        <f t="shared" ref="U110:U116" si="322">E110-S110</f>
        <v>18</v>
      </c>
      <c r="V110" s="19">
        <f t="shared" ref="V110:V116" si="323">F110-T110</f>
        <v>1.3608359999999999</v>
      </c>
    </row>
    <row r="111" spans="1:22" ht="15.6">
      <c r="A111" s="26" t="s">
        <v>14</v>
      </c>
      <c r="B111" s="26" t="s">
        <v>58</v>
      </c>
      <c r="C111" s="30">
        <v>7.34</v>
      </c>
      <c r="D111" s="27">
        <v>10.5</v>
      </c>
      <c r="E111" s="28">
        <v>59</v>
      </c>
      <c r="F111" s="16">
        <f t="shared" si="315"/>
        <v>4.5471299999999992</v>
      </c>
      <c r="G111" s="17" t="s">
        <v>443</v>
      </c>
      <c r="H111" s="18"/>
      <c r="I111" s="19">
        <f t="shared" si="316"/>
        <v>0</v>
      </c>
      <c r="J111" s="110" t="s">
        <v>444</v>
      </c>
      <c r="K111" s="18">
        <v>21</v>
      </c>
      <c r="L111" s="19">
        <f t="shared" si="317"/>
        <v>1.6184699999999999</v>
      </c>
      <c r="M111" s="17" t="s">
        <v>448</v>
      </c>
      <c r="N111" s="18">
        <f>20+18+7</f>
        <v>45</v>
      </c>
      <c r="O111" s="19">
        <f t="shared" si="318"/>
        <v>3.4681499999999996</v>
      </c>
      <c r="P111" s="16"/>
      <c r="Q111" s="18"/>
      <c r="R111" s="19">
        <f t="shared" si="319"/>
        <v>0</v>
      </c>
      <c r="S111" s="20">
        <f t="shared" si="320"/>
        <v>66</v>
      </c>
      <c r="T111" s="19">
        <f t="shared" si="321"/>
        <v>5.0866199999999999</v>
      </c>
      <c r="U111" s="21">
        <f t="shared" si="322"/>
        <v>-7</v>
      </c>
      <c r="V111" s="19">
        <f t="shared" si="323"/>
        <v>-0.53949000000000069</v>
      </c>
    </row>
    <row r="112" spans="1:22">
      <c r="A112" s="26" t="s">
        <v>14</v>
      </c>
      <c r="B112" s="26" t="s">
        <v>58</v>
      </c>
      <c r="C112" s="30">
        <v>7.34</v>
      </c>
      <c r="D112" s="27">
        <v>11</v>
      </c>
      <c r="E112" s="28">
        <v>36</v>
      </c>
      <c r="F112" s="16">
        <f t="shared" si="315"/>
        <v>2.9066399999999999</v>
      </c>
      <c r="G112" s="17"/>
      <c r="H112" s="18">
        <v>26</v>
      </c>
      <c r="I112" s="19">
        <f t="shared" si="316"/>
        <v>2.09924</v>
      </c>
      <c r="J112" s="16"/>
      <c r="K112" s="18">
        <v>10</v>
      </c>
      <c r="L112" s="19">
        <f t="shared" si="317"/>
        <v>0.80740000000000001</v>
      </c>
      <c r="M112" s="16"/>
      <c r="N112" s="18">
        <v>11</v>
      </c>
      <c r="O112" s="19">
        <f t="shared" si="318"/>
        <v>0.88814000000000004</v>
      </c>
      <c r="P112" s="16"/>
      <c r="Q112" s="18"/>
      <c r="R112" s="19">
        <f t="shared" si="319"/>
        <v>0</v>
      </c>
      <c r="S112" s="20">
        <f t="shared" si="320"/>
        <v>47</v>
      </c>
      <c r="T112" s="19">
        <f t="shared" si="321"/>
        <v>3.7947799999999998</v>
      </c>
      <c r="U112" s="21">
        <f t="shared" si="322"/>
        <v>-11</v>
      </c>
      <c r="V112" s="19">
        <f t="shared" si="323"/>
        <v>-0.88813999999999993</v>
      </c>
    </row>
    <row r="113" spans="1:22">
      <c r="A113" s="26" t="s">
        <v>14</v>
      </c>
      <c r="B113" s="26" t="s">
        <v>58</v>
      </c>
      <c r="C113" s="30">
        <v>7.34</v>
      </c>
      <c r="D113" s="27">
        <v>11.5</v>
      </c>
      <c r="E113" s="28">
        <v>148</v>
      </c>
      <c r="F113" s="16">
        <f t="shared" si="315"/>
        <v>12.49268</v>
      </c>
      <c r="G113" s="17"/>
      <c r="H113" s="18">
        <v>24</v>
      </c>
      <c r="I113" s="19">
        <f t="shared" si="316"/>
        <v>2.0258400000000001</v>
      </c>
      <c r="J113" s="16"/>
      <c r="K113" s="18">
        <v>85</v>
      </c>
      <c r="L113" s="19">
        <f t="shared" si="317"/>
        <v>7.1748499999999993</v>
      </c>
      <c r="M113" s="16"/>
      <c r="N113" s="18">
        <v>32</v>
      </c>
      <c r="O113" s="19">
        <f t="shared" si="318"/>
        <v>2.70112</v>
      </c>
      <c r="P113" s="16"/>
      <c r="Q113" s="18"/>
      <c r="R113" s="19">
        <f t="shared" si="319"/>
        <v>0</v>
      </c>
      <c r="S113" s="20">
        <f t="shared" si="320"/>
        <v>141</v>
      </c>
      <c r="T113" s="19">
        <f t="shared" si="321"/>
        <v>11.901809999999999</v>
      </c>
      <c r="U113" s="21">
        <f t="shared" si="322"/>
        <v>7</v>
      </c>
      <c r="V113" s="19">
        <f t="shared" si="323"/>
        <v>0.59087000000000067</v>
      </c>
    </row>
    <row r="114" spans="1:22">
      <c r="A114" s="26" t="s">
        <v>14</v>
      </c>
      <c r="B114" s="26" t="s">
        <v>58</v>
      </c>
      <c r="C114" s="30">
        <v>7.34</v>
      </c>
      <c r="D114" s="27">
        <v>12</v>
      </c>
      <c r="E114" s="28">
        <v>67</v>
      </c>
      <c r="F114" s="16">
        <f t="shared" ref="F114:F115" si="324">(C114*D114*E114/1000)</f>
        <v>5.9013599999999995</v>
      </c>
      <c r="G114" s="17"/>
      <c r="H114" s="18"/>
      <c r="I114" s="19">
        <f t="shared" ref="I114:I115" si="325">(C114*D114*H114/1000)</f>
        <v>0</v>
      </c>
      <c r="J114" s="16"/>
      <c r="K114" s="18">
        <v>69</v>
      </c>
      <c r="L114" s="19">
        <f t="shared" ref="L114:L115" si="326">(C114*D114*K114/1000)</f>
        <v>6.0775199999999998</v>
      </c>
      <c r="M114" s="16"/>
      <c r="N114" s="18">
        <v>4</v>
      </c>
      <c r="O114" s="19">
        <f t="shared" ref="O114:O115" si="327">(C114*D114*N114/1000)</f>
        <v>0.35231999999999997</v>
      </c>
      <c r="P114" s="16"/>
      <c r="Q114" s="18"/>
      <c r="R114" s="19">
        <f t="shared" ref="R114:R115" si="328">(C114*D114*Q114/1000)</f>
        <v>0</v>
      </c>
      <c r="S114" s="20">
        <f t="shared" ref="S114:S115" si="329">+H114+K114+Q114+N114</f>
        <v>73</v>
      </c>
      <c r="T114" s="19">
        <f t="shared" ref="T114:T115" si="330">+I114+L114+R114+O114</f>
        <v>6.4298399999999996</v>
      </c>
      <c r="U114" s="21">
        <f t="shared" ref="U114:U115" si="331">E114-S114</f>
        <v>-6</v>
      </c>
      <c r="V114" s="19">
        <f t="shared" ref="V114:V115" si="332">F114-T114</f>
        <v>-0.52848000000000006</v>
      </c>
    </row>
    <row r="115" spans="1:22">
      <c r="A115" s="26" t="s">
        <v>14</v>
      </c>
      <c r="B115" s="26" t="s">
        <v>58</v>
      </c>
      <c r="C115" s="30">
        <v>7.34</v>
      </c>
      <c r="D115" s="27">
        <v>11.6</v>
      </c>
      <c r="E115" s="28"/>
      <c r="F115" s="16">
        <f t="shared" si="324"/>
        <v>0</v>
      </c>
      <c r="G115" s="17"/>
      <c r="H115" s="18"/>
      <c r="I115" s="19">
        <f t="shared" si="325"/>
        <v>0</v>
      </c>
      <c r="J115" s="16"/>
      <c r="K115" s="18"/>
      <c r="L115" s="19">
        <f t="shared" si="326"/>
        <v>0</v>
      </c>
      <c r="M115" s="16"/>
      <c r="N115" s="18">
        <v>1</v>
      </c>
      <c r="O115" s="19">
        <f t="shared" si="327"/>
        <v>8.5143999999999997E-2</v>
      </c>
      <c r="P115" s="16"/>
      <c r="Q115" s="18"/>
      <c r="R115" s="19">
        <f t="shared" si="328"/>
        <v>0</v>
      </c>
      <c r="S115" s="20">
        <f t="shared" si="329"/>
        <v>1</v>
      </c>
      <c r="T115" s="19">
        <f t="shared" si="330"/>
        <v>8.5143999999999997E-2</v>
      </c>
      <c r="U115" s="21">
        <f t="shared" si="331"/>
        <v>-1</v>
      </c>
      <c r="V115" s="19">
        <f t="shared" si="332"/>
        <v>-8.5143999999999997E-2</v>
      </c>
    </row>
    <row r="116" spans="1:22">
      <c r="A116" s="26" t="s">
        <v>14</v>
      </c>
      <c r="B116" s="26" t="s">
        <v>58</v>
      </c>
      <c r="C116" s="30">
        <v>7.34</v>
      </c>
      <c r="D116" s="27"/>
      <c r="E116" s="28"/>
      <c r="F116" s="16">
        <f t="shared" si="315"/>
        <v>0</v>
      </c>
      <c r="G116" s="17"/>
      <c r="H116" s="18"/>
      <c r="I116" s="19">
        <f t="shared" si="316"/>
        <v>0</v>
      </c>
      <c r="J116" s="16"/>
      <c r="K116" s="18"/>
      <c r="L116" s="19">
        <f t="shared" si="317"/>
        <v>0</v>
      </c>
      <c r="M116" s="16"/>
      <c r="N116" s="18"/>
      <c r="O116" s="19">
        <f t="shared" si="318"/>
        <v>0</v>
      </c>
      <c r="P116" s="16"/>
      <c r="Q116" s="18"/>
      <c r="R116" s="19">
        <f t="shared" si="319"/>
        <v>0</v>
      </c>
      <c r="S116" s="20">
        <f t="shared" si="320"/>
        <v>0</v>
      </c>
      <c r="T116" s="19">
        <f t="shared" si="321"/>
        <v>0</v>
      </c>
      <c r="U116" s="21">
        <f t="shared" si="322"/>
        <v>0</v>
      </c>
      <c r="V116" s="19">
        <f t="shared" si="323"/>
        <v>0</v>
      </c>
    </row>
    <row r="117" spans="1:22">
      <c r="A117" s="36"/>
      <c r="B117" s="36"/>
      <c r="C117" s="37"/>
      <c r="D117" s="38"/>
      <c r="E117" s="31">
        <f t="shared" ref="E117:F117" si="333">SUM(E110:E116)</f>
        <v>377</v>
      </c>
      <c r="F117" s="38">
        <f t="shared" si="333"/>
        <v>30.913143999999999</v>
      </c>
      <c r="H117" s="31">
        <f t="shared" ref="H117" si="334">SUM(H110:H116)</f>
        <v>70</v>
      </c>
      <c r="I117" s="38">
        <f t="shared" ref="I117" si="335">SUM(I110:I116)</f>
        <v>5.6371199999999995</v>
      </c>
      <c r="K117" s="31">
        <f t="shared" ref="K117" si="336">SUM(K110:K116)</f>
        <v>214</v>
      </c>
      <c r="L117" s="38">
        <f t="shared" ref="L117" si="337">SUM(L110:L116)</f>
        <v>17.870697999999997</v>
      </c>
      <c r="N117" s="31">
        <f t="shared" ref="N117" si="338">SUM(N110:N116)</f>
        <v>93</v>
      </c>
      <c r="O117" s="38">
        <f t="shared" ref="O117" si="339">SUM(O110:O116)</f>
        <v>7.4948739999999985</v>
      </c>
      <c r="Q117" s="31">
        <f t="shared" ref="Q117" si="340">SUM(Q110:Q116)</f>
        <v>0</v>
      </c>
      <c r="R117" s="38">
        <f t="shared" ref="R117" si="341">SUM(R110:R116)</f>
        <v>0</v>
      </c>
      <c r="S117" s="31">
        <f t="shared" ref="S117" si="342">SUM(S110:S116)</f>
        <v>377</v>
      </c>
      <c r="T117" s="38">
        <f t="shared" ref="T117" si="343">SUM(T110:T116)</f>
        <v>31.002691999999996</v>
      </c>
      <c r="U117" s="31">
        <f t="shared" ref="U117" si="344">SUM(U110:U116)</f>
        <v>0</v>
      </c>
      <c r="V117" s="38">
        <f t="shared" ref="V117" si="345">SUM(V110:V116)</f>
        <v>-8.9548000000000072E-2</v>
      </c>
    </row>
    <row r="118" spans="1:22">
      <c r="A118" s="26" t="s">
        <v>14</v>
      </c>
      <c r="B118" s="26" t="s">
        <v>26</v>
      </c>
      <c r="C118" s="30">
        <v>8.3000000000000007</v>
      </c>
      <c r="D118" s="27">
        <v>10</v>
      </c>
      <c r="E118" s="28">
        <v>71</v>
      </c>
      <c r="F118" s="16">
        <f t="shared" ref="F118:F124" si="346">(C118*D118*E118/1000)</f>
        <v>5.8929999999999998</v>
      </c>
      <c r="G118" s="16" t="s">
        <v>93</v>
      </c>
      <c r="H118" s="18">
        <v>15</v>
      </c>
      <c r="I118" s="19">
        <f t="shared" ref="I118:I124" si="347">(C118*D118*H118/1000)</f>
        <v>1.2450000000000001</v>
      </c>
      <c r="J118" s="16" t="s">
        <v>325</v>
      </c>
      <c r="K118" s="18">
        <v>46</v>
      </c>
      <c r="L118" s="19">
        <f t="shared" ref="L118:L124" si="348">(C118*D118*K118/1000)</f>
        <v>3.8180000000000001</v>
      </c>
      <c r="M118" s="16" t="s">
        <v>93</v>
      </c>
      <c r="N118" s="18"/>
      <c r="O118" s="19">
        <f t="shared" ref="O118:O124" si="349">(C118*D118*N118/1000)</f>
        <v>0</v>
      </c>
      <c r="P118" s="17" t="s">
        <v>89</v>
      </c>
      <c r="Q118" s="18"/>
      <c r="R118" s="19">
        <f t="shared" ref="R118:R124" si="350">(C118*D118*Q118/1000)</f>
        <v>0</v>
      </c>
      <c r="S118" s="20">
        <f t="shared" ref="S118:S124" si="351">+H118+K118+Q118+N118</f>
        <v>61</v>
      </c>
      <c r="T118" s="19">
        <f t="shared" ref="T118:T124" si="352">+I118+L118+R118+O118</f>
        <v>5.0630000000000006</v>
      </c>
      <c r="U118" s="21">
        <f t="shared" ref="U118:U124" si="353">E118-S118</f>
        <v>10</v>
      </c>
      <c r="V118" s="19">
        <f t="shared" ref="V118:V124" si="354">F118-T118</f>
        <v>0.82999999999999918</v>
      </c>
    </row>
    <row r="119" spans="1:22">
      <c r="A119" s="26" t="s">
        <v>14</v>
      </c>
      <c r="B119" s="26" t="s">
        <v>26</v>
      </c>
      <c r="C119" s="30">
        <v>8.3000000000000007</v>
      </c>
      <c r="D119" s="27">
        <v>10.5</v>
      </c>
      <c r="E119" s="28">
        <v>32</v>
      </c>
      <c r="F119" s="16">
        <f t="shared" si="346"/>
        <v>2.7888000000000002</v>
      </c>
      <c r="G119" s="16" t="s">
        <v>459</v>
      </c>
      <c r="H119" s="18">
        <v>13</v>
      </c>
      <c r="I119" s="19">
        <f t="shared" si="347"/>
        <v>1.1329500000000001</v>
      </c>
      <c r="J119" s="16" t="s">
        <v>465</v>
      </c>
      <c r="K119" s="18">
        <v>19</v>
      </c>
      <c r="L119" s="19">
        <f t="shared" si="348"/>
        <v>1.65585</v>
      </c>
      <c r="M119" s="16" t="s">
        <v>469</v>
      </c>
      <c r="N119" s="18"/>
      <c r="O119" s="19">
        <f t="shared" si="349"/>
        <v>0</v>
      </c>
      <c r="P119" s="17" t="s">
        <v>470</v>
      </c>
      <c r="Q119" s="18"/>
      <c r="R119" s="19">
        <f t="shared" si="350"/>
        <v>0</v>
      </c>
      <c r="S119" s="20">
        <f t="shared" si="351"/>
        <v>32</v>
      </c>
      <c r="T119" s="19">
        <f t="shared" si="352"/>
        <v>2.7888000000000002</v>
      </c>
      <c r="U119" s="21">
        <f t="shared" si="353"/>
        <v>0</v>
      </c>
      <c r="V119" s="19">
        <f t="shared" si="354"/>
        <v>0</v>
      </c>
    </row>
    <row r="120" spans="1:22">
      <c r="A120" s="26" t="s">
        <v>14</v>
      </c>
      <c r="B120" s="26" t="s">
        <v>26</v>
      </c>
      <c r="C120" s="30">
        <v>8.3000000000000007</v>
      </c>
      <c r="D120" s="27">
        <v>11</v>
      </c>
      <c r="E120" s="28">
        <v>29</v>
      </c>
      <c r="F120" s="16">
        <f t="shared" si="346"/>
        <v>2.6477000000000004</v>
      </c>
      <c r="G120" s="17"/>
      <c r="H120" s="18">
        <v>9</v>
      </c>
      <c r="I120" s="19">
        <f t="shared" si="347"/>
        <v>0.8217000000000001</v>
      </c>
      <c r="J120" s="16"/>
      <c r="K120" s="18">
        <v>16</v>
      </c>
      <c r="L120" s="19">
        <f t="shared" si="348"/>
        <v>1.4608000000000001</v>
      </c>
      <c r="M120" s="16"/>
      <c r="N120" s="18"/>
      <c r="O120" s="19">
        <f t="shared" si="349"/>
        <v>0</v>
      </c>
      <c r="P120" s="16"/>
      <c r="Q120" s="18"/>
      <c r="R120" s="19">
        <f t="shared" si="350"/>
        <v>0</v>
      </c>
      <c r="S120" s="20">
        <f t="shared" si="351"/>
        <v>25</v>
      </c>
      <c r="T120" s="19">
        <f t="shared" si="352"/>
        <v>2.2825000000000002</v>
      </c>
      <c r="U120" s="21">
        <f t="shared" si="353"/>
        <v>4</v>
      </c>
      <c r="V120" s="19">
        <f t="shared" si="354"/>
        <v>0.36520000000000019</v>
      </c>
    </row>
    <row r="121" spans="1:22">
      <c r="A121" s="26" t="s">
        <v>14</v>
      </c>
      <c r="B121" s="26" t="s">
        <v>26</v>
      </c>
      <c r="C121" s="30">
        <v>8.3000000000000007</v>
      </c>
      <c r="D121" s="27">
        <v>12</v>
      </c>
      <c r="E121" s="28">
        <v>75</v>
      </c>
      <c r="F121" s="16">
        <f t="shared" ref="F121:F123" si="355">(C121*D121*E121/1000)</f>
        <v>7.4700000000000006</v>
      </c>
      <c r="G121" s="17"/>
      <c r="H121" s="18">
        <v>36</v>
      </c>
      <c r="I121" s="19">
        <f t="shared" ref="I121:I123" si="356">(C121*D121*H121/1000)</f>
        <v>3.5856000000000003</v>
      </c>
      <c r="J121" s="16"/>
      <c r="K121" s="18">
        <v>30</v>
      </c>
      <c r="L121" s="19">
        <f t="shared" ref="L121:L123" si="357">(C121*D121*K121/1000)</f>
        <v>2.9880000000000004</v>
      </c>
      <c r="M121" s="16"/>
      <c r="N121" s="18"/>
      <c r="O121" s="19">
        <f t="shared" ref="O121:O123" si="358">(C121*D121*N121/1000)</f>
        <v>0</v>
      </c>
      <c r="P121" s="16"/>
      <c r="Q121" s="18"/>
      <c r="R121" s="19">
        <f t="shared" ref="R121:R123" si="359">(C121*D121*Q121/1000)</f>
        <v>0</v>
      </c>
      <c r="S121" s="20">
        <f t="shared" ref="S121:S123" si="360">+H121+K121+Q121+N121</f>
        <v>66</v>
      </c>
      <c r="T121" s="19">
        <f t="shared" ref="T121:T123" si="361">+I121+L121+R121+O121</f>
        <v>6.5736000000000008</v>
      </c>
      <c r="U121" s="21">
        <f t="shared" ref="U121:U123" si="362">E121-S121</f>
        <v>9</v>
      </c>
      <c r="V121" s="19">
        <f t="shared" ref="V121:V123" si="363">F121-T121</f>
        <v>0.89639999999999986</v>
      </c>
    </row>
    <row r="122" spans="1:22">
      <c r="A122" s="26" t="s">
        <v>14</v>
      </c>
      <c r="B122" s="26" t="s">
        <v>26</v>
      </c>
      <c r="C122" s="30">
        <v>8.3000000000000007</v>
      </c>
      <c r="D122" s="27">
        <v>8.6999999999999993</v>
      </c>
      <c r="E122" s="28"/>
      <c r="F122" s="16">
        <f t="shared" si="355"/>
        <v>0</v>
      </c>
      <c r="G122" s="17"/>
      <c r="H122" s="18"/>
      <c r="I122" s="19">
        <f t="shared" si="356"/>
        <v>0</v>
      </c>
      <c r="J122" s="16"/>
      <c r="K122" s="18"/>
      <c r="L122" s="19">
        <f t="shared" si="357"/>
        <v>0</v>
      </c>
      <c r="M122" s="16"/>
      <c r="N122" s="18">
        <v>6</v>
      </c>
      <c r="O122" s="19">
        <f t="shared" si="358"/>
        <v>0.43325999999999998</v>
      </c>
      <c r="P122" s="16"/>
      <c r="Q122" s="18"/>
      <c r="R122" s="19">
        <f t="shared" si="359"/>
        <v>0</v>
      </c>
      <c r="S122" s="20">
        <f t="shared" si="360"/>
        <v>6</v>
      </c>
      <c r="T122" s="19">
        <f t="shared" si="361"/>
        <v>0.43325999999999998</v>
      </c>
      <c r="U122" s="21">
        <f t="shared" si="362"/>
        <v>-6</v>
      </c>
      <c r="V122" s="19">
        <f t="shared" si="363"/>
        <v>-0.43325999999999998</v>
      </c>
    </row>
    <row r="123" spans="1:22">
      <c r="A123" s="26" t="s">
        <v>14</v>
      </c>
      <c r="B123" s="26" t="s">
        <v>26</v>
      </c>
      <c r="C123" s="30">
        <v>8.3000000000000007</v>
      </c>
      <c r="D123" s="27">
        <v>9.5</v>
      </c>
      <c r="E123" s="28"/>
      <c r="F123" s="16">
        <f t="shared" si="355"/>
        <v>0</v>
      </c>
      <c r="G123" s="17"/>
      <c r="H123" s="18"/>
      <c r="I123" s="19">
        <f t="shared" si="356"/>
        <v>0</v>
      </c>
      <c r="J123" s="16"/>
      <c r="K123" s="18"/>
      <c r="L123" s="19">
        <f t="shared" si="357"/>
        <v>0</v>
      </c>
      <c r="M123" s="16"/>
      <c r="N123" s="18">
        <v>14</v>
      </c>
      <c r="O123" s="19">
        <f t="shared" si="358"/>
        <v>1.1039000000000001</v>
      </c>
      <c r="P123" s="16"/>
      <c r="Q123" s="18"/>
      <c r="R123" s="19">
        <f t="shared" si="359"/>
        <v>0</v>
      </c>
      <c r="S123" s="20">
        <f t="shared" si="360"/>
        <v>14</v>
      </c>
      <c r="T123" s="19">
        <f t="shared" si="361"/>
        <v>1.1039000000000001</v>
      </c>
      <c r="U123" s="21">
        <f t="shared" si="362"/>
        <v>-14</v>
      </c>
      <c r="V123" s="19">
        <f t="shared" si="363"/>
        <v>-1.1039000000000001</v>
      </c>
    </row>
    <row r="124" spans="1:22">
      <c r="A124" s="26" t="s">
        <v>14</v>
      </c>
      <c r="B124" s="26" t="s">
        <v>26</v>
      </c>
      <c r="C124" s="30">
        <v>8.3000000000000007</v>
      </c>
      <c r="D124" s="27">
        <v>10.7</v>
      </c>
      <c r="E124" s="28"/>
      <c r="F124" s="16">
        <f t="shared" si="346"/>
        <v>0</v>
      </c>
      <c r="G124" s="17"/>
      <c r="H124" s="18"/>
      <c r="I124" s="19">
        <f t="shared" si="347"/>
        <v>0</v>
      </c>
      <c r="J124" s="16"/>
      <c r="K124" s="18"/>
      <c r="L124" s="19">
        <f t="shared" si="348"/>
        <v>0</v>
      </c>
      <c r="M124" s="16"/>
      <c r="N124" s="18"/>
      <c r="O124" s="19">
        <f t="shared" si="349"/>
        <v>0</v>
      </c>
      <c r="P124" s="16"/>
      <c r="Q124" s="18">
        <v>8</v>
      </c>
      <c r="R124" s="19">
        <f t="shared" si="350"/>
        <v>0.71048</v>
      </c>
      <c r="S124" s="20">
        <f t="shared" si="351"/>
        <v>8</v>
      </c>
      <c r="T124" s="19">
        <f t="shared" si="352"/>
        <v>0.71048</v>
      </c>
      <c r="U124" s="21">
        <f t="shared" si="353"/>
        <v>-8</v>
      </c>
      <c r="V124" s="19">
        <f t="shared" si="354"/>
        <v>-0.71048</v>
      </c>
    </row>
    <row r="125" spans="1:22">
      <c r="A125" s="36"/>
      <c r="B125" s="36"/>
      <c r="C125" s="36"/>
      <c r="D125" s="38"/>
      <c r="E125" s="31">
        <f t="shared" ref="E125:F125" si="364">SUM(E118:E124)</f>
        <v>207</v>
      </c>
      <c r="F125" s="38">
        <f t="shared" si="364"/>
        <v>18.799500000000002</v>
      </c>
      <c r="H125" s="31">
        <f t="shared" ref="H125" si="365">SUM(H118:H124)</f>
        <v>73</v>
      </c>
      <c r="I125" s="38">
        <f t="shared" ref="I125" si="366">SUM(I118:I124)</f>
        <v>6.7852500000000004</v>
      </c>
      <c r="K125" s="31">
        <f t="shared" ref="K125" si="367">SUM(K118:K124)</f>
        <v>111</v>
      </c>
      <c r="L125" s="38">
        <f t="shared" ref="L125" si="368">SUM(L118:L124)</f>
        <v>9.9226500000000009</v>
      </c>
      <c r="N125" s="31">
        <f t="shared" ref="N125" si="369">SUM(N118:N124)</f>
        <v>20</v>
      </c>
      <c r="O125" s="38">
        <f t="shared" ref="O125" si="370">SUM(O118:O124)</f>
        <v>1.5371600000000001</v>
      </c>
      <c r="Q125" s="31">
        <f t="shared" ref="Q125" si="371">SUM(Q118:Q124)</f>
        <v>8</v>
      </c>
      <c r="R125" s="38">
        <f t="shared" ref="R125" si="372">SUM(R118:R124)</f>
        <v>0.71048</v>
      </c>
      <c r="S125" s="31">
        <f t="shared" ref="S125" si="373">SUM(S118:S124)</f>
        <v>212</v>
      </c>
      <c r="T125" s="38">
        <f t="shared" ref="T125" si="374">SUM(T118:T124)</f>
        <v>18.955540000000003</v>
      </c>
      <c r="U125" s="31">
        <f t="shared" ref="U125" si="375">SUM(U118:U124)</f>
        <v>-5</v>
      </c>
      <c r="V125" s="38">
        <f t="shared" ref="V125" si="376">SUM(V118:V124)</f>
        <v>-0.15604000000000084</v>
      </c>
    </row>
    <row r="126" spans="1:22">
      <c r="A126" s="33"/>
      <c r="B126" s="33"/>
      <c r="C126" s="33"/>
      <c r="D126" s="75"/>
      <c r="E126" s="34">
        <f>SUM(E125,E117,E109,E95,E92,E151,E149,E77,E68,E63,E46,E40,E28,E26,E16,E7)</f>
        <v>2468</v>
      </c>
      <c r="F126" s="77">
        <f>SUM(F125,F117,F109,F95,F92,F151,F149,F77,F68,F63,F46,F40,F28,F26,F16,F7)</f>
        <v>339.53553399999998</v>
      </c>
      <c r="H126" s="34">
        <f>SUM(H125,H117,H109,H95,H92,H151,H149,H77,H68,H63,H46,H40,H28,H26,H16,H7)</f>
        <v>959</v>
      </c>
      <c r="I126" s="77">
        <f>SUM(I125,I117,I109,I95,I92,I151,I149,I77,I68,I63,I46,I40,I28,I26,I16,I7)</f>
        <v>132.72123300000001</v>
      </c>
      <c r="K126" s="34">
        <f>SUM(K125,K117,K109,K95,K92,K151,K149,K77,K68,K63,K46,K40,K28,K26,K16,K7)</f>
        <v>790</v>
      </c>
      <c r="L126" s="77">
        <f>SUM(L125,L117,L109,L95,L92,L151,L149,L77,L68,L63,L46,L40,L28,L26,L16,L7)</f>
        <v>111.45196799999999</v>
      </c>
      <c r="N126" s="34">
        <f>SUM(N125,N117,N109,N95,N92,N151,N149,N77,N68,N63,N46,N40,N28,N26,N16,N7)</f>
        <v>473</v>
      </c>
      <c r="O126" s="77">
        <f>SUM(O125,O117,O109,O95,O92,O151,O149,O77,O68,O63,O46,O40,O28,O26,O16,O7)</f>
        <v>54.097827000000002</v>
      </c>
      <c r="Q126" s="34">
        <f t="shared" ref="Q126:V126" si="377">SUM(Q125,Q117,Q109,Q95,Q92,Q151,Q149,Q77,Q68,Q63,Q46,Q40,Q28,Q26,Q16,Q7)</f>
        <v>100</v>
      </c>
      <c r="R126" s="77">
        <f t="shared" si="377"/>
        <v>16.005918000000001</v>
      </c>
      <c r="S126" s="34">
        <f t="shared" si="377"/>
        <v>2322</v>
      </c>
      <c r="T126" s="77">
        <f t="shared" si="377"/>
        <v>314.27694600000001</v>
      </c>
      <c r="U126" s="34">
        <f t="shared" si="377"/>
        <v>146</v>
      </c>
      <c r="V126" s="77">
        <f t="shared" si="377"/>
        <v>25.258588000000003</v>
      </c>
    </row>
    <row r="130" spans="1:22" s="56" customFormat="1" ht="15.6">
      <c r="A130" s="57" t="s">
        <v>14</v>
      </c>
      <c r="B130" s="57" t="s">
        <v>49</v>
      </c>
      <c r="C130" s="58">
        <v>14.7</v>
      </c>
      <c r="D130" s="59">
        <v>8.4</v>
      </c>
      <c r="E130" s="60">
        <f>18-S130</f>
        <v>18</v>
      </c>
      <c r="F130" s="61">
        <f t="shared" ref="F130:F143" si="378">(C130*D130*E130/1000)</f>
        <v>2.2226399999999997</v>
      </c>
      <c r="G130" s="62"/>
      <c r="H130" s="63"/>
      <c r="I130" s="64"/>
      <c r="J130" s="139"/>
      <c r="K130" s="63"/>
      <c r="L130" s="64"/>
      <c r="M130" s="62"/>
      <c r="N130" s="63"/>
      <c r="O130" s="64">
        <f t="shared" ref="O130:O143" si="379">(C130*D130*N130/1000)</f>
        <v>0</v>
      </c>
      <c r="P130" s="61"/>
      <c r="Q130" s="63"/>
      <c r="R130" s="64">
        <f t="shared" ref="R130:R143" si="380">(C130*D130*Q130/1000)</f>
        <v>0</v>
      </c>
      <c r="S130" s="65"/>
      <c r="T130" s="64">
        <f t="shared" ref="T130:T143" si="381">+I130+L130+R130+O130</f>
        <v>0</v>
      </c>
      <c r="U130" s="42">
        <f t="shared" ref="U130:U143" si="382">E130-S130</f>
        <v>18</v>
      </c>
      <c r="V130" s="64">
        <f t="shared" ref="V130:V143" si="383">F130-T130</f>
        <v>2.2226399999999997</v>
      </c>
    </row>
    <row r="131" spans="1:22" s="56" customFormat="1" ht="15.6">
      <c r="A131" s="57" t="s">
        <v>14</v>
      </c>
      <c r="B131" s="57" t="s">
        <v>49</v>
      </c>
      <c r="C131" s="58">
        <v>14.7</v>
      </c>
      <c r="D131" s="59">
        <v>8.8000000000000007</v>
      </c>
      <c r="E131" s="60">
        <f>23-23</f>
        <v>0</v>
      </c>
      <c r="F131" s="61">
        <f t="shared" si="378"/>
        <v>0</v>
      </c>
      <c r="G131" s="62"/>
      <c r="H131" s="63"/>
      <c r="I131" s="64"/>
      <c r="J131" s="139"/>
      <c r="K131" s="63"/>
      <c r="L131" s="64"/>
      <c r="M131" s="62"/>
      <c r="N131" s="63"/>
      <c r="O131" s="64">
        <f t="shared" si="379"/>
        <v>0</v>
      </c>
      <c r="P131" s="61"/>
      <c r="Q131" s="63"/>
      <c r="R131" s="64">
        <f t="shared" si="380"/>
        <v>0</v>
      </c>
      <c r="S131" s="65"/>
      <c r="T131" s="64">
        <f t="shared" si="381"/>
        <v>0</v>
      </c>
      <c r="U131" s="42">
        <f t="shared" si="382"/>
        <v>0</v>
      </c>
      <c r="V131" s="64">
        <f t="shared" si="383"/>
        <v>0</v>
      </c>
    </row>
    <row r="132" spans="1:22" s="56" customFormat="1">
      <c r="A132" s="57" t="s">
        <v>14</v>
      </c>
      <c r="B132" s="57" t="s">
        <v>49</v>
      </c>
      <c r="C132" s="58">
        <v>14.7</v>
      </c>
      <c r="D132" s="59">
        <v>10</v>
      </c>
      <c r="E132" s="60">
        <f>72-22-2</f>
        <v>48</v>
      </c>
      <c r="F132" s="61">
        <f t="shared" si="378"/>
        <v>7.056</v>
      </c>
      <c r="G132" s="62"/>
      <c r="H132" s="63"/>
      <c r="I132" s="64"/>
      <c r="J132" s="61"/>
      <c r="K132" s="63"/>
      <c r="L132" s="64"/>
      <c r="M132" s="61"/>
      <c r="N132" s="63"/>
      <c r="O132" s="64">
        <f t="shared" si="379"/>
        <v>0</v>
      </c>
      <c r="P132" s="61"/>
      <c r="Q132" s="63"/>
      <c r="R132" s="64">
        <f t="shared" si="380"/>
        <v>0</v>
      </c>
      <c r="S132" s="65"/>
      <c r="T132" s="64">
        <f t="shared" si="381"/>
        <v>0</v>
      </c>
      <c r="U132" s="42">
        <f t="shared" si="382"/>
        <v>48</v>
      </c>
      <c r="V132" s="64">
        <f t="shared" si="383"/>
        <v>7.056</v>
      </c>
    </row>
    <row r="133" spans="1:22" s="56" customFormat="1">
      <c r="A133" s="57" t="s">
        <v>14</v>
      </c>
      <c r="B133" s="57" t="s">
        <v>49</v>
      </c>
      <c r="C133" s="58">
        <v>14.7</v>
      </c>
      <c r="D133" s="59">
        <v>10.199999999999999</v>
      </c>
      <c r="E133" s="60">
        <f>64-6</f>
        <v>58</v>
      </c>
      <c r="F133" s="61">
        <f t="shared" si="378"/>
        <v>8.6965199999999978</v>
      </c>
      <c r="G133" s="62"/>
      <c r="H133" s="63"/>
      <c r="I133" s="64"/>
      <c r="J133" s="61"/>
      <c r="K133" s="63"/>
      <c r="L133" s="64"/>
      <c r="M133" s="61"/>
      <c r="N133" s="63"/>
      <c r="O133" s="64">
        <f t="shared" si="379"/>
        <v>0</v>
      </c>
      <c r="P133" s="61"/>
      <c r="Q133" s="63"/>
      <c r="R133" s="64">
        <f t="shared" si="380"/>
        <v>0</v>
      </c>
      <c r="S133" s="65"/>
      <c r="T133" s="64">
        <f t="shared" si="381"/>
        <v>0</v>
      </c>
      <c r="U133" s="42">
        <f t="shared" si="382"/>
        <v>58</v>
      </c>
      <c r="V133" s="64">
        <f t="shared" si="383"/>
        <v>8.6965199999999978</v>
      </c>
    </row>
    <row r="134" spans="1:22" s="56" customFormat="1">
      <c r="A134" s="57" t="s">
        <v>14</v>
      </c>
      <c r="B134" s="57" t="s">
        <v>49</v>
      </c>
      <c r="C134" s="58">
        <v>14.7</v>
      </c>
      <c r="D134" s="59">
        <v>10.6</v>
      </c>
      <c r="E134" s="60">
        <f>24-4</f>
        <v>20</v>
      </c>
      <c r="F134" s="61">
        <f t="shared" si="378"/>
        <v>3.1163999999999996</v>
      </c>
      <c r="G134" s="62"/>
      <c r="H134" s="63"/>
      <c r="I134" s="64"/>
      <c r="J134" s="61"/>
      <c r="K134" s="63"/>
      <c r="L134" s="64"/>
      <c r="M134" s="61"/>
      <c r="N134" s="63"/>
      <c r="O134" s="64">
        <f t="shared" si="379"/>
        <v>0</v>
      </c>
      <c r="P134" s="61"/>
      <c r="Q134" s="63"/>
      <c r="R134" s="64">
        <f t="shared" si="380"/>
        <v>0</v>
      </c>
      <c r="S134" s="65"/>
      <c r="T134" s="64">
        <f t="shared" si="381"/>
        <v>0</v>
      </c>
      <c r="U134" s="42">
        <f t="shared" si="382"/>
        <v>20</v>
      </c>
      <c r="V134" s="64">
        <f t="shared" si="383"/>
        <v>3.1163999999999996</v>
      </c>
    </row>
    <row r="135" spans="1:22" s="56" customFormat="1">
      <c r="A135" s="57" t="s">
        <v>14</v>
      </c>
      <c r="B135" s="57" t="s">
        <v>49</v>
      </c>
      <c r="C135" s="58">
        <v>14.7</v>
      </c>
      <c r="D135" s="59">
        <v>11</v>
      </c>
      <c r="E135" s="60">
        <f>199-18-10-1</f>
        <v>170</v>
      </c>
      <c r="F135" s="61">
        <f t="shared" si="378"/>
        <v>27.488999999999997</v>
      </c>
      <c r="G135" s="62"/>
      <c r="H135" s="63"/>
      <c r="I135" s="64"/>
      <c r="J135" s="61"/>
      <c r="K135" s="63"/>
      <c r="L135" s="64"/>
      <c r="M135" s="61"/>
      <c r="N135" s="63"/>
      <c r="O135" s="64">
        <f t="shared" si="379"/>
        <v>0</v>
      </c>
      <c r="P135" s="61"/>
      <c r="Q135" s="63"/>
      <c r="R135" s="64">
        <f t="shared" si="380"/>
        <v>0</v>
      </c>
      <c r="S135" s="65"/>
      <c r="T135" s="64">
        <f t="shared" si="381"/>
        <v>0</v>
      </c>
      <c r="U135" s="42">
        <f t="shared" si="382"/>
        <v>170</v>
      </c>
      <c r="V135" s="64">
        <f t="shared" si="383"/>
        <v>27.488999999999997</v>
      </c>
    </row>
    <row r="136" spans="1:22" s="56" customFormat="1">
      <c r="A136" s="57" t="s">
        <v>14</v>
      </c>
      <c r="B136" s="57" t="s">
        <v>49</v>
      </c>
      <c r="C136" s="58">
        <v>14.7</v>
      </c>
      <c r="D136" s="59">
        <v>11.5</v>
      </c>
      <c r="E136" s="60">
        <f>218-27</f>
        <v>191</v>
      </c>
      <c r="F136" s="61">
        <f t="shared" si="378"/>
        <v>32.288549999999994</v>
      </c>
      <c r="G136" s="62"/>
      <c r="H136" s="63"/>
      <c r="I136" s="64"/>
      <c r="J136" s="61"/>
      <c r="K136" s="63"/>
      <c r="L136" s="64"/>
      <c r="M136" s="61"/>
      <c r="N136" s="63"/>
      <c r="O136" s="64">
        <f t="shared" si="379"/>
        <v>0</v>
      </c>
      <c r="P136" s="61"/>
      <c r="Q136" s="63"/>
      <c r="R136" s="64">
        <f t="shared" si="380"/>
        <v>0</v>
      </c>
      <c r="S136" s="65"/>
      <c r="T136" s="64">
        <f t="shared" si="381"/>
        <v>0</v>
      </c>
      <c r="U136" s="42">
        <f t="shared" si="382"/>
        <v>191</v>
      </c>
      <c r="V136" s="64">
        <f t="shared" si="383"/>
        <v>32.288549999999994</v>
      </c>
    </row>
    <row r="137" spans="1:22" s="56" customFormat="1">
      <c r="A137" s="57" t="s">
        <v>14</v>
      </c>
      <c r="B137" s="57" t="s">
        <v>49</v>
      </c>
      <c r="C137" s="58">
        <v>14.7</v>
      </c>
      <c r="D137" s="59">
        <v>11.7</v>
      </c>
      <c r="E137" s="60">
        <f>216-62-3</f>
        <v>151</v>
      </c>
      <c r="F137" s="61">
        <f t="shared" si="378"/>
        <v>25.970489999999998</v>
      </c>
      <c r="G137" s="62"/>
      <c r="H137" s="63"/>
      <c r="I137" s="64"/>
      <c r="J137" s="61"/>
      <c r="K137" s="63"/>
      <c r="L137" s="64"/>
      <c r="M137" s="61"/>
      <c r="N137" s="63"/>
      <c r="O137" s="64">
        <f t="shared" si="379"/>
        <v>0</v>
      </c>
      <c r="P137" s="61"/>
      <c r="Q137" s="63"/>
      <c r="R137" s="64">
        <f t="shared" si="380"/>
        <v>0</v>
      </c>
      <c r="S137" s="65"/>
      <c r="T137" s="64">
        <f t="shared" si="381"/>
        <v>0</v>
      </c>
      <c r="U137" s="42">
        <f t="shared" si="382"/>
        <v>151</v>
      </c>
      <c r="V137" s="64">
        <f t="shared" si="383"/>
        <v>25.970489999999998</v>
      </c>
    </row>
    <row r="138" spans="1:22" s="56" customFormat="1">
      <c r="A138" s="57" t="s">
        <v>14</v>
      </c>
      <c r="B138" s="57" t="s">
        <v>49</v>
      </c>
      <c r="C138" s="58">
        <v>14.7</v>
      </c>
      <c r="D138" s="59">
        <v>12</v>
      </c>
      <c r="E138" s="60">
        <f>132-81</f>
        <v>51</v>
      </c>
      <c r="F138" s="61">
        <f t="shared" si="378"/>
        <v>8.9963999999999995</v>
      </c>
      <c r="G138" s="62"/>
      <c r="H138" s="63"/>
      <c r="I138" s="64"/>
      <c r="J138" s="61"/>
      <c r="K138" s="63"/>
      <c r="L138" s="64"/>
      <c r="M138" s="61"/>
      <c r="N138" s="63"/>
      <c r="O138" s="64">
        <f t="shared" si="379"/>
        <v>0</v>
      </c>
      <c r="P138" s="61"/>
      <c r="Q138" s="63"/>
      <c r="R138" s="64">
        <f t="shared" si="380"/>
        <v>0</v>
      </c>
      <c r="S138" s="65"/>
      <c r="T138" s="64">
        <f t="shared" si="381"/>
        <v>0</v>
      </c>
      <c r="U138" s="42">
        <f t="shared" si="382"/>
        <v>51</v>
      </c>
      <c r="V138" s="64">
        <f t="shared" si="383"/>
        <v>8.9963999999999995</v>
      </c>
    </row>
    <row r="139" spans="1:22" s="56" customFormat="1">
      <c r="A139" s="57" t="s">
        <v>14</v>
      </c>
      <c r="B139" s="57" t="s">
        <v>49</v>
      </c>
      <c r="C139" s="58">
        <v>14.7</v>
      </c>
      <c r="D139" s="59">
        <v>11.9</v>
      </c>
      <c r="E139" s="60"/>
      <c r="F139" s="61">
        <f t="shared" si="378"/>
        <v>0</v>
      </c>
      <c r="G139" s="62"/>
      <c r="H139" s="63"/>
      <c r="I139" s="64"/>
      <c r="J139" s="61"/>
      <c r="K139" s="63"/>
      <c r="L139" s="64"/>
      <c r="M139" s="61"/>
      <c r="N139" s="63"/>
      <c r="O139" s="64">
        <f t="shared" si="379"/>
        <v>0</v>
      </c>
      <c r="P139" s="61"/>
      <c r="Q139" s="63"/>
      <c r="R139" s="64">
        <f t="shared" si="380"/>
        <v>0</v>
      </c>
      <c r="S139" s="65"/>
      <c r="T139" s="64">
        <f t="shared" si="381"/>
        <v>0</v>
      </c>
      <c r="U139" s="42">
        <f t="shared" si="382"/>
        <v>0</v>
      </c>
      <c r="V139" s="64">
        <f t="shared" si="383"/>
        <v>0</v>
      </c>
    </row>
    <row r="140" spans="1:22" s="56" customFormat="1">
      <c r="A140" s="57" t="s">
        <v>14</v>
      </c>
      <c r="B140" s="57" t="s">
        <v>49</v>
      </c>
      <c r="C140" s="58">
        <v>14.7</v>
      </c>
      <c r="D140" s="59">
        <v>11.1</v>
      </c>
      <c r="E140" s="60"/>
      <c r="F140" s="61">
        <f t="shared" si="378"/>
        <v>0</v>
      </c>
      <c r="G140" s="62"/>
      <c r="H140" s="63"/>
      <c r="I140" s="64"/>
      <c r="J140" s="61"/>
      <c r="K140" s="63"/>
      <c r="L140" s="64"/>
      <c r="M140" s="61"/>
      <c r="N140" s="63"/>
      <c r="O140" s="64">
        <f t="shared" si="379"/>
        <v>0</v>
      </c>
      <c r="P140" s="61"/>
      <c r="Q140" s="63"/>
      <c r="R140" s="64">
        <f t="shared" si="380"/>
        <v>0</v>
      </c>
      <c r="S140" s="65"/>
      <c r="T140" s="64">
        <f t="shared" si="381"/>
        <v>0</v>
      </c>
      <c r="U140" s="42">
        <f t="shared" si="382"/>
        <v>0</v>
      </c>
      <c r="V140" s="64">
        <f t="shared" si="383"/>
        <v>0</v>
      </c>
    </row>
    <row r="141" spans="1:22" s="56" customFormat="1">
      <c r="A141" s="57" t="s">
        <v>14</v>
      </c>
      <c r="B141" s="57" t="s">
        <v>49</v>
      </c>
      <c r="C141" s="58">
        <v>14.7</v>
      </c>
      <c r="D141" s="59">
        <v>10.5</v>
      </c>
      <c r="E141" s="60"/>
      <c r="F141" s="61">
        <f t="shared" si="378"/>
        <v>0</v>
      </c>
      <c r="G141" s="62"/>
      <c r="H141" s="63"/>
      <c r="I141" s="64"/>
      <c r="J141" s="61"/>
      <c r="K141" s="63"/>
      <c r="L141" s="64"/>
      <c r="M141" s="61"/>
      <c r="N141" s="63"/>
      <c r="O141" s="64">
        <f t="shared" si="379"/>
        <v>0</v>
      </c>
      <c r="P141" s="61"/>
      <c r="Q141" s="63"/>
      <c r="R141" s="64">
        <f t="shared" si="380"/>
        <v>0</v>
      </c>
      <c r="S141" s="65"/>
      <c r="T141" s="64">
        <f t="shared" si="381"/>
        <v>0</v>
      </c>
      <c r="U141" s="42">
        <f t="shared" si="382"/>
        <v>0</v>
      </c>
      <c r="V141" s="64">
        <f t="shared" si="383"/>
        <v>0</v>
      </c>
    </row>
    <row r="142" spans="1:22" s="56" customFormat="1">
      <c r="A142" s="57" t="s">
        <v>14</v>
      </c>
      <c r="B142" s="57" t="s">
        <v>49</v>
      </c>
      <c r="C142" s="58">
        <v>14.7</v>
      </c>
      <c r="D142" s="59">
        <v>11.3</v>
      </c>
      <c r="E142" s="60"/>
      <c r="F142" s="61">
        <f t="shared" si="378"/>
        <v>0</v>
      </c>
      <c r="G142" s="62"/>
      <c r="H142" s="63"/>
      <c r="I142" s="64"/>
      <c r="J142" s="61"/>
      <c r="K142" s="63"/>
      <c r="L142" s="64"/>
      <c r="M142" s="61"/>
      <c r="N142" s="63"/>
      <c r="O142" s="64">
        <f t="shared" si="379"/>
        <v>0</v>
      </c>
      <c r="P142" s="61"/>
      <c r="Q142" s="63"/>
      <c r="R142" s="64">
        <f t="shared" si="380"/>
        <v>0</v>
      </c>
      <c r="S142" s="65"/>
      <c r="T142" s="64">
        <f t="shared" si="381"/>
        <v>0</v>
      </c>
      <c r="U142" s="42">
        <f t="shared" si="382"/>
        <v>0</v>
      </c>
      <c r="V142" s="64">
        <f t="shared" si="383"/>
        <v>0</v>
      </c>
    </row>
    <row r="143" spans="1:22">
      <c r="A143" s="57" t="s">
        <v>14</v>
      </c>
      <c r="B143" s="57" t="s">
        <v>49</v>
      </c>
      <c r="C143" s="58">
        <v>14.7</v>
      </c>
      <c r="D143" s="59"/>
      <c r="E143" s="60"/>
      <c r="F143" s="61">
        <f t="shared" si="378"/>
        <v>0</v>
      </c>
      <c r="G143" s="62"/>
      <c r="H143" s="63"/>
      <c r="I143" s="64"/>
      <c r="J143" s="61"/>
      <c r="K143" s="63"/>
      <c r="L143" s="64"/>
      <c r="M143" s="61"/>
      <c r="N143" s="63"/>
      <c r="O143" s="64">
        <f t="shared" si="379"/>
        <v>0</v>
      </c>
      <c r="P143" s="61"/>
      <c r="Q143" s="63"/>
      <c r="R143" s="64">
        <f t="shared" si="380"/>
        <v>0</v>
      </c>
      <c r="S143" s="65">
        <v>0</v>
      </c>
      <c r="T143" s="64">
        <f t="shared" si="381"/>
        <v>0</v>
      </c>
      <c r="U143" s="42">
        <f t="shared" si="382"/>
        <v>0</v>
      </c>
      <c r="V143" s="64">
        <f t="shared" si="383"/>
        <v>0</v>
      </c>
    </row>
    <row r="144" spans="1:22">
      <c r="A144" s="41"/>
      <c r="B144" s="41"/>
      <c r="C144" s="66"/>
      <c r="D144" s="67"/>
      <c r="E144" s="68">
        <f t="shared" ref="E144:F144" si="384">SUM(E130:E143)</f>
        <v>707</v>
      </c>
      <c r="F144" s="67">
        <f t="shared" si="384"/>
        <v>115.83599999999997</v>
      </c>
      <c r="G144" s="56"/>
      <c r="H144" s="68">
        <f t="shared" ref="H144:I144" si="385">SUM(H130:H143)</f>
        <v>0</v>
      </c>
      <c r="I144" s="67">
        <f t="shared" si="385"/>
        <v>0</v>
      </c>
      <c r="J144" s="56"/>
      <c r="K144" s="68">
        <f t="shared" ref="K144:L144" si="386">SUM(K130:K143)</f>
        <v>0</v>
      </c>
      <c r="L144" s="67">
        <f t="shared" si="386"/>
        <v>0</v>
      </c>
      <c r="M144" s="56"/>
      <c r="N144" s="68">
        <f t="shared" ref="N144:O144" si="387">SUM(N130:N143)</f>
        <v>0</v>
      </c>
      <c r="O144" s="67">
        <f t="shared" si="387"/>
        <v>0</v>
      </c>
      <c r="P144" s="56"/>
      <c r="Q144" s="68">
        <f t="shared" ref="Q144:V144" si="388">SUM(Q130:Q143)</f>
        <v>0</v>
      </c>
      <c r="R144" s="67">
        <f t="shared" si="388"/>
        <v>0</v>
      </c>
      <c r="S144" s="68">
        <f t="shared" si="388"/>
        <v>0</v>
      </c>
      <c r="T144" s="67">
        <f t="shared" si="388"/>
        <v>0</v>
      </c>
      <c r="U144" s="68">
        <f t="shared" si="388"/>
        <v>707</v>
      </c>
      <c r="V144" s="67">
        <f t="shared" si="388"/>
        <v>115.83599999999997</v>
      </c>
    </row>
    <row r="145" spans="1:22">
      <c r="A145" s="57" t="s">
        <v>14</v>
      </c>
      <c r="B145" s="57" t="s">
        <v>47</v>
      </c>
      <c r="C145" s="58">
        <v>18.2</v>
      </c>
      <c r="D145" s="59">
        <v>7.9</v>
      </c>
      <c r="E145" s="60">
        <v>36</v>
      </c>
      <c r="F145" s="61">
        <f t="shared" ref="F145:F148" si="389">(C145*D145*E145/1000)</f>
        <v>5.1760799999999998</v>
      </c>
      <c r="G145" s="62"/>
      <c r="H145" s="63"/>
      <c r="I145" s="64">
        <f t="shared" ref="I145:I148" si="390">(C145*D145*H145/1000)</f>
        <v>0</v>
      </c>
      <c r="J145" s="61"/>
      <c r="K145" s="63"/>
      <c r="L145" s="64">
        <f t="shared" ref="L145:L148" si="391">(C145*D145*K145/1000)</f>
        <v>0</v>
      </c>
      <c r="M145" s="61"/>
      <c r="N145" s="63"/>
      <c r="O145" s="64">
        <f t="shared" ref="O145:O148" si="392">(C145*D145*N145/1000)</f>
        <v>0</v>
      </c>
      <c r="P145" s="61"/>
      <c r="Q145" s="63"/>
      <c r="R145" s="64">
        <f t="shared" ref="R145:R148" si="393">(C145*D145*Q145/1000)</f>
        <v>0</v>
      </c>
      <c r="S145" s="65">
        <f t="shared" ref="S145:S148" si="394">+H145+K145+Q145+N145</f>
        <v>0</v>
      </c>
      <c r="T145" s="64">
        <f t="shared" ref="T145:T148" si="395">+I145+L145+R145+O145</f>
        <v>0</v>
      </c>
      <c r="U145" s="42">
        <f t="shared" ref="U145:U148" si="396">E145-S145</f>
        <v>36</v>
      </c>
      <c r="V145" s="64">
        <f t="shared" ref="V145:V148" si="397">F145-T145</f>
        <v>5.1760799999999998</v>
      </c>
    </row>
    <row r="146" spans="1:22">
      <c r="A146" s="57" t="s">
        <v>14</v>
      </c>
      <c r="B146" s="57" t="s">
        <v>47</v>
      </c>
      <c r="C146" s="58">
        <v>18.2</v>
      </c>
      <c r="D146" s="59">
        <v>9.6</v>
      </c>
      <c r="E146" s="60">
        <v>6</v>
      </c>
      <c r="F146" s="61">
        <f t="shared" si="389"/>
        <v>1.0483199999999999</v>
      </c>
      <c r="G146" s="62"/>
      <c r="H146" s="63"/>
      <c r="I146" s="64">
        <f t="shared" si="390"/>
        <v>0</v>
      </c>
      <c r="J146" s="61"/>
      <c r="K146" s="63"/>
      <c r="L146" s="64">
        <f t="shared" si="391"/>
        <v>0</v>
      </c>
      <c r="M146" s="61"/>
      <c r="N146" s="63"/>
      <c r="O146" s="64">
        <f t="shared" si="392"/>
        <v>0</v>
      </c>
      <c r="P146" s="61"/>
      <c r="Q146" s="63"/>
      <c r="R146" s="64">
        <f t="shared" si="393"/>
        <v>0</v>
      </c>
      <c r="S146" s="65">
        <f t="shared" si="394"/>
        <v>0</v>
      </c>
      <c r="T146" s="64">
        <f t="shared" si="395"/>
        <v>0</v>
      </c>
      <c r="U146" s="42">
        <f t="shared" si="396"/>
        <v>6</v>
      </c>
      <c r="V146" s="64">
        <f t="shared" si="397"/>
        <v>1.0483199999999999</v>
      </c>
    </row>
    <row r="147" spans="1:22">
      <c r="A147" s="57" t="s">
        <v>14</v>
      </c>
      <c r="B147" s="57" t="s">
        <v>47</v>
      </c>
      <c r="C147" s="58">
        <v>18.2</v>
      </c>
      <c r="D147" s="59">
        <v>10.8</v>
      </c>
      <c r="E147" s="60">
        <v>36</v>
      </c>
      <c r="F147" s="61">
        <f t="shared" si="389"/>
        <v>7.0761599999999998</v>
      </c>
      <c r="G147" s="62"/>
      <c r="H147" s="63"/>
      <c r="I147" s="64">
        <f t="shared" si="390"/>
        <v>0</v>
      </c>
      <c r="J147" s="61"/>
      <c r="K147" s="63"/>
      <c r="L147" s="64">
        <f t="shared" si="391"/>
        <v>0</v>
      </c>
      <c r="M147" s="61"/>
      <c r="N147" s="63"/>
      <c r="O147" s="64">
        <f t="shared" si="392"/>
        <v>0</v>
      </c>
      <c r="P147" s="61"/>
      <c r="Q147" s="63"/>
      <c r="R147" s="64">
        <f t="shared" si="393"/>
        <v>0</v>
      </c>
      <c r="S147" s="65">
        <f t="shared" si="394"/>
        <v>0</v>
      </c>
      <c r="T147" s="64">
        <f t="shared" si="395"/>
        <v>0</v>
      </c>
      <c r="U147" s="42">
        <f t="shared" si="396"/>
        <v>36</v>
      </c>
      <c r="V147" s="64">
        <f t="shared" si="397"/>
        <v>7.0761599999999998</v>
      </c>
    </row>
    <row r="148" spans="1:22">
      <c r="A148" s="57" t="s">
        <v>14</v>
      </c>
      <c r="B148" s="57" t="s">
        <v>47</v>
      </c>
      <c r="C148" s="58">
        <v>18.2</v>
      </c>
      <c r="D148" s="59">
        <v>11</v>
      </c>
      <c r="E148" s="60">
        <v>9</v>
      </c>
      <c r="F148" s="61">
        <f t="shared" si="389"/>
        <v>1.8017999999999998</v>
      </c>
      <c r="G148" s="62"/>
      <c r="H148" s="63"/>
      <c r="I148" s="64">
        <f t="shared" si="390"/>
        <v>0</v>
      </c>
      <c r="J148" s="61"/>
      <c r="K148" s="63"/>
      <c r="L148" s="64">
        <f t="shared" si="391"/>
        <v>0</v>
      </c>
      <c r="M148" s="61"/>
      <c r="N148" s="63"/>
      <c r="O148" s="64">
        <f t="shared" si="392"/>
        <v>0</v>
      </c>
      <c r="P148" s="61"/>
      <c r="Q148" s="63"/>
      <c r="R148" s="64">
        <f t="shared" si="393"/>
        <v>0</v>
      </c>
      <c r="S148" s="65">
        <f t="shared" si="394"/>
        <v>0</v>
      </c>
      <c r="T148" s="64">
        <f t="shared" si="395"/>
        <v>0</v>
      </c>
      <c r="U148" s="42">
        <f t="shared" si="396"/>
        <v>9</v>
      </c>
      <c r="V148" s="64">
        <f t="shared" si="397"/>
        <v>1.8017999999999998</v>
      </c>
    </row>
    <row r="149" spans="1:22">
      <c r="A149" s="41"/>
      <c r="B149" s="41"/>
      <c r="C149" s="66"/>
      <c r="D149" s="67"/>
      <c r="E149" s="68">
        <f t="shared" ref="E149:F149" si="398">SUM(E145:E148)</f>
        <v>87</v>
      </c>
      <c r="F149" s="67">
        <f t="shared" si="398"/>
        <v>15.102359999999999</v>
      </c>
      <c r="G149" s="56"/>
      <c r="H149" s="68">
        <f t="shared" ref="H149" si="399">SUM(H145:H148)</f>
        <v>0</v>
      </c>
      <c r="I149" s="67">
        <f t="shared" ref="I149" si="400">SUM(I145:I148)</f>
        <v>0</v>
      </c>
      <c r="J149" s="56"/>
      <c r="K149" s="68">
        <f t="shared" ref="K149" si="401">SUM(K145:K148)</f>
        <v>0</v>
      </c>
      <c r="L149" s="67">
        <f t="shared" ref="L149" si="402">SUM(L145:L148)</f>
        <v>0</v>
      </c>
      <c r="M149" s="56"/>
      <c r="N149" s="68">
        <f t="shared" ref="N149" si="403">SUM(N145:N148)</f>
        <v>0</v>
      </c>
      <c r="O149" s="67">
        <f t="shared" ref="O149" si="404">SUM(O145:O148)</f>
        <v>0</v>
      </c>
      <c r="P149" s="56"/>
      <c r="Q149" s="68">
        <f t="shared" ref="Q149" si="405">SUM(Q145:Q148)</f>
        <v>0</v>
      </c>
      <c r="R149" s="67">
        <f t="shared" ref="R149" si="406">SUM(R145:R148)</f>
        <v>0</v>
      </c>
      <c r="S149" s="68">
        <f t="shared" ref="S149" si="407">SUM(S145:S148)</f>
        <v>0</v>
      </c>
      <c r="T149" s="67">
        <f t="shared" ref="T149" si="408">SUM(T145:T148)</f>
        <v>0</v>
      </c>
      <c r="U149" s="68">
        <f t="shared" ref="U149" si="409">SUM(U145:U148)</f>
        <v>87</v>
      </c>
      <c r="V149" s="67">
        <f t="shared" ref="V149" si="410">SUM(V145:V148)</f>
        <v>15.102359999999999</v>
      </c>
    </row>
    <row r="150" spans="1:22">
      <c r="A150" s="57" t="s">
        <v>14</v>
      </c>
      <c r="B150" s="57" t="s">
        <v>123</v>
      </c>
      <c r="C150" s="58">
        <v>21.6</v>
      </c>
      <c r="D150" s="59">
        <v>7.95</v>
      </c>
      <c r="E150" s="60">
        <v>69</v>
      </c>
      <c r="F150" s="61">
        <f>(C150*D150*E150/1000)</f>
        <v>11.848680000000002</v>
      </c>
      <c r="G150" s="62"/>
      <c r="H150" s="63"/>
      <c r="I150" s="64">
        <f>(C150*D150*H150/1000)</f>
        <v>0</v>
      </c>
      <c r="J150" s="61"/>
      <c r="K150" s="63"/>
      <c r="L150" s="64">
        <f>(C150*D150*K150/1000)</f>
        <v>0</v>
      </c>
      <c r="M150" s="61"/>
      <c r="N150" s="63"/>
      <c r="O150" s="64">
        <f>(C150*D150*N150/1000)</f>
        <v>0</v>
      </c>
      <c r="P150" s="61"/>
      <c r="Q150" s="63"/>
      <c r="R150" s="64">
        <f>(C150*D150*Q150/1000)</f>
        <v>0</v>
      </c>
      <c r="S150" s="65">
        <f>+H150+K150+Q150+N150</f>
        <v>0</v>
      </c>
      <c r="T150" s="64">
        <f>+I150+L150+R150+O150</f>
        <v>0</v>
      </c>
      <c r="U150" s="42">
        <f>E150-S150</f>
        <v>69</v>
      </c>
      <c r="V150" s="64">
        <f>F150-T150</f>
        <v>11.848680000000002</v>
      </c>
    </row>
    <row r="151" spans="1:22">
      <c r="A151" s="41"/>
      <c r="B151" s="41"/>
      <c r="C151" s="66"/>
      <c r="D151" s="67"/>
      <c r="E151" s="68">
        <f t="shared" ref="E151:F151" si="411">SUM(E150)</f>
        <v>69</v>
      </c>
      <c r="F151" s="67">
        <f t="shared" si="411"/>
        <v>11.848680000000002</v>
      </c>
      <c r="G151" s="56"/>
      <c r="H151" s="68">
        <f t="shared" ref="H151" si="412">SUM(H150)</f>
        <v>0</v>
      </c>
      <c r="I151" s="67">
        <f t="shared" ref="I151" si="413">SUM(I150)</f>
        <v>0</v>
      </c>
      <c r="J151" s="56"/>
      <c r="K151" s="68">
        <f t="shared" ref="K151" si="414">SUM(K150)</f>
        <v>0</v>
      </c>
      <c r="L151" s="67">
        <f t="shared" ref="L151" si="415">SUM(L150)</f>
        <v>0</v>
      </c>
      <c r="M151" s="56"/>
      <c r="N151" s="68">
        <f t="shared" ref="N151" si="416">SUM(N150)</f>
        <v>0</v>
      </c>
      <c r="O151" s="67">
        <f t="shared" ref="O151" si="417">SUM(O150)</f>
        <v>0</v>
      </c>
      <c r="P151" s="56"/>
      <c r="Q151" s="68">
        <f t="shared" ref="Q151" si="418">SUM(Q150)</f>
        <v>0</v>
      </c>
      <c r="R151" s="67">
        <f t="shared" ref="R151" si="419">SUM(R150)</f>
        <v>0</v>
      </c>
      <c r="S151" s="68">
        <f t="shared" ref="S151" si="420">SUM(S150)</f>
        <v>0</v>
      </c>
      <c r="T151" s="67">
        <f t="shared" ref="T151" si="421">SUM(T150)</f>
        <v>0</v>
      </c>
      <c r="U151" s="68">
        <f t="shared" ref="U151" si="422">SUM(U150)</f>
        <v>69</v>
      </c>
      <c r="V151" s="67">
        <f t="shared" ref="V151" si="423">SUM(V150)</f>
        <v>11.848680000000002</v>
      </c>
    </row>
    <row r="152" spans="1:2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</row>
  </sheetData>
  <sortState ref="D79:N89">
    <sortCondition ref="D79:D89"/>
  </sortState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V16"/>
  <sheetViews>
    <sheetView zoomScale="75" zoomScaleNormal="75" workbookViewId="0">
      <pane ySplit="5" topLeftCell="A6" activePane="bottomLeft" state="frozen"/>
      <selection activeCell="A4" sqref="A4"/>
      <selection pane="bottomLeft" activeCell="J9" sqref="J9:J1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385</v>
      </c>
      <c r="B1" s="1"/>
      <c r="C1" s="1" t="str">
        <f>+F2</f>
        <v>LOI-832  19.09.23</v>
      </c>
      <c r="D1" s="1"/>
      <c r="E1" s="2"/>
      <c r="F1" s="2"/>
      <c r="G1" s="143" t="s">
        <v>221</v>
      </c>
      <c r="H1" s="144"/>
      <c r="I1" s="145" t="s">
        <v>433</v>
      </c>
      <c r="J1" s="144"/>
      <c r="K1" s="3"/>
      <c r="L1" s="4"/>
      <c r="M1" s="4"/>
      <c r="N1" s="3"/>
      <c r="O1" s="4"/>
      <c r="P1" s="146" t="str">
        <f>+F2</f>
        <v>LOI-832  19.09.23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218</v>
      </c>
      <c r="B2" s="8"/>
      <c r="C2" s="9"/>
      <c r="D2" s="9"/>
      <c r="E2" s="10"/>
      <c r="F2" s="146" t="s">
        <v>432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LOI-832  19.09.23</v>
      </c>
      <c r="V2" s="146"/>
    </row>
    <row r="3" spans="1:22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255</v>
      </c>
      <c r="C6" s="30">
        <v>25.2</v>
      </c>
      <c r="D6" s="27">
        <v>9.5</v>
      </c>
      <c r="E6" s="78">
        <v>20</v>
      </c>
      <c r="F6" s="16">
        <f t="shared" ref="F6:F7" si="0">(C6*D6*E6/1000)</f>
        <v>4.7880000000000003</v>
      </c>
      <c r="G6" s="17"/>
      <c r="H6" s="18"/>
      <c r="I6" s="19">
        <f>(C6*D6*H6/1000)</f>
        <v>0</v>
      </c>
      <c r="J6" s="16" t="s">
        <v>86</v>
      </c>
      <c r="K6" s="18">
        <v>20</v>
      </c>
      <c r="L6" s="19">
        <f>(C6*D6*K6/1000)</f>
        <v>4.7880000000000003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 t="shared" ref="S6:T7" si="1">+H6+K6+Q6+N6</f>
        <v>20</v>
      </c>
      <c r="T6" s="19">
        <f t="shared" si="1"/>
        <v>4.7880000000000003</v>
      </c>
      <c r="U6" s="21">
        <f>E6-S6</f>
        <v>0</v>
      </c>
      <c r="V6" s="19">
        <f>F6-T6</f>
        <v>0</v>
      </c>
    </row>
    <row r="7" spans="1:22">
      <c r="A7" s="26" t="s">
        <v>13</v>
      </c>
      <c r="B7" s="26" t="s">
        <v>255</v>
      </c>
      <c r="C7" s="30">
        <v>25.2</v>
      </c>
      <c r="D7" s="27">
        <v>12</v>
      </c>
      <c r="E7" s="28">
        <v>5</v>
      </c>
      <c r="F7" s="16">
        <f t="shared" si="0"/>
        <v>1.512</v>
      </c>
      <c r="G7" s="17" t="s">
        <v>445</v>
      </c>
      <c r="H7" s="18"/>
      <c r="I7" s="19">
        <f>(C7*D7*H7/1000)</f>
        <v>0</v>
      </c>
      <c r="J7" s="17" t="s">
        <v>472</v>
      </c>
      <c r="K7" s="18">
        <v>5</v>
      </c>
      <c r="L7" s="19">
        <f>(C7*D7*K7/1000)</f>
        <v>1.512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 t="shared" si="1"/>
        <v>5</v>
      </c>
      <c r="T7" s="19">
        <f t="shared" si="1"/>
        <v>1.512</v>
      </c>
      <c r="U7" s="21">
        <f>E7-S7</f>
        <v>0</v>
      </c>
      <c r="V7" s="19">
        <f>F7-T7</f>
        <v>0</v>
      </c>
    </row>
    <row r="8" spans="1:22">
      <c r="A8" s="36"/>
      <c r="B8" s="36"/>
      <c r="C8" s="37"/>
      <c r="D8" s="38"/>
      <c r="E8" s="31">
        <f>SUM(E6:E7)</f>
        <v>25</v>
      </c>
      <c r="F8" s="38">
        <f>SUM(F6:F7)</f>
        <v>6.3000000000000007</v>
      </c>
      <c r="G8" s="26"/>
      <c r="H8" s="31">
        <f>SUM(H6:H7)</f>
        <v>0</v>
      </c>
      <c r="I8" s="38">
        <f>SUM(I6:I7)</f>
        <v>0</v>
      </c>
      <c r="J8" s="26"/>
      <c r="K8" s="31">
        <f>SUM(K6:K7)</f>
        <v>25</v>
      </c>
      <c r="L8" s="38">
        <f>SUM(L6:L7)</f>
        <v>6.3000000000000007</v>
      </c>
      <c r="M8" s="26"/>
      <c r="N8" s="31">
        <f>SUM(N6:N7)</f>
        <v>0</v>
      </c>
      <c r="O8" s="38">
        <f>SUM(O6:O7)</f>
        <v>0</v>
      </c>
      <c r="P8" s="26"/>
      <c r="Q8" s="31">
        <f t="shared" ref="Q8:V8" si="2">SUM(Q6:Q7)</f>
        <v>0</v>
      </c>
      <c r="R8" s="38">
        <f t="shared" si="2"/>
        <v>0</v>
      </c>
      <c r="S8" s="31">
        <f t="shared" si="2"/>
        <v>25</v>
      </c>
      <c r="T8" s="38">
        <f t="shared" si="2"/>
        <v>6.3000000000000007</v>
      </c>
      <c r="U8" s="31">
        <f t="shared" si="2"/>
        <v>0</v>
      </c>
      <c r="V8" s="38">
        <f t="shared" si="2"/>
        <v>0</v>
      </c>
    </row>
    <row r="9" spans="1:22">
      <c r="A9" s="26" t="s">
        <v>13</v>
      </c>
      <c r="B9" s="26" t="s">
        <v>126</v>
      </c>
      <c r="C9" s="30">
        <v>33.72</v>
      </c>
      <c r="D9" s="27">
        <v>11.7</v>
      </c>
      <c r="E9" s="78">
        <v>3</v>
      </c>
      <c r="F9" s="16">
        <f t="shared" ref="F9:F11" si="3">(C9*D9*E9/1000)</f>
        <v>1.1835719999999998</v>
      </c>
      <c r="G9" s="17" t="s">
        <v>89</v>
      </c>
      <c r="H9" s="18"/>
      <c r="I9" s="19">
        <f>(C9*D9*H9/1000)</f>
        <v>0</v>
      </c>
      <c r="J9" s="16" t="s">
        <v>88</v>
      </c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 t="shared" ref="S9:S11" si="4">+H9+K9+Q9+N9</f>
        <v>0</v>
      </c>
      <c r="T9" s="19">
        <f t="shared" ref="T9:T11" si="5">+I9+L9+R9+O9</f>
        <v>0</v>
      </c>
      <c r="U9" s="21">
        <f t="shared" ref="U9:V11" si="6">E9-S9</f>
        <v>3</v>
      </c>
      <c r="V9" s="19">
        <f t="shared" si="6"/>
        <v>1.1835719999999998</v>
      </c>
    </row>
    <row r="10" spans="1:22">
      <c r="A10" s="26" t="s">
        <v>13</v>
      </c>
      <c r="B10" s="26" t="s">
        <v>126</v>
      </c>
      <c r="C10" s="30">
        <v>33.72</v>
      </c>
      <c r="D10" s="27">
        <v>11.8</v>
      </c>
      <c r="E10" s="78"/>
      <c r="F10" s="16">
        <f t="shared" ref="F10" si="7">(C10*D10*E10/1000)</f>
        <v>0</v>
      </c>
      <c r="G10" s="17" t="s">
        <v>483</v>
      </c>
      <c r="H10" s="18">
        <v>3</v>
      </c>
      <c r="I10" s="19">
        <f>(C10*D10*H10/1000)</f>
        <v>1.1936880000000001</v>
      </c>
      <c r="J10" s="17" t="s">
        <v>513</v>
      </c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ref="S10" si="8">+H10+K10+Q10+N10</f>
        <v>3</v>
      </c>
      <c r="T10" s="19">
        <f t="shared" ref="T10" si="9">+I10+L10+R10+O10</f>
        <v>1.1936880000000001</v>
      </c>
      <c r="U10" s="21">
        <f t="shared" si="6"/>
        <v>-3</v>
      </c>
      <c r="V10" s="19">
        <f t="shared" si="6"/>
        <v>-1.1936880000000001</v>
      </c>
    </row>
    <row r="11" spans="1:22">
      <c r="A11" s="26" t="s">
        <v>13</v>
      </c>
      <c r="B11" s="26" t="s">
        <v>126</v>
      </c>
      <c r="C11" s="30">
        <v>33.72</v>
      </c>
      <c r="D11" s="27">
        <v>8.8000000000000007</v>
      </c>
      <c r="E11" s="78"/>
      <c r="F11" s="16">
        <f t="shared" si="3"/>
        <v>0</v>
      </c>
      <c r="G11" s="17"/>
      <c r="H11" s="18"/>
      <c r="I11" s="19">
        <f>(C11*D11*H11/1000)</f>
        <v>0</v>
      </c>
      <c r="J11" s="17"/>
      <c r="K11" s="18">
        <v>1</v>
      </c>
      <c r="L11" s="19">
        <f>(C11*D11*K11/1000)</f>
        <v>0.296736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 t="shared" si="4"/>
        <v>1</v>
      </c>
      <c r="T11" s="19">
        <f t="shared" si="5"/>
        <v>0.296736</v>
      </c>
      <c r="U11" s="21">
        <f t="shared" si="6"/>
        <v>-1</v>
      </c>
      <c r="V11" s="19">
        <f t="shared" si="6"/>
        <v>-0.296736</v>
      </c>
    </row>
    <row r="12" spans="1:22">
      <c r="A12" s="36"/>
      <c r="B12" s="36"/>
      <c r="C12" s="37"/>
      <c r="D12" s="38"/>
      <c r="E12" s="31">
        <f>SUM(E9:E11)</f>
        <v>3</v>
      </c>
      <c r="F12" s="38">
        <f>SUM(F9:F11)</f>
        <v>1.1835719999999998</v>
      </c>
      <c r="G12" s="26"/>
      <c r="H12" s="31">
        <f>SUM(H9:H11)</f>
        <v>3</v>
      </c>
      <c r="I12" s="38">
        <f>SUM(I9:I11)</f>
        <v>1.1936880000000001</v>
      </c>
      <c r="J12" s="26"/>
      <c r="K12" s="31">
        <f>SUM(K9:K11)</f>
        <v>1</v>
      </c>
      <c r="L12" s="38">
        <f>SUM(L9:L11)</f>
        <v>0.296736</v>
      </c>
      <c r="M12" s="26"/>
      <c r="N12" s="31">
        <f>SUM(N9:N11)</f>
        <v>0</v>
      </c>
      <c r="O12" s="38">
        <f>SUM(O9:O11)</f>
        <v>0</v>
      </c>
      <c r="P12" s="26"/>
      <c r="Q12" s="31">
        <f t="shared" ref="Q12:V12" si="10">SUM(Q9:Q11)</f>
        <v>0</v>
      </c>
      <c r="R12" s="38">
        <f t="shared" si="10"/>
        <v>0</v>
      </c>
      <c r="S12" s="31">
        <f t="shared" si="10"/>
        <v>4</v>
      </c>
      <c r="T12" s="38">
        <f t="shared" si="10"/>
        <v>1.490424</v>
      </c>
      <c r="U12" s="31">
        <f t="shared" si="10"/>
        <v>-1</v>
      </c>
      <c r="V12" s="38">
        <f t="shared" si="10"/>
        <v>-0.30685200000000024</v>
      </c>
    </row>
    <row r="13" spans="1:22">
      <c r="A13" s="26" t="s">
        <v>13</v>
      </c>
      <c r="B13" s="26" t="s">
        <v>125</v>
      </c>
      <c r="C13" s="30">
        <v>27.29</v>
      </c>
      <c r="D13" s="27">
        <v>6.7</v>
      </c>
      <c r="E13" s="78">
        <v>2</v>
      </c>
      <c r="F13" s="16">
        <f t="shared" ref="F13:F14" si="11">(C13*D13*E13/1000)</f>
        <v>0.36568599999999996</v>
      </c>
      <c r="G13" s="17" t="s">
        <v>89</v>
      </c>
      <c r="H13" s="18">
        <v>2</v>
      </c>
      <c r="I13" s="19">
        <f>(C13*D13*H13/1000)</f>
        <v>0.36568599999999996</v>
      </c>
      <c r="J13" s="16" t="s">
        <v>288</v>
      </c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 t="shared" ref="S13:T14" si="12">+H13+K13+Q13+N13</f>
        <v>2</v>
      </c>
      <c r="T13" s="19">
        <f t="shared" si="12"/>
        <v>0.36568599999999996</v>
      </c>
      <c r="U13" s="21">
        <f>E13-S13</f>
        <v>0</v>
      </c>
      <c r="V13" s="19">
        <f>F13-T13</f>
        <v>0</v>
      </c>
    </row>
    <row r="14" spans="1:22">
      <c r="A14" s="26" t="s">
        <v>13</v>
      </c>
      <c r="B14" s="26" t="s">
        <v>125</v>
      </c>
      <c r="C14" s="30">
        <v>27.29</v>
      </c>
      <c r="D14" s="27">
        <v>8.1999999999999993</v>
      </c>
      <c r="E14" s="78"/>
      <c r="F14" s="16">
        <f t="shared" si="11"/>
        <v>0</v>
      </c>
      <c r="G14" s="17" t="s">
        <v>483</v>
      </c>
      <c r="H14" s="18"/>
      <c r="I14" s="19">
        <f>(C14*D14*H14/1000)</f>
        <v>0</v>
      </c>
      <c r="J14" s="16" t="s">
        <v>513</v>
      </c>
      <c r="K14" s="18">
        <v>1</v>
      </c>
      <c r="L14" s="19">
        <f>(C14*D14*K14/1000)</f>
        <v>0.22377799999999998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 t="shared" si="12"/>
        <v>1</v>
      </c>
      <c r="T14" s="19">
        <f t="shared" si="12"/>
        <v>0.22377799999999998</v>
      </c>
      <c r="U14" s="21">
        <f>E14-S14</f>
        <v>-1</v>
      </c>
      <c r="V14" s="19">
        <f>F14-T14</f>
        <v>-0.22377799999999998</v>
      </c>
    </row>
    <row r="15" spans="1:22">
      <c r="A15" s="36"/>
      <c r="B15" s="36"/>
      <c r="C15" s="37"/>
      <c r="D15" s="38"/>
      <c r="E15" s="31">
        <f>SUM(E13:E14)</f>
        <v>2</v>
      </c>
      <c r="F15" s="38">
        <f>SUM(F13:F14)</f>
        <v>0.36568599999999996</v>
      </c>
      <c r="G15" s="26"/>
      <c r="H15" s="31">
        <f>SUM(H13:H14)</f>
        <v>2</v>
      </c>
      <c r="I15" s="38">
        <f>SUM(I13:I14)</f>
        <v>0.36568599999999996</v>
      </c>
      <c r="J15" s="26"/>
      <c r="K15" s="31">
        <f>SUM(K13:K14)</f>
        <v>1</v>
      </c>
      <c r="L15" s="38">
        <f>SUM(L13:L14)</f>
        <v>0.22377799999999998</v>
      </c>
      <c r="M15" s="26"/>
      <c r="N15" s="31">
        <f>SUM(N13:N14)</f>
        <v>0</v>
      </c>
      <c r="O15" s="38">
        <f>SUM(O13:O14)</f>
        <v>0</v>
      </c>
      <c r="P15" s="26"/>
      <c r="Q15" s="31">
        <f t="shared" ref="Q15:V15" si="13">SUM(Q13:Q14)</f>
        <v>0</v>
      </c>
      <c r="R15" s="38">
        <f t="shared" si="13"/>
        <v>0</v>
      </c>
      <c r="S15" s="31">
        <f t="shared" si="13"/>
        <v>3</v>
      </c>
      <c r="T15" s="38">
        <f t="shared" si="13"/>
        <v>0.58946399999999999</v>
      </c>
      <c r="U15" s="31">
        <f t="shared" si="13"/>
        <v>-1</v>
      </c>
      <c r="V15" s="38">
        <f t="shared" si="13"/>
        <v>-0.22377799999999998</v>
      </c>
    </row>
    <row r="16" spans="1:22">
      <c r="A16" s="33"/>
      <c r="B16" s="33"/>
      <c r="C16" s="34"/>
      <c r="D16" s="34"/>
      <c r="E16" s="34">
        <f>SUM(E6:E15)/2</f>
        <v>30</v>
      </c>
      <c r="F16" s="70">
        <f>SUM(F6:F15)/2</f>
        <v>7.8492580000000007</v>
      </c>
      <c r="G16" s="26"/>
      <c r="H16" s="34">
        <f>SUM(H6:H15)/2</f>
        <v>5</v>
      </c>
      <c r="I16" s="70">
        <f>SUM(I6:I15)/2</f>
        <v>1.559374</v>
      </c>
      <c r="J16" s="26"/>
      <c r="K16" s="34">
        <f>SUM(K6:K15)/2</f>
        <v>27</v>
      </c>
      <c r="L16" s="70">
        <f>SUM(L6:L15)/2</f>
        <v>6.8205139999999993</v>
      </c>
      <c r="M16" s="26"/>
      <c r="N16" s="34">
        <f>SUM(N6:N15)/2</f>
        <v>0</v>
      </c>
      <c r="O16" s="70">
        <f>SUM(O6:O15)/2</f>
        <v>0</v>
      </c>
      <c r="P16" s="26"/>
      <c r="Q16" s="34">
        <f t="shared" ref="Q16:V16" si="14">SUM(Q6:Q15)/2</f>
        <v>0</v>
      </c>
      <c r="R16" s="70">
        <f t="shared" si="14"/>
        <v>0</v>
      </c>
      <c r="S16" s="34">
        <f t="shared" si="14"/>
        <v>32</v>
      </c>
      <c r="T16" s="70">
        <f t="shared" si="14"/>
        <v>8.3798879999999993</v>
      </c>
      <c r="U16" s="34">
        <f t="shared" si="14"/>
        <v>-2</v>
      </c>
      <c r="V16" s="70">
        <f t="shared" si="14"/>
        <v>-0.53063000000000027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V62"/>
  <sheetViews>
    <sheetView zoomScale="75" zoomScaleNormal="75" workbookViewId="0">
      <pane ySplit="5" topLeftCell="A21" activePane="bottomLeft" state="frozen"/>
      <selection pane="bottomLeft" activeCell="P17" sqref="P17:P18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LOI-833  19.09.23</v>
      </c>
      <c r="D1" s="1"/>
      <c r="E1" s="2"/>
      <c r="F1" s="2"/>
      <c r="G1" s="143" t="s">
        <v>435</v>
      </c>
      <c r="H1" s="144"/>
      <c r="I1" s="145" t="s">
        <v>436</v>
      </c>
      <c r="J1" s="144"/>
      <c r="K1" s="3"/>
      <c r="L1" s="4"/>
      <c r="M1" s="4"/>
      <c r="N1" s="3"/>
      <c r="O1" s="4"/>
      <c r="P1" s="146" t="str">
        <f>+F2</f>
        <v>LOI-833  19.09.23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437</v>
      </c>
      <c r="B2" s="8"/>
      <c r="C2" s="9"/>
      <c r="D2" s="9"/>
      <c r="E2" s="10"/>
      <c r="F2" s="146" t="s">
        <v>434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LOI-833  19.09.23</v>
      </c>
      <c r="V2" s="146"/>
    </row>
    <row r="3" spans="1:22">
      <c r="A3" s="12" t="s">
        <v>438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439</v>
      </c>
      <c r="C6" s="26">
        <v>8.99</v>
      </c>
      <c r="D6" s="74">
        <v>10</v>
      </c>
      <c r="E6" s="28">
        <v>2</v>
      </c>
      <c r="F6" s="16">
        <f>(C6*D6*E6/1000)</f>
        <v>0.17980000000000002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2</v>
      </c>
      <c r="V6" s="19">
        <f>F6-T6</f>
        <v>0.17980000000000002</v>
      </c>
    </row>
    <row r="7" spans="1:22">
      <c r="A7" s="26" t="s">
        <v>13</v>
      </c>
      <c r="B7" s="26" t="s">
        <v>34</v>
      </c>
      <c r="C7" s="26">
        <v>8.99</v>
      </c>
      <c r="D7" s="74"/>
      <c r="E7" s="28"/>
      <c r="F7" s="16">
        <f>(C7*D7*E7/1000)</f>
        <v>0</v>
      </c>
      <c r="G7" s="16"/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378</v>
      </c>
      <c r="C8" s="26"/>
      <c r="D8" s="74"/>
      <c r="E8" s="31">
        <f>SUM(E6:E7)</f>
        <v>2</v>
      </c>
      <c r="F8" s="77">
        <f>SUM(F6:F7)</f>
        <v>0.17980000000000002</v>
      </c>
      <c r="G8" s="17"/>
      <c r="H8" s="31">
        <f>SUM(H6:H7)</f>
        <v>0</v>
      </c>
      <c r="I8" s="77">
        <f>SUM(I6:I7)</f>
        <v>0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0</v>
      </c>
      <c r="T8" s="77">
        <f t="shared" si="6"/>
        <v>0</v>
      </c>
      <c r="U8" s="31">
        <f t="shared" si="6"/>
        <v>2</v>
      </c>
      <c r="V8" s="77">
        <f t="shared" si="6"/>
        <v>0.17980000000000002</v>
      </c>
    </row>
    <row r="9" spans="1:22">
      <c r="A9" s="26" t="s">
        <v>13</v>
      </c>
      <c r="B9" s="26" t="s">
        <v>25</v>
      </c>
      <c r="C9" s="26">
        <v>13.4</v>
      </c>
      <c r="D9" s="74">
        <v>8.6999999999999993</v>
      </c>
      <c r="E9" s="28">
        <v>4</v>
      </c>
      <c r="F9" s="16">
        <f>(C9*D9*E9/1000)</f>
        <v>0.46632000000000001</v>
      </c>
      <c r="G9" s="16" t="s">
        <v>93</v>
      </c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4</v>
      </c>
      <c r="V9" s="19">
        <f>F9-T9</f>
        <v>0.46632000000000001</v>
      </c>
    </row>
    <row r="10" spans="1:22">
      <c r="A10" s="26" t="s">
        <v>13</v>
      </c>
      <c r="B10" s="26" t="s">
        <v>25</v>
      </c>
      <c r="C10" s="26">
        <v>13.4</v>
      </c>
      <c r="D10" s="74">
        <v>8.75</v>
      </c>
      <c r="E10" s="28"/>
      <c r="F10" s="16">
        <f>(C10*D10*E10/1000)</f>
        <v>0</v>
      </c>
      <c r="G10" s="16" t="s">
        <v>469</v>
      </c>
      <c r="H10" s="18">
        <v>4</v>
      </c>
      <c r="I10" s="19">
        <f t="shared" ref="I10" si="7">(C10*D10*H10/1000)</f>
        <v>0.46899999999999997</v>
      </c>
      <c r="J10" s="16"/>
      <c r="K10" s="18"/>
      <c r="L10" s="19">
        <f t="shared" ref="L10" si="8">(C10*D10*K10/1000)</f>
        <v>0</v>
      </c>
      <c r="M10" s="16"/>
      <c r="N10" s="18"/>
      <c r="O10" s="19">
        <f t="shared" ref="O10" si="9">(C10*D10*N10/1000)</f>
        <v>0</v>
      </c>
      <c r="P10" s="16"/>
      <c r="Q10" s="18"/>
      <c r="R10" s="19">
        <f t="shared" ref="R10" si="10">(C10*D10*Q10/1000)</f>
        <v>0</v>
      </c>
      <c r="S10" s="20">
        <f t="shared" ref="S10" si="11">+H10+K10+Q10+N10</f>
        <v>4</v>
      </c>
      <c r="T10" s="19">
        <f t="shared" ref="T10" si="12">+I10+L10+R10+O10</f>
        <v>0.46899999999999997</v>
      </c>
      <c r="U10" s="21">
        <f t="shared" ref="U10" si="13">E10-S10</f>
        <v>-4</v>
      </c>
      <c r="V10" s="19">
        <f t="shared" ref="V10" si="14">F10-T10</f>
        <v>-0.46899999999999997</v>
      </c>
    </row>
    <row r="11" spans="1:22">
      <c r="A11" s="26"/>
      <c r="B11" s="41" t="s">
        <v>378</v>
      </c>
      <c r="C11" s="26"/>
      <c r="D11" s="74"/>
      <c r="E11" s="31">
        <f>SUM(E9:E10)</f>
        <v>4</v>
      </c>
      <c r="F11" s="77">
        <f>SUM(F9:F10)</f>
        <v>0.46632000000000001</v>
      </c>
      <c r="G11" s="17"/>
      <c r="H11" s="31">
        <f>SUM(H9:H10)</f>
        <v>4</v>
      </c>
      <c r="I11" s="77">
        <f>SUM(I9:I10)</f>
        <v>0.46899999999999997</v>
      </c>
      <c r="J11" s="16"/>
      <c r="K11" s="31">
        <f>SUM(K9:K10)</f>
        <v>0</v>
      </c>
      <c r="L11" s="77">
        <f>SUM(L9:L10)</f>
        <v>0</v>
      </c>
      <c r="M11" s="16"/>
      <c r="N11" s="31">
        <f>SUM(N9:N10)</f>
        <v>0</v>
      </c>
      <c r="O11" s="77">
        <f>SUM(O9:O10)</f>
        <v>0</v>
      </c>
      <c r="P11" s="16"/>
      <c r="Q11" s="31">
        <f t="shared" ref="Q11:V11" si="15">SUM(Q9:Q10)</f>
        <v>0</v>
      </c>
      <c r="R11" s="77">
        <f t="shared" si="15"/>
        <v>0</v>
      </c>
      <c r="S11" s="31">
        <f t="shared" si="15"/>
        <v>4</v>
      </c>
      <c r="T11" s="77">
        <f t="shared" si="15"/>
        <v>0.46899999999999997</v>
      </c>
      <c r="U11" s="31">
        <f t="shared" si="15"/>
        <v>0</v>
      </c>
      <c r="V11" s="77">
        <f t="shared" si="15"/>
        <v>-2.6799999999999602E-3</v>
      </c>
    </row>
    <row r="12" spans="1:22">
      <c r="A12" s="26" t="s">
        <v>13</v>
      </c>
      <c r="B12" s="26" t="s">
        <v>61</v>
      </c>
      <c r="C12" s="26">
        <v>12.2</v>
      </c>
      <c r="D12" s="74">
        <v>6.2</v>
      </c>
      <c r="E12" s="28">
        <v>2</v>
      </c>
      <c r="F12" s="16">
        <f>(C12*D12*E12/1000)</f>
        <v>0.15128</v>
      </c>
      <c r="G12" s="16" t="s">
        <v>86</v>
      </c>
      <c r="H12" s="18">
        <v>2</v>
      </c>
      <c r="I12" s="19">
        <f>(C12*D12*H12/1000)</f>
        <v>0.15128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2</v>
      </c>
      <c r="T12" s="19">
        <f>+I12+L12+R12+O12</f>
        <v>0.15128</v>
      </c>
      <c r="U12" s="21">
        <f>E12-S12</f>
        <v>0</v>
      </c>
      <c r="V12" s="19">
        <f>F12-T12</f>
        <v>0</v>
      </c>
    </row>
    <row r="13" spans="1:22">
      <c r="A13" s="26"/>
      <c r="B13" s="41" t="s">
        <v>440</v>
      </c>
      <c r="C13" s="26"/>
      <c r="D13" s="74"/>
      <c r="E13" s="31">
        <f>SUM(E12:E12)</f>
        <v>2</v>
      </c>
      <c r="F13" s="77">
        <f>SUM(F12:F12)</f>
        <v>0.15128</v>
      </c>
      <c r="G13" s="17" t="s">
        <v>472</v>
      </c>
      <c r="H13" s="31">
        <f>SUM(H12:H12)</f>
        <v>2</v>
      </c>
      <c r="I13" s="77">
        <f>SUM(I12:I12)</f>
        <v>0.15128</v>
      </c>
      <c r="J13" s="16"/>
      <c r="K13" s="31">
        <f>SUM(K12:K12)</f>
        <v>0</v>
      </c>
      <c r="L13" s="77">
        <f>SUM(L12:L12)</f>
        <v>0</v>
      </c>
      <c r="M13" s="16"/>
      <c r="N13" s="31">
        <f>SUM(N12:N12)</f>
        <v>0</v>
      </c>
      <c r="O13" s="77">
        <f>SUM(O12:O12)</f>
        <v>0</v>
      </c>
      <c r="P13" s="16"/>
      <c r="Q13" s="31">
        <f t="shared" ref="Q13:V13" si="16">SUM(Q12:Q12)</f>
        <v>0</v>
      </c>
      <c r="R13" s="77">
        <f t="shared" si="16"/>
        <v>0</v>
      </c>
      <c r="S13" s="31">
        <f t="shared" si="16"/>
        <v>2</v>
      </c>
      <c r="T13" s="77">
        <f t="shared" si="16"/>
        <v>0.15128</v>
      </c>
      <c r="U13" s="31">
        <f t="shared" si="16"/>
        <v>0</v>
      </c>
      <c r="V13" s="77">
        <f t="shared" si="16"/>
        <v>0</v>
      </c>
    </row>
    <row r="14" spans="1:22">
      <c r="A14" s="26" t="s">
        <v>24</v>
      </c>
      <c r="B14" s="26" t="s">
        <v>46</v>
      </c>
      <c r="C14" s="26">
        <v>10.7</v>
      </c>
      <c r="D14" s="74">
        <v>9.6999999999999993</v>
      </c>
      <c r="E14" s="28">
        <v>21</v>
      </c>
      <c r="F14" s="16">
        <f>(C14*D14*E14/1000)</f>
        <v>2.1795899999999997</v>
      </c>
      <c r="G14" s="17" t="s">
        <v>88</v>
      </c>
      <c r="H14" s="18">
        <v>10</v>
      </c>
      <c r="I14" s="19">
        <f>(C14*D14*H14/1000)</f>
        <v>1.0378999999999998</v>
      </c>
      <c r="J14" s="16" t="s">
        <v>111</v>
      </c>
      <c r="K14" s="18">
        <v>11</v>
      </c>
      <c r="L14" s="19">
        <f>(C14*D14*K14/1000)</f>
        <v>1.1416899999999999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21</v>
      </c>
      <c r="T14" s="19">
        <f>+I14+L14+R14+O14</f>
        <v>2.1795899999999997</v>
      </c>
      <c r="U14" s="21">
        <f>E14-S14</f>
        <v>0</v>
      </c>
      <c r="V14" s="19">
        <f>F14-T14</f>
        <v>0</v>
      </c>
    </row>
    <row r="15" spans="1:22">
      <c r="A15" s="26" t="s">
        <v>24</v>
      </c>
      <c r="B15" s="26" t="s">
        <v>46</v>
      </c>
      <c r="C15" s="26">
        <v>10.7</v>
      </c>
      <c r="D15" s="74">
        <v>10.9</v>
      </c>
      <c r="E15" s="28">
        <v>50</v>
      </c>
      <c r="F15" s="16">
        <f t="shared" ref="F15" si="17">(C15*D15*E15/1000)</f>
        <v>5.8315000000000001</v>
      </c>
      <c r="G15" s="17" t="s">
        <v>471</v>
      </c>
      <c r="H15" s="18">
        <v>16</v>
      </c>
      <c r="I15" s="19">
        <f t="shared" ref="I15" si="18">(C15*D15*H15/1000)</f>
        <v>1.86608</v>
      </c>
      <c r="J15" s="16" t="s">
        <v>471</v>
      </c>
      <c r="K15" s="18">
        <f>14+20</f>
        <v>34</v>
      </c>
      <c r="L15" s="19">
        <f t="shared" ref="L15" si="19">(C15*D15*K15/1000)</f>
        <v>3.9654199999999999</v>
      </c>
      <c r="M15" s="16"/>
      <c r="N15" s="18"/>
      <c r="O15" s="19">
        <f t="shared" ref="O15" si="20">(C15*D15*N15/1000)</f>
        <v>0</v>
      </c>
      <c r="P15" s="16"/>
      <c r="Q15" s="18"/>
      <c r="R15" s="19">
        <f t="shared" ref="R15" si="21">(C15*D15*Q15/1000)</f>
        <v>0</v>
      </c>
      <c r="S15" s="20">
        <f t="shared" ref="S15" si="22">+H15+K15+Q15+N15</f>
        <v>50</v>
      </c>
      <c r="T15" s="19">
        <f t="shared" ref="T15" si="23">+I15+L15+R15+O15</f>
        <v>5.8315000000000001</v>
      </c>
      <c r="U15" s="21">
        <f t="shared" ref="U15" si="24">E15-S15</f>
        <v>0</v>
      </c>
      <c r="V15" s="19">
        <f t="shared" ref="V15" si="25">F15-T15</f>
        <v>0</v>
      </c>
    </row>
    <row r="16" spans="1:22">
      <c r="A16" s="26"/>
      <c r="B16" s="41" t="s">
        <v>441</v>
      </c>
      <c r="C16" s="26"/>
      <c r="D16" s="74"/>
      <c r="E16" s="31">
        <f>SUM(E14:E15)</f>
        <v>71</v>
      </c>
      <c r="F16" s="77">
        <f>SUM(F14:F15)</f>
        <v>8.0110899999999994</v>
      </c>
      <c r="G16" s="17"/>
      <c r="H16" s="31">
        <f>SUM(H14:H15)</f>
        <v>26</v>
      </c>
      <c r="I16" s="77">
        <f>SUM(I14:I15)</f>
        <v>2.9039799999999998</v>
      </c>
      <c r="J16" s="16"/>
      <c r="K16" s="31">
        <f>SUM(K14:K15)</f>
        <v>45</v>
      </c>
      <c r="L16" s="77">
        <f>SUM(L14:L15)</f>
        <v>5.1071099999999996</v>
      </c>
      <c r="M16" s="16"/>
      <c r="N16" s="31">
        <f>SUM(N14:N15)</f>
        <v>0</v>
      </c>
      <c r="O16" s="77">
        <f>SUM(O14:O15)</f>
        <v>0</v>
      </c>
      <c r="P16" s="16"/>
      <c r="Q16" s="31">
        <f t="shared" ref="Q16:V16" si="26">SUM(Q14:Q15)</f>
        <v>0</v>
      </c>
      <c r="R16" s="77">
        <f t="shared" si="26"/>
        <v>0</v>
      </c>
      <c r="S16" s="31">
        <f t="shared" si="26"/>
        <v>71</v>
      </c>
      <c r="T16" s="77">
        <f t="shared" si="26"/>
        <v>8.0110899999999994</v>
      </c>
      <c r="U16" s="31">
        <f t="shared" si="26"/>
        <v>0</v>
      </c>
      <c r="V16" s="77">
        <f t="shared" si="26"/>
        <v>0</v>
      </c>
    </row>
    <row r="17" spans="1:22">
      <c r="A17" s="26" t="s">
        <v>24</v>
      </c>
      <c r="B17" s="26" t="s">
        <v>61</v>
      </c>
      <c r="C17" s="26">
        <v>12.2</v>
      </c>
      <c r="D17" s="74">
        <v>7.1</v>
      </c>
      <c r="E17" s="28">
        <v>41</v>
      </c>
      <c r="F17" s="16">
        <f>(C17*D17*E17/1000)</f>
        <v>3.5514199999999998</v>
      </c>
      <c r="G17" s="17" t="s">
        <v>93</v>
      </c>
      <c r="H17" s="18">
        <v>27</v>
      </c>
      <c r="I17" s="19">
        <f>(C17*D17*H17/1000)</f>
        <v>2.3387399999999996</v>
      </c>
      <c r="J17" s="17" t="s">
        <v>88</v>
      </c>
      <c r="K17" s="18"/>
      <c r="L17" s="19">
        <f>(C17*D17*K17/1000)</f>
        <v>0</v>
      </c>
      <c r="M17" s="16" t="s">
        <v>111</v>
      </c>
      <c r="N17" s="18">
        <v>14</v>
      </c>
      <c r="O17" s="19">
        <f>(C17*D17*N17/1000)</f>
        <v>1.2126799999999998</v>
      </c>
      <c r="P17" s="16" t="s">
        <v>86</v>
      </c>
      <c r="Q17" s="18">
        <v>1</v>
      </c>
      <c r="R17" s="19">
        <f>(C17*D17*Q17/1000)</f>
        <v>8.6619999999999989E-2</v>
      </c>
      <c r="S17" s="20">
        <f>+H17+K17+Q17+N17</f>
        <v>42</v>
      </c>
      <c r="T17" s="19">
        <f>+I17+L17+R17+O17</f>
        <v>3.6380399999999993</v>
      </c>
      <c r="U17" s="21">
        <f>E17-S17</f>
        <v>-1</v>
      </c>
      <c r="V17" s="19">
        <f>F17-T17</f>
        <v>-8.6619999999999475E-2</v>
      </c>
    </row>
    <row r="18" spans="1:22">
      <c r="A18" s="26" t="s">
        <v>24</v>
      </c>
      <c r="B18" s="26" t="s">
        <v>61</v>
      </c>
      <c r="C18" s="26">
        <v>12.2</v>
      </c>
      <c r="D18" s="74">
        <v>7.9</v>
      </c>
      <c r="E18" s="28">
        <v>72</v>
      </c>
      <c r="F18" s="16">
        <f t="shared" ref="F18:F28" si="27">(C18*D18*E18/1000)</f>
        <v>6.9393599999999998</v>
      </c>
      <c r="G18" s="17" t="s">
        <v>471</v>
      </c>
      <c r="H18" s="18">
        <f>16+26</f>
        <v>42</v>
      </c>
      <c r="I18" s="19">
        <f t="shared" ref="I18:I29" si="28">(C18*D18*H18/1000)</f>
        <v>4.0479599999999998</v>
      </c>
      <c r="J18" s="17" t="s">
        <v>471</v>
      </c>
      <c r="K18" s="18">
        <v>22</v>
      </c>
      <c r="L18" s="19">
        <f t="shared" ref="L18:L29" si="29">(C18*D18*K18/1000)</f>
        <v>2.1203599999999998</v>
      </c>
      <c r="M18" s="16" t="s">
        <v>471</v>
      </c>
      <c r="N18" s="18">
        <v>6</v>
      </c>
      <c r="O18" s="19">
        <f t="shared" ref="O18:O29" si="30">(C18*D18*N18/1000)</f>
        <v>0.57828000000000002</v>
      </c>
      <c r="P18" s="17" t="s">
        <v>472</v>
      </c>
      <c r="Q18" s="18">
        <v>3</v>
      </c>
      <c r="R18" s="19">
        <f t="shared" ref="R18:R29" si="31">(C18*D18*Q18/1000)</f>
        <v>0.28914000000000001</v>
      </c>
      <c r="S18" s="20">
        <f t="shared" ref="S18:S29" si="32">+H18+K18+Q18+N18</f>
        <v>73</v>
      </c>
      <c r="T18" s="19">
        <f t="shared" ref="T18:T29" si="33">+I18+L18+R18+O18</f>
        <v>7.0357399999999997</v>
      </c>
      <c r="U18" s="21">
        <f t="shared" ref="U18:U29" si="34">E18-S18</f>
        <v>-1</v>
      </c>
      <c r="V18" s="19">
        <f t="shared" ref="V18:V29" si="35">F18-T18</f>
        <v>-9.637999999999991E-2</v>
      </c>
    </row>
    <row r="19" spans="1:22">
      <c r="A19" s="26" t="s">
        <v>24</v>
      </c>
      <c r="B19" s="26" t="s">
        <v>61</v>
      </c>
      <c r="C19" s="26">
        <v>12.2</v>
      </c>
      <c r="D19" s="74">
        <v>8.9</v>
      </c>
      <c r="E19" s="28">
        <v>14</v>
      </c>
      <c r="F19" s="16">
        <f t="shared" si="27"/>
        <v>1.5201199999999999</v>
      </c>
      <c r="G19" s="16"/>
      <c r="H19" s="18"/>
      <c r="I19" s="19">
        <f t="shared" si="28"/>
        <v>0</v>
      </c>
      <c r="J19" s="16"/>
      <c r="K19" s="18">
        <v>5</v>
      </c>
      <c r="L19" s="19">
        <f t="shared" si="29"/>
        <v>0.54289999999999994</v>
      </c>
      <c r="M19" s="16"/>
      <c r="N19" s="18"/>
      <c r="O19" s="19">
        <f t="shared" si="30"/>
        <v>0</v>
      </c>
      <c r="P19" s="16"/>
      <c r="Q19" s="18">
        <v>7</v>
      </c>
      <c r="R19" s="19">
        <f t="shared" si="31"/>
        <v>0.76005999999999996</v>
      </c>
      <c r="S19" s="20">
        <f t="shared" si="32"/>
        <v>12</v>
      </c>
      <c r="T19" s="19">
        <f t="shared" si="33"/>
        <v>1.3029599999999999</v>
      </c>
      <c r="U19" s="21">
        <f t="shared" si="34"/>
        <v>2</v>
      </c>
      <c r="V19" s="19">
        <f t="shared" si="35"/>
        <v>0.21716000000000002</v>
      </c>
    </row>
    <row r="20" spans="1:22">
      <c r="A20" s="26" t="s">
        <v>24</v>
      </c>
      <c r="B20" s="26" t="s">
        <v>61</v>
      </c>
      <c r="C20" s="26">
        <v>12.2</v>
      </c>
      <c r="D20" s="74">
        <v>10.1</v>
      </c>
      <c r="E20" s="28">
        <v>160</v>
      </c>
      <c r="F20" s="16">
        <f t="shared" si="27"/>
        <v>19.715199999999996</v>
      </c>
      <c r="G20" s="16"/>
      <c r="H20" s="18">
        <v>87</v>
      </c>
      <c r="I20" s="19">
        <f t="shared" ref="I20:I28" si="36">(C20*D20*H20/1000)</f>
        <v>10.720139999999999</v>
      </c>
      <c r="J20" s="16"/>
      <c r="K20" s="18">
        <v>21</v>
      </c>
      <c r="L20" s="19">
        <f t="shared" ref="L20:L28" si="37">(C20*D20*K20/1000)</f>
        <v>2.5876199999999998</v>
      </c>
      <c r="M20" s="16"/>
      <c r="N20" s="18">
        <v>45</v>
      </c>
      <c r="O20" s="19">
        <f t="shared" ref="O20:O28" si="38">(C20*D20*N20/1000)</f>
        <v>5.5448999999999993</v>
      </c>
      <c r="P20" s="16"/>
      <c r="Q20" s="18">
        <v>3</v>
      </c>
      <c r="R20" s="19">
        <f t="shared" ref="R20:R28" si="39">(C20*D20*Q20/1000)</f>
        <v>0.36965999999999999</v>
      </c>
      <c r="S20" s="20">
        <f t="shared" ref="S20:S28" si="40">+H20+K20+Q20+N20</f>
        <v>156</v>
      </c>
      <c r="T20" s="19">
        <f t="shared" ref="T20:T28" si="41">+I20+L20+R20+O20</f>
        <v>19.222319999999996</v>
      </c>
      <c r="U20" s="21">
        <f t="shared" ref="U20:U28" si="42">E20-S20</f>
        <v>4</v>
      </c>
      <c r="V20" s="19">
        <f t="shared" ref="V20:V28" si="43">F20-T20</f>
        <v>0.49287999999999954</v>
      </c>
    </row>
    <row r="21" spans="1:22">
      <c r="A21" s="26" t="s">
        <v>24</v>
      </c>
      <c r="B21" s="26" t="s">
        <v>61</v>
      </c>
      <c r="C21" s="26">
        <v>12.2</v>
      </c>
      <c r="D21" s="74">
        <v>11.7</v>
      </c>
      <c r="E21" s="28"/>
      <c r="F21" s="16">
        <f t="shared" si="27"/>
        <v>0</v>
      </c>
      <c r="G21" s="16"/>
      <c r="H21" s="18"/>
      <c r="I21" s="19">
        <f t="shared" si="36"/>
        <v>0</v>
      </c>
      <c r="J21" s="16"/>
      <c r="K21" s="18"/>
      <c r="L21" s="19">
        <f t="shared" si="37"/>
        <v>0</v>
      </c>
      <c r="M21" s="16"/>
      <c r="N21" s="18"/>
      <c r="O21" s="19">
        <f t="shared" si="38"/>
        <v>0</v>
      </c>
      <c r="P21" s="16"/>
      <c r="Q21" s="18">
        <v>3</v>
      </c>
      <c r="R21" s="19">
        <f t="shared" si="39"/>
        <v>0.42821999999999993</v>
      </c>
      <c r="S21" s="20">
        <f t="shared" si="40"/>
        <v>3</v>
      </c>
      <c r="T21" s="19">
        <f t="shared" si="41"/>
        <v>0.42821999999999993</v>
      </c>
      <c r="U21" s="21">
        <f t="shared" si="42"/>
        <v>-3</v>
      </c>
      <c r="V21" s="19">
        <f t="shared" si="43"/>
        <v>-0.42821999999999993</v>
      </c>
    </row>
    <row r="22" spans="1:22">
      <c r="A22" s="26" t="s">
        <v>24</v>
      </c>
      <c r="B22" s="26" t="s">
        <v>61</v>
      </c>
      <c r="C22" s="26">
        <v>12.2</v>
      </c>
      <c r="D22" s="74">
        <v>7.9</v>
      </c>
      <c r="E22" s="28"/>
      <c r="F22" s="16">
        <f t="shared" si="27"/>
        <v>0</v>
      </c>
      <c r="G22" s="16"/>
      <c r="H22" s="18"/>
      <c r="I22" s="19">
        <f t="shared" si="36"/>
        <v>0</v>
      </c>
      <c r="J22" s="16"/>
      <c r="K22" s="18"/>
      <c r="L22" s="19">
        <f t="shared" si="37"/>
        <v>0</v>
      </c>
      <c r="M22" s="16"/>
      <c r="N22" s="18"/>
      <c r="O22" s="19">
        <f t="shared" si="38"/>
        <v>0</v>
      </c>
      <c r="P22" s="16"/>
      <c r="Q22" s="18"/>
      <c r="R22" s="19">
        <f t="shared" si="39"/>
        <v>0</v>
      </c>
      <c r="S22" s="20">
        <f t="shared" si="40"/>
        <v>0</v>
      </c>
      <c r="T22" s="19">
        <f t="shared" si="41"/>
        <v>0</v>
      </c>
      <c r="U22" s="21">
        <f t="shared" si="42"/>
        <v>0</v>
      </c>
      <c r="V22" s="19">
        <f t="shared" si="43"/>
        <v>0</v>
      </c>
    </row>
    <row r="23" spans="1:22">
      <c r="A23" s="26" t="s">
        <v>24</v>
      </c>
      <c r="B23" s="26" t="s">
        <v>61</v>
      </c>
      <c r="C23" s="26">
        <v>12.2</v>
      </c>
      <c r="D23" s="74">
        <v>10</v>
      </c>
      <c r="E23" s="28"/>
      <c r="F23" s="16">
        <f t="shared" si="27"/>
        <v>0</v>
      </c>
      <c r="G23" s="16"/>
      <c r="H23" s="18"/>
      <c r="I23" s="19">
        <f t="shared" si="36"/>
        <v>0</v>
      </c>
      <c r="J23" s="16"/>
      <c r="K23" s="18"/>
      <c r="L23" s="19">
        <f t="shared" si="37"/>
        <v>0</v>
      </c>
      <c r="M23" s="16"/>
      <c r="N23" s="18"/>
      <c r="O23" s="19">
        <f t="shared" si="38"/>
        <v>0</v>
      </c>
      <c r="P23" s="16"/>
      <c r="Q23" s="18">
        <v>1</v>
      </c>
      <c r="R23" s="19">
        <f t="shared" si="39"/>
        <v>0.122</v>
      </c>
      <c r="S23" s="20">
        <f t="shared" si="40"/>
        <v>1</v>
      </c>
      <c r="T23" s="19">
        <f t="shared" si="41"/>
        <v>0.122</v>
      </c>
      <c r="U23" s="21">
        <f t="shared" si="42"/>
        <v>-1</v>
      </c>
      <c r="V23" s="19">
        <f t="shared" si="43"/>
        <v>-0.122</v>
      </c>
    </row>
    <row r="24" spans="1:22">
      <c r="A24" s="26" t="s">
        <v>24</v>
      </c>
      <c r="B24" s="26" t="s">
        <v>61</v>
      </c>
      <c r="C24" s="26">
        <v>12.2</v>
      </c>
      <c r="D24" s="74">
        <v>9.5</v>
      </c>
      <c r="E24" s="28"/>
      <c r="F24" s="16">
        <f t="shared" si="27"/>
        <v>0</v>
      </c>
      <c r="G24" s="16"/>
      <c r="H24" s="18"/>
      <c r="I24" s="19">
        <f t="shared" si="36"/>
        <v>0</v>
      </c>
      <c r="J24" s="16"/>
      <c r="K24" s="18"/>
      <c r="L24" s="19">
        <f t="shared" si="37"/>
        <v>0</v>
      </c>
      <c r="M24" s="16"/>
      <c r="N24" s="18"/>
      <c r="O24" s="19">
        <f t="shared" si="38"/>
        <v>0</v>
      </c>
      <c r="P24" s="16"/>
      <c r="Q24" s="18">
        <v>1</v>
      </c>
      <c r="R24" s="19">
        <f t="shared" si="39"/>
        <v>0.11589999999999999</v>
      </c>
      <c r="S24" s="20">
        <f t="shared" si="40"/>
        <v>1</v>
      </c>
      <c r="T24" s="19">
        <f t="shared" si="41"/>
        <v>0.11589999999999999</v>
      </c>
      <c r="U24" s="21">
        <f t="shared" si="42"/>
        <v>-1</v>
      </c>
      <c r="V24" s="19">
        <f t="shared" si="43"/>
        <v>-0.11589999999999999</v>
      </c>
    </row>
    <row r="25" spans="1:22">
      <c r="A25" s="26" t="s">
        <v>24</v>
      </c>
      <c r="B25" s="26" t="s">
        <v>61</v>
      </c>
      <c r="C25" s="26">
        <v>12.2</v>
      </c>
      <c r="D25" s="74"/>
      <c r="E25" s="28"/>
      <c r="F25" s="16">
        <f t="shared" si="27"/>
        <v>0</v>
      </c>
      <c r="G25" s="16"/>
      <c r="H25" s="18"/>
      <c r="I25" s="19">
        <f t="shared" si="36"/>
        <v>0</v>
      </c>
      <c r="J25" s="16"/>
      <c r="K25" s="18"/>
      <c r="L25" s="19">
        <f t="shared" si="37"/>
        <v>0</v>
      </c>
      <c r="M25" s="16"/>
      <c r="N25" s="18"/>
      <c r="O25" s="19">
        <f t="shared" si="38"/>
        <v>0</v>
      </c>
      <c r="P25" s="16"/>
      <c r="Q25" s="18"/>
      <c r="R25" s="19">
        <f t="shared" si="39"/>
        <v>0</v>
      </c>
      <c r="S25" s="20">
        <f t="shared" si="40"/>
        <v>0</v>
      </c>
      <c r="T25" s="19">
        <f t="shared" si="41"/>
        <v>0</v>
      </c>
      <c r="U25" s="21">
        <f t="shared" si="42"/>
        <v>0</v>
      </c>
      <c r="V25" s="19">
        <f t="shared" si="43"/>
        <v>0</v>
      </c>
    </row>
    <row r="26" spans="1:22">
      <c r="A26" s="26" t="s">
        <v>24</v>
      </c>
      <c r="B26" s="26" t="s">
        <v>61</v>
      </c>
      <c r="C26" s="26">
        <v>12.2</v>
      </c>
      <c r="D26" s="74"/>
      <c r="E26" s="28"/>
      <c r="F26" s="16">
        <f t="shared" si="27"/>
        <v>0</v>
      </c>
      <c r="G26" s="16"/>
      <c r="H26" s="18"/>
      <c r="I26" s="19">
        <f t="shared" si="36"/>
        <v>0</v>
      </c>
      <c r="J26" s="16"/>
      <c r="K26" s="18"/>
      <c r="L26" s="19">
        <f t="shared" si="37"/>
        <v>0</v>
      </c>
      <c r="M26" s="16"/>
      <c r="N26" s="18"/>
      <c r="O26" s="19">
        <f t="shared" si="38"/>
        <v>0</v>
      </c>
      <c r="P26" s="16"/>
      <c r="Q26" s="18"/>
      <c r="R26" s="19">
        <f t="shared" si="39"/>
        <v>0</v>
      </c>
      <c r="S26" s="20">
        <f t="shared" si="40"/>
        <v>0</v>
      </c>
      <c r="T26" s="19">
        <f t="shared" si="41"/>
        <v>0</v>
      </c>
      <c r="U26" s="21">
        <f t="shared" si="42"/>
        <v>0</v>
      </c>
      <c r="V26" s="19">
        <f t="shared" si="43"/>
        <v>0</v>
      </c>
    </row>
    <row r="27" spans="1:22">
      <c r="A27" s="26" t="s">
        <v>24</v>
      </c>
      <c r="B27" s="26" t="s">
        <v>61</v>
      </c>
      <c r="C27" s="26">
        <v>12.2</v>
      </c>
      <c r="D27" s="74"/>
      <c r="E27" s="28"/>
      <c r="F27" s="16">
        <f t="shared" si="27"/>
        <v>0</v>
      </c>
      <c r="G27" s="16"/>
      <c r="H27" s="18"/>
      <c r="I27" s="19">
        <f t="shared" si="36"/>
        <v>0</v>
      </c>
      <c r="J27" s="16"/>
      <c r="K27" s="18"/>
      <c r="L27" s="19">
        <f t="shared" si="37"/>
        <v>0</v>
      </c>
      <c r="M27" s="16"/>
      <c r="N27" s="18"/>
      <c r="O27" s="19">
        <f t="shared" si="38"/>
        <v>0</v>
      </c>
      <c r="P27" s="16"/>
      <c r="Q27" s="18"/>
      <c r="R27" s="19">
        <f t="shared" si="39"/>
        <v>0</v>
      </c>
      <c r="S27" s="20">
        <f t="shared" si="40"/>
        <v>0</v>
      </c>
      <c r="T27" s="19">
        <f t="shared" si="41"/>
        <v>0</v>
      </c>
      <c r="U27" s="21">
        <f t="shared" si="42"/>
        <v>0</v>
      </c>
      <c r="V27" s="19">
        <f t="shared" si="43"/>
        <v>0</v>
      </c>
    </row>
    <row r="28" spans="1:22">
      <c r="A28" s="26" t="s">
        <v>24</v>
      </c>
      <c r="B28" s="26" t="s">
        <v>61</v>
      </c>
      <c r="C28" s="26">
        <v>12.2</v>
      </c>
      <c r="D28" s="74"/>
      <c r="E28" s="28"/>
      <c r="F28" s="16">
        <f t="shared" si="27"/>
        <v>0</v>
      </c>
      <c r="G28" s="16"/>
      <c r="H28" s="18"/>
      <c r="I28" s="19">
        <f t="shared" si="36"/>
        <v>0</v>
      </c>
      <c r="J28" s="16"/>
      <c r="K28" s="18"/>
      <c r="L28" s="19">
        <f t="shared" si="37"/>
        <v>0</v>
      </c>
      <c r="M28" s="16"/>
      <c r="N28" s="18"/>
      <c r="O28" s="19">
        <f t="shared" si="38"/>
        <v>0</v>
      </c>
      <c r="P28" s="16"/>
      <c r="Q28" s="18"/>
      <c r="R28" s="19">
        <f t="shared" si="39"/>
        <v>0</v>
      </c>
      <c r="S28" s="20">
        <f t="shared" si="40"/>
        <v>0</v>
      </c>
      <c r="T28" s="19">
        <f t="shared" si="41"/>
        <v>0</v>
      </c>
      <c r="U28" s="21">
        <f t="shared" si="42"/>
        <v>0</v>
      </c>
      <c r="V28" s="19">
        <f t="shared" si="43"/>
        <v>0</v>
      </c>
    </row>
    <row r="29" spans="1:22">
      <c r="A29" s="26" t="s">
        <v>24</v>
      </c>
      <c r="B29" s="26" t="s">
        <v>61</v>
      </c>
      <c r="C29" s="26">
        <v>12.2</v>
      </c>
      <c r="D29" s="74"/>
      <c r="E29" s="28"/>
      <c r="F29" s="16">
        <f>(C29*D29*E29/1000)</f>
        <v>0</v>
      </c>
      <c r="G29" s="16"/>
      <c r="H29" s="18"/>
      <c r="I29" s="19">
        <f t="shared" si="28"/>
        <v>0</v>
      </c>
      <c r="J29" s="16"/>
      <c r="K29" s="18"/>
      <c r="L29" s="19">
        <f t="shared" si="29"/>
        <v>0</v>
      </c>
      <c r="M29" s="16"/>
      <c r="N29" s="18"/>
      <c r="O29" s="19">
        <f t="shared" si="30"/>
        <v>0</v>
      </c>
      <c r="P29" s="16"/>
      <c r="Q29" s="18"/>
      <c r="R29" s="19">
        <f t="shared" si="31"/>
        <v>0</v>
      </c>
      <c r="S29" s="20">
        <f t="shared" si="32"/>
        <v>0</v>
      </c>
      <c r="T29" s="19">
        <f t="shared" si="33"/>
        <v>0</v>
      </c>
      <c r="U29" s="21">
        <f t="shared" si="34"/>
        <v>0</v>
      </c>
      <c r="V29" s="19">
        <f t="shared" si="35"/>
        <v>0</v>
      </c>
    </row>
    <row r="30" spans="1:22">
      <c r="A30" s="26"/>
      <c r="B30" s="41" t="s">
        <v>441</v>
      </c>
      <c r="C30" s="26"/>
      <c r="D30" s="74"/>
      <c r="E30" s="31">
        <f>SUM(E17:E29)</f>
        <v>287</v>
      </c>
      <c r="F30" s="77">
        <f>SUM(F17:F29)</f>
        <v>31.726099999999995</v>
      </c>
      <c r="G30" s="17"/>
      <c r="H30" s="31">
        <f>SUM(H17:H29)</f>
        <v>156</v>
      </c>
      <c r="I30" s="77">
        <f>SUM(I17:I29)</f>
        <v>17.106839999999998</v>
      </c>
      <c r="J30" s="16"/>
      <c r="K30" s="31">
        <f>SUM(K17:K29)</f>
        <v>48</v>
      </c>
      <c r="L30" s="77">
        <f>SUM(L17:L29)</f>
        <v>5.2508799999999995</v>
      </c>
      <c r="M30" s="16"/>
      <c r="N30" s="31">
        <f>SUM(N17:N29)</f>
        <v>65</v>
      </c>
      <c r="O30" s="77">
        <f>SUM(O17:O29)</f>
        <v>7.3358599999999985</v>
      </c>
      <c r="P30" s="16"/>
      <c r="Q30" s="31">
        <f t="shared" ref="Q30:V30" si="44">SUM(Q17:Q29)</f>
        <v>19</v>
      </c>
      <c r="R30" s="77">
        <f t="shared" si="44"/>
        <v>2.1715999999999998</v>
      </c>
      <c r="S30" s="31">
        <f t="shared" si="44"/>
        <v>288</v>
      </c>
      <c r="T30" s="77">
        <f t="shared" si="44"/>
        <v>31.865179999999995</v>
      </c>
      <c r="U30" s="31">
        <f t="shared" si="44"/>
        <v>-1</v>
      </c>
      <c r="V30" s="77">
        <f t="shared" si="44"/>
        <v>-0.13907999999999976</v>
      </c>
    </row>
    <row r="31" spans="1:22">
      <c r="A31" s="26" t="s">
        <v>24</v>
      </c>
      <c r="B31" s="26" t="s">
        <v>34</v>
      </c>
      <c r="C31" s="26">
        <v>5.76</v>
      </c>
      <c r="D31" s="74">
        <v>7.75</v>
      </c>
      <c r="E31" s="28">
        <v>18</v>
      </c>
      <c r="F31" s="16">
        <f>(C31*D31*E31/1000)</f>
        <v>0.80352000000000001</v>
      </c>
      <c r="G31" s="16" t="s">
        <v>93</v>
      </c>
      <c r="H31" s="18">
        <v>18</v>
      </c>
      <c r="I31" s="19">
        <f>(C31*D31*H31/1000)</f>
        <v>0.80352000000000001</v>
      </c>
      <c r="J31" s="16" t="s">
        <v>325</v>
      </c>
      <c r="K31" s="18"/>
      <c r="L31" s="19">
        <f>(C31*D31*K31/1000)</f>
        <v>0</v>
      </c>
      <c r="M31" s="16"/>
      <c r="N31" s="18"/>
      <c r="O31" s="19">
        <f>(C31*D31*N31/1000)</f>
        <v>0</v>
      </c>
      <c r="P31" s="16"/>
      <c r="Q31" s="18"/>
      <c r="R31" s="19">
        <f>(C31*D31*Q31/1000)</f>
        <v>0</v>
      </c>
      <c r="S31" s="20">
        <f>+H31+K31+Q31+N31</f>
        <v>18</v>
      </c>
      <c r="T31" s="19">
        <f>+I31+L31+R31+O31</f>
        <v>0.80352000000000001</v>
      </c>
      <c r="U31" s="21">
        <f>E31-S31</f>
        <v>0</v>
      </c>
      <c r="V31" s="19">
        <f>F31-T31</f>
        <v>0</v>
      </c>
    </row>
    <row r="32" spans="1:22">
      <c r="A32" s="26" t="s">
        <v>24</v>
      </c>
      <c r="B32" s="26" t="s">
        <v>34</v>
      </c>
      <c r="C32" s="26">
        <v>5.76</v>
      </c>
      <c r="D32" s="74">
        <v>10.5</v>
      </c>
      <c r="E32" s="28">
        <v>16</v>
      </c>
      <c r="F32" s="16">
        <f t="shared" ref="F32:F33" si="45">(C32*D32*E32/1000)</f>
        <v>0.96767999999999998</v>
      </c>
      <c r="G32" s="16" t="s">
        <v>459</v>
      </c>
      <c r="H32" s="18">
        <v>16</v>
      </c>
      <c r="I32" s="19">
        <f t="shared" ref="I32:I34" si="46">(C32*D32*H32/1000)</f>
        <v>0.96767999999999998</v>
      </c>
      <c r="J32" s="16" t="s">
        <v>465</v>
      </c>
      <c r="K32" s="18"/>
      <c r="L32" s="19">
        <f t="shared" ref="L32:L34" si="47">(C32*D32*K32/1000)</f>
        <v>0</v>
      </c>
      <c r="M32" s="16"/>
      <c r="N32" s="18"/>
      <c r="O32" s="19">
        <f t="shared" ref="O32:O34" si="48">(C32*D32*N32/1000)</f>
        <v>0</v>
      </c>
      <c r="P32" s="16"/>
      <c r="Q32" s="18"/>
      <c r="R32" s="19">
        <f t="shared" ref="R32:R34" si="49">(C32*D32*Q32/1000)</f>
        <v>0</v>
      </c>
      <c r="S32" s="20">
        <f t="shared" ref="S32:S34" si="50">+H32+K32+Q32+N32</f>
        <v>16</v>
      </c>
      <c r="T32" s="19">
        <f t="shared" ref="T32:T34" si="51">+I32+L32+R32+O32</f>
        <v>0.96767999999999998</v>
      </c>
      <c r="U32" s="21">
        <f t="shared" ref="U32:U34" si="52">E32-S32</f>
        <v>0</v>
      </c>
      <c r="V32" s="19">
        <f t="shared" ref="V32:V34" si="53">F32-T32</f>
        <v>0</v>
      </c>
    </row>
    <row r="33" spans="1:22">
      <c r="A33" s="26" t="s">
        <v>24</v>
      </c>
      <c r="B33" s="26" t="s">
        <v>34</v>
      </c>
      <c r="C33" s="26">
        <v>5.76</v>
      </c>
      <c r="D33" s="74">
        <v>12</v>
      </c>
      <c r="E33" s="28">
        <v>11</v>
      </c>
      <c r="F33" s="16">
        <f t="shared" si="45"/>
        <v>0.76032</v>
      </c>
      <c r="G33" s="16"/>
      <c r="H33" s="18">
        <v>5</v>
      </c>
      <c r="I33" s="19">
        <f t="shared" si="46"/>
        <v>0.34560000000000002</v>
      </c>
      <c r="J33" s="16"/>
      <c r="K33" s="18"/>
      <c r="L33" s="19">
        <f t="shared" si="47"/>
        <v>0</v>
      </c>
      <c r="M33" s="16"/>
      <c r="N33" s="18"/>
      <c r="O33" s="19">
        <f t="shared" si="48"/>
        <v>0</v>
      </c>
      <c r="P33" s="16"/>
      <c r="Q33" s="18"/>
      <c r="R33" s="19">
        <f t="shared" si="49"/>
        <v>0</v>
      </c>
      <c r="S33" s="20">
        <f t="shared" si="50"/>
        <v>5</v>
      </c>
      <c r="T33" s="19">
        <f t="shared" si="51"/>
        <v>0.34560000000000002</v>
      </c>
      <c r="U33" s="21">
        <f t="shared" si="52"/>
        <v>6</v>
      </c>
      <c r="V33" s="19">
        <f t="shared" si="53"/>
        <v>0.41471999999999998</v>
      </c>
    </row>
    <row r="34" spans="1:22">
      <c r="A34" s="26" t="s">
        <v>24</v>
      </c>
      <c r="B34" s="26" t="s">
        <v>34</v>
      </c>
      <c r="C34" s="26">
        <v>5.76</v>
      </c>
      <c r="D34" s="74">
        <v>11.5</v>
      </c>
      <c r="E34" s="28"/>
      <c r="F34" s="16">
        <f>(C34*D34*E34/1000)</f>
        <v>0</v>
      </c>
      <c r="G34" s="16"/>
      <c r="H34" s="18"/>
      <c r="I34" s="19">
        <f t="shared" si="46"/>
        <v>0</v>
      </c>
      <c r="J34" s="16"/>
      <c r="K34" s="18">
        <v>8</v>
      </c>
      <c r="L34" s="19">
        <f t="shared" si="47"/>
        <v>0.52991999999999995</v>
      </c>
      <c r="M34" s="16"/>
      <c r="N34" s="18"/>
      <c r="O34" s="19">
        <f t="shared" si="48"/>
        <v>0</v>
      </c>
      <c r="P34" s="16"/>
      <c r="Q34" s="18"/>
      <c r="R34" s="19">
        <f t="shared" si="49"/>
        <v>0</v>
      </c>
      <c r="S34" s="20">
        <f t="shared" si="50"/>
        <v>8</v>
      </c>
      <c r="T34" s="19">
        <f t="shared" si="51"/>
        <v>0.52991999999999995</v>
      </c>
      <c r="U34" s="21">
        <f t="shared" si="52"/>
        <v>-8</v>
      </c>
      <c r="V34" s="19">
        <f t="shared" si="53"/>
        <v>-0.52991999999999995</v>
      </c>
    </row>
    <row r="35" spans="1:22">
      <c r="A35" s="26"/>
      <c r="B35" s="41" t="s">
        <v>441</v>
      </c>
      <c r="C35" s="26"/>
      <c r="D35" s="74"/>
      <c r="E35" s="31">
        <f>SUM(E31:E34)</f>
        <v>45</v>
      </c>
      <c r="F35" s="77">
        <f>SUM(F31:F34)</f>
        <v>2.53152</v>
      </c>
      <c r="G35" s="17"/>
      <c r="H35" s="31">
        <f>SUM(H31:H34)</f>
        <v>39</v>
      </c>
      <c r="I35" s="77">
        <f>SUM(I31:I34)</f>
        <v>2.1168</v>
      </c>
      <c r="J35" s="16"/>
      <c r="K35" s="31">
        <f>SUM(K31:K34)</f>
        <v>8</v>
      </c>
      <c r="L35" s="77">
        <f>SUM(L31:L34)</f>
        <v>0.52991999999999995</v>
      </c>
      <c r="M35" s="16"/>
      <c r="N35" s="31">
        <f>SUM(N31:N34)</f>
        <v>0</v>
      </c>
      <c r="O35" s="77">
        <f>SUM(O31:O34)</f>
        <v>0</v>
      </c>
      <c r="P35" s="16"/>
      <c r="Q35" s="31">
        <f t="shared" ref="Q35:V35" si="54">SUM(Q31:Q34)</f>
        <v>0</v>
      </c>
      <c r="R35" s="77">
        <f t="shared" si="54"/>
        <v>0</v>
      </c>
      <c r="S35" s="31">
        <f t="shared" si="54"/>
        <v>47</v>
      </c>
      <c r="T35" s="77">
        <f t="shared" si="54"/>
        <v>2.6467200000000002</v>
      </c>
      <c r="U35" s="31">
        <f t="shared" si="54"/>
        <v>-2</v>
      </c>
      <c r="V35" s="77">
        <f t="shared" si="54"/>
        <v>-0.11519999999999997</v>
      </c>
    </row>
    <row r="36" spans="1:22">
      <c r="A36" s="26" t="s">
        <v>24</v>
      </c>
      <c r="B36" s="26" t="s">
        <v>35</v>
      </c>
      <c r="C36" s="26">
        <v>6.85</v>
      </c>
      <c r="D36" s="74">
        <v>11.5</v>
      </c>
      <c r="E36" s="28">
        <v>34</v>
      </c>
      <c r="F36" s="16">
        <f>(C36*D36*E36/1000)</f>
        <v>2.67835</v>
      </c>
      <c r="G36" s="17" t="s">
        <v>111</v>
      </c>
      <c r="H36" s="18"/>
      <c r="I36" s="19">
        <f>(C36*D36*H36/1000)</f>
        <v>0</v>
      </c>
      <c r="J36" s="16" t="s">
        <v>93</v>
      </c>
      <c r="K36" s="18">
        <v>34</v>
      </c>
      <c r="L36" s="19">
        <f>(C36*D36*K36/1000)</f>
        <v>2.67835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34</v>
      </c>
      <c r="T36" s="19">
        <f>+I36+L36+R36+O36</f>
        <v>2.67835</v>
      </c>
      <c r="U36" s="21">
        <f>E36-S36</f>
        <v>0</v>
      </c>
      <c r="V36" s="19">
        <f>F36-T36</f>
        <v>0</v>
      </c>
    </row>
    <row r="37" spans="1:22">
      <c r="A37" s="26" t="s">
        <v>24</v>
      </c>
      <c r="B37" s="26" t="s">
        <v>35</v>
      </c>
      <c r="C37" s="26">
        <v>6.85</v>
      </c>
      <c r="D37" s="74">
        <v>12</v>
      </c>
      <c r="E37" s="28">
        <v>41</v>
      </c>
      <c r="F37" s="16">
        <f t="shared" ref="F37:F38" si="55">(C37*D37*E37/1000)</f>
        <v>3.3701999999999992</v>
      </c>
      <c r="G37" s="17" t="s">
        <v>459</v>
      </c>
      <c r="H37" s="18">
        <v>41</v>
      </c>
      <c r="I37" s="19">
        <f t="shared" ref="I37:I39" si="56">(C37*D37*H37/1000)</f>
        <v>3.3701999999999992</v>
      </c>
      <c r="J37" s="16" t="s">
        <v>459</v>
      </c>
      <c r="K37" s="18"/>
      <c r="L37" s="19">
        <f t="shared" ref="L37:L39" si="57">(C37*D37*K37/1000)</f>
        <v>0</v>
      </c>
      <c r="M37" s="16"/>
      <c r="N37" s="18"/>
      <c r="O37" s="19">
        <f t="shared" ref="O37:O39" si="58">(C37*D37*N37/1000)</f>
        <v>0</v>
      </c>
      <c r="P37" s="16"/>
      <c r="Q37" s="18"/>
      <c r="R37" s="19">
        <f t="shared" ref="R37:R39" si="59">(C37*D37*Q37/1000)</f>
        <v>0</v>
      </c>
      <c r="S37" s="20">
        <f t="shared" ref="S37:S39" si="60">+H37+K37+Q37+N37</f>
        <v>41</v>
      </c>
      <c r="T37" s="19">
        <f t="shared" ref="T37:T39" si="61">+I37+L37+R37+O37</f>
        <v>3.3701999999999992</v>
      </c>
      <c r="U37" s="21">
        <f t="shared" ref="U37:U39" si="62">E37-S37</f>
        <v>0</v>
      </c>
      <c r="V37" s="19">
        <f t="shared" ref="V37:V39" si="63">F37-T37</f>
        <v>0</v>
      </c>
    </row>
    <row r="38" spans="1:22">
      <c r="A38" s="26" t="s">
        <v>24</v>
      </c>
      <c r="B38" s="26"/>
      <c r="C38" s="26"/>
      <c r="D38" s="74"/>
      <c r="E38" s="28"/>
      <c r="F38" s="16">
        <f t="shared" si="55"/>
        <v>0</v>
      </c>
      <c r="G38" s="16"/>
      <c r="H38" s="18"/>
      <c r="I38" s="19">
        <f t="shared" si="56"/>
        <v>0</v>
      </c>
      <c r="J38" s="16"/>
      <c r="K38" s="18"/>
      <c r="L38" s="19">
        <f t="shared" si="57"/>
        <v>0</v>
      </c>
      <c r="M38" s="16"/>
      <c r="N38" s="18"/>
      <c r="O38" s="19">
        <f t="shared" si="58"/>
        <v>0</v>
      </c>
      <c r="P38" s="16"/>
      <c r="Q38" s="18"/>
      <c r="R38" s="19">
        <f t="shared" si="59"/>
        <v>0</v>
      </c>
      <c r="S38" s="20">
        <f t="shared" si="60"/>
        <v>0</v>
      </c>
      <c r="T38" s="19">
        <f t="shared" si="61"/>
        <v>0</v>
      </c>
      <c r="U38" s="21">
        <f t="shared" si="62"/>
        <v>0</v>
      </c>
      <c r="V38" s="19">
        <f t="shared" si="63"/>
        <v>0</v>
      </c>
    </row>
    <row r="39" spans="1:22">
      <c r="A39" s="26" t="s">
        <v>24</v>
      </c>
      <c r="B39" s="26"/>
      <c r="C39" s="26"/>
      <c r="D39" s="74"/>
      <c r="E39" s="28"/>
      <c r="F39" s="16">
        <f>(C39*D39*E39/1000)</f>
        <v>0</v>
      </c>
      <c r="G39" s="16"/>
      <c r="H39" s="18"/>
      <c r="I39" s="19">
        <f t="shared" si="56"/>
        <v>0</v>
      </c>
      <c r="J39" s="16"/>
      <c r="K39" s="18"/>
      <c r="L39" s="19">
        <f t="shared" si="57"/>
        <v>0</v>
      </c>
      <c r="M39" s="16"/>
      <c r="N39" s="18"/>
      <c r="O39" s="19">
        <f t="shared" si="58"/>
        <v>0</v>
      </c>
      <c r="P39" s="16"/>
      <c r="Q39" s="18"/>
      <c r="R39" s="19">
        <f t="shared" si="59"/>
        <v>0</v>
      </c>
      <c r="S39" s="20">
        <f t="shared" si="60"/>
        <v>0</v>
      </c>
      <c r="T39" s="19">
        <f t="shared" si="61"/>
        <v>0</v>
      </c>
      <c r="U39" s="21">
        <f t="shared" si="62"/>
        <v>0</v>
      </c>
      <c r="V39" s="19">
        <f t="shared" si="63"/>
        <v>0</v>
      </c>
    </row>
    <row r="40" spans="1:22">
      <c r="A40" s="26"/>
      <c r="B40" s="41" t="s">
        <v>441</v>
      </c>
      <c r="C40" s="26"/>
      <c r="D40" s="74"/>
      <c r="E40" s="31">
        <f>SUM(E36:E39)</f>
        <v>75</v>
      </c>
      <c r="F40" s="77">
        <f>SUM(F36:F39)</f>
        <v>6.0485499999999988</v>
      </c>
      <c r="G40" s="17"/>
      <c r="H40" s="31">
        <f>SUM(H36:H39)</f>
        <v>41</v>
      </c>
      <c r="I40" s="77">
        <f>SUM(I36:I39)</f>
        <v>3.3701999999999992</v>
      </c>
      <c r="J40" s="16"/>
      <c r="K40" s="31">
        <f>SUM(K36:K39)</f>
        <v>34</v>
      </c>
      <c r="L40" s="77">
        <f>SUM(L36:L39)</f>
        <v>2.67835</v>
      </c>
      <c r="M40" s="16"/>
      <c r="N40" s="31">
        <f>SUM(N36:N39)</f>
        <v>0</v>
      </c>
      <c r="O40" s="77">
        <f>SUM(O36:O39)</f>
        <v>0</v>
      </c>
      <c r="P40" s="16"/>
      <c r="Q40" s="31">
        <f t="shared" ref="Q40:V40" si="64">SUM(Q36:Q39)</f>
        <v>0</v>
      </c>
      <c r="R40" s="77">
        <f t="shared" si="64"/>
        <v>0</v>
      </c>
      <c r="S40" s="31">
        <f t="shared" si="64"/>
        <v>75</v>
      </c>
      <c r="T40" s="77">
        <f t="shared" si="64"/>
        <v>6.0485499999999988</v>
      </c>
      <c r="U40" s="31">
        <f t="shared" si="64"/>
        <v>0</v>
      </c>
      <c r="V40" s="77">
        <f t="shared" si="64"/>
        <v>0</v>
      </c>
    </row>
    <row r="41" spans="1:22">
      <c r="A41" s="26" t="s">
        <v>24</v>
      </c>
      <c r="B41" s="26" t="s">
        <v>58</v>
      </c>
      <c r="C41" s="26">
        <v>7.34</v>
      </c>
      <c r="D41" s="74">
        <v>10.8</v>
      </c>
      <c r="E41" s="28">
        <v>107</v>
      </c>
      <c r="F41" s="16">
        <f>(C41*D41*E41/1000)</f>
        <v>8.4821040000000014</v>
      </c>
      <c r="G41" s="16"/>
      <c r="H41" s="18"/>
      <c r="I41" s="19">
        <f>(C41*D41*H41/1000)</f>
        <v>0</v>
      </c>
      <c r="J41" s="16"/>
      <c r="K41" s="18"/>
      <c r="L41" s="19">
        <f>(C41*D41*K41/1000)</f>
        <v>0</v>
      </c>
      <c r="M41" s="16"/>
      <c r="N41" s="18"/>
      <c r="O41" s="19">
        <f>(C41*D41*N41/1000)</f>
        <v>0</v>
      </c>
      <c r="P41" s="16"/>
      <c r="Q41" s="18"/>
      <c r="R41" s="19">
        <f>(C41*D41*Q41/1000)</f>
        <v>0</v>
      </c>
      <c r="S41" s="20">
        <f>+H41+K41+Q41+N41</f>
        <v>0</v>
      </c>
      <c r="T41" s="19">
        <f>+I41+L41+R41+O41</f>
        <v>0</v>
      </c>
      <c r="U41" s="21">
        <f>E41-S41</f>
        <v>107</v>
      </c>
      <c r="V41" s="19">
        <f>F41-T41</f>
        <v>8.4821040000000014</v>
      </c>
    </row>
    <row r="42" spans="1:22">
      <c r="A42" s="26" t="s">
        <v>24</v>
      </c>
      <c r="B42" s="26" t="s">
        <v>58</v>
      </c>
      <c r="C42" s="26">
        <v>7.34</v>
      </c>
      <c r="D42" s="74">
        <v>11.75</v>
      </c>
      <c r="E42" s="28">
        <v>94</v>
      </c>
      <c r="F42" s="16">
        <f t="shared" ref="F42:F43" si="65">(C42*D42*E42/1000)</f>
        <v>8.10703</v>
      </c>
      <c r="G42" s="16"/>
      <c r="H42" s="18"/>
      <c r="I42" s="19">
        <f t="shared" ref="I42:I44" si="66">(C42*D42*H42/1000)</f>
        <v>0</v>
      </c>
      <c r="J42" s="16"/>
      <c r="K42" s="18"/>
      <c r="L42" s="19">
        <f t="shared" ref="L42:L44" si="67">(C42*D42*K42/1000)</f>
        <v>0</v>
      </c>
      <c r="M42" s="16"/>
      <c r="N42" s="18"/>
      <c r="O42" s="19">
        <f t="shared" ref="O42:O44" si="68">(C42*D42*N42/1000)</f>
        <v>0</v>
      </c>
      <c r="P42" s="16"/>
      <c r="Q42" s="18"/>
      <c r="R42" s="19">
        <f t="shared" ref="R42:R44" si="69">(C42*D42*Q42/1000)</f>
        <v>0</v>
      </c>
      <c r="S42" s="20">
        <f t="shared" ref="S42:S44" si="70">+H42+K42+Q42+N42</f>
        <v>0</v>
      </c>
      <c r="T42" s="19">
        <f t="shared" ref="T42:T44" si="71">+I42+L42+R42+O42</f>
        <v>0</v>
      </c>
      <c r="U42" s="21">
        <f t="shared" ref="U42:U44" si="72">E42-S42</f>
        <v>94</v>
      </c>
      <c r="V42" s="19">
        <f t="shared" ref="V42:V44" si="73">F42-T42</f>
        <v>8.10703</v>
      </c>
    </row>
    <row r="43" spans="1:22">
      <c r="A43" s="26" t="s">
        <v>24</v>
      </c>
      <c r="B43" s="26" t="s">
        <v>58</v>
      </c>
      <c r="C43" s="26">
        <v>7.34</v>
      </c>
      <c r="D43" s="74">
        <v>12</v>
      </c>
      <c r="E43" s="28">
        <v>2</v>
      </c>
      <c r="F43" s="16">
        <f t="shared" si="65"/>
        <v>0.17615999999999998</v>
      </c>
      <c r="G43" s="16"/>
      <c r="H43" s="18"/>
      <c r="I43" s="19">
        <f t="shared" si="66"/>
        <v>0</v>
      </c>
      <c r="J43" s="16"/>
      <c r="K43" s="18"/>
      <c r="L43" s="19">
        <f t="shared" si="67"/>
        <v>0</v>
      </c>
      <c r="M43" s="16"/>
      <c r="N43" s="18"/>
      <c r="O43" s="19">
        <f t="shared" si="68"/>
        <v>0</v>
      </c>
      <c r="P43" s="16"/>
      <c r="Q43" s="18"/>
      <c r="R43" s="19">
        <f t="shared" si="69"/>
        <v>0</v>
      </c>
      <c r="S43" s="20">
        <f t="shared" si="70"/>
        <v>0</v>
      </c>
      <c r="T43" s="19">
        <f t="shared" si="71"/>
        <v>0</v>
      </c>
      <c r="U43" s="21">
        <f t="shared" si="72"/>
        <v>2</v>
      </c>
      <c r="V43" s="19">
        <f t="shared" si="73"/>
        <v>0.17615999999999998</v>
      </c>
    </row>
    <row r="44" spans="1:22">
      <c r="A44" s="26" t="s">
        <v>24</v>
      </c>
      <c r="B44" s="26" t="s">
        <v>58</v>
      </c>
      <c r="C44" s="26">
        <v>7.34</v>
      </c>
      <c r="D44" s="74"/>
      <c r="E44" s="28"/>
      <c r="F44" s="16">
        <f>(C44*D44*E44/1000)</f>
        <v>0</v>
      </c>
      <c r="G44" s="16"/>
      <c r="H44" s="18"/>
      <c r="I44" s="19">
        <f t="shared" si="66"/>
        <v>0</v>
      </c>
      <c r="J44" s="16"/>
      <c r="K44" s="18"/>
      <c r="L44" s="19">
        <f t="shared" si="67"/>
        <v>0</v>
      </c>
      <c r="M44" s="16"/>
      <c r="N44" s="18"/>
      <c r="O44" s="19">
        <f t="shared" si="68"/>
        <v>0</v>
      </c>
      <c r="P44" s="16"/>
      <c r="Q44" s="18"/>
      <c r="R44" s="19">
        <f t="shared" si="69"/>
        <v>0</v>
      </c>
      <c r="S44" s="20">
        <f t="shared" si="70"/>
        <v>0</v>
      </c>
      <c r="T44" s="19">
        <f t="shared" si="71"/>
        <v>0</v>
      </c>
      <c r="U44" s="21">
        <f t="shared" si="72"/>
        <v>0</v>
      </c>
      <c r="V44" s="19">
        <f t="shared" si="73"/>
        <v>0</v>
      </c>
    </row>
    <row r="45" spans="1:22">
      <c r="A45" s="26"/>
      <c r="B45" s="41" t="s">
        <v>441</v>
      </c>
      <c r="C45" s="26"/>
      <c r="D45" s="74"/>
      <c r="E45" s="31">
        <f>SUM(E41:E44)</f>
        <v>203</v>
      </c>
      <c r="F45" s="77">
        <f>SUM(F41:F44)</f>
        <v>16.765294000000001</v>
      </c>
      <c r="G45" s="17"/>
      <c r="H45" s="31">
        <f>SUM(H41:H44)</f>
        <v>0</v>
      </c>
      <c r="I45" s="77">
        <f>SUM(I41:I44)</f>
        <v>0</v>
      </c>
      <c r="J45" s="16"/>
      <c r="K45" s="31">
        <f>SUM(K41:K44)</f>
        <v>0</v>
      </c>
      <c r="L45" s="77">
        <f>SUM(L41:L44)</f>
        <v>0</v>
      </c>
      <c r="M45" s="16"/>
      <c r="N45" s="31">
        <f>SUM(N41:N44)</f>
        <v>0</v>
      </c>
      <c r="O45" s="77">
        <f>SUM(O41:O44)</f>
        <v>0</v>
      </c>
      <c r="P45" s="16"/>
      <c r="Q45" s="31">
        <f t="shared" ref="Q45:V45" si="74">SUM(Q41:Q44)</f>
        <v>0</v>
      </c>
      <c r="R45" s="77">
        <f t="shared" si="74"/>
        <v>0</v>
      </c>
      <c r="S45" s="31">
        <f t="shared" si="74"/>
        <v>0</v>
      </c>
      <c r="T45" s="77">
        <f t="shared" si="74"/>
        <v>0</v>
      </c>
      <c r="U45" s="31">
        <f t="shared" si="74"/>
        <v>203</v>
      </c>
      <c r="V45" s="77">
        <f t="shared" si="74"/>
        <v>16.765294000000001</v>
      </c>
    </row>
    <row r="46" spans="1:22">
      <c r="A46" s="33"/>
      <c r="B46" s="33"/>
      <c r="C46" s="34"/>
      <c r="D46" s="34"/>
      <c r="E46" s="34">
        <f>SUM(E6:E45)/2</f>
        <v>689</v>
      </c>
      <c r="F46" s="35">
        <f>SUM(F6:F45)/2</f>
        <v>65.879953999999984</v>
      </c>
      <c r="G46" s="26"/>
      <c r="H46" s="34">
        <f>SUM(H6:H45)/2</f>
        <v>268</v>
      </c>
      <c r="I46" s="35">
        <f>SUM(I6:I45)/2</f>
        <v>26.118099999999991</v>
      </c>
      <c r="J46" s="26"/>
      <c r="K46" s="34">
        <f>SUM(K6:K45)/2</f>
        <v>135</v>
      </c>
      <c r="L46" s="35">
        <f>SUM(L6:L45)/2</f>
        <v>13.56626</v>
      </c>
      <c r="M46" s="26"/>
      <c r="N46" s="34">
        <f>SUM(N6:N45)/2</f>
        <v>65</v>
      </c>
      <c r="O46" s="35">
        <f>SUM(O6:O45)/2</f>
        <v>7.3358599999999985</v>
      </c>
      <c r="P46" s="26"/>
      <c r="Q46" s="34">
        <f t="shared" ref="Q46:V46" si="75">SUM(Q6:Q45)/2</f>
        <v>19</v>
      </c>
      <c r="R46" s="35">
        <f t="shared" si="75"/>
        <v>2.1715999999999998</v>
      </c>
      <c r="S46" s="34">
        <f t="shared" si="75"/>
        <v>487</v>
      </c>
      <c r="T46" s="35">
        <f t="shared" si="75"/>
        <v>49.191820000000007</v>
      </c>
      <c r="U46" s="34">
        <f t="shared" si="75"/>
        <v>202</v>
      </c>
      <c r="V46" s="35">
        <f t="shared" si="75"/>
        <v>16.688134000000002</v>
      </c>
    </row>
    <row r="50" spans="1:22" s="56" customFormat="1">
      <c r="A50" s="57" t="s">
        <v>13</v>
      </c>
      <c r="B50" s="57" t="s">
        <v>128</v>
      </c>
      <c r="C50" s="57">
        <v>40.1</v>
      </c>
      <c r="D50" s="83">
        <v>8.6</v>
      </c>
      <c r="E50" s="60">
        <v>13</v>
      </c>
      <c r="F50" s="61">
        <f>(C50*D50*E50/1000)</f>
        <v>4.4831799999999999</v>
      </c>
      <c r="G50" s="61"/>
      <c r="H50" s="63"/>
      <c r="I50" s="64">
        <f>(C50*D50*H50/1000)</f>
        <v>0</v>
      </c>
      <c r="J50" s="61"/>
      <c r="K50" s="63"/>
      <c r="L50" s="64">
        <f>(C50*D50*K50/1000)</f>
        <v>0</v>
      </c>
      <c r="M50" s="61"/>
      <c r="N50" s="63"/>
      <c r="O50" s="64">
        <f>(C50*D50*N50/1000)</f>
        <v>0</v>
      </c>
      <c r="P50" s="61"/>
      <c r="Q50" s="63"/>
      <c r="R50" s="64">
        <f>(C50*D50*Q50/1000)</f>
        <v>0</v>
      </c>
      <c r="S50" s="65">
        <f>+H50+K50+Q50+N50</f>
        <v>0</v>
      </c>
      <c r="T50" s="64">
        <f>+I50+L50+R50+O50</f>
        <v>0</v>
      </c>
      <c r="U50" s="42">
        <f>E50-S50</f>
        <v>13</v>
      </c>
      <c r="V50" s="64">
        <f>F50-T50</f>
        <v>4.4831799999999999</v>
      </c>
    </row>
    <row r="51" spans="1:22" s="56" customFormat="1">
      <c r="A51" s="57" t="s">
        <v>13</v>
      </c>
      <c r="B51" s="57" t="s">
        <v>128</v>
      </c>
      <c r="C51" s="57">
        <v>40.1</v>
      </c>
      <c r="D51" s="83">
        <v>9.3000000000000007</v>
      </c>
      <c r="E51" s="60">
        <v>8</v>
      </c>
      <c r="F51" s="61">
        <f>(C51*D51*E51/1000)</f>
        <v>2.9834400000000003</v>
      </c>
      <c r="G51" s="61"/>
      <c r="H51" s="63"/>
      <c r="I51" s="64">
        <f t="shared" ref="I51" si="76">(C51*D51*H51/1000)</f>
        <v>0</v>
      </c>
      <c r="J51" s="61"/>
      <c r="K51" s="63"/>
      <c r="L51" s="64">
        <f t="shared" ref="L51" si="77">(C51*D51*K51/1000)</f>
        <v>0</v>
      </c>
      <c r="M51" s="61"/>
      <c r="N51" s="63"/>
      <c r="O51" s="64">
        <f t="shared" ref="O51" si="78">(C51*D51*N51/1000)</f>
        <v>0</v>
      </c>
      <c r="P51" s="61"/>
      <c r="Q51" s="63"/>
      <c r="R51" s="64">
        <f t="shared" ref="R51" si="79">(C51*D51*Q51/1000)</f>
        <v>0</v>
      </c>
      <c r="S51" s="65">
        <f t="shared" ref="S51" si="80">+H51+K51+Q51+N51</f>
        <v>0</v>
      </c>
      <c r="T51" s="64">
        <f t="shared" ref="T51" si="81">+I51+L51+R51+O51</f>
        <v>0</v>
      </c>
      <c r="U51" s="42">
        <f t="shared" ref="U51" si="82">E51-S51</f>
        <v>8</v>
      </c>
      <c r="V51" s="64">
        <f t="shared" ref="V51" si="83">F51-T51</f>
        <v>2.9834400000000003</v>
      </c>
    </row>
    <row r="52" spans="1:22" s="56" customFormat="1">
      <c r="A52" s="57"/>
      <c r="B52" s="41" t="s">
        <v>440</v>
      </c>
      <c r="C52" s="57"/>
      <c r="D52" s="83"/>
      <c r="E52" s="68">
        <f>SUM(E50:E51)</f>
        <v>21</v>
      </c>
      <c r="F52" s="85">
        <f>SUM(F50:F51)</f>
        <v>7.4666200000000007</v>
      </c>
      <c r="G52" s="62"/>
      <c r="H52" s="68">
        <f>SUM(H50:H51)</f>
        <v>0</v>
      </c>
      <c r="I52" s="85">
        <f>SUM(I50:I51)</f>
        <v>0</v>
      </c>
      <c r="J52" s="61"/>
      <c r="K52" s="68">
        <f>SUM(K50:K51)</f>
        <v>0</v>
      </c>
      <c r="L52" s="85">
        <f>SUM(L50:L51)</f>
        <v>0</v>
      </c>
      <c r="M52" s="61"/>
      <c r="N52" s="68">
        <f>SUM(N50:N51)</f>
        <v>0</v>
      </c>
      <c r="O52" s="85">
        <f>SUM(O50:O51)</f>
        <v>0</v>
      </c>
      <c r="P52" s="61"/>
      <c r="Q52" s="68">
        <f t="shared" ref="Q52:V52" si="84">SUM(Q50:Q51)</f>
        <v>0</v>
      </c>
      <c r="R52" s="85">
        <f t="shared" si="84"/>
        <v>0</v>
      </c>
      <c r="S52" s="68">
        <f t="shared" si="84"/>
        <v>0</v>
      </c>
      <c r="T52" s="85">
        <f t="shared" si="84"/>
        <v>0</v>
      </c>
      <c r="U52" s="68">
        <f t="shared" si="84"/>
        <v>21</v>
      </c>
      <c r="V52" s="85">
        <f t="shared" si="84"/>
        <v>7.4666200000000007</v>
      </c>
    </row>
    <row r="53" spans="1:22">
      <c r="A53" s="57" t="s">
        <v>24</v>
      </c>
      <c r="B53" s="57" t="s">
        <v>49</v>
      </c>
      <c r="C53" s="57">
        <v>14.7</v>
      </c>
      <c r="D53" s="83">
        <v>7.8</v>
      </c>
      <c r="E53" s="60">
        <v>22</v>
      </c>
      <c r="F53" s="61">
        <f>(C53*D53*E53/1000)</f>
        <v>2.5225200000000001</v>
      </c>
      <c r="G53" s="61"/>
      <c r="H53" s="63"/>
      <c r="I53" s="64">
        <f>(C53*D53*H53/1000)</f>
        <v>0</v>
      </c>
      <c r="J53" s="61"/>
      <c r="K53" s="63"/>
      <c r="L53" s="64">
        <f>(C53*D53*K53/1000)</f>
        <v>0</v>
      </c>
      <c r="M53" s="61"/>
      <c r="N53" s="63"/>
      <c r="O53" s="64">
        <f>(C53*D53*N53/1000)</f>
        <v>0</v>
      </c>
      <c r="P53" s="61"/>
      <c r="Q53" s="63"/>
      <c r="R53" s="64">
        <f>(C53*D53*Q53/1000)</f>
        <v>0</v>
      </c>
      <c r="S53" s="65">
        <f>+H53+K53+Q53+N53</f>
        <v>0</v>
      </c>
      <c r="T53" s="64">
        <f>+I53+L53+R53+O53</f>
        <v>0</v>
      </c>
      <c r="U53" s="42">
        <f>E53-S53</f>
        <v>22</v>
      </c>
      <c r="V53" s="64">
        <f>F53-T53</f>
        <v>2.5225200000000001</v>
      </c>
    </row>
    <row r="54" spans="1:22">
      <c r="A54" s="57" t="s">
        <v>24</v>
      </c>
      <c r="B54" s="57" t="s">
        <v>49</v>
      </c>
      <c r="C54" s="57">
        <v>14.7</v>
      </c>
      <c r="D54" s="83">
        <v>8.5</v>
      </c>
      <c r="E54" s="60">
        <v>16</v>
      </c>
      <c r="F54" s="61">
        <f t="shared" ref="F54:F55" si="85">(C54*D54*E54/1000)</f>
        <v>1.9991999999999999</v>
      </c>
      <c r="G54" s="61"/>
      <c r="H54" s="63"/>
      <c r="I54" s="64">
        <f t="shared" ref="I54:I56" si="86">(C54*D54*H54/1000)</f>
        <v>0</v>
      </c>
      <c r="J54" s="61"/>
      <c r="K54" s="63"/>
      <c r="L54" s="64">
        <f t="shared" ref="L54:L56" si="87">(C54*D54*K54/1000)</f>
        <v>0</v>
      </c>
      <c r="M54" s="61"/>
      <c r="N54" s="63"/>
      <c r="O54" s="64">
        <f t="shared" ref="O54:O56" si="88">(C54*D54*N54/1000)</f>
        <v>0</v>
      </c>
      <c r="P54" s="61"/>
      <c r="Q54" s="63"/>
      <c r="R54" s="64">
        <f t="shared" ref="R54:R56" si="89">(C54*D54*Q54/1000)</f>
        <v>0</v>
      </c>
      <c r="S54" s="65">
        <f t="shared" ref="S54:S56" si="90">+H54+K54+Q54+N54</f>
        <v>0</v>
      </c>
      <c r="T54" s="64">
        <f t="shared" ref="T54:T56" si="91">+I54+L54+R54+O54</f>
        <v>0</v>
      </c>
      <c r="U54" s="42">
        <f t="shared" ref="U54:U56" si="92">E54-S54</f>
        <v>16</v>
      </c>
      <c r="V54" s="64">
        <f t="shared" ref="V54:V56" si="93">F54-T54</f>
        <v>1.9991999999999999</v>
      </c>
    </row>
    <row r="55" spans="1:22">
      <c r="A55" s="57" t="s">
        <v>24</v>
      </c>
      <c r="B55" s="57" t="s">
        <v>49</v>
      </c>
      <c r="C55" s="57">
        <v>14.7</v>
      </c>
      <c r="D55" s="83"/>
      <c r="E55" s="60"/>
      <c r="F55" s="61">
        <f t="shared" si="85"/>
        <v>0</v>
      </c>
      <c r="G55" s="61"/>
      <c r="H55" s="63"/>
      <c r="I55" s="64">
        <f t="shared" si="86"/>
        <v>0</v>
      </c>
      <c r="J55" s="61"/>
      <c r="K55" s="63"/>
      <c r="L55" s="64">
        <f t="shared" si="87"/>
        <v>0</v>
      </c>
      <c r="M55" s="61"/>
      <c r="N55" s="63"/>
      <c r="O55" s="64">
        <f t="shared" si="88"/>
        <v>0</v>
      </c>
      <c r="P55" s="61"/>
      <c r="Q55" s="63"/>
      <c r="R55" s="64">
        <f t="shared" si="89"/>
        <v>0</v>
      </c>
      <c r="S55" s="65">
        <f t="shared" si="90"/>
        <v>0</v>
      </c>
      <c r="T55" s="64">
        <f t="shared" si="91"/>
        <v>0</v>
      </c>
      <c r="U55" s="42">
        <f t="shared" si="92"/>
        <v>0</v>
      </c>
      <c r="V55" s="64">
        <f t="shared" si="93"/>
        <v>0</v>
      </c>
    </row>
    <row r="56" spans="1:22">
      <c r="A56" s="57" t="s">
        <v>24</v>
      </c>
      <c r="B56" s="57" t="s">
        <v>49</v>
      </c>
      <c r="C56" s="57">
        <v>14.7</v>
      </c>
      <c r="D56" s="83"/>
      <c r="E56" s="60"/>
      <c r="F56" s="61">
        <f>(C56*D56*E56/1000)</f>
        <v>0</v>
      </c>
      <c r="G56" s="61"/>
      <c r="H56" s="63"/>
      <c r="I56" s="64">
        <f t="shared" si="86"/>
        <v>0</v>
      </c>
      <c r="J56" s="61"/>
      <c r="K56" s="63"/>
      <c r="L56" s="64">
        <f t="shared" si="87"/>
        <v>0</v>
      </c>
      <c r="M56" s="61"/>
      <c r="N56" s="63"/>
      <c r="O56" s="64">
        <f t="shared" si="88"/>
        <v>0</v>
      </c>
      <c r="P56" s="61"/>
      <c r="Q56" s="63"/>
      <c r="R56" s="64">
        <f t="shared" si="89"/>
        <v>0</v>
      </c>
      <c r="S56" s="65">
        <f t="shared" si="90"/>
        <v>0</v>
      </c>
      <c r="T56" s="64">
        <f t="shared" si="91"/>
        <v>0</v>
      </c>
      <c r="U56" s="42">
        <f t="shared" si="92"/>
        <v>0</v>
      </c>
      <c r="V56" s="64">
        <f t="shared" si="93"/>
        <v>0</v>
      </c>
    </row>
    <row r="57" spans="1:22">
      <c r="A57" s="57"/>
      <c r="B57" s="41" t="s">
        <v>441</v>
      </c>
      <c r="C57" s="57"/>
      <c r="D57" s="83"/>
      <c r="E57" s="68">
        <f>SUM(E53:E56)</f>
        <v>38</v>
      </c>
      <c r="F57" s="85">
        <f>SUM(F53:F56)</f>
        <v>4.5217200000000002</v>
      </c>
      <c r="G57" s="62"/>
      <c r="H57" s="68">
        <f>SUM(H53:H56)</f>
        <v>0</v>
      </c>
      <c r="I57" s="85">
        <f>SUM(I53:I56)</f>
        <v>0</v>
      </c>
      <c r="J57" s="61"/>
      <c r="K57" s="68">
        <f>SUM(K53:K56)</f>
        <v>0</v>
      </c>
      <c r="L57" s="85">
        <f>SUM(L53:L56)</f>
        <v>0</v>
      </c>
      <c r="M57" s="61"/>
      <c r="N57" s="68">
        <f>SUM(N53:N56)</f>
        <v>0</v>
      </c>
      <c r="O57" s="85">
        <f>SUM(O53:O56)</f>
        <v>0</v>
      </c>
      <c r="P57" s="61"/>
      <c r="Q57" s="68">
        <f t="shared" ref="Q57:V57" si="94">SUM(Q53:Q56)</f>
        <v>0</v>
      </c>
      <c r="R57" s="85">
        <f t="shared" si="94"/>
        <v>0</v>
      </c>
      <c r="S57" s="68">
        <f t="shared" si="94"/>
        <v>0</v>
      </c>
      <c r="T57" s="85">
        <f t="shared" si="94"/>
        <v>0</v>
      </c>
      <c r="U57" s="68">
        <f t="shared" si="94"/>
        <v>38</v>
      </c>
      <c r="V57" s="85">
        <f t="shared" si="94"/>
        <v>4.5217200000000002</v>
      </c>
    </row>
    <row r="58" spans="1:22">
      <c r="A58" s="57" t="s">
        <v>24</v>
      </c>
      <c r="B58" s="57" t="s">
        <v>50</v>
      </c>
      <c r="C58" s="57">
        <v>16.5</v>
      </c>
      <c r="D58" s="83">
        <v>8.9</v>
      </c>
      <c r="E58" s="60">
        <v>28</v>
      </c>
      <c r="F58" s="61">
        <f>(C58*D58*E58/1000)</f>
        <v>4.1118000000000006</v>
      </c>
      <c r="G58" s="61"/>
      <c r="H58" s="63"/>
      <c r="I58" s="64">
        <f>(C58*D58*H58/1000)</f>
        <v>0</v>
      </c>
      <c r="J58" s="61"/>
      <c r="K58" s="63"/>
      <c r="L58" s="64">
        <f>(C58*D58*K58/1000)</f>
        <v>0</v>
      </c>
      <c r="M58" s="61"/>
      <c r="N58" s="63"/>
      <c r="O58" s="64">
        <f>(C58*D58*N58/1000)</f>
        <v>0</v>
      </c>
      <c r="P58" s="61"/>
      <c r="Q58" s="63"/>
      <c r="R58" s="64">
        <f>(C58*D58*Q58/1000)</f>
        <v>0</v>
      </c>
      <c r="S58" s="65">
        <f>+H58+K58+Q58+N58</f>
        <v>0</v>
      </c>
      <c r="T58" s="64">
        <f>+I58+L58+R58+O58</f>
        <v>0</v>
      </c>
      <c r="U58" s="42">
        <f>E58-S58</f>
        <v>28</v>
      </c>
      <c r="V58" s="64">
        <f>F58-T58</f>
        <v>4.1118000000000006</v>
      </c>
    </row>
    <row r="59" spans="1:22">
      <c r="A59" s="57" t="s">
        <v>24</v>
      </c>
      <c r="B59" s="57" t="s">
        <v>50</v>
      </c>
      <c r="C59" s="57">
        <v>16.5</v>
      </c>
      <c r="D59" s="83">
        <v>10.7</v>
      </c>
      <c r="E59" s="60">
        <v>14</v>
      </c>
      <c r="F59" s="61">
        <f t="shared" ref="F59:F60" si="95">(C59*D59*E59/1000)</f>
        <v>2.4716999999999998</v>
      </c>
      <c r="G59" s="61"/>
      <c r="H59" s="63"/>
      <c r="I59" s="64">
        <f t="shared" ref="I59:I61" si="96">(C59*D59*H59/1000)</f>
        <v>0</v>
      </c>
      <c r="J59" s="61"/>
      <c r="K59" s="63"/>
      <c r="L59" s="64">
        <f t="shared" ref="L59:L61" si="97">(C59*D59*K59/1000)</f>
        <v>0</v>
      </c>
      <c r="M59" s="61"/>
      <c r="N59" s="63"/>
      <c r="O59" s="64">
        <f t="shared" ref="O59:O61" si="98">(C59*D59*N59/1000)</f>
        <v>0</v>
      </c>
      <c r="P59" s="61"/>
      <c r="Q59" s="63"/>
      <c r="R59" s="64">
        <f t="shared" ref="R59:R61" si="99">(C59*D59*Q59/1000)</f>
        <v>0</v>
      </c>
      <c r="S59" s="65">
        <f t="shared" ref="S59:S61" si="100">+H59+K59+Q59+N59</f>
        <v>0</v>
      </c>
      <c r="T59" s="64">
        <f t="shared" ref="T59:T61" si="101">+I59+L59+R59+O59</f>
        <v>0</v>
      </c>
      <c r="U59" s="42">
        <f t="shared" ref="U59:U61" si="102">E59-S59</f>
        <v>14</v>
      </c>
      <c r="V59" s="64">
        <f t="shared" ref="V59:V61" si="103">F59-T59</f>
        <v>2.4716999999999998</v>
      </c>
    </row>
    <row r="60" spans="1:22">
      <c r="A60" s="57" t="s">
        <v>24</v>
      </c>
      <c r="B60" s="57" t="s">
        <v>50</v>
      </c>
      <c r="C60" s="57">
        <v>16.5</v>
      </c>
      <c r="D60" s="83"/>
      <c r="E60" s="60"/>
      <c r="F60" s="61">
        <f t="shared" si="95"/>
        <v>0</v>
      </c>
      <c r="G60" s="61"/>
      <c r="H60" s="63"/>
      <c r="I60" s="64">
        <f t="shared" si="96"/>
        <v>0</v>
      </c>
      <c r="J60" s="61"/>
      <c r="K60" s="63"/>
      <c r="L60" s="64">
        <f t="shared" si="97"/>
        <v>0</v>
      </c>
      <c r="M60" s="61"/>
      <c r="N60" s="63"/>
      <c r="O60" s="64">
        <f t="shared" si="98"/>
        <v>0</v>
      </c>
      <c r="P60" s="61"/>
      <c r="Q60" s="63"/>
      <c r="R60" s="64">
        <f t="shared" si="99"/>
        <v>0</v>
      </c>
      <c r="S60" s="65">
        <f t="shared" si="100"/>
        <v>0</v>
      </c>
      <c r="T60" s="64">
        <f t="shared" si="101"/>
        <v>0</v>
      </c>
      <c r="U60" s="42">
        <f t="shared" si="102"/>
        <v>0</v>
      </c>
      <c r="V60" s="64">
        <f t="shared" si="103"/>
        <v>0</v>
      </c>
    </row>
    <row r="61" spans="1:22">
      <c r="A61" s="57" t="s">
        <v>24</v>
      </c>
      <c r="B61" s="57" t="s">
        <v>50</v>
      </c>
      <c r="C61" s="57">
        <v>16.5</v>
      </c>
      <c r="D61" s="83"/>
      <c r="E61" s="60"/>
      <c r="F61" s="61">
        <f>(C61*D61*E61/1000)</f>
        <v>0</v>
      </c>
      <c r="G61" s="61"/>
      <c r="H61" s="63"/>
      <c r="I61" s="64">
        <f t="shared" si="96"/>
        <v>0</v>
      </c>
      <c r="J61" s="61"/>
      <c r="K61" s="63"/>
      <c r="L61" s="64">
        <f t="shared" si="97"/>
        <v>0</v>
      </c>
      <c r="M61" s="61"/>
      <c r="N61" s="63"/>
      <c r="O61" s="64">
        <f t="shared" si="98"/>
        <v>0</v>
      </c>
      <c r="P61" s="61"/>
      <c r="Q61" s="63"/>
      <c r="R61" s="64">
        <f t="shared" si="99"/>
        <v>0</v>
      </c>
      <c r="S61" s="65">
        <f t="shared" si="100"/>
        <v>0</v>
      </c>
      <c r="T61" s="64">
        <f t="shared" si="101"/>
        <v>0</v>
      </c>
      <c r="U61" s="42">
        <f t="shared" si="102"/>
        <v>0</v>
      </c>
      <c r="V61" s="64">
        <f t="shared" si="103"/>
        <v>0</v>
      </c>
    </row>
    <row r="62" spans="1:22">
      <c r="A62" s="57"/>
      <c r="B62" s="41" t="s">
        <v>441</v>
      </c>
      <c r="C62" s="57"/>
      <c r="D62" s="83"/>
      <c r="E62" s="68">
        <f>SUM(E58:E61)</f>
        <v>42</v>
      </c>
      <c r="F62" s="85">
        <f>SUM(F58:F61)</f>
        <v>6.5835000000000008</v>
      </c>
      <c r="G62" s="62"/>
      <c r="H62" s="68">
        <f>SUM(H58:H61)</f>
        <v>0</v>
      </c>
      <c r="I62" s="85">
        <f>SUM(I58:I61)</f>
        <v>0</v>
      </c>
      <c r="J62" s="61"/>
      <c r="K62" s="68">
        <f>SUM(K58:K61)</f>
        <v>0</v>
      </c>
      <c r="L62" s="85">
        <f>SUM(L58:L61)</f>
        <v>0</v>
      </c>
      <c r="M62" s="61"/>
      <c r="N62" s="68">
        <f>SUM(N58:N61)</f>
        <v>0</v>
      </c>
      <c r="O62" s="85">
        <f>SUM(O58:O61)</f>
        <v>0</v>
      </c>
      <c r="P62" s="61"/>
      <c r="Q62" s="68">
        <f t="shared" ref="Q62:V62" si="104">SUM(Q58:Q61)</f>
        <v>0</v>
      </c>
      <c r="R62" s="85">
        <f t="shared" si="104"/>
        <v>0</v>
      </c>
      <c r="S62" s="68">
        <f t="shared" si="104"/>
        <v>0</v>
      </c>
      <c r="T62" s="85">
        <f t="shared" si="104"/>
        <v>0</v>
      </c>
      <c r="U62" s="68">
        <f t="shared" si="104"/>
        <v>42</v>
      </c>
      <c r="V62" s="85">
        <f t="shared" si="104"/>
        <v>6.5835000000000008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V20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LOI-896  29.09.23</v>
      </c>
      <c r="D1" s="1"/>
      <c r="E1" s="2"/>
      <c r="F1" s="2"/>
      <c r="G1" s="143" t="s">
        <v>461</v>
      </c>
      <c r="H1" s="144"/>
      <c r="I1" s="145" t="s">
        <v>339</v>
      </c>
      <c r="J1" s="144"/>
      <c r="K1" s="3"/>
      <c r="L1" s="4"/>
      <c r="M1" s="4"/>
      <c r="N1" s="3"/>
      <c r="O1" s="4"/>
      <c r="P1" s="146" t="str">
        <f>+F2</f>
        <v>LOI-896  29.09.23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463</v>
      </c>
      <c r="B2" s="8"/>
      <c r="C2" s="9"/>
      <c r="D2" s="9"/>
      <c r="E2" s="10"/>
      <c r="F2" s="146" t="s">
        <v>460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LOI-896  29.09.23</v>
      </c>
      <c r="V2" s="146"/>
    </row>
    <row r="3" spans="1:22">
      <c r="A3" s="12" t="s">
        <v>464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26">
        <v>15</v>
      </c>
      <c r="D6" s="74">
        <v>7.6</v>
      </c>
      <c r="E6" s="28">
        <v>16</v>
      </c>
      <c r="F6" s="16">
        <f>(C6*D6*E6/1000)</f>
        <v>1.8240000000000001</v>
      </c>
      <c r="G6" s="16" t="s">
        <v>86</v>
      </c>
      <c r="H6" s="18">
        <v>10</v>
      </c>
      <c r="I6" s="19">
        <f>(C6*D6*H6/1000)</f>
        <v>1.1399999999999999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10</v>
      </c>
      <c r="T6" s="19">
        <f>+I6+L6+R6+O6</f>
        <v>1.1399999999999999</v>
      </c>
      <c r="U6" s="21">
        <f>E6-S6</f>
        <v>6</v>
      </c>
      <c r="V6" s="19">
        <f>F6-T6</f>
        <v>0.68400000000000016</v>
      </c>
    </row>
    <row r="7" spans="1:22">
      <c r="A7" s="26" t="s">
        <v>13</v>
      </c>
      <c r="B7" s="26" t="s">
        <v>60</v>
      </c>
      <c r="C7" s="26">
        <v>15</v>
      </c>
      <c r="D7" s="74">
        <v>8.6999999999999993</v>
      </c>
      <c r="E7" s="28"/>
      <c r="F7" s="16">
        <f t="shared" ref="F7:F9" si="0">(C7*D7*E7/1000)</f>
        <v>0</v>
      </c>
      <c r="G7" s="17" t="s">
        <v>472</v>
      </c>
      <c r="H7" s="18">
        <v>2</v>
      </c>
      <c r="I7" s="19">
        <f t="shared" ref="I7:I9" si="1">(C7*D7*H7/1000)</f>
        <v>0.26100000000000001</v>
      </c>
      <c r="J7" s="16"/>
      <c r="K7" s="18"/>
      <c r="L7" s="19">
        <f t="shared" ref="L7:L9" si="2">(C7*D7*K7/1000)</f>
        <v>0</v>
      </c>
      <c r="M7" s="16"/>
      <c r="N7" s="18"/>
      <c r="O7" s="19">
        <f t="shared" ref="O7:O9" si="3">(C7*D7*N7/1000)</f>
        <v>0</v>
      </c>
      <c r="P7" s="16"/>
      <c r="Q7" s="18"/>
      <c r="R7" s="19">
        <f t="shared" ref="R7:R9" si="4">(C7*D7*Q7/1000)</f>
        <v>0</v>
      </c>
      <c r="S7" s="20">
        <f t="shared" ref="S7:S9" si="5">+H7+K7+Q7+N7</f>
        <v>2</v>
      </c>
      <c r="T7" s="19">
        <f t="shared" ref="T7:T9" si="6">+I7+L7+R7+O7</f>
        <v>0.26100000000000001</v>
      </c>
      <c r="U7" s="21">
        <f t="shared" ref="U7:U9" si="7">E7-S7</f>
        <v>-2</v>
      </c>
      <c r="V7" s="19">
        <f t="shared" ref="V7:V9" si="8">F7-T7</f>
        <v>-0.26100000000000001</v>
      </c>
    </row>
    <row r="8" spans="1:22">
      <c r="A8" s="26" t="s">
        <v>13</v>
      </c>
      <c r="B8" s="26" t="s">
        <v>60</v>
      </c>
      <c r="C8" s="26">
        <v>15</v>
      </c>
      <c r="D8" s="74">
        <v>9.1999999999999993</v>
      </c>
      <c r="E8" s="28"/>
      <c r="F8" s="16">
        <f t="shared" si="0"/>
        <v>0</v>
      </c>
      <c r="G8" s="17"/>
      <c r="H8" s="18">
        <v>2</v>
      </c>
      <c r="I8" s="19">
        <f t="shared" si="1"/>
        <v>0.27600000000000002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</v>
      </c>
      <c r="T8" s="19">
        <f t="shared" si="6"/>
        <v>0.27600000000000002</v>
      </c>
      <c r="U8" s="21">
        <f t="shared" si="7"/>
        <v>-2</v>
      </c>
      <c r="V8" s="19">
        <f t="shared" si="8"/>
        <v>-0.27600000000000002</v>
      </c>
    </row>
    <row r="9" spans="1:22">
      <c r="A9" s="26" t="s">
        <v>13</v>
      </c>
      <c r="B9" s="26" t="s">
        <v>60</v>
      </c>
      <c r="C9" s="26">
        <v>15</v>
      </c>
      <c r="D9" s="74">
        <v>11.8</v>
      </c>
      <c r="E9" s="28"/>
      <c r="F9" s="16">
        <f t="shared" si="0"/>
        <v>0</v>
      </c>
      <c r="G9" s="17"/>
      <c r="H9" s="18">
        <v>1</v>
      </c>
      <c r="I9" s="19">
        <f t="shared" si="1"/>
        <v>0.17699999999999999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</v>
      </c>
      <c r="T9" s="19">
        <f t="shared" si="6"/>
        <v>0.17699999999999999</v>
      </c>
      <c r="U9" s="21">
        <f t="shared" si="7"/>
        <v>-1</v>
      </c>
      <c r="V9" s="19">
        <f t="shared" si="8"/>
        <v>-0.17699999999999999</v>
      </c>
    </row>
    <row r="10" spans="1:22">
      <c r="A10" s="26" t="s">
        <v>13</v>
      </c>
      <c r="B10" s="26" t="s">
        <v>60</v>
      </c>
      <c r="C10" s="26">
        <v>15</v>
      </c>
      <c r="D10" s="74">
        <v>12</v>
      </c>
      <c r="E10" s="28"/>
      <c r="F10" s="16">
        <f>(C10*D10*E10/1000)</f>
        <v>0</v>
      </c>
      <c r="G10" s="17"/>
      <c r="H10" s="18">
        <v>1</v>
      </c>
      <c r="I10" s="19">
        <f t="shared" ref="I10" si="9">(C10*D10*H10/1000)</f>
        <v>0.18</v>
      </c>
      <c r="J10" s="16"/>
      <c r="K10" s="18"/>
      <c r="L10" s="19">
        <f t="shared" ref="L10" si="10">(C10*D10*K10/1000)</f>
        <v>0</v>
      </c>
      <c r="M10" s="16"/>
      <c r="N10" s="18"/>
      <c r="O10" s="19">
        <f t="shared" ref="O10" si="11">(C10*D10*N10/1000)</f>
        <v>0</v>
      </c>
      <c r="P10" s="16"/>
      <c r="Q10" s="18"/>
      <c r="R10" s="19">
        <f t="shared" ref="R10" si="12">(C10*D10*Q10/1000)</f>
        <v>0</v>
      </c>
      <c r="S10" s="20">
        <f t="shared" ref="S10:T10" si="13">+H10+K10+Q10+N10</f>
        <v>1</v>
      </c>
      <c r="T10" s="19">
        <f t="shared" si="13"/>
        <v>0.18</v>
      </c>
      <c r="U10" s="21">
        <f t="shared" ref="U10:V10" si="14">E10-S10</f>
        <v>-1</v>
      </c>
      <c r="V10" s="19">
        <f t="shared" si="14"/>
        <v>-0.18</v>
      </c>
    </row>
    <row r="11" spans="1:22">
      <c r="A11" s="26"/>
      <c r="B11" s="41" t="s">
        <v>378</v>
      </c>
      <c r="C11" s="26"/>
      <c r="D11" s="74"/>
      <c r="E11" s="31">
        <f>SUM(E6:E10)</f>
        <v>16</v>
      </c>
      <c r="F11" s="77">
        <f>SUM(F6:F10)</f>
        <v>1.8240000000000001</v>
      </c>
      <c r="G11" s="17"/>
      <c r="H11" s="31">
        <f>SUM(H6:H10)</f>
        <v>16</v>
      </c>
      <c r="I11" s="77">
        <f>SUM(I6:I10)</f>
        <v>2.0339999999999998</v>
      </c>
      <c r="J11" s="16"/>
      <c r="K11" s="31">
        <f>SUM(K6:K10)</f>
        <v>0</v>
      </c>
      <c r="L11" s="77">
        <f>SUM(L6:L10)</f>
        <v>0</v>
      </c>
      <c r="M11" s="16"/>
      <c r="N11" s="31">
        <f>SUM(N6:N10)</f>
        <v>0</v>
      </c>
      <c r="O11" s="77">
        <f>SUM(O6:O10)</f>
        <v>0</v>
      </c>
      <c r="P11" s="16"/>
      <c r="Q11" s="31">
        <f t="shared" ref="Q11:V11" si="15">SUM(Q6:Q10)</f>
        <v>0</v>
      </c>
      <c r="R11" s="77">
        <f t="shared" si="15"/>
        <v>0</v>
      </c>
      <c r="S11" s="31">
        <f t="shared" si="15"/>
        <v>16</v>
      </c>
      <c r="T11" s="77">
        <f t="shared" si="15"/>
        <v>2.0339999999999998</v>
      </c>
      <c r="U11" s="31">
        <f t="shared" si="15"/>
        <v>0</v>
      </c>
      <c r="V11" s="77">
        <f t="shared" si="15"/>
        <v>-0.20999999999999985</v>
      </c>
    </row>
    <row r="12" spans="1:22">
      <c r="A12" s="26" t="s">
        <v>13</v>
      </c>
      <c r="B12" s="26" t="s">
        <v>462</v>
      </c>
      <c r="C12" s="26">
        <v>12.2</v>
      </c>
      <c r="D12" s="74">
        <v>10.5</v>
      </c>
      <c r="E12" s="28">
        <v>13</v>
      </c>
      <c r="F12" s="16">
        <f>(C12*D12*E12/1000)</f>
        <v>1.6653</v>
      </c>
      <c r="G12" s="16" t="s">
        <v>93</v>
      </c>
      <c r="H12" s="18">
        <v>9</v>
      </c>
      <c r="I12" s="19">
        <f>(C12*D12*H12/1000)</f>
        <v>1.1528999999999998</v>
      </c>
      <c r="J12" s="16" t="s">
        <v>89</v>
      </c>
      <c r="K12" s="18">
        <v>1</v>
      </c>
      <c r="L12" s="19">
        <f>(C12*D12*K12/1000)</f>
        <v>0.12809999999999999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10</v>
      </c>
      <c r="T12" s="19">
        <f>+I12+L12+R12+O12</f>
        <v>1.2809999999999997</v>
      </c>
      <c r="U12" s="21">
        <f>E12-S12</f>
        <v>3</v>
      </c>
      <c r="V12" s="19">
        <f>F12-T12</f>
        <v>0.38430000000000031</v>
      </c>
    </row>
    <row r="13" spans="1:22">
      <c r="A13" s="26" t="s">
        <v>13</v>
      </c>
      <c r="B13" s="26" t="s">
        <v>462</v>
      </c>
      <c r="C13" s="26">
        <v>12.2</v>
      </c>
      <c r="D13" s="74">
        <v>11.5</v>
      </c>
      <c r="E13" s="28">
        <v>21</v>
      </c>
      <c r="F13" s="16">
        <f t="shared" ref="F13:F15" si="16">(C13*D13*E13/1000)</f>
        <v>2.9462999999999999</v>
      </c>
      <c r="G13" s="16" t="s">
        <v>469</v>
      </c>
      <c r="H13" s="18">
        <f t="shared" ref="H13" si="17">13+8</f>
        <v>21</v>
      </c>
      <c r="I13" s="19">
        <f t="shared" ref="I13:I15" si="18">(C13*D13*H13/1000)</f>
        <v>2.9462999999999999</v>
      </c>
      <c r="J13" s="16" t="s">
        <v>470</v>
      </c>
      <c r="K13" s="18">
        <v>1</v>
      </c>
      <c r="L13" s="19">
        <f t="shared" ref="L13:L15" si="19">(C13*D13*K13/1000)</f>
        <v>0.14029999999999998</v>
      </c>
      <c r="M13" s="16"/>
      <c r="N13" s="18"/>
      <c r="O13" s="19">
        <f t="shared" ref="O13:O15" si="20">(C13*D13*N13/1000)</f>
        <v>0</v>
      </c>
      <c r="P13" s="16"/>
      <c r="Q13" s="18"/>
      <c r="R13" s="19">
        <f t="shared" ref="R13:R15" si="21">(C13*D13*Q13/1000)</f>
        <v>0</v>
      </c>
      <c r="S13" s="20">
        <f t="shared" ref="S13:S15" si="22">+H13+K13+Q13+N13</f>
        <v>22</v>
      </c>
      <c r="T13" s="19">
        <f t="shared" ref="T13:T15" si="23">+I13+L13+R13+O13</f>
        <v>3.0865999999999998</v>
      </c>
      <c r="U13" s="21">
        <f t="shared" ref="U13:U15" si="24">E13-S13</f>
        <v>-1</v>
      </c>
      <c r="V13" s="19">
        <f t="shared" ref="V13:V15" si="25">F13-T13</f>
        <v>-0.14029999999999987</v>
      </c>
    </row>
    <row r="14" spans="1:22">
      <c r="A14" s="26" t="s">
        <v>13</v>
      </c>
      <c r="B14" s="26" t="s">
        <v>462</v>
      </c>
      <c r="C14" s="26">
        <v>12.2</v>
      </c>
      <c r="D14" s="74">
        <v>12</v>
      </c>
      <c r="E14" s="28"/>
      <c r="F14" s="16">
        <f t="shared" ref="F14" si="26">(C14*D14*E14/1000)</f>
        <v>0</v>
      </c>
      <c r="G14" s="16"/>
      <c r="H14" s="18"/>
      <c r="I14" s="19">
        <f t="shared" ref="I14" si="27">(C14*D14*H14/1000)</f>
        <v>0</v>
      </c>
      <c r="J14" s="16"/>
      <c r="K14" s="18">
        <v>2</v>
      </c>
      <c r="L14" s="19">
        <f t="shared" ref="L14" si="28">(C14*D14*K14/1000)</f>
        <v>0.29279999999999995</v>
      </c>
      <c r="M14" s="16"/>
      <c r="N14" s="18"/>
      <c r="O14" s="19">
        <f t="shared" ref="O14" si="29">(C14*D14*N14/1000)</f>
        <v>0</v>
      </c>
      <c r="P14" s="16"/>
      <c r="Q14" s="18"/>
      <c r="R14" s="19">
        <f t="shared" ref="R14" si="30">(C14*D14*Q14/1000)</f>
        <v>0</v>
      </c>
      <c r="S14" s="20">
        <f t="shared" ref="S14" si="31">+H14+K14+Q14+N14</f>
        <v>2</v>
      </c>
      <c r="T14" s="19">
        <f t="shared" ref="T14" si="32">+I14+L14+R14+O14</f>
        <v>0.29279999999999995</v>
      </c>
      <c r="U14" s="21">
        <f t="shared" ref="U14" si="33">E14-S14</f>
        <v>-2</v>
      </c>
      <c r="V14" s="19">
        <f t="shared" ref="V14" si="34">F14-T14</f>
        <v>-0.29279999999999995</v>
      </c>
    </row>
    <row r="15" spans="1:22">
      <c r="A15" s="26" t="s">
        <v>13</v>
      </c>
      <c r="B15" s="26" t="s">
        <v>462</v>
      </c>
      <c r="C15" s="26">
        <v>12.2</v>
      </c>
      <c r="D15" s="74"/>
      <c r="E15" s="28"/>
      <c r="F15" s="16">
        <f t="shared" si="16"/>
        <v>0</v>
      </c>
      <c r="G15" s="16"/>
      <c r="H15" s="18"/>
      <c r="I15" s="19">
        <f t="shared" si="18"/>
        <v>0</v>
      </c>
      <c r="J15" s="16"/>
      <c r="K15" s="18"/>
      <c r="L15" s="19">
        <f t="shared" si="19"/>
        <v>0</v>
      </c>
      <c r="M15" s="16"/>
      <c r="N15" s="18"/>
      <c r="O15" s="19">
        <f t="shared" si="20"/>
        <v>0</v>
      </c>
      <c r="P15" s="16"/>
      <c r="Q15" s="18"/>
      <c r="R15" s="19">
        <f t="shared" si="21"/>
        <v>0</v>
      </c>
      <c r="S15" s="20">
        <f t="shared" si="22"/>
        <v>0</v>
      </c>
      <c r="T15" s="19">
        <f t="shared" si="23"/>
        <v>0</v>
      </c>
      <c r="U15" s="21">
        <f t="shared" si="24"/>
        <v>0</v>
      </c>
      <c r="V15" s="19">
        <f t="shared" si="25"/>
        <v>0</v>
      </c>
    </row>
    <row r="16" spans="1:22">
      <c r="A16" s="26" t="s">
        <v>13</v>
      </c>
      <c r="B16" s="26" t="s">
        <v>462</v>
      </c>
      <c r="C16" s="26">
        <v>12.2</v>
      </c>
      <c r="D16" s="74"/>
      <c r="E16" s="28"/>
      <c r="F16" s="16">
        <f>(C16*D16*E16/1000)</f>
        <v>0</v>
      </c>
      <c r="G16" s="16"/>
      <c r="H16" s="18"/>
      <c r="I16" s="19">
        <f t="shared" ref="I16" si="35">(C16*D16*H16/1000)</f>
        <v>0</v>
      </c>
      <c r="J16" s="16"/>
      <c r="K16" s="18"/>
      <c r="L16" s="19">
        <f t="shared" ref="L16" si="36">(C16*D16*K16/1000)</f>
        <v>0</v>
      </c>
      <c r="M16" s="16"/>
      <c r="N16" s="18"/>
      <c r="O16" s="19">
        <f t="shared" ref="O16" si="37">(C16*D16*N16/1000)</f>
        <v>0</v>
      </c>
      <c r="P16" s="16"/>
      <c r="Q16" s="18"/>
      <c r="R16" s="19">
        <f t="shared" ref="R16" si="38">(C16*D16*Q16/1000)</f>
        <v>0</v>
      </c>
      <c r="S16" s="20">
        <f t="shared" ref="S16:T16" si="39">+H16+K16+Q16+N16</f>
        <v>0</v>
      </c>
      <c r="T16" s="19">
        <f t="shared" si="39"/>
        <v>0</v>
      </c>
      <c r="U16" s="21">
        <f t="shared" ref="U16:V16" si="40">E16-S16</f>
        <v>0</v>
      </c>
      <c r="V16" s="19">
        <f t="shared" si="40"/>
        <v>0</v>
      </c>
    </row>
    <row r="17" spans="1:22">
      <c r="A17" s="26"/>
      <c r="B17" s="41" t="s">
        <v>378</v>
      </c>
      <c r="C17" s="26"/>
      <c r="D17" s="74"/>
      <c r="E17" s="31">
        <f>SUM(E12:E16)</f>
        <v>34</v>
      </c>
      <c r="F17" s="77">
        <f>SUM(F12:F16)</f>
        <v>4.6116000000000001</v>
      </c>
      <c r="G17" s="17"/>
      <c r="H17" s="31">
        <f>SUM(H12:H16)</f>
        <v>30</v>
      </c>
      <c r="I17" s="77">
        <f>SUM(I12:I16)</f>
        <v>4.0991999999999997</v>
      </c>
      <c r="J17" s="16"/>
      <c r="K17" s="31">
        <f>SUM(K12:K16)</f>
        <v>4</v>
      </c>
      <c r="L17" s="77">
        <f>SUM(L12:L16)</f>
        <v>0.56119999999999992</v>
      </c>
      <c r="M17" s="16"/>
      <c r="N17" s="31">
        <f>SUM(N12:N16)</f>
        <v>0</v>
      </c>
      <c r="O17" s="77">
        <f>SUM(O12:O16)</f>
        <v>0</v>
      </c>
      <c r="P17" s="16"/>
      <c r="Q17" s="31">
        <f t="shared" ref="Q17:V17" si="41">SUM(Q12:Q16)</f>
        <v>0</v>
      </c>
      <c r="R17" s="77">
        <f t="shared" si="41"/>
        <v>0</v>
      </c>
      <c r="S17" s="31">
        <f t="shared" si="41"/>
        <v>34</v>
      </c>
      <c r="T17" s="77">
        <f t="shared" si="41"/>
        <v>4.6603999999999992</v>
      </c>
      <c r="U17" s="31">
        <f t="shared" si="41"/>
        <v>0</v>
      </c>
      <c r="V17" s="77">
        <f t="shared" si="41"/>
        <v>-4.879999999999951E-2</v>
      </c>
    </row>
    <row r="18" spans="1:22">
      <c r="A18" s="26" t="s">
        <v>24</v>
      </c>
      <c r="B18" s="26" t="s">
        <v>34</v>
      </c>
      <c r="C18" s="26">
        <v>5.76</v>
      </c>
      <c r="D18" s="74">
        <v>6.7</v>
      </c>
      <c r="E18" s="28">
        <v>232</v>
      </c>
      <c r="F18" s="16">
        <f>(C18*D18*E18/1000)</f>
        <v>8.9533439999999995</v>
      </c>
      <c r="G18" s="16" t="s">
        <v>93</v>
      </c>
      <c r="H18" s="18">
        <v>233</v>
      </c>
      <c r="I18" s="19">
        <f>(C18*D18*H18/1000)</f>
        <v>8.991935999999999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233</v>
      </c>
      <c r="T18" s="19">
        <f>+I18+L18+R18+O18</f>
        <v>8.991935999999999</v>
      </c>
      <c r="U18" s="21">
        <f>E18-S18</f>
        <v>-1</v>
      </c>
      <c r="V18" s="19">
        <f>F18-T18</f>
        <v>-3.8591999999999516E-2</v>
      </c>
    </row>
    <row r="19" spans="1:22">
      <c r="A19" s="26"/>
      <c r="B19" s="41" t="s">
        <v>76</v>
      </c>
      <c r="C19" s="26"/>
      <c r="D19" s="74"/>
      <c r="E19" s="31">
        <f>SUM(E18:E18)</f>
        <v>232</v>
      </c>
      <c r="F19" s="77">
        <f>SUM(F18:F18)</f>
        <v>8.9533439999999995</v>
      </c>
      <c r="G19" s="17" t="s">
        <v>459</v>
      </c>
      <c r="H19" s="31">
        <f>SUM(H18:H18)</f>
        <v>233</v>
      </c>
      <c r="I19" s="77">
        <f>SUM(I18:I18)</f>
        <v>8.991935999999999</v>
      </c>
      <c r="J19" s="16"/>
      <c r="K19" s="31">
        <f>SUM(K18:K18)</f>
        <v>0</v>
      </c>
      <c r="L19" s="77">
        <f>SUM(L18:L18)</f>
        <v>0</v>
      </c>
      <c r="M19" s="16"/>
      <c r="N19" s="31">
        <f>SUM(N18:N18)</f>
        <v>0</v>
      </c>
      <c r="O19" s="77">
        <f>SUM(O18:O18)</f>
        <v>0</v>
      </c>
      <c r="P19" s="16"/>
      <c r="Q19" s="31">
        <f t="shared" ref="Q19:V19" si="42">SUM(Q18:Q18)</f>
        <v>0</v>
      </c>
      <c r="R19" s="77">
        <f t="shared" si="42"/>
        <v>0</v>
      </c>
      <c r="S19" s="31">
        <f t="shared" si="42"/>
        <v>233</v>
      </c>
      <c r="T19" s="77">
        <f t="shared" si="42"/>
        <v>8.991935999999999</v>
      </c>
      <c r="U19" s="31">
        <f t="shared" si="42"/>
        <v>-1</v>
      </c>
      <c r="V19" s="77">
        <f t="shared" si="42"/>
        <v>-3.8591999999999516E-2</v>
      </c>
    </row>
    <row r="20" spans="1:22">
      <c r="A20" s="33"/>
      <c r="B20" s="33"/>
      <c r="C20" s="34"/>
      <c r="D20" s="34"/>
      <c r="E20" s="34">
        <f>SUM(E6:E19)/2</f>
        <v>282</v>
      </c>
      <c r="F20" s="35">
        <f>SUM(F6:F19)/2</f>
        <v>15.388943999999999</v>
      </c>
      <c r="G20" s="26"/>
      <c r="H20" s="34">
        <f>SUM(H6:H19)/2</f>
        <v>279</v>
      </c>
      <c r="I20" s="35">
        <f>SUM(I6:I19)/2</f>
        <v>15.125135999999999</v>
      </c>
      <c r="J20" s="26"/>
      <c r="K20" s="34">
        <f>SUM(K6:K19)/2</f>
        <v>4</v>
      </c>
      <c r="L20" s="35">
        <f>SUM(L6:L19)/2</f>
        <v>0.56119999999999992</v>
      </c>
      <c r="M20" s="26"/>
      <c r="N20" s="34">
        <f>SUM(N6:N19)/2</f>
        <v>0</v>
      </c>
      <c r="O20" s="35">
        <f>SUM(O6:O19)/2</f>
        <v>0</v>
      </c>
      <c r="P20" s="26"/>
      <c r="Q20" s="34">
        <f t="shared" ref="Q20:V20" si="43">SUM(Q6:Q19)/2</f>
        <v>0</v>
      </c>
      <c r="R20" s="35">
        <f t="shared" si="43"/>
        <v>0</v>
      </c>
      <c r="S20" s="34">
        <f t="shared" si="43"/>
        <v>283</v>
      </c>
      <c r="T20" s="35">
        <f t="shared" si="43"/>
        <v>15.686335999999999</v>
      </c>
      <c r="U20" s="34">
        <f t="shared" si="43"/>
        <v>-1</v>
      </c>
      <c r="V20" s="35">
        <f t="shared" si="43"/>
        <v>-0.29739199999999888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V9"/>
  <sheetViews>
    <sheetView zoomScale="75" zoomScaleNormal="75" workbookViewId="0">
      <pane ySplit="5" topLeftCell="A6" activePane="bottomLeft" state="frozen"/>
      <selection pane="bottomLeft" activeCell="L24" sqref="L24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LOI-897  29.09.23</v>
      </c>
      <c r="D1" s="1"/>
      <c r="E1" s="2"/>
      <c r="F1" s="2"/>
      <c r="G1" s="143" t="s">
        <v>467</v>
      </c>
      <c r="H1" s="144"/>
      <c r="I1" s="145" t="s">
        <v>339</v>
      </c>
      <c r="J1" s="144"/>
      <c r="K1" s="3"/>
      <c r="L1" s="4"/>
      <c r="M1" s="4"/>
      <c r="N1" s="3"/>
      <c r="O1" s="4"/>
      <c r="P1" s="146" t="str">
        <f>+F2</f>
        <v>LOI-897  29.09.23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466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LOI-897  29.09.23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26">
        <v>12.2</v>
      </c>
      <c r="D6" s="74">
        <v>10.4</v>
      </c>
      <c r="E6" s="28">
        <v>15</v>
      </c>
      <c r="F6" s="16">
        <f>(C6*D6*E6/1000)</f>
        <v>1.9031999999999998</v>
      </c>
      <c r="G6" s="16" t="s">
        <v>86</v>
      </c>
      <c r="H6" s="18">
        <v>15</v>
      </c>
      <c r="I6" s="19">
        <f>(C6*D6*H6/1000)</f>
        <v>1.9031999999999998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15</v>
      </c>
      <c r="T6" s="19">
        <f>+I6+L6+R6+O6</f>
        <v>1.9031999999999998</v>
      </c>
      <c r="U6" s="21">
        <f>E6-S6</f>
        <v>0</v>
      </c>
      <c r="V6" s="19">
        <f>F6-T6</f>
        <v>0</v>
      </c>
    </row>
    <row r="7" spans="1:22">
      <c r="A7" s="26" t="s">
        <v>13</v>
      </c>
      <c r="B7" s="26" t="s">
        <v>61</v>
      </c>
      <c r="C7" s="26">
        <v>12.2</v>
      </c>
      <c r="D7" s="74"/>
      <c r="E7" s="28"/>
      <c r="F7" s="16">
        <f>(C7*D7*E7/1000)</f>
        <v>0</v>
      </c>
      <c r="G7" s="17" t="s">
        <v>472</v>
      </c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139</v>
      </c>
      <c r="C8" s="26"/>
      <c r="D8" s="74"/>
      <c r="E8" s="31">
        <f>SUM(E6:E7)</f>
        <v>15</v>
      </c>
      <c r="F8" s="77">
        <f>SUM(F6:F7)</f>
        <v>1.9031999999999998</v>
      </c>
      <c r="G8" s="17"/>
      <c r="H8" s="31">
        <f>SUM(H6:H7)</f>
        <v>15</v>
      </c>
      <c r="I8" s="77">
        <f>SUM(I6:I7)</f>
        <v>1.9031999999999998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15</v>
      </c>
      <c r="T8" s="77">
        <f t="shared" si="6"/>
        <v>1.9031999999999998</v>
      </c>
      <c r="U8" s="31">
        <f t="shared" si="6"/>
        <v>0</v>
      </c>
      <c r="V8" s="77">
        <f t="shared" si="6"/>
        <v>0</v>
      </c>
    </row>
    <row r="9" spans="1:22">
      <c r="A9" s="33"/>
      <c r="B9" s="33"/>
      <c r="C9" s="34"/>
      <c r="D9" s="34"/>
      <c r="E9" s="34">
        <f>SUM(E6:E8)/2</f>
        <v>15</v>
      </c>
      <c r="F9" s="35">
        <f>SUM(F6:F8)/2</f>
        <v>1.9031999999999998</v>
      </c>
      <c r="G9" s="26"/>
      <c r="H9" s="34">
        <f>SUM(H6:H8)/2</f>
        <v>15</v>
      </c>
      <c r="I9" s="35">
        <f>SUM(I6:I8)/2</f>
        <v>1.9031999999999998</v>
      </c>
      <c r="J9" s="26"/>
      <c r="K9" s="34">
        <f>SUM(K6:K8)/2</f>
        <v>0</v>
      </c>
      <c r="L9" s="35">
        <f>SUM(L6:L8)/2</f>
        <v>0</v>
      </c>
      <c r="M9" s="26"/>
      <c r="N9" s="34">
        <f>SUM(N6:N8)/2</f>
        <v>0</v>
      </c>
      <c r="O9" s="35">
        <f>SUM(O6:O8)/2</f>
        <v>0</v>
      </c>
      <c r="P9" s="26"/>
      <c r="Q9" s="34">
        <f t="shared" ref="Q9:V9" si="7">SUM(Q6:Q8)/2</f>
        <v>0</v>
      </c>
      <c r="R9" s="35">
        <f t="shared" si="7"/>
        <v>0</v>
      </c>
      <c r="S9" s="34">
        <f t="shared" si="7"/>
        <v>15</v>
      </c>
      <c r="T9" s="35">
        <f t="shared" si="7"/>
        <v>1.9031999999999998</v>
      </c>
      <c r="U9" s="34">
        <f t="shared" si="7"/>
        <v>0</v>
      </c>
      <c r="V9" s="35">
        <f t="shared" si="7"/>
        <v>0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V16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LOI-972  18.10.23</v>
      </c>
      <c r="D1" s="1"/>
      <c r="E1" s="2"/>
      <c r="F1" s="2"/>
      <c r="G1" s="143" t="s">
        <v>476</v>
      </c>
      <c r="H1" s="144"/>
      <c r="I1" s="145" t="s">
        <v>475</v>
      </c>
      <c r="J1" s="144"/>
      <c r="K1" s="3"/>
      <c r="L1" s="4"/>
      <c r="M1" s="4"/>
      <c r="N1" s="3"/>
      <c r="O1" s="4"/>
      <c r="P1" s="146" t="str">
        <f>+F2</f>
        <v>LOI-972  18.10.23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477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LOI-972  18.10.23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53</v>
      </c>
      <c r="C6" s="26">
        <v>23.6</v>
      </c>
      <c r="D6" s="74">
        <v>9.1</v>
      </c>
      <c r="E6" s="28">
        <v>3</v>
      </c>
      <c r="F6" s="16">
        <f>(C6*D6*E6/1000)</f>
        <v>0.64427999999999996</v>
      </c>
      <c r="G6" s="17" t="s">
        <v>93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3</v>
      </c>
      <c r="V6" s="19">
        <f>F6-T6</f>
        <v>0.64427999999999996</v>
      </c>
    </row>
    <row r="7" spans="1:22">
      <c r="A7" s="26" t="s">
        <v>13</v>
      </c>
      <c r="B7" s="26" t="s">
        <v>53</v>
      </c>
      <c r="C7" s="26">
        <v>23.6</v>
      </c>
      <c r="D7" s="74">
        <v>11.65</v>
      </c>
      <c r="E7" s="28"/>
      <c r="F7" s="16">
        <f t="shared" ref="F7:F8" si="0">(C7*D7*E7/1000)</f>
        <v>0</v>
      </c>
      <c r="G7" s="17" t="s">
        <v>511</v>
      </c>
      <c r="H7" s="18">
        <v>3</v>
      </c>
      <c r="I7" s="19">
        <f t="shared" ref="I7:I8" si="1">(C7*D7*H7/1000)</f>
        <v>0.82481999999999989</v>
      </c>
      <c r="J7" s="16"/>
      <c r="K7" s="18"/>
      <c r="L7" s="19">
        <f t="shared" ref="L7:L8" si="2">(C7*D7*K7/1000)</f>
        <v>0</v>
      </c>
      <c r="M7" s="16"/>
      <c r="N7" s="18"/>
      <c r="O7" s="19">
        <f t="shared" ref="O7:O8" si="3">(C7*D7*N7/1000)</f>
        <v>0</v>
      </c>
      <c r="P7" s="16"/>
      <c r="Q7" s="18"/>
      <c r="R7" s="19">
        <f t="shared" ref="R7:R8" si="4">(C7*D7*Q7/1000)</f>
        <v>0</v>
      </c>
      <c r="S7" s="20">
        <f t="shared" ref="S7:S8" si="5">+H7+K7+Q7+N7</f>
        <v>3</v>
      </c>
      <c r="T7" s="19">
        <f t="shared" ref="T7:T8" si="6">+I7+L7+R7+O7</f>
        <v>0.82481999999999989</v>
      </c>
      <c r="U7" s="21">
        <f t="shared" ref="U7:U8" si="7">E7-S7</f>
        <v>-3</v>
      </c>
      <c r="V7" s="19">
        <f t="shared" ref="V7:V8" si="8">F7-T7</f>
        <v>-0.82481999999999989</v>
      </c>
    </row>
    <row r="8" spans="1:22">
      <c r="A8" s="26" t="s">
        <v>13</v>
      </c>
      <c r="B8" s="26" t="s">
        <v>53</v>
      </c>
      <c r="C8" s="26">
        <v>23.6</v>
      </c>
      <c r="D8" s="74"/>
      <c r="E8" s="28"/>
      <c r="F8" s="16">
        <f t="shared" si="0"/>
        <v>0</v>
      </c>
      <c r="G8" s="16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0</v>
      </c>
      <c r="V8" s="19">
        <f t="shared" si="8"/>
        <v>0</v>
      </c>
    </row>
    <row r="9" spans="1:22">
      <c r="A9" s="26"/>
      <c r="B9" s="26"/>
      <c r="C9" s="26"/>
      <c r="D9" s="74"/>
      <c r="E9" s="31">
        <f t="shared" ref="E9:F9" si="9">SUM(E6:E8)</f>
        <v>3</v>
      </c>
      <c r="F9" s="32">
        <f t="shared" si="9"/>
        <v>0.64427999999999996</v>
      </c>
      <c r="G9" s="16"/>
      <c r="H9" s="31">
        <f t="shared" ref="H9" si="10">SUM(H6:H8)</f>
        <v>3</v>
      </c>
      <c r="I9" s="32">
        <f t="shared" ref="I9" si="11">SUM(I6:I8)</f>
        <v>0.82481999999999989</v>
      </c>
      <c r="J9" s="16"/>
      <c r="K9" s="31">
        <f t="shared" ref="K9" si="12">SUM(K6:K8)</f>
        <v>0</v>
      </c>
      <c r="L9" s="32">
        <f t="shared" ref="L9" si="13">SUM(L6:L8)</f>
        <v>0</v>
      </c>
      <c r="M9" s="16"/>
      <c r="N9" s="31">
        <f t="shared" ref="N9" si="14">SUM(N6:N8)</f>
        <v>0</v>
      </c>
      <c r="O9" s="32">
        <f t="shared" ref="O9" si="15">SUM(O6:O8)</f>
        <v>0</v>
      </c>
      <c r="P9" s="16"/>
      <c r="Q9" s="31">
        <f t="shared" ref="Q9" si="16">SUM(Q6:Q8)</f>
        <v>0</v>
      </c>
      <c r="R9" s="32">
        <f t="shared" ref="R9" si="17">SUM(R6:R8)</f>
        <v>0</v>
      </c>
      <c r="S9" s="31">
        <f t="shared" ref="S9" si="18">SUM(S6:S8)</f>
        <v>3</v>
      </c>
      <c r="T9" s="32">
        <f t="shared" ref="T9" si="19">SUM(T6:T8)</f>
        <v>0.82481999999999989</v>
      </c>
      <c r="U9" s="31">
        <f t="shared" ref="U9" si="20">SUM(U6:U8)</f>
        <v>0</v>
      </c>
      <c r="V9" s="32">
        <f t="shared" ref="V9" si="21">SUM(V6:V8)</f>
        <v>-0.18053999999999992</v>
      </c>
    </row>
    <row r="10" spans="1:22">
      <c r="A10" s="26" t="s">
        <v>13</v>
      </c>
      <c r="B10" s="26" t="s">
        <v>51</v>
      </c>
      <c r="C10" s="26">
        <v>19.72</v>
      </c>
      <c r="D10" s="74">
        <v>9.3000000000000007</v>
      </c>
      <c r="E10" s="28">
        <v>8</v>
      </c>
      <c r="F10" s="16">
        <f>(C10*D10*E10/1000)</f>
        <v>1.467168</v>
      </c>
      <c r="G10" s="17" t="s">
        <v>93</v>
      </c>
      <c r="H10" s="18">
        <v>3</v>
      </c>
      <c r="I10" s="19">
        <f t="shared" ref="I10" si="22">(C10*D10*H10/1000)</f>
        <v>0.55018800000000012</v>
      </c>
      <c r="J10" s="16"/>
      <c r="K10" s="18"/>
      <c r="L10" s="19">
        <f t="shared" ref="L10" si="23">(C10*D10*K10/1000)</f>
        <v>0</v>
      </c>
      <c r="M10" s="16"/>
      <c r="N10" s="18"/>
      <c r="O10" s="19">
        <f t="shared" ref="O10" si="24">(C10*D10*N10/1000)</f>
        <v>0</v>
      </c>
      <c r="P10" s="16"/>
      <c r="Q10" s="18"/>
      <c r="R10" s="19">
        <f t="shared" ref="R10" si="25">(C10*D10*Q10/1000)</f>
        <v>0</v>
      </c>
      <c r="S10" s="20">
        <f t="shared" ref="S10:T10" si="26">+H10+K10+Q10+N10</f>
        <v>3</v>
      </c>
      <c r="T10" s="19">
        <f t="shared" si="26"/>
        <v>0.55018800000000012</v>
      </c>
      <c r="U10" s="21">
        <f t="shared" ref="U10:V10" si="27">E10-S10</f>
        <v>5</v>
      </c>
      <c r="V10" s="19">
        <f t="shared" si="27"/>
        <v>0.91697999999999991</v>
      </c>
    </row>
    <row r="11" spans="1:22">
      <c r="A11" s="26" t="s">
        <v>13</v>
      </c>
      <c r="B11" s="26" t="s">
        <v>51</v>
      </c>
      <c r="C11" s="26">
        <v>19.72</v>
      </c>
      <c r="D11" s="74">
        <v>10.5</v>
      </c>
      <c r="E11" s="28"/>
      <c r="F11" s="16">
        <f t="shared" ref="F11:F14" si="28">(C11*D11*E11/1000)</f>
        <v>0</v>
      </c>
      <c r="G11" s="17" t="s">
        <v>511</v>
      </c>
      <c r="H11" s="18">
        <v>1</v>
      </c>
      <c r="I11" s="19">
        <f t="shared" ref="I11:I14" si="29">(C11*D11*H11/1000)</f>
        <v>0.20705999999999999</v>
      </c>
      <c r="J11" s="16"/>
      <c r="K11" s="18"/>
      <c r="L11" s="19">
        <f t="shared" ref="L11:L14" si="30">(C11*D11*K11/1000)</f>
        <v>0</v>
      </c>
      <c r="M11" s="16"/>
      <c r="N11" s="18"/>
      <c r="O11" s="19">
        <f t="shared" ref="O11:O14" si="31">(C11*D11*N11/1000)</f>
        <v>0</v>
      </c>
      <c r="P11" s="16"/>
      <c r="Q11" s="18"/>
      <c r="R11" s="19">
        <f t="shared" ref="R11:R14" si="32">(C11*D11*Q11/1000)</f>
        <v>0</v>
      </c>
      <c r="S11" s="20">
        <f t="shared" ref="S11:S14" si="33">+H11+K11+Q11+N11</f>
        <v>1</v>
      </c>
      <c r="T11" s="19">
        <f t="shared" ref="T11:T14" si="34">+I11+L11+R11+O11</f>
        <v>0.20705999999999999</v>
      </c>
      <c r="U11" s="21">
        <f t="shared" ref="U11:U14" si="35">E11-S11</f>
        <v>-1</v>
      </c>
      <c r="V11" s="19">
        <f t="shared" ref="V11:V14" si="36">F11-T11</f>
        <v>-0.20705999999999999</v>
      </c>
    </row>
    <row r="12" spans="1:22">
      <c r="A12" s="26" t="s">
        <v>13</v>
      </c>
      <c r="B12" s="26" t="s">
        <v>51</v>
      </c>
      <c r="C12" s="26">
        <v>19.72</v>
      </c>
      <c r="D12" s="74">
        <v>10.7</v>
      </c>
      <c r="E12" s="28"/>
      <c r="F12" s="16">
        <f t="shared" si="28"/>
        <v>0</v>
      </c>
      <c r="G12" s="17"/>
      <c r="H12" s="18">
        <v>1</v>
      </c>
      <c r="I12" s="19">
        <f t="shared" si="29"/>
        <v>0.21100399999999997</v>
      </c>
      <c r="J12" s="16"/>
      <c r="K12" s="18"/>
      <c r="L12" s="19">
        <f t="shared" si="30"/>
        <v>0</v>
      </c>
      <c r="M12" s="16"/>
      <c r="N12" s="18"/>
      <c r="O12" s="19">
        <f t="shared" si="31"/>
        <v>0</v>
      </c>
      <c r="P12" s="16"/>
      <c r="Q12" s="18"/>
      <c r="R12" s="19">
        <f t="shared" si="32"/>
        <v>0</v>
      </c>
      <c r="S12" s="20">
        <f t="shared" si="33"/>
        <v>1</v>
      </c>
      <c r="T12" s="19">
        <f t="shared" si="34"/>
        <v>0.21100399999999997</v>
      </c>
      <c r="U12" s="21">
        <f t="shared" si="35"/>
        <v>-1</v>
      </c>
      <c r="V12" s="19">
        <f t="shared" si="36"/>
        <v>-0.21100399999999997</v>
      </c>
    </row>
    <row r="13" spans="1:22">
      <c r="A13" s="26" t="s">
        <v>13</v>
      </c>
      <c r="B13" s="26" t="s">
        <v>51</v>
      </c>
      <c r="C13" s="26">
        <v>19.72</v>
      </c>
      <c r="D13" s="74">
        <v>11.5</v>
      </c>
      <c r="E13" s="28"/>
      <c r="F13" s="16">
        <f t="shared" si="28"/>
        <v>0</v>
      </c>
      <c r="G13" s="17"/>
      <c r="H13" s="18">
        <v>2</v>
      </c>
      <c r="I13" s="19">
        <f t="shared" si="29"/>
        <v>0.45355999999999996</v>
      </c>
      <c r="J13" s="16"/>
      <c r="K13" s="18"/>
      <c r="L13" s="19">
        <f t="shared" si="30"/>
        <v>0</v>
      </c>
      <c r="M13" s="16"/>
      <c r="N13" s="18"/>
      <c r="O13" s="19">
        <f t="shared" si="31"/>
        <v>0</v>
      </c>
      <c r="P13" s="16"/>
      <c r="Q13" s="18"/>
      <c r="R13" s="19">
        <f t="shared" si="32"/>
        <v>0</v>
      </c>
      <c r="S13" s="20">
        <f t="shared" si="33"/>
        <v>2</v>
      </c>
      <c r="T13" s="19">
        <f t="shared" si="34"/>
        <v>0.45355999999999996</v>
      </c>
      <c r="U13" s="21">
        <f t="shared" si="35"/>
        <v>-2</v>
      </c>
      <c r="V13" s="19">
        <f t="shared" si="36"/>
        <v>-0.45355999999999996</v>
      </c>
    </row>
    <row r="14" spans="1:22">
      <c r="A14" s="26" t="s">
        <v>13</v>
      </c>
      <c r="B14" s="26" t="s">
        <v>51</v>
      </c>
      <c r="C14" s="26">
        <v>19.72</v>
      </c>
      <c r="D14" s="74">
        <v>11.3</v>
      </c>
      <c r="E14" s="28"/>
      <c r="F14" s="16">
        <f t="shared" si="28"/>
        <v>0</v>
      </c>
      <c r="G14" s="17"/>
      <c r="H14" s="18">
        <v>1</v>
      </c>
      <c r="I14" s="19">
        <f t="shared" si="29"/>
        <v>0.22283600000000001</v>
      </c>
      <c r="J14" s="16"/>
      <c r="K14" s="18"/>
      <c r="L14" s="19">
        <f t="shared" si="30"/>
        <v>0</v>
      </c>
      <c r="M14" s="16"/>
      <c r="N14" s="18"/>
      <c r="O14" s="19">
        <f t="shared" si="31"/>
        <v>0</v>
      </c>
      <c r="P14" s="16"/>
      <c r="Q14" s="18"/>
      <c r="R14" s="19">
        <f t="shared" si="32"/>
        <v>0</v>
      </c>
      <c r="S14" s="20">
        <f t="shared" si="33"/>
        <v>1</v>
      </c>
      <c r="T14" s="19">
        <f t="shared" si="34"/>
        <v>0.22283600000000001</v>
      </c>
      <c r="U14" s="21">
        <f t="shared" si="35"/>
        <v>-1</v>
      </c>
      <c r="V14" s="19">
        <f t="shared" si="36"/>
        <v>-0.22283600000000001</v>
      </c>
    </row>
    <row r="15" spans="1:22">
      <c r="A15" s="26"/>
      <c r="B15" s="26"/>
      <c r="C15" s="26"/>
      <c r="D15" s="74"/>
      <c r="E15" s="31">
        <f t="shared" ref="E15" si="37">SUM(E10)</f>
        <v>8</v>
      </c>
      <c r="F15" s="32">
        <f t="shared" ref="F15" si="38">SUM(F10)</f>
        <v>1.467168</v>
      </c>
      <c r="G15" s="16"/>
      <c r="H15" s="31">
        <f t="shared" ref="H15:I15" si="39">SUM(H10)</f>
        <v>3</v>
      </c>
      <c r="I15" s="32">
        <f t="shared" si="39"/>
        <v>0.55018800000000012</v>
      </c>
      <c r="J15" s="16"/>
      <c r="K15" s="31">
        <f t="shared" ref="K15" si="40">SUM(K10)</f>
        <v>0</v>
      </c>
      <c r="L15" s="32">
        <f t="shared" ref="L15" si="41">SUM(L10)</f>
        <v>0</v>
      </c>
      <c r="M15" s="16"/>
      <c r="N15" s="31">
        <f t="shared" ref="N15" si="42">SUM(N10)</f>
        <v>0</v>
      </c>
      <c r="O15" s="32">
        <f t="shared" ref="O15" si="43">SUM(O10)</f>
        <v>0</v>
      </c>
      <c r="P15" s="16"/>
      <c r="Q15" s="31">
        <f t="shared" ref="Q15" si="44">SUM(Q10)</f>
        <v>0</v>
      </c>
      <c r="R15" s="32">
        <f t="shared" ref="R15" si="45">SUM(R10)</f>
        <v>0</v>
      </c>
      <c r="S15" s="31">
        <f t="shared" ref="S15" si="46">SUM(S10)</f>
        <v>3</v>
      </c>
      <c r="T15" s="32">
        <f t="shared" ref="T15" si="47">SUM(T10)</f>
        <v>0.55018800000000012</v>
      </c>
      <c r="U15" s="31">
        <f t="shared" ref="U15" si="48">SUM(U10)</f>
        <v>5</v>
      </c>
      <c r="V15" s="32">
        <f t="shared" ref="V15" si="49">SUM(V10)</f>
        <v>0.91697999999999991</v>
      </c>
    </row>
    <row r="16" spans="1:22">
      <c r="A16" s="33"/>
      <c r="B16" s="33"/>
      <c r="C16" s="34"/>
      <c r="D16" s="34"/>
      <c r="E16" s="34">
        <f>SUM(E6:E15)/2</f>
        <v>11</v>
      </c>
      <c r="F16" s="35">
        <f>SUM(F6:F15)/2</f>
        <v>2.1114480000000002</v>
      </c>
      <c r="G16" s="26"/>
      <c r="H16" s="34">
        <f>SUM(H6:H15)/2</f>
        <v>8.5</v>
      </c>
      <c r="I16" s="35">
        <f>SUM(I6:I15)/2</f>
        <v>1.9222380000000001</v>
      </c>
      <c r="J16" s="26"/>
      <c r="K16" s="34">
        <f>SUM(K6:K15)/2</f>
        <v>0</v>
      </c>
      <c r="L16" s="35">
        <f>SUM(L6:L15)/2</f>
        <v>0</v>
      </c>
      <c r="M16" s="26"/>
      <c r="N16" s="34">
        <f>SUM(N6:N15)/2</f>
        <v>0</v>
      </c>
      <c r="O16" s="35">
        <f>SUM(O6:O15)/2</f>
        <v>0</v>
      </c>
      <c r="P16" s="26"/>
      <c r="Q16" s="34">
        <f t="shared" ref="Q16:V16" si="50">SUM(Q6:Q15)/2</f>
        <v>0</v>
      </c>
      <c r="R16" s="35">
        <f t="shared" si="50"/>
        <v>0</v>
      </c>
      <c r="S16" s="34">
        <f t="shared" si="50"/>
        <v>8.5</v>
      </c>
      <c r="T16" s="35">
        <f t="shared" si="50"/>
        <v>1.9222380000000001</v>
      </c>
      <c r="U16" s="34">
        <f t="shared" si="50"/>
        <v>2.5</v>
      </c>
      <c r="V16" s="35">
        <f t="shared" si="50"/>
        <v>0.18920999999999999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V9"/>
  <sheetViews>
    <sheetView zoomScale="75" zoomScaleNormal="75" workbookViewId="0">
      <pane ySplit="5" topLeftCell="A6" activePane="bottomLeft" state="frozen"/>
      <selection activeCell="A4" sqref="A4"/>
      <selection pane="bottomLeft" activeCell="K19" sqref="K1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LOI-975  18.10.23</v>
      </c>
      <c r="D1" s="1"/>
      <c r="E1" s="2"/>
      <c r="F1" s="2"/>
      <c r="G1" s="143" t="s">
        <v>221</v>
      </c>
      <c r="H1" s="144"/>
      <c r="I1" s="145" t="s">
        <v>479</v>
      </c>
      <c r="J1" s="144"/>
      <c r="K1" s="3"/>
      <c r="L1" s="4"/>
      <c r="M1" s="4"/>
      <c r="N1" s="3"/>
      <c r="O1" s="4"/>
      <c r="P1" s="146" t="str">
        <f>+F2</f>
        <v>LOI-975  18.10.23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218</v>
      </c>
      <c r="B2" s="8"/>
      <c r="C2" s="9"/>
      <c r="D2" s="9"/>
      <c r="E2" s="10"/>
      <c r="F2" s="146" t="s">
        <v>478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LOI-975  18.10.23</v>
      </c>
      <c r="V2" s="146"/>
    </row>
    <row r="3" spans="1:22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24</v>
      </c>
      <c r="B6" s="26" t="s">
        <v>26</v>
      </c>
      <c r="C6" s="30">
        <v>8.32</v>
      </c>
      <c r="D6" s="27">
        <v>11</v>
      </c>
      <c r="E6" s="78">
        <v>39</v>
      </c>
      <c r="F6" s="16">
        <f t="shared" ref="F6:F7" si="0">(C6*D6*E6/1000)</f>
        <v>3.56928</v>
      </c>
      <c r="G6" s="17" t="s">
        <v>89</v>
      </c>
      <c r="H6" s="18">
        <f>27+12</f>
        <v>39</v>
      </c>
      <c r="I6" s="19">
        <f>(C6*D6*H6/1000)</f>
        <v>3.56928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 t="shared" ref="S6:T7" si="1">+H6+K6+Q6+N6</f>
        <v>39</v>
      </c>
      <c r="T6" s="19">
        <f t="shared" si="1"/>
        <v>3.56928</v>
      </c>
      <c r="U6" s="21">
        <f>E6-S6</f>
        <v>0</v>
      </c>
      <c r="V6" s="19">
        <f>F6-T6</f>
        <v>0</v>
      </c>
    </row>
    <row r="7" spans="1:22">
      <c r="A7" s="26" t="s">
        <v>24</v>
      </c>
      <c r="B7" s="26" t="s">
        <v>26</v>
      </c>
      <c r="C7" s="30">
        <v>8.32</v>
      </c>
      <c r="D7" s="27">
        <v>12</v>
      </c>
      <c r="E7" s="28">
        <v>164</v>
      </c>
      <c r="F7" s="16">
        <f t="shared" si="0"/>
        <v>16.373760000000001</v>
      </c>
      <c r="G7" s="17" t="s">
        <v>483</v>
      </c>
      <c r="H7" s="18">
        <v>164</v>
      </c>
      <c r="I7" s="19">
        <f>(C7*D7*H7/1000)</f>
        <v>16.373760000000001</v>
      </c>
      <c r="J7" s="17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 t="shared" si="1"/>
        <v>164</v>
      </c>
      <c r="T7" s="19">
        <f t="shared" si="1"/>
        <v>16.373760000000001</v>
      </c>
      <c r="U7" s="21">
        <f>E7-S7</f>
        <v>0</v>
      </c>
      <c r="V7" s="19">
        <f>F7-T7</f>
        <v>0</v>
      </c>
    </row>
    <row r="8" spans="1:22">
      <c r="A8" s="36"/>
      <c r="B8" s="36"/>
      <c r="C8" s="37"/>
      <c r="D8" s="38"/>
      <c r="E8" s="31">
        <f>SUM(E6:E7)</f>
        <v>203</v>
      </c>
      <c r="F8" s="38">
        <f>SUM(F6:F7)</f>
        <v>19.94304</v>
      </c>
      <c r="G8" s="26"/>
      <c r="H8" s="31">
        <f>SUM(H6:H7)</f>
        <v>203</v>
      </c>
      <c r="I8" s="38">
        <f>SUM(I6:I7)</f>
        <v>19.94304</v>
      </c>
      <c r="J8" s="26"/>
      <c r="K8" s="31">
        <f>SUM(K6:K7)</f>
        <v>0</v>
      </c>
      <c r="L8" s="38">
        <f>SUM(L6:L7)</f>
        <v>0</v>
      </c>
      <c r="M8" s="26"/>
      <c r="N8" s="31">
        <f>SUM(N6:N7)</f>
        <v>0</v>
      </c>
      <c r="O8" s="38">
        <f>SUM(O6:O7)</f>
        <v>0</v>
      </c>
      <c r="P8" s="26"/>
      <c r="Q8" s="31">
        <f t="shared" ref="Q8:V8" si="2">SUM(Q6:Q7)</f>
        <v>0</v>
      </c>
      <c r="R8" s="38">
        <f t="shared" si="2"/>
        <v>0</v>
      </c>
      <c r="S8" s="31">
        <f t="shared" si="2"/>
        <v>203</v>
      </c>
      <c r="T8" s="38">
        <f t="shared" si="2"/>
        <v>19.94304</v>
      </c>
      <c r="U8" s="31">
        <f t="shared" si="2"/>
        <v>0</v>
      </c>
      <c r="V8" s="38">
        <f t="shared" si="2"/>
        <v>0</v>
      </c>
    </row>
    <row r="9" spans="1:22">
      <c r="A9" s="33"/>
      <c r="B9" s="33"/>
      <c r="C9" s="34"/>
      <c r="D9" s="34"/>
      <c r="E9" s="34">
        <f>SUM(E6:E8)/2</f>
        <v>203</v>
      </c>
      <c r="F9" s="70">
        <f>SUM(F6:F8)/2</f>
        <v>19.94304</v>
      </c>
      <c r="G9" s="26"/>
      <c r="H9" s="34">
        <f>SUM(H6:H8)/2</f>
        <v>203</v>
      </c>
      <c r="I9" s="70">
        <f>SUM(I6:I8)/2</f>
        <v>19.94304</v>
      </c>
      <c r="J9" s="26"/>
      <c r="K9" s="34">
        <f>SUM(K6:K8)/2</f>
        <v>0</v>
      </c>
      <c r="L9" s="70">
        <f>SUM(L6:L8)/2</f>
        <v>0</v>
      </c>
      <c r="M9" s="26"/>
      <c r="N9" s="34">
        <f>SUM(N6:N8)/2</f>
        <v>0</v>
      </c>
      <c r="O9" s="70">
        <f>SUM(O6:O8)/2</f>
        <v>0</v>
      </c>
      <c r="P9" s="26"/>
      <c r="Q9" s="34">
        <f t="shared" ref="Q9:V9" si="3">SUM(Q6:Q8)/2</f>
        <v>0</v>
      </c>
      <c r="R9" s="70">
        <f t="shared" si="3"/>
        <v>0</v>
      </c>
      <c r="S9" s="34">
        <f t="shared" si="3"/>
        <v>203</v>
      </c>
      <c r="T9" s="70">
        <f t="shared" si="3"/>
        <v>19.94304</v>
      </c>
      <c r="U9" s="34">
        <f t="shared" si="3"/>
        <v>0</v>
      </c>
      <c r="V9" s="70">
        <f t="shared" si="3"/>
        <v>0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V22"/>
  <sheetViews>
    <sheetView zoomScale="75" zoomScaleNormal="75" workbookViewId="0">
      <pane ySplit="5" topLeftCell="A6" activePane="bottomLeft" state="frozen"/>
      <selection pane="bottomLeft" activeCell="M32" sqref="M32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LOI-1006  23.10.23</v>
      </c>
      <c r="D1" s="1"/>
      <c r="E1" s="2"/>
      <c r="F1" s="2"/>
      <c r="G1" s="143" t="s">
        <v>482</v>
      </c>
      <c r="H1" s="144"/>
      <c r="I1" s="145" t="s">
        <v>339</v>
      </c>
      <c r="J1" s="144"/>
      <c r="K1" s="3"/>
      <c r="L1" s="4"/>
      <c r="M1" s="4"/>
      <c r="N1" s="3"/>
      <c r="O1" s="4"/>
      <c r="P1" s="146" t="str">
        <f>+F2</f>
        <v>LOI-1006  23.10.23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481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LOI-1006  23.10.23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25</v>
      </c>
      <c r="C6" s="26">
        <v>13.4</v>
      </c>
      <c r="D6" s="74">
        <v>10.6</v>
      </c>
      <c r="E6" s="28">
        <v>8</v>
      </c>
      <c r="F6" s="16">
        <f>(C6*D6*E6/1000)</f>
        <v>1.13632</v>
      </c>
      <c r="G6" s="16" t="s">
        <v>93</v>
      </c>
      <c r="H6" s="18">
        <v>8</v>
      </c>
      <c r="I6" s="19">
        <f>(C6*D6*H6/1000)</f>
        <v>1.13632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8</v>
      </c>
      <c r="T6" s="19">
        <f>+I6+L6+R6+O6</f>
        <v>1.13632</v>
      </c>
      <c r="U6" s="21">
        <f>E6-S6</f>
        <v>0</v>
      </c>
      <c r="V6" s="19">
        <f>F6-T6</f>
        <v>0</v>
      </c>
    </row>
    <row r="7" spans="1:22">
      <c r="A7" s="26" t="s">
        <v>13</v>
      </c>
      <c r="B7" s="26" t="s">
        <v>25</v>
      </c>
      <c r="C7" s="26">
        <v>13.4</v>
      </c>
      <c r="D7" s="74"/>
      <c r="E7" s="28"/>
      <c r="F7" s="16">
        <f>(C7*D7*E7/1000)</f>
        <v>0</v>
      </c>
      <c r="G7" s="17" t="s">
        <v>511</v>
      </c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139</v>
      </c>
      <c r="C8" s="26"/>
      <c r="D8" s="74"/>
      <c r="E8" s="31">
        <f>SUM(E6:E7)</f>
        <v>8</v>
      </c>
      <c r="F8" s="77">
        <f>SUM(F6:F7)</f>
        <v>1.13632</v>
      </c>
      <c r="G8" s="17"/>
      <c r="H8" s="31">
        <f>SUM(H6:H7)</f>
        <v>8</v>
      </c>
      <c r="I8" s="77">
        <f>SUM(I6:I7)</f>
        <v>1.13632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8</v>
      </c>
      <c r="T8" s="77">
        <f t="shared" si="6"/>
        <v>1.13632</v>
      </c>
      <c r="U8" s="31">
        <f t="shared" si="6"/>
        <v>0</v>
      </c>
      <c r="V8" s="77">
        <f t="shared" si="6"/>
        <v>0</v>
      </c>
    </row>
    <row r="9" spans="1:22">
      <c r="A9" s="26" t="s">
        <v>13</v>
      </c>
      <c r="B9" s="26" t="s">
        <v>125</v>
      </c>
      <c r="C9" s="26">
        <v>27.3</v>
      </c>
      <c r="D9" s="74">
        <v>10.5</v>
      </c>
      <c r="E9" s="28">
        <v>2</v>
      </c>
      <c r="F9" s="16">
        <f>(C9*D9*E9/1000)</f>
        <v>0.57330000000000003</v>
      </c>
      <c r="G9" s="16" t="s">
        <v>93</v>
      </c>
      <c r="H9" s="18">
        <v>2</v>
      </c>
      <c r="I9" s="19">
        <f>(C9*D9*H9/1000)</f>
        <v>0.57330000000000003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2</v>
      </c>
      <c r="T9" s="19">
        <f>+I9+L9+R9+O9</f>
        <v>0.57330000000000003</v>
      </c>
      <c r="U9" s="21">
        <f>E9-S9</f>
        <v>0</v>
      </c>
      <c r="V9" s="19">
        <f>F9-T9</f>
        <v>0</v>
      </c>
    </row>
    <row r="10" spans="1:22">
      <c r="A10" s="26" t="s">
        <v>13</v>
      </c>
      <c r="B10" s="26" t="s">
        <v>125</v>
      </c>
      <c r="C10" s="26">
        <v>27.3</v>
      </c>
      <c r="D10" s="74"/>
      <c r="E10" s="28"/>
      <c r="F10" s="16">
        <f>(C10*D10*E10/1000)</f>
        <v>0</v>
      </c>
      <c r="G10" s="17" t="s">
        <v>511</v>
      </c>
      <c r="H10" s="18"/>
      <c r="I10" s="19">
        <f t="shared" ref="I10" si="7">(C10*D10*H10/1000)</f>
        <v>0</v>
      </c>
      <c r="J10" s="16"/>
      <c r="K10" s="18"/>
      <c r="L10" s="19">
        <f t="shared" ref="L10" si="8">(C10*D10*K10/1000)</f>
        <v>0</v>
      </c>
      <c r="M10" s="16"/>
      <c r="N10" s="18"/>
      <c r="O10" s="19">
        <f t="shared" ref="O10" si="9">(C10*D10*N10/1000)</f>
        <v>0</v>
      </c>
      <c r="P10" s="16"/>
      <c r="Q10" s="18"/>
      <c r="R10" s="19">
        <f t="shared" ref="R10" si="10">(C10*D10*Q10/1000)</f>
        <v>0</v>
      </c>
      <c r="S10" s="20">
        <f t="shared" ref="S10" si="11">+H10+K10+Q10+N10</f>
        <v>0</v>
      </c>
      <c r="T10" s="19">
        <f t="shared" ref="T10" si="12">+I10+L10+R10+O10</f>
        <v>0</v>
      </c>
      <c r="U10" s="21">
        <f t="shared" ref="U10" si="13">E10-S10</f>
        <v>0</v>
      </c>
      <c r="V10" s="19">
        <f t="shared" ref="V10" si="14">F10-T10</f>
        <v>0</v>
      </c>
    </row>
    <row r="11" spans="1:22">
      <c r="A11" s="26"/>
      <c r="B11" s="41" t="s">
        <v>139</v>
      </c>
      <c r="C11" s="26"/>
      <c r="D11" s="74"/>
      <c r="E11" s="31">
        <f>SUM(E9:E10)</f>
        <v>2</v>
      </c>
      <c r="F11" s="77">
        <f>SUM(F9:F10)</f>
        <v>0.57330000000000003</v>
      </c>
      <c r="G11" s="17"/>
      <c r="H11" s="31">
        <f>SUM(H9:H10)</f>
        <v>2</v>
      </c>
      <c r="I11" s="77">
        <f>SUM(I9:I10)</f>
        <v>0.57330000000000003</v>
      </c>
      <c r="J11" s="16"/>
      <c r="K11" s="31">
        <f>SUM(K9:K10)</f>
        <v>0</v>
      </c>
      <c r="L11" s="77">
        <f>SUM(L9:L10)</f>
        <v>0</v>
      </c>
      <c r="M11" s="16"/>
      <c r="N11" s="31">
        <f>SUM(N9:N10)</f>
        <v>0</v>
      </c>
      <c r="O11" s="77">
        <f>SUM(O9:O10)</f>
        <v>0</v>
      </c>
      <c r="P11" s="16"/>
      <c r="Q11" s="31">
        <f t="shared" ref="Q11:V11" si="15">SUM(Q9:Q10)</f>
        <v>0</v>
      </c>
      <c r="R11" s="77">
        <f t="shared" si="15"/>
        <v>0</v>
      </c>
      <c r="S11" s="31">
        <f t="shared" si="15"/>
        <v>2</v>
      </c>
      <c r="T11" s="77">
        <f t="shared" si="15"/>
        <v>0.57330000000000003</v>
      </c>
      <c r="U11" s="31">
        <f t="shared" si="15"/>
        <v>0</v>
      </c>
      <c r="V11" s="77">
        <f t="shared" si="15"/>
        <v>0</v>
      </c>
    </row>
    <row r="12" spans="1:22">
      <c r="A12" s="26" t="s">
        <v>13</v>
      </c>
      <c r="B12" s="26" t="s">
        <v>212</v>
      </c>
      <c r="C12" s="26">
        <v>29.5</v>
      </c>
      <c r="D12" s="74">
        <v>10.1</v>
      </c>
      <c r="E12" s="28">
        <v>1</v>
      </c>
      <c r="F12" s="16">
        <f>(C12*D12*E12/1000)</f>
        <v>0.29794999999999999</v>
      </c>
      <c r="G12" s="16" t="s">
        <v>88</v>
      </c>
      <c r="H12" s="18">
        <v>1</v>
      </c>
      <c r="I12" s="19">
        <f>(C12*D12*H12/1000)</f>
        <v>0.29794999999999999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1</v>
      </c>
      <c r="T12" s="19">
        <f>+I12+L12+R12+O12</f>
        <v>0.29794999999999999</v>
      </c>
      <c r="U12" s="21">
        <f>E12-S12</f>
        <v>0</v>
      </c>
      <c r="V12" s="19">
        <f>F12-T12</f>
        <v>0</v>
      </c>
    </row>
    <row r="13" spans="1:22">
      <c r="A13" s="26"/>
      <c r="B13" s="41" t="s">
        <v>532</v>
      </c>
      <c r="C13" s="26"/>
      <c r="D13" s="74"/>
      <c r="E13" s="31">
        <f>SUM(E12:E12)</f>
        <v>1</v>
      </c>
      <c r="F13" s="77">
        <f>SUM(F12:F12)</f>
        <v>0.29794999999999999</v>
      </c>
      <c r="G13" s="17" t="s">
        <v>531</v>
      </c>
      <c r="H13" s="31">
        <f>SUM(H12:H12)</f>
        <v>1</v>
      </c>
      <c r="I13" s="77">
        <f>SUM(I12:I12)</f>
        <v>0.29794999999999999</v>
      </c>
      <c r="J13" s="16"/>
      <c r="K13" s="31">
        <f>SUM(K12:K12)</f>
        <v>0</v>
      </c>
      <c r="L13" s="77">
        <f>SUM(L12:L12)</f>
        <v>0</v>
      </c>
      <c r="M13" s="16"/>
      <c r="N13" s="31">
        <f>SUM(N12:N12)</f>
        <v>0</v>
      </c>
      <c r="O13" s="77">
        <f>SUM(O12:O12)</f>
        <v>0</v>
      </c>
      <c r="P13" s="16"/>
      <c r="Q13" s="31">
        <f t="shared" ref="Q13:V13" si="16">SUM(Q12:Q12)</f>
        <v>0</v>
      </c>
      <c r="R13" s="77">
        <f t="shared" si="16"/>
        <v>0</v>
      </c>
      <c r="S13" s="31">
        <f t="shared" si="16"/>
        <v>1</v>
      </c>
      <c r="T13" s="77">
        <f t="shared" si="16"/>
        <v>0.29794999999999999</v>
      </c>
      <c r="U13" s="31">
        <f t="shared" si="16"/>
        <v>0</v>
      </c>
      <c r="V13" s="77">
        <f t="shared" si="16"/>
        <v>0</v>
      </c>
    </row>
    <row r="14" spans="1:22">
      <c r="A14" s="26" t="s">
        <v>13</v>
      </c>
      <c r="B14" s="26" t="s">
        <v>75</v>
      </c>
      <c r="C14" s="26">
        <v>31.6</v>
      </c>
      <c r="D14" s="74">
        <v>10.1</v>
      </c>
      <c r="E14" s="28">
        <v>1</v>
      </c>
      <c r="F14" s="16">
        <f>(C14*D14*E14/1000)</f>
        <v>0.31916</v>
      </c>
      <c r="G14" s="16" t="s">
        <v>88</v>
      </c>
      <c r="H14" s="18">
        <v>1</v>
      </c>
      <c r="I14" s="19">
        <f>(C14*D14*H14/1000)</f>
        <v>0.31916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1</v>
      </c>
      <c r="T14" s="19">
        <f>+I14+L14+R14+O14</f>
        <v>0.31916</v>
      </c>
      <c r="U14" s="21">
        <f>E14-S14</f>
        <v>0</v>
      </c>
      <c r="V14" s="19">
        <f>F14-T14</f>
        <v>0</v>
      </c>
    </row>
    <row r="15" spans="1:22">
      <c r="A15" s="26" t="s">
        <v>13</v>
      </c>
      <c r="B15" s="26"/>
      <c r="C15" s="26"/>
      <c r="D15" s="74"/>
      <c r="E15" s="28"/>
      <c r="F15" s="16">
        <f>(C15*D15*E15/1000)</f>
        <v>0</v>
      </c>
      <c r="G15" s="17" t="s">
        <v>531</v>
      </c>
      <c r="H15" s="18"/>
      <c r="I15" s="19">
        <f t="shared" ref="I15" si="17">(C15*D15*H15/1000)</f>
        <v>0</v>
      </c>
      <c r="J15" s="16"/>
      <c r="K15" s="18"/>
      <c r="L15" s="19">
        <f t="shared" ref="L15" si="18">(C15*D15*K15/1000)</f>
        <v>0</v>
      </c>
      <c r="M15" s="16"/>
      <c r="N15" s="18"/>
      <c r="O15" s="19">
        <f t="shared" ref="O15" si="19">(C15*D15*N15/1000)</f>
        <v>0</v>
      </c>
      <c r="P15" s="16"/>
      <c r="Q15" s="18"/>
      <c r="R15" s="19">
        <f t="shared" ref="R15" si="20">(C15*D15*Q15/1000)</f>
        <v>0</v>
      </c>
      <c r="S15" s="20">
        <f t="shared" ref="S15" si="21">+H15+K15+Q15+N15</f>
        <v>0</v>
      </c>
      <c r="T15" s="19">
        <f t="shared" ref="T15" si="22">+I15+L15+R15+O15</f>
        <v>0</v>
      </c>
      <c r="U15" s="21">
        <f t="shared" ref="U15" si="23">E15-S15</f>
        <v>0</v>
      </c>
      <c r="V15" s="19">
        <f t="shared" ref="V15" si="24">F15-T15</f>
        <v>0</v>
      </c>
    </row>
    <row r="16" spans="1:22">
      <c r="A16" s="26"/>
      <c r="B16" s="41" t="s">
        <v>532</v>
      </c>
      <c r="C16" s="26"/>
      <c r="D16" s="74"/>
      <c r="E16" s="31">
        <f>SUM(E14:E15)</f>
        <v>1</v>
      </c>
      <c r="F16" s="77">
        <f>SUM(F14:F15)</f>
        <v>0.31916</v>
      </c>
      <c r="G16" s="17"/>
      <c r="H16" s="31">
        <f>SUM(H14:H15)</f>
        <v>1</v>
      </c>
      <c r="I16" s="77">
        <f>SUM(I14:I15)</f>
        <v>0.31916</v>
      </c>
      <c r="J16" s="16"/>
      <c r="K16" s="31">
        <f>SUM(K14:K15)</f>
        <v>0</v>
      </c>
      <c r="L16" s="77">
        <f>SUM(L14:L15)</f>
        <v>0</v>
      </c>
      <c r="M16" s="16"/>
      <c r="N16" s="31">
        <f>SUM(N14:N15)</f>
        <v>0</v>
      </c>
      <c r="O16" s="77">
        <f>SUM(O14:O15)</f>
        <v>0</v>
      </c>
      <c r="P16" s="16"/>
      <c r="Q16" s="31">
        <f t="shared" ref="Q16:V16" si="25">SUM(Q14:Q15)</f>
        <v>0</v>
      </c>
      <c r="R16" s="77">
        <f t="shared" si="25"/>
        <v>0</v>
      </c>
      <c r="S16" s="31">
        <f t="shared" si="25"/>
        <v>1</v>
      </c>
      <c r="T16" s="77">
        <f t="shared" si="25"/>
        <v>0.31916</v>
      </c>
      <c r="U16" s="31">
        <f t="shared" si="25"/>
        <v>0</v>
      </c>
      <c r="V16" s="77">
        <f t="shared" si="25"/>
        <v>0</v>
      </c>
    </row>
    <row r="17" spans="1:22">
      <c r="A17" s="26" t="s">
        <v>13</v>
      </c>
      <c r="B17" s="26" t="s">
        <v>126</v>
      </c>
      <c r="C17" s="26">
        <v>33.799999999999997</v>
      </c>
      <c r="D17" s="74">
        <v>7.8</v>
      </c>
      <c r="E17" s="28">
        <v>8</v>
      </c>
      <c r="F17" s="16">
        <f>(C17*D17*E17/1000)</f>
        <v>2.1091199999999999</v>
      </c>
      <c r="G17" s="16" t="s">
        <v>93</v>
      </c>
      <c r="H17" s="18"/>
      <c r="I17" s="19">
        <f>(C17*D17*H17/1000)</f>
        <v>0</v>
      </c>
      <c r="J17" s="16" t="s">
        <v>93</v>
      </c>
      <c r="K17" s="18">
        <v>8</v>
      </c>
      <c r="L17" s="19">
        <f>(C17*D17*K17/1000)</f>
        <v>2.1091199999999999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8</v>
      </c>
      <c r="T17" s="19">
        <f>+I17+L17+R17+O17</f>
        <v>2.1091199999999999</v>
      </c>
      <c r="U17" s="21">
        <f>E17-S17</f>
        <v>0</v>
      </c>
      <c r="V17" s="19">
        <f>F17-T17</f>
        <v>0</v>
      </c>
    </row>
    <row r="18" spans="1:22">
      <c r="A18" s="26" t="s">
        <v>13</v>
      </c>
      <c r="B18" s="26" t="s">
        <v>126</v>
      </c>
      <c r="C18" s="26">
        <v>33.799999999999997</v>
      </c>
      <c r="D18" s="74">
        <v>10.1</v>
      </c>
      <c r="E18" s="28">
        <v>36</v>
      </c>
      <c r="F18" s="16">
        <f t="shared" ref="F18:F19" si="26">(C18*D18*E18/1000)</f>
        <v>12.289679999999999</v>
      </c>
      <c r="G18" s="17" t="s">
        <v>511</v>
      </c>
      <c r="H18" s="18">
        <v>26</v>
      </c>
      <c r="I18" s="19">
        <f t="shared" ref="I18:I19" si="27">(C18*D18*H18/1000)</f>
        <v>8.8758799999999987</v>
      </c>
      <c r="J18" s="17" t="s">
        <v>512</v>
      </c>
      <c r="K18" s="18">
        <v>8</v>
      </c>
      <c r="L18" s="19">
        <f t="shared" ref="L18:L19" si="28">(C18*D18*K18/1000)</f>
        <v>2.7310399999999997</v>
      </c>
      <c r="M18" s="16"/>
      <c r="N18" s="18"/>
      <c r="O18" s="19">
        <f t="shared" ref="O18:O19" si="29">(C18*D18*N18/1000)</f>
        <v>0</v>
      </c>
      <c r="P18" s="16"/>
      <c r="Q18" s="18"/>
      <c r="R18" s="19">
        <f t="shared" ref="R18:R19" si="30">(C18*D18*Q18/1000)</f>
        <v>0</v>
      </c>
      <c r="S18" s="20">
        <f t="shared" ref="S18:S19" si="31">+H18+K18+Q18+N18</f>
        <v>34</v>
      </c>
      <c r="T18" s="19">
        <f t="shared" ref="T18:T19" si="32">+I18+L18+R18+O18</f>
        <v>11.606919999999999</v>
      </c>
      <c r="U18" s="21">
        <f t="shared" ref="U18:U19" si="33">E18-S18</f>
        <v>2</v>
      </c>
      <c r="V18" s="19">
        <f t="shared" ref="V18:V19" si="34">F18-T18</f>
        <v>0.68276000000000003</v>
      </c>
    </row>
    <row r="19" spans="1:22">
      <c r="A19" s="26" t="s">
        <v>13</v>
      </c>
      <c r="B19" s="26" t="s">
        <v>126</v>
      </c>
      <c r="C19" s="26">
        <v>33.799999999999997</v>
      </c>
      <c r="D19" s="74">
        <v>9.8000000000000007</v>
      </c>
      <c r="E19" s="28"/>
      <c r="F19" s="16">
        <f t="shared" si="26"/>
        <v>0</v>
      </c>
      <c r="G19" s="17"/>
      <c r="H19" s="18"/>
      <c r="I19" s="19">
        <f t="shared" si="27"/>
        <v>0</v>
      </c>
      <c r="J19" s="16"/>
      <c r="K19" s="18">
        <v>2</v>
      </c>
      <c r="L19" s="19">
        <f t="shared" si="28"/>
        <v>0.66248000000000007</v>
      </c>
      <c r="M19" s="16"/>
      <c r="N19" s="18"/>
      <c r="O19" s="19">
        <f t="shared" si="29"/>
        <v>0</v>
      </c>
      <c r="P19" s="16"/>
      <c r="Q19" s="18"/>
      <c r="R19" s="19">
        <f t="shared" si="30"/>
        <v>0</v>
      </c>
      <c r="S19" s="20">
        <f t="shared" si="31"/>
        <v>2</v>
      </c>
      <c r="T19" s="19">
        <f t="shared" si="32"/>
        <v>0.66248000000000007</v>
      </c>
      <c r="U19" s="21">
        <f t="shared" si="33"/>
        <v>-2</v>
      </c>
      <c r="V19" s="19">
        <f t="shared" si="34"/>
        <v>-0.66248000000000007</v>
      </c>
    </row>
    <row r="20" spans="1:22">
      <c r="A20" s="26" t="s">
        <v>13</v>
      </c>
      <c r="B20" s="26" t="s">
        <v>126</v>
      </c>
      <c r="C20" s="26">
        <v>33.799999999999997</v>
      </c>
      <c r="D20" s="74">
        <v>10</v>
      </c>
      <c r="E20" s="28"/>
      <c r="F20" s="16">
        <f>(C20*D20*E20/1000)</f>
        <v>0</v>
      </c>
      <c r="G20" s="17"/>
      <c r="H20" s="18"/>
      <c r="I20" s="19">
        <f t="shared" ref="I20" si="35">(C20*D20*H20/1000)</f>
        <v>0</v>
      </c>
      <c r="J20" s="16"/>
      <c r="K20" s="18">
        <v>1</v>
      </c>
      <c r="L20" s="19">
        <f t="shared" ref="L20" si="36">(C20*D20*K20/1000)</f>
        <v>0.33800000000000002</v>
      </c>
      <c r="M20" s="16"/>
      <c r="N20" s="18"/>
      <c r="O20" s="19">
        <f t="shared" ref="O20" si="37">(C20*D20*N20/1000)</f>
        <v>0</v>
      </c>
      <c r="P20" s="16"/>
      <c r="Q20" s="18"/>
      <c r="R20" s="19">
        <f t="shared" ref="R20" si="38">(C20*D20*Q20/1000)</f>
        <v>0</v>
      </c>
      <c r="S20" s="20">
        <f t="shared" ref="S20" si="39">+H20+K20+Q20+N20</f>
        <v>1</v>
      </c>
      <c r="T20" s="19">
        <f t="shared" ref="T20" si="40">+I20+L20+R20+O20</f>
        <v>0.33800000000000002</v>
      </c>
      <c r="U20" s="21">
        <f t="shared" ref="U20" si="41">E20-S20</f>
        <v>-1</v>
      </c>
      <c r="V20" s="19">
        <f t="shared" ref="V20" si="42">F20-T20</f>
        <v>-0.33800000000000002</v>
      </c>
    </row>
    <row r="21" spans="1:22">
      <c r="A21" s="26"/>
      <c r="B21" s="41" t="s">
        <v>139</v>
      </c>
      <c r="C21" s="26"/>
      <c r="D21" s="74"/>
      <c r="E21" s="31">
        <f>SUM(E17:E20)</f>
        <v>44</v>
      </c>
      <c r="F21" s="77">
        <f>SUM(F17:F20)</f>
        <v>14.398799999999998</v>
      </c>
      <c r="G21" s="17"/>
      <c r="H21" s="31">
        <f>SUM(H17:H20)</f>
        <v>26</v>
      </c>
      <c r="I21" s="77">
        <f>SUM(I17:I20)</f>
        <v>8.8758799999999987</v>
      </c>
      <c r="J21" s="16"/>
      <c r="K21" s="31">
        <f>SUM(K17:K20)</f>
        <v>19</v>
      </c>
      <c r="L21" s="77">
        <f>SUM(L17:L20)</f>
        <v>5.8406399999999996</v>
      </c>
      <c r="M21" s="16"/>
      <c r="N21" s="31">
        <f>SUM(N17:N20)</f>
        <v>0</v>
      </c>
      <c r="O21" s="77">
        <f>SUM(O17:O20)</f>
        <v>0</v>
      </c>
      <c r="P21" s="16"/>
      <c r="Q21" s="31">
        <f t="shared" ref="Q21:V21" si="43">SUM(Q17:Q20)</f>
        <v>0</v>
      </c>
      <c r="R21" s="77">
        <f t="shared" si="43"/>
        <v>0</v>
      </c>
      <c r="S21" s="31">
        <f t="shared" si="43"/>
        <v>45</v>
      </c>
      <c r="T21" s="77">
        <f t="shared" si="43"/>
        <v>14.716519999999999</v>
      </c>
      <c r="U21" s="31">
        <f t="shared" si="43"/>
        <v>-1</v>
      </c>
      <c r="V21" s="77">
        <f t="shared" si="43"/>
        <v>-0.31772000000000006</v>
      </c>
    </row>
    <row r="22" spans="1:22">
      <c r="A22" s="33"/>
      <c r="B22" s="33"/>
      <c r="C22" s="34"/>
      <c r="D22" s="34"/>
      <c r="E22" s="34">
        <f>SUM(E21,E11,E8)</f>
        <v>54</v>
      </c>
      <c r="F22" s="35">
        <f>SUM(F21,F11,F8)</f>
        <v>16.108419999999999</v>
      </c>
      <c r="G22" s="26"/>
      <c r="H22" s="34">
        <f>SUM(H21,H11,H8)</f>
        <v>36</v>
      </c>
      <c r="I22" s="35">
        <f>SUM(I21,I11,I8)</f>
        <v>10.585499999999998</v>
      </c>
      <c r="J22" s="26"/>
      <c r="K22" s="34">
        <f>SUM(K21,K11,K8)</f>
        <v>19</v>
      </c>
      <c r="L22" s="35">
        <f>SUM(L21,L11,L8)</f>
        <v>5.8406399999999996</v>
      </c>
      <c r="M22" s="26"/>
      <c r="N22" s="34">
        <f>SUM(N21,N11,N8)</f>
        <v>0</v>
      </c>
      <c r="O22" s="35">
        <f>SUM(O21,O11,O8)</f>
        <v>0</v>
      </c>
      <c r="P22" s="26"/>
      <c r="Q22" s="34">
        <f t="shared" ref="Q22:V22" si="44">SUM(Q21,Q11,Q8)</f>
        <v>0</v>
      </c>
      <c r="R22" s="35">
        <f t="shared" si="44"/>
        <v>0</v>
      </c>
      <c r="S22" s="34">
        <f t="shared" si="44"/>
        <v>55</v>
      </c>
      <c r="T22" s="35">
        <f t="shared" si="44"/>
        <v>16.42614</v>
      </c>
      <c r="U22" s="34">
        <f t="shared" si="44"/>
        <v>-1</v>
      </c>
      <c r="V22" s="35">
        <f t="shared" si="44"/>
        <v>-0.31772000000000006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X320"/>
  <sheetViews>
    <sheetView zoomScale="75" zoomScaleNormal="75" workbookViewId="0">
      <pane ySplit="5" topLeftCell="A246" activePane="bottomLeft" state="frozen"/>
      <selection activeCell="A4" sqref="A4"/>
      <selection pane="bottomLeft" activeCell="P269" sqref="P269:P27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7" width="11.88671875" customWidth="1"/>
    <col min="18" max="19" width="9.109375" customWidth="1"/>
    <col min="20" max="20" width="10.6640625" customWidth="1"/>
    <col min="22" max="22" width="11" customWidth="1"/>
  </cols>
  <sheetData>
    <row r="1" spans="1:23" s="6" customFormat="1" ht="15" customHeight="1">
      <c r="A1" s="1" t="s">
        <v>361</v>
      </c>
      <c r="B1" s="1"/>
      <c r="C1" s="1" t="str">
        <f>+F2</f>
        <v>LOI-1022  28.10.23</v>
      </c>
      <c r="D1" s="1"/>
      <c r="E1" s="2"/>
      <c r="F1" s="2"/>
      <c r="G1" s="143" t="s">
        <v>222</v>
      </c>
      <c r="H1" s="144"/>
      <c r="I1" s="145" t="s">
        <v>484</v>
      </c>
      <c r="J1" s="144"/>
      <c r="K1" s="3"/>
      <c r="L1" s="4"/>
      <c r="M1" s="4"/>
      <c r="N1" s="3"/>
      <c r="O1" s="4"/>
      <c r="P1" s="146" t="str">
        <f>+F2</f>
        <v>LOI-1022  28.10.23</v>
      </c>
      <c r="Q1" s="146"/>
      <c r="R1" s="5"/>
      <c r="S1" s="5"/>
      <c r="T1" s="147" t="s">
        <v>1</v>
      </c>
      <c r="U1" s="147"/>
      <c r="V1" s="147"/>
    </row>
    <row r="2" spans="1:23">
      <c r="A2" s="7" t="s">
        <v>218</v>
      </c>
      <c r="B2" s="8"/>
      <c r="C2" s="9"/>
      <c r="D2" s="9"/>
      <c r="E2" s="10"/>
      <c r="F2" s="146" t="s">
        <v>485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LOI-1022  28.10.23</v>
      </c>
      <c r="V2" s="146"/>
    </row>
    <row r="3" spans="1:23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3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3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3">
      <c r="A6" s="26" t="s">
        <v>13</v>
      </c>
      <c r="B6" s="26" t="s">
        <v>45</v>
      </c>
      <c r="C6" s="30">
        <v>9.26</v>
      </c>
      <c r="D6" s="27">
        <v>6.75</v>
      </c>
      <c r="E6" s="28">
        <v>94</v>
      </c>
      <c r="F6" s="16">
        <f t="shared" ref="F6:F24" si="0">(C6*D6*E6/1000)</f>
        <v>5.8754699999999991</v>
      </c>
      <c r="G6" s="17" t="s">
        <v>86</v>
      </c>
      <c r="H6" s="18">
        <v>94</v>
      </c>
      <c r="I6" s="19">
        <f t="shared" ref="I6:I24" si="1">(C6*D6*H6/1000)</f>
        <v>5.8754699999999991</v>
      </c>
      <c r="J6" s="16" t="s">
        <v>205</v>
      </c>
      <c r="K6" s="18"/>
      <c r="L6" s="19">
        <f t="shared" ref="L6:L24" si="2">(C6*D6*K6/1000)</f>
        <v>0</v>
      </c>
      <c r="M6" s="16" t="s">
        <v>111</v>
      </c>
      <c r="N6" s="18"/>
      <c r="O6" s="19">
        <f t="shared" ref="O6:O24" si="3">(C6*D6*N6/1000)</f>
        <v>0</v>
      </c>
      <c r="P6" s="17" t="s">
        <v>89</v>
      </c>
      <c r="Q6" s="72">
        <v>10</v>
      </c>
      <c r="R6" s="19">
        <f t="shared" ref="R6:R24" si="4">(C6*D6*Q6/1000)</f>
        <v>0.62504999999999999</v>
      </c>
      <c r="S6" s="20">
        <f t="shared" ref="S6:S24" si="5">+H6+K6+Q6+N6</f>
        <v>104</v>
      </c>
      <c r="T6" s="19">
        <f t="shared" ref="T6:T24" si="6">+I6+L6+R6+O6</f>
        <v>6.500519999999999</v>
      </c>
      <c r="U6" s="21">
        <f t="shared" ref="U6:U24" si="7">E6-S6</f>
        <v>-10</v>
      </c>
      <c r="V6" s="19">
        <f t="shared" ref="V6:V24" si="8">F6-T6</f>
        <v>-0.62504999999999988</v>
      </c>
      <c r="W6" s="50" t="s">
        <v>558</v>
      </c>
    </row>
    <row r="7" spans="1:23">
      <c r="A7" s="26" t="s">
        <v>13</v>
      </c>
      <c r="B7" s="26" t="s">
        <v>45</v>
      </c>
      <c r="C7" s="30">
        <v>9.26</v>
      </c>
      <c r="D7" s="27">
        <v>7.25</v>
      </c>
      <c r="E7" s="28">
        <v>65</v>
      </c>
      <c r="F7" s="16">
        <f t="shared" si="0"/>
        <v>4.3637750000000004</v>
      </c>
      <c r="G7" s="17" t="s">
        <v>524</v>
      </c>
      <c r="H7" s="18">
        <v>28</v>
      </c>
      <c r="I7" s="19">
        <f t="shared" si="1"/>
        <v>1.8797800000000002</v>
      </c>
      <c r="J7" s="16" t="s">
        <v>524</v>
      </c>
      <c r="K7" s="18">
        <v>23</v>
      </c>
      <c r="L7" s="19">
        <f t="shared" si="2"/>
        <v>1.5441050000000001</v>
      </c>
      <c r="M7" s="16" t="s">
        <v>525</v>
      </c>
      <c r="N7" s="18"/>
      <c r="O7" s="19">
        <f t="shared" si="3"/>
        <v>0</v>
      </c>
      <c r="P7" s="17" t="s">
        <v>548</v>
      </c>
      <c r="Q7" s="18">
        <v>12</v>
      </c>
      <c r="R7" s="19">
        <f t="shared" si="4"/>
        <v>0.80562000000000011</v>
      </c>
      <c r="S7" s="20">
        <f t="shared" si="5"/>
        <v>63</v>
      </c>
      <c r="T7" s="19">
        <f t="shared" si="6"/>
        <v>4.2295050000000005</v>
      </c>
      <c r="U7" s="21">
        <f t="shared" si="7"/>
        <v>2</v>
      </c>
      <c r="V7" s="19">
        <f t="shared" si="8"/>
        <v>0.13426999999999989</v>
      </c>
    </row>
    <row r="8" spans="1:23">
      <c r="A8" s="26" t="s">
        <v>13</v>
      </c>
      <c r="B8" s="26" t="s">
        <v>45</v>
      </c>
      <c r="C8" s="30">
        <v>9.26</v>
      </c>
      <c r="D8" s="27">
        <v>8</v>
      </c>
      <c r="E8" s="28">
        <v>65</v>
      </c>
      <c r="F8" s="16">
        <f t="shared" si="0"/>
        <v>4.8151999999999999</v>
      </c>
      <c r="G8" s="17"/>
      <c r="H8" s="18">
        <v>17</v>
      </c>
      <c r="I8" s="19">
        <f t="shared" si="1"/>
        <v>1.2593599999999998</v>
      </c>
      <c r="J8" s="16"/>
      <c r="K8" s="18">
        <v>28</v>
      </c>
      <c r="L8" s="19">
        <f t="shared" si="2"/>
        <v>2.0742399999999996</v>
      </c>
      <c r="M8" s="16"/>
      <c r="N8" s="18"/>
      <c r="O8" s="19">
        <f t="shared" si="3"/>
        <v>0</v>
      </c>
      <c r="P8" s="16" t="s">
        <v>205</v>
      </c>
      <c r="Q8" s="18">
        <v>3</v>
      </c>
      <c r="R8" s="19">
        <f t="shared" si="4"/>
        <v>0.22224000000000002</v>
      </c>
      <c r="S8" s="20">
        <f t="shared" si="5"/>
        <v>48</v>
      </c>
      <c r="T8" s="19">
        <f t="shared" si="6"/>
        <v>3.5558399999999999</v>
      </c>
      <c r="U8" s="21">
        <f t="shared" si="7"/>
        <v>17</v>
      </c>
      <c r="V8" s="19">
        <f t="shared" si="8"/>
        <v>1.25936</v>
      </c>
    </row>
    <row r="9" spans="1:23">
      <c r="A9" s="26" t="s">
        <v>13</v>
      </c>
      <c r="B9" s="26" t="s">
        <v>45</v>
      </c>
      <c r="C9" s="30">
        <v>9.26</v>
      </c>
      <c r="D9" s="27">
        <v>8.6999999999999993</v>
      </c>
      <c r="E9" s="28">
        <v>88</v>
      </c>
      <c r="F9" s="16">
        <f t="shared" si="0"/>
        <v>7.0894560000000002</v>
      </c>
      <c r="G9" s="17"/>
      <c r="H9" s="18">
        <v>39</v>
      </c>
      <c r="I9" s="19">
        <f t="shared" si="1"/>
        <v>3.141918</v>
      </c>
      <c r="J9" s="16"/>
      <c r="K9" s="18">
        <f>23+16</f>
        <v>39</v>
      </c>
      <c r="L9" s="19">
        <f t="shared" si="2"/>
        <v>3.141918</v>
      </c>
      <c r="M9" s="16"/>
      <c r="N9" s="18"/>
      <c r="O9" s="19">
        <f t="shared" si="3"/>
        <v>0</v>
      </c>
      <c r="P9" s="16" t="s">
        <v>550</v>
      </c>
      <c r="Q9" s="18">
        <v>4</v>
      </c>
      <c r="R9" s="19">
        <f t="shared" si="4"/>
        <v>0.32224799999999998</v>
      </c>
      <c r="S9" s="20">
        <f t="shared" si="5"/>
        <v>82</v>
      </c>
      <c r="T9" s="19">
        <f t="shared" si="6"/>
        <v>6.6060840000000001</v>
      </c>
      <c r="U9" s="21">
        <f t="shared" si="7"/>
        <v>6</v>
      </c>
      <c r="V9" s="19">
        <f t="shared" si="8"/>
        <v>0.48337200000000013</v>
      </c>
    </row>
    <row r="10" spans="1:23">
      <c r="A10" s="26" t="s">
        <v>13</v>
      </c>
      <c r="B10" s="26" t="s">
        <v>45</v>
      </c>
      <c r="C10" s="30">
        <v>9.26</v>
      </c>
      <c r="D10" s="27">
        <v>9</v>
      </c>
      <c r="E10" s="28">
        <v>33</v>
      </c>
      <c r="F10" s="16">
        <f t="shared" si="0"/>
        <v>2.7502200000000001</v>
      </c>
      <c r="G10" s="17"/>
      <c r="H10" s="18">
        <v>19</v>
      </c>
      <c r="I10" s="19">
        <f t="shared" si="1"/>
        <v>1.5834600000000001</v>
      </c>
      <c r="J10" s="16"/>
      <c r="K10" s="18">
        <v>11</v>
      </c>
      <c r="L10" s="19">
        <f t="shared" si="2"/>
        <v>0.91674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30</v>
      </c>
      <c r="T10" s="19">
        <f t="shared" si="6"/>
        <v>2.5002</v>
      </c>
      <c r="U10" s="21">
        <f t="shared" si="7"/>
        <v>3</v>
      </c>
      <c r="V10" s="19">
        <f t="shared" si="8"/>
        <v>0.25002000000000013</v>
      </c>
    </row>
    <row r="11" spans="1:23">
      <c r="A11" s="26" t="s">
        <v>13</v>
      </c>
      <c r="B11" s="26" t="s">
        <v>45</v>
      </c>
      <c r="C11" s="30">
        <v>9.26</v>
      </c>
      <c r="D11" s="27">
        <v>10</v>
      </c>
      <c r="E11" s="28">
        <v>45</v>
      </c>
      <c r="F11" s="16">
        <f t="shared" si="0"/>
        <v>4.1669999999999998</v>
      </c>
      <c r="G11" s="17"/>
      <c r="H11" s="18">
        <v>31</v>
      </c>
      <c r="I11" s="19">
        <f t="shared" si="1"/>
        <v>2.8706</v>
      </c>
      <c r="J11" s="16"/>
      <c r="K11" s="18"/>
      <c r="L11" s="19">
        <f t="shared" si="2"/>
        <v>0</v>
      </c>
      <c r="M11" s="16"/>
      <c r="N11" s="18">
        <v>18</v>
      </c>
      <c r="O11" s="19">
        <f t="shared" si="3"/>
        <v>1.6668000000000001</v>
      </c>
      <c r="P11" s="16" t="s">
        <v>93</v>
      </c>
      <c r="Q11" s="18"/>
      <c r="R11" s="19">
        <f t="shared" si="4"/>
        <v>0</v>
      </c>
      <c r="S11" s="20">
        <f t="shared" si="5"/>
        <v>49</v>
      </c>
      <c r="T11" s="19">
        <f t="shared" si="6"/>
        <v>4.5373999999999999</v>
      </c>
      <c r="U11" s="21">
        <f t="shared" si="7"/>
        <v>-4</v>
      </c>
      <c r="V11" s="19">
        <f t="shared" si="8"/>
        <v>-0.37040000000000006</v>
      </c>
    </row>
    <row r="12" spans="1:23">
      <c r="A12" s="26" t="s">
        <v>13</v>
      </c>
      <c r="B12" s="26" t="s">
        <v>45</v>
      </c>
      <c r="C12" s="30">
        <v>9.26</v>
      </c>
      <c r="D12" s="27">
        <v>10.6</v>
      </c>
      <c r="E12" s="28">
        <v>35</v>
      </c>
      <c r="F12" s="16">
        <f t="shared" si="0"/>
        <v>3.4354599999999995</v>
      </c>
      <c r="G12" s="17"/>
      <c r="H12" s="18">
        <v>20</v>
      </c>
      <c r="I12" s="19">
        <f t="shared" si="1"/>
        <v>1.96312</v>
      </c>
      <c r="J12" s="16"/>
      <c r="K12" s="18">
        <v>18</v>
      </c>
      <c r="L12" s="19">
        <f t="shared" si="2"/>
        <v>1.7668079999999997</v>
      </c>
      <c r="M12" s="16"/>
      <c r="N12" s="18"/>
      <c r="O12" s="19">
        <f t="shared" si="3"/>
        <v>0</v>
      </c>
      <c r="P12" s="16" t="s">
        <v>557</v>
      </c>
      <c r="Q12" s="18"/>
      <c r="R12" s="19">
        <f t="shared" si="4"/>
        <v>0</v>
      </c>
      <c r="S12" s="20">
        <f t="shared" si="5"/>
        <v>38</v>
      </c>
      <c r="T12" s="19">
        <f t="shared" si="6"/>
        <v>3.7299279999999997</v>
      </c>
      <c r="U12" s="21">
        <f t="shared" si="7"/>
        <v>-3</v>
      </c>
      <c r="V12" s="19">
        <f t="shared" si="8"/>
        <v>-0.29446800000000017</v>
      </c>
    </row>
    <row r="13" spans="1:23">
      <c r="A13" s="26" t="s">
        <v>13</v>
      </c>
      <c r="B13" s="26" t="s">
        <v>45</v>
      </c>
      <c r="C13" s="30">
        <v>9.26</v>
      </c>
      <c r="D13" s="27">
        <v>11.1</v>
      </c>
      <c r="E13" s="28">
        <v>45</v>
      </c>
      <c r="F13" s="16">
        <f t="shared" si="0"/>
        <v>4.6253700000000002</v>
      </c>
      <c r="G13" s="17"/>
      <c r="H13" s="18">
        <v>27</v>
      </c>
      <c r="I13" s="19">
        <f t="shared" si="1"/>
        <v>2.7752220000000003</v>
      </c>
      <c r="J13" s="16"/>
      <c r="K13" s="18">
        <v>15</v>
      </c>
      <c r="L13" s="19">
        <f t="shared" si="2"/>
        <v>1.54179</v>
      </c>
      <c r="M13" s="16"/>
      <c r="N13" s="18">
        <v>5</v>
      </c>
      <c r="O13" s="19">
        <f t="shared" si="3"/>
        <v>0.51393000000000011</v>
      </c>
      <c r="P13" s="16"/>
      <c r="Q13" s="18"/>
      <c r="R13" s="19">
        <f t="shared" si="4"/>
        <v>0</v>
      </c>
      <c r="S13" s="20">
        <f t="shared" si="5"/>
        <v>47</v>
      </c>
      <c r="T13" s="19">
        <f t="shared" si="6"/>
        <v>4.8309420000000003</v>
      </c>
      <c r="U13" s="21">
        <f t="shared" si="7"/>
        <v>-2</v>
      </c>
      <c r="V13" s="19">
        <f t="shared" si="8"/>
        <v>-0.20557200000000009</v>
      </c>
    </row>
    <row r="14" spans="1:23">
      <c r="A14" s="26" t="s">
        <v>13</v>
      </c>
      <c r="B14" s="26" t="s">
        <v>45</v>
      </c>
      <c r="C14" s="30">
        <v>9.26</v>
      </c>
      <c r="D14" s="27">
        <v>11.6</v>
      </c>
      <c r="E14" s="28">
        <v>25</v>
      </c>
      <c r="F14" s="16">
        <f t="shared" si="0"/>
        <v>2.6854</v>
      </c>
      <c r="G14" s="17"/>
      <c r="H14" s="18">
        <v>11</v>
      </c>
      <c r="I14" s="19">
        <f t="shared" si="1"/>
        <v>1.181576</v>
      </c>
      <c r="J14" s="16"/>
      <c r="K14" s="18">
        <v>8</v>
      </c>
      <c r="L14" s="19">
        <f t="shared" si="2"/>
        <v>0.85932799999999998</v>
      </c>
      <c r="M14" s="16"/>
      <c r="N14" s="18"/>
      <c r="O14" s="19">
        <f t="shared" si="3"/>
        <v>0</v>
      </c>
      <c r="P14" s="16"/>
      <c r="Q14" s="18">
        <v>3</v>
      </c>
      <c r="R14" s="19">
        <f t="shared" si="4"/>
        <v>0.32224799999999998</v>
      </c>
      <c r="S14" s="20">
        <f t="shared" si="5"/>
        <v>22</v>
      </c>
      <c r="T14" s="19">
        <f t="shared" si="6"/>
        <v>2.3631519999999999</v>
      </c>
      <c r="U14" s="21">
        <f t="shared" si="7"/>
        <v>3</v>
      </c>
      <c r="V14" s="19">
        <f t="shared" si="8"/>
        <v>0.32224800000000009</v>
      </c>
    </row>
    <row r="15" spans="1:23">
      <c r="A15" s="26" t="s">
        <v>13</v>
      </c>
      <c r="B15" s="26" t="s">
        <v>45</v>
      </c>
      <c r="C15" s="30">
        <v>9.26</v>
      </c>
      <c r="D15" s="27">
        <v>12</v>
      </c>
      <c r="E15" s="28">
        <v>49</v>
      </c>
      <c r="F15" s="16">
        <f t="shared" ref="F15:F23" si="9">(C15*D15*E15/1000)</f>
        <v>5.4448800000000004</v>
      </c>
      <c r="G15" s="17"/>
      <c r="H15" s="18">
        <v>22</v>
      </c>
      <c r="I15" s="19">
        <f t="shared" ref="I15:I23" si="10">(C15*D15*H15/1000)</f>
        <v>2.4446400000000001</v>
      </c>
      <c r="J15" s="16"/>
      <c r="K15" s="18">
        <v>12</v>
      </c>
      <c r="L15" s="19">
        <f t="shared" ref="L15:L23" si="11">(C15*D15*K15/1000)</f>
        <v>1.33344</v>
      </c>
      <c r="M15" s="16"/>
      <c r="N15" s="18">
        <v>14</v>
      </c>
      <c r="O15" s="19">
        <f t="shared" ref="O15:O23" si="12">(C15*D15*N15/1000)</f>
        <v>1.5556800000000002</v>
      </c>
      <c r="P15" s="16"/>
      <c r="Q15" s="18">
        <v>5</v>
      </c>
      <c r="R15" s="19">
        <f t="shared" ref="R15:R23" si="13">(C15*D15*Q15/1000)</f>
        <v>0.55559999999999998</v>
      </c>
      <c r="S15" s="20">
        <f t="shared" ref="S15:S23" si="14">+H15+K15+Q15+N15</f>
        <v>53</v>
      </c>
      <c r="T15" s="19">
        <f t="shared" ref="T15:T23" si="15">+I15+L15+R15+O15</f>
        <v>5.8893599999999999</v>
      </c>
      <c r="U15" s="21">
        <f t="shared" ref="U15:U23" si="16">E15-S15</f>
        <v>-4</v>
      </c>
      <c r="V15" s="19">
        <f t="shared" ref="V15:V23" si="17">F15-T15</f>
        <v>-0.44447999999999954</v>
      </c>
    </row>
    <row r="16" spans="1:23">
      <c r="A16" s="26" t="s">
        <v>13</v>
      </c>
      <c r="B16" s="26" t="s">
        <v>45</v>
      </c>
      <c r="C16" s="30">
        <v>9.26</v>
      </c>
      <c r="D16" s="27">
        <v>10.199999999999999</v>
      </c>
      <c r="E16" s="28"/>
      <c r="F16" s="16">
        <f t="shared" si="9"/>
        <v>0</v>
      </c>
      <c r="G16" s="17"/>
      <c r="H16" s="18"/>
      <c r="I16" s="19">
        <f t="shared" si="10"/>
        <v>0</v>
      </c>
      <c r="J16" s="16"/>
      <c r="K16" s="18"/>
      <c r="L16" s="19">
        <f t="shared" si="11"/>
        <v>0</v>
      </c>
      <c r="M16" s="16"/>
      <c r="N16" s="18"/>
      <c r="O16" s="19">
        <f t="shared" si="12"/>
        <v>0</v>
      </c>
      <c r="P16" s="16"/>
      <c r="Q16" s="18">
        <v>1</v>
      </c>
      <c r="R16" s="19">
        <f t="shared" si="13"/>
        <v>9.4451999999999994E-2</v>
      </c>
      <c r="S16" s="20">
        <f t="shared" si="14"/>
        <v>1</v>
      </c>
      <c r="T16" s="19">
        <f t="shared" si="15"/>
        <v>9.4451999999999994E-2</v>
      </c>
      <c r="U16" s="21">
        <f t="shared" si="16"/>
        <v>-1</v>
      </c>
      <c r="V16" s="19">
        <f t="shared" si="17"/>
        <v>-9.4451999999999994E-2</v>
      </c>
    </row>
    <row r="17" spans="1:22">
      <c r="A17" s="26" t="s">
        <v>13</v>
      </c>
      <c r="B17" s="26" t="s">
        <v>45</v>
      </c>
      <c r="C17" s="30">
        <v>9.26</v>
      </c>
      <c r="D17" s="27">
        <v>11.5</v>
      </c>
      <c r="E17" s="28"/>
      <c r="F17" s="16">
        <f t="shared" si="9"/>
        <v>0</v>
      </c>
      <c r="G17" s="17"/>
      <c r="H17" s="18"/>
      <c r="I17" s="19">
        <f t="shared" si="10"/>
        <v>0</v>
      </c>
      <c r="J17" s="16"/>
      <c r="K17" s="18"/>
      <c r="L17" s="19">
        <f t="shared" si="11"/>
        <v>0</v>
      </c>
      <c r="M17" s="16"/>
      <c r="N17" s="18"/>
      <c r="O17" s="19">
        <f t="shared" si="12"/>
        <v>0</v>
      </c>
      <c r="P17" s="16"/>
      <c r="Q17" s="18">
        <v>2</v>
      </c>
      <c r="R17" s="19">
        <f t="shared" si="13"/>
        <v>0.21298</v>
      </c>
      <c r="S17" s="20">
        <f t="shared" si="14"/>
        <v>2</v>
      </c>
      <c r="T17" s="19">
        <f t="shared" si="15"/>
        <v>0.21298</v>
      </c>
      <c r="U17" s="21">
        <f t="shared" si="16"/>
        <v>-2</v>
      </c>
      <c r="V17" s="19">
        <f t="shared" si="17"/>
        <v>-0.21298</v>
      </c>
    </row>
    <row r="18" spans="1:22">
      <c r="A18" s="26" t="s">
        <v>13</v>
      </c>
      <c r="B18" s="26" t="s">
        <v>45</v>
      </c>
      <c r="C18" s="30">
        <v>9.26</v>
      </c>
      <c r="D18" s="27">
        <v>9.8000000000000007</v>
      </c>
      <c r="E18" s="28"/>
      <c r="F18" s="16">
        <f t="shared" si="9"/>
        <v>0</v>
      </c>
      <c r="G18" s="17"/>
      <c r="H18" s="18"/>
      <c r="I18" s="19">
        <f t="shared" si="10"/>
        <v>0</v>
      </c>
      <c r="J18" s="16"/>
      <c r="K18" s="18"/>
      <c r="L18" s="19">
        <f t="shared" si="11"/>
        <v>0</v>
      </c>
      <c r="M18" s="16"/>
      <c r="N18" s="18"/>
      <c r="O18" s="19">
        <f t="shared" si="12"/>
        <v>0</v>
      </c>
      <c r="P18" s="16"/>
      <c r="Q18" s="18">
        <v>2</v>
      </c>
      <c r="R18" s="19">
        <f t="shared" si="13"/>
        <v>0.18149600000000002</v>
      </c>
      <c r="S18" s="20">
        <f t="shared" si="14"/>
        <v>2</v>
      </c>
      <c r="T18" s="19">
        <f t="shared" si="15"/>
        <v>0.18149600000000002</v>
      </c>
      <c r="U18" s="21">
        <f t="shared" si="16"/>
        <v>-2</v>
      </c>
      <c r="V18" s="19">
        <f t="shared" si="17"/>
        <v>-0.18149600000000002</v>
      </c>
    </row>
    <row r="19" spans="1:22">
      <c r="A19" s="26" t="s">
        <v>13</v>
      </c>
      <c r="B19" s="26" t="s">
        <v>45</v>
      </c>
      <c r="C19" s="30">
        <v>9.26</v>
      </c>
      <c r="D19" s="27">
        <v>10.4</v>
      </c>
      <c r="E19" s="28"/>
      <c r="F19" s="16">
        <f t="shared" si="9"/>
        <v>0</v>
      </c>
      <c r="G19" s="17"/>
      <c r="H19" s="18"/>
      <c r="I19" s="19">
        <f t="shared" si="10"/>
        <v>0</v>
      </c>
      <c r="J19" s="16"/>
      <c r="K19" s="18"/>
      <c r="L19" s="19">
        <f t="shared" si="11"/>
        <v>0</v>
      </c>
      <c r="M19" s="16"/>
      <c r="N19" s="18"/>
      <c r="O19" s="19">
        <f t="shared" si="12"/>
        <v>0</v>
      </c>
      <c r="P19" s="16"/>
      <c r="Q19" s="18">
        <v>2</v>
      </c>
      <c r="R19" s="19">
        <f t="shared" si="13"/>
        <v>0.192608</v>
      </c>
      <c r="S19" s="20">
        <f t="shared" si="14"/>
        <v>2</v>
      </c>
      <c r="T19" s="19">
        <f t="shared" si="15"/>
        <v>0.192608</v>
      </c>
      <c r="U19" s="21">
        <f t="shared" si="16"/>
        <v>-2</v>
      </c>
      <c r="V19" s="19">
        <f t="shared" si="17"/>
        <v>-0.192608</v>
      </c>
    </row>
    <row r="20" spans="1:22">
      <c r="A20" s="26" t="s">
        <v>13</v>
      </c>
      <c r="B20" s="26" t="s">
        <v>45</v>
      </c>
      <c r="C20" s="30">
        <v>9.26</v>
      </c>
      <c r="D20" s="27">
        <v>11.4</v>
      </c>
      <c r="E20" s="28"/>
      <c r="F20" s="16">
        <f t="shared" si="9"/>
        <v>0</v>
      </c>
      <c r="G20" s="17"/>
      <c r="H20" s="18"/>
      <c r="I20" s="19">
        <f t="shared" si="10"/>
        <v>0</v>
      </c>
      <c r="J20" s="16"/>
      <c r="K20" s="18"/>
      <c r="L20" s="19">
        <f t="shared" si="11"/>
        <v>0</v>
      </c>
      <c r="M20" s="16"/>
      <c r="N20" s="18"/>
      <c r="O20" s="19">
        <f t="shared" si="12"/>
        <v>0</v>
      </c>
      <c r="P20" s="16"/>
      <c r="Q20" s="18">
        <v>2</v>
      </c>
      <c r="R20" s="19">
        <f t="shared" si="13"/>
        <v>0.21112800000000001</v>
      </c>
      <c r="S20" s="20">
        <f t="shared" si="14"/>
        <v>2</v>
      </c>
      <c r="T20" s="19">
        <f t="shared" si="15"/>
        <v>0.21112800000000001</v>
      </c>
      <c r="U20" s="21">
        <f t="shared" si="16"/>
        <v>-2</v>
      </c>
      <c r="V20" s="19">
        <f t="shared" si="17"/>
        <v>-0.21112800000000001</v>
      </c>
    </row>
    <row r="21" spans="1:22">
      <c r="A21" s="26" t="s">
        <v>13</v>
      </c>
      <c r="B21" s="26" t="s">
        <v>45</v>
      </c>
      <c r="C21" s="30">
        <v>9.26</v>
      </c>
      <c r="D21" s="27">
        <v>7.75</v>
      </c>
      <c r="E21" s="28"/>
      <c r="F21" s="16">
        <f t="shared" si="9"/>
        <v>0</v>
      </c>
      <c r="G21" s="17"/>
      <c r="H21" s="18"/>
      <c r="I21" s="19">
        <f t="shared" si="10"/>
        <v>0</v>
      </c>
      <c r="J21" s="16"/>
      <c r="K21" s="18"/>
      <c r="L21" s="19">
        <f t="shared" si="11"/>
        <v>0</v>
      </c>
      <c r="M21" s="16"/>
      <c r="N21" s="18"/>
      <c r="O21" s="19">
        <f t="shared" si="12"/>
        <v>0</v>
      </c>
      <c r="P21" s="16"/>
      <c r="Q21" s="18">
        <v>3</v>
      </c>
      <c r="R21" s="19">
        <f t="shared" si="13"/>
        <v>0.21529500000000001</v>
      </c>
      <c r="S21" s="20">
        <f t="shared" si="14"/>
        <v>3</v>
      </c>
      <c r="T21" s="19">
        <f t="shared" si="15"/>
        <v>0.21529500000000001</v>
      </c>
      <c r="U21" s="21">
        <f t="shared" si="16"/>
        <v>-3</v>
      </c>
      <c r="V21" s="19">
        <f t="shared" si="17"/>
        <v>-0.21529500000000001</v>
      </c>
    </row>
    <row r="22" spans="1:22">
      <c r="A22" s="26" t="s">
        <v>13</v>
      </c>
      <c r="B22" s="26" t="s">
        <v>45</v>
      </c>
      <c r="C22" s="30">
        <v>9.26</v>
      </c>
      <c r="D22" s="27">
        <v>6.5</v>
      </c>
      <c r="E22" s="28"/>
      <c r="F22" s="16">
        <f t="shared" si="9"/>
        <v>0</v>
      </c>
      <c r="G22" s="17"/>
      <c r="H22" s="18"/>
      <c r="I22" s="19">
        <f t="shared" si="10"/>
        <v>0</v>
      </c>
      <c r="J22" s="16"/>
      <c r="K22" s="18"/>
      <c r="L22" s="19">
        <f t="shared" si="11"/>
        <v>0</v>
      </c>
      <c r="M22" s="16"/>
      <c r="N22" s="18"/>
      <c r="O22" s="19">
        <f t="shared" si="12"/>
        <v>0</v>
      </c>
      <c r="P22" s="16"/>
      <c r="Q22" s="18">
        <v>2</v>
      </c>
      <c r="R22" s="19">
        <f t="shared" si="13"/>
        <v>0.12038</v>
      </c>
      <c r="S22" s="20">
        <f t="shared" si="14"/>
        <v>2</v>
      </c>
      <c r="T22" s="19">
        <f t="shared" si="15"/>
        <v>0.12038</v>
      </c>
      <c r="U22" s="21">
        <f t="shared" si="16"/>
        <v>-2</v>
      </c>
      <c r="V22" s="19">
        <f t="shared" si="17"/>
        <v>-0.12038</v>
      </c>
    </row>
    <row r="23" spans="1:22">
      <c r="A23" s="26" t="s">
        <v>13</v>
      </c>
      <c r="B23" s="26" t="s">
        <v>45</v>
      </c>
      <c r="C23" s="30">
        <v>9.26</v>
      </c>
      <c r="D23" s="27"/>
      <c r="E23" s="28"/>
      <c r="F23" s="16">
        <f t="shared" si="9"/>
        <v>0</v>
      </c>
      <c r="G23" s="17"/>
      <c r="H23" s="18"/>
      <c r="I23" s="19">
        <f t="shared" si="10"/>
        <v>0</v>
      </c>
      <c r="J23" s="16"/>
      <c r="K23" s="18"/>
      <c r="L23" s="19">
        <f t="shared" si="11"/>
        <v>0</v>
      </c>
      <c r="M23" s="16"/>
      <c r="N23" s="18"/>
      <c r="O23" s="19">
        <f t="shared" si="12"/>
        <v>0</v>
      </c>
      <c r="P23" s="16"/>
      <c r="Q23" s="18"/>
      <c r="R23" s="19">
        <f t="shared" si="13"/>
        <v>0</v>
      </c>
      <c r="S23" s="20">
        <f t="shared" si="14"/>
        <v>0</v>
      </c>
      <c r="T23" s="19">
        <f t="shared" si="15"/>
        <v>0</v>
      </c>
      <c r="U23" s="21">
        <f t="shared" si="16"/>
        <v>0</v>
      </c>
      <c r="V23" s="19">
        <f t="shared" si="17"/>
        <v>0</v>
      </c>
    </row>
    <row r="24" spans="1:22">
      <c r="A24" s="26" t="s">
        <v>13</v>
      </c>
      <c r="B24" s="26" t="s">
        <v>45</v>
      </c>
      <c r="C24" s="30">
        <v>9.26</v>
      </c>
      <c r="D24" s="27"/>
      <c r="E24" s="28"/>
      <c r="F24" s="16">
        <f t="shared" si="0"/>
        <v>0</v>
      </c>
      <c r="G24" s="17"/>
      <c r="H24" s="18"/>
      <c r="I24" s="19">
        <f t="shared" si="1"/>
        <v>0</v>
      </c>
      <c r="J24" s="16"/>
      <c r="K24" s="18"/>
      <c r="L24" s="19">
        <f t="shared" si="2"/>
        <v>0</v>
      </c>
      <c r="M24" s="16"/>
      <c r="N24" s="18"/>
      <c r="O24" s="19">
        <f t="shared" si="3"/>
        <v>0</v>
      </c>
      <c r="P24" s="16"/>
      <c r="Q24" s="18"/>
      <c r="R24" s="19">
        <f t="shared" si="4"/>
        <v>0</v>
      </c>
      <c r="S24" s="20">
        <f t="shared" si="5"/>
        <v>0</v>
      </c>
      <c r="T24" s="19">
        <f t="shared" si="6"/>
        <v>0</v>
      </c>
      <c r="U24" s="21">
        <f t="shared" si="7"/>
        <v>0</v>
      </c>
      <c r="V24" s="19">
        <f t="shared" si="8"/>
        <v>0</v>
      </c>
    </row>
    <row r="25" spans="1:22">
      <c r="A25" s="36"/>
      <c r="B25" s="36"/>
      <c r="C25" s="30"/>
      <c r="D25" s="38"/>
      <c r="E25" s="31">
        <f t="shared" ref="E25" si="18">SUM(E6:E24)</f>
        <v>544</v>
      </c>
      <c r="F25" s="38">
        <f t="shared" ref="F25" si="19">SUM(F6:F24)</f>
        <v>45.252230999999995</v>
      </c>
      <c r="H25" s="31">
        <f t="shared" ref="H25" si="20">SUM(H6:H24)</f>
        <v>308</v>
      </c>
      <c r="I25" s="38">
        <f t="shared" ref="I25" si="21">SUM(I6:I24)</f>
        <v>24.975145999999999</v>
      </c>
      <c r="K25" s="31">
        <f t="shared" ref="K25" si="22">SUM(K6:K24)</f>
        <v>154</v>
      </c>
      <c r="L25" s="38">
        <f t="shared" ref="L25" si="23">SUM(L6:L24)</f>
        <v>13.178369</v>
      </c>
      <c r="N25" s="31">
        <f t="shared" ref="N25" si="24">SUM(N6:N24)</f>
        <v>37</v>
      </c>
      <c r="O25" s="38">
        <f t="shared" ref="O25" si="25">SUM(O6:O24)</f>
        <v>3.7364100000000002</v>
      </c>
      <c r="Q25" s="31">
        <f t="shared" ref="Q25" si="26">SUM(Q6:Q24)</f>
        <v>51</v>
      </c>
      <c r="R25" s="38">
        <f t="shared" ref="R25" si="27">SUM(R6:R24)</f>
        <v>4.0813449999999998</v>
      </c>
      <c r="S25" s="31">
        <f t="shared" ref="S25" si="28">SUM(S6:S24)</f>
        <v>550</v>
      </c>
      <c r="T25" s="38">
        <f t="shared" ref="T25" si="29">SUM(T6:T24)</f>
        <v>45.971269999999997</v>
      </c>
      <c r="U25" s="31">
        <f t="shared" ref="U25" si="30">SUM(U6:U24)</f>
        <v>-6</v>
      </c>
      <c r="V25" s="38">
        <f t="shared" ref="V25" si="31">SUM(V6:V24)</f>
        <v>-0.71903899999999954</v>
      </c>
    </row>
    <row r="26" spans="1:22">
      <c r="A26" s="26" t="s">
        <v>13</v>
      </c>
      <c r="B26" s="26" t="s">
        <v>46</v>
      </c>
      <c r="C26" s="30">
        <v>10.73</v>
      </c>
      <c r="D26" s="27">
        <v>6.3</v>
      </c>
      <c r="E26" s="28">
        <v>45</v>
      </c>
      <c r="F26" s="16">
        <f t="shared" ref="F26:F42" si="32">(C26*D26*E26/1000)</f>
        <v>3.0419550000000002</v>
      </c>
      <c r="G26" s="17" t="s">
        <v>93</v>
      </c>
      <c r="H26" s="18">
        <v>13</v>
      </c>
      <c r="I26" s="19">
        <f t="shared" ref="I26:I42" si="33">(C26*D26*H26/1000)</f>
        <v>0.87878699999999998</v>
      </c>
      <c r="J26" s="16" t="s">
        <v>205</v>
      </c>
      <c r="K26" s="18">
        <v>14</v>
      </c>
      <c r="L26" s="19">
        <f t="shared" ref="L26:L42" si="34">(C26*D26*K26/1000)</f>
        <v>0.94638600000000006</v>
      </c>
      <c r="M26" s="16" t="s">
        <v>111</v>
      </c>
      <c r="N26" s="18">
        <v>12</v>
      </c>
      <c r="O26" s="19">
        <f t="shared" ref="O26:O42" si="35">(C26*D26*N26/1000)</f>
        <v>0.81118800000000013</v>
      </c>
      <c r="P26" s="17" t="s">
        <v>89</v>
      </c>
      <c r="Q26" s="18">
        <v>1</v>
      </c>
      <c r="R26" s="19">
        <f t="shared" ref="R26:R42" si="36">(C26*D26*Q26/1000)</f>
        <v>6.7599000000000006E-2</v>
      </c>
      <c r="S26" s="20">
        <f t="shared" ref="S26:S42" si="37">+H26+K26+Q26+N26</f>
        <v>40</v>
      </c>
      <c r="T26" s="19">
        <f t="shared" ref="T26:T42" si="38">+I26+L26+R26+O26</f>
        <v>2.7039599999999999</v>
      </c>
      <c r="U26" s="21">
        <f t="shared" ref="U26:U42" si="39">E26-S26</f>
        <v>5</v>
      </c>
      <c r="V26" s="19">
        <f t="shared" ref="V26:V42" si="40">F26-T26</f>
        <v>0.33799500000000027</v>
      </c>
    </row>
    <row r="27" spans="1:22">
      <c r="A27" s="26" t="s">
        <v>13</v>
      </c>
      <c r="B27" s="26" t="s">
        <v>46</v>
      </c>
      <c r="C27" s="30">
        <v>10.73</v>
      </c>
      <c r="D27" s="27">
        <v>6.6</v>
      </c>
      <c r="E27" s="28">
        <v>114</v>
      </c>
      <c r="F27" s="16">
        <f t="shared" si="32"/>
        <v>8.0732520000000001</v>
      </c>
      <c r="G27" s="17" t="s">
        <v>524</v>
      </c>
      <c r="H27" s="18">
        <f>30+40</f>
        <v>70</v>
      </c>
      <c r="I27" s="19">
        <f t="shared" si="33"/>
        <v>4.9572599999999998</v>
      </c>
      <c r="J27" s="16" t="s">
        <v>525</v>
      </c>
      <c r="K27" s="18">
        <v>22</v>
      </c>
      <c r="L27" s="19">
        <f t="shared" si="34"/>
        <v>1.5579959999999999</v>
      </c>
      <c r="M27" s="16" t="s">
        <v>525</v>
      </c>
      <c r="N27" s="18">
        <v>15</v>
      </c>
      <c r="O27" s="19">
        <f t="shared" si="35"/>
        <v>1.06227</v>
      </c>
      <c r="P27" s="17" t="s">
        <v>548</v>
      </c>
      <c r="Q27" s="18">
        <v>1</v>
      </c>
      <c r="R27" s="19">
        <f t="shared" si="36"/>
        <v>7.0817999999999992E-2</v>
      </c>
      <c r="S27" s="20">
        <f t="shared" si="37"/>
        <v>108</v>
      </c>
      <c r="T27" s="19">
        <f t="shared" si="38"/>
        <v>7.6483439999999998</v>
      </c>
      <c r="U27" s="21">
        <f t="shared" si="39"/>
        <v>6</v>
      </c>
      <c r="V27" s="19">
        <f t="shared" si="40"/>
        <v>0.42490800000000029</v>
      </c>
    </row>
    <row r="28" spans="1:22">
      <c r="A28" s="26" t="s">
        <v>13</v>
      </c>
      <c r="B28" s="26" t="s">
        <v>46</v>
      </c>
      <c r="C28" s="30">
        <v>10.73</v>
      </c>
      <c r="D28" s="27">
        <v>6.8</v>
      </c>
      <c r="E28" s="28">
        <v>56</v>
      </c>
      <c r="F28" s="16">
        <f t="shared" si="32"/>
        <v>4.0859839999999998</v>
      </c>
      <c r="G28" s="16" t="s">
        <v>205</v>
      </c>
      <c r="H28" s="18"/>
      <c r="I28" s="19">
        <f t="shared" si="33"/>
        <v>0</v>
      </c>
      <c r="J28" s="16"/>
      <c r="K28" s="18">
        <v>34</v>
      </c>
      <c r="L28" s="19">
        <f t="shared" si="34"/>
        <v>2.4807759999999996</v>
      </c>
      <c r="M28" s="16"/>
      <c r="N28" s="18">
        <f>4+5</f>
        <v>9</v>
      </c>
      <c r="O28" s="19">
        <f t="shared" si="35"/>
        <v>0.65667599999999993</v>
      </c>
      <c r="P28" s="16" t="s">
        <v>205</v>
      </c>
      <c r="Q28" s="18"/>
      <c r="R28" s="19">
        <f t="shared" si="36"/>
        <v>0</v>
      </c>
      <c r="S28" s="20">
        <f t="shared" si="37"/>
        <v>43</v>
      </c>
      <c r="T28" s="19">
        <f t="shared" si="38"/>
        <v>3.1374519999999997</v>
      </c>
      <c r="U28" s="21">
        <f t="shared" si="39"/>
        <v>13</v>
      </c>
      <c r="V28" s="19">
        <f t="shared" si="40"/>
        <v>0.94853200000000015</v>
      </c>
    </row>
    <row r="29" spans="1:22">
      <c r="A29" s="26" t="s">
        <v>13</v>
      </c>
      <c r="B29" s="26" t="s">
        <v>46</v>
      </c>
      <c r="C29" s="30">
        <v>10.73</v>
      </c>
      <c r="D29" s="27">
        <v>7.1</v>
      </c>
      <c r="E29" s="28">
        <v>101</v>
      </c>
      <c r="F29" s="16">
        <f t="shared" si="32"/>
        <v>7.6944829999999991</v>
      </c>
      <c r="G29" s="16" t="s">
        <v>524</v>
      </c>
      <c r="H29" s="18">
        <f>60+31</f>
        <v>91</v>
      </c>
      <c r="I29" s="19">
        <f t="shared" si="33"/>
        <v>6.9326529999999993</v>
      </c>
      <c r="J29" s="16"/>
      <c r="K29" s="18">
        <v>19</v>
      </c>
      <c r="L29" s="19">
        <f t="shared" si="34"/>
        <v>1.4474769999999999</v>
      </c>
      <c r="M29" s="16"/>
      <c r="N29" s="18"/>
      <c r="O29" s="19">
        <f t="shared" si="35"/>
        <v>0</v>
      </c>
      <c r="P29" s="16" t="s">
        <v>550</v>
      </c>
      <c r="Q29" s="18"/>
      <c r="R29" s="19">
        <f t="shared" si="36"/>
        <v>0</v>
      </c>
      <c r="S29" s="20">
        <f t="shared" si="37"/>
        <v>110</v>
      </c>
      <c r="T29" s="19">
        <f t="shared" si="38"/>
        <v>8.3801299999999994</v>
      </c>
      <c r="U29" s="21">
        <f t="shared" si="39"/>
        <v>-9</v>
      </c>
      <c r="V29" s="19">
        <f t="shared" si="40"/>
        <v>-0.68564700000000034</v>
      </c>
    </row>
    <row r="30" spans="1:22">
      <c r="A30" s="26" t="s">
        <v>13</v>
      </c>
      <c r="B30" s="26" t="s">
        <v>46</v>
      </c>
      <c r="C30" s="30">
        <v>10.73</v>
      </c>
      <c r="D30" s="27">
        <v>7.45</v>
      </c>
      <c r="E30" s="28">
        <v>56</v>
      </c>
      <c r="F30" s="16">
        <f t="shared" si="32"/>
        <v>4.4765560000000004</v>
      </c>
      <c r="G30" s="17"/>
      <c r="H30" s="18">
        <f>54+10</f>
        <v>64</v>
      </c>
      <c r="I30" s="19">
        <f t="shared" si="33"/>
        <v>5.1160640000000006</v>
      </c>
      <c r="J30" s="16"/>
      <c r="K30" s="18"/>
      <c r="L30" s="19">
        <f t="shared" si="34"/>
        <v>0</v>
      </c>
      <c r="M30" s="16"/>
      <c r="N30" s="18"/>
      <c r="O30" s="19">
        <f t="shared" si="35"/>
        <v>0</v>
      </c>
      <c r="P30" s="16"/>
      <c r="Q30" s="18"/>
      <c r="R30" s="19">
        <f t="shared" si="36"/>
        <v>0</v>
      </c>
      <c r="S30" s="20">
        <f t="shared" si="37"/>
        <v>64</v>
      </c>
      <c r="T30" s="19">
        <f t="shared" si="38"/>
        <v>5.1160640000000006</v>
      </c>
      <c r="U30" s="21">
        <f t="shared" si="39"/>
        <v>-8</v>
      </c>
      <c r="V30" s="19">
        <f t="shared" si="40"/>
        <v>-0.63950800000000019</v>
      </c>
    </row>
    <row r="31" spans="1:22">
      <c r="A31" s="26" t="s">
        <v>13</v>
      </c>
      <c r="B31" s="26" t="s">
        <v>46</v>
      </c>
      <c r="C31" s="30">
        <v>10.73</v>
      </c>
      <c r="D31" s="27">
        <v>7.7</v>
      </c>
      <c r="E31" s="28">
        <v>156</v>
      </c>
      <c r="F31" s="16">
        <f t="shared" si="32"/>
        <v>12.888876000000002</v>
      </c>
      <c r="G31" s="17"/>
      <c r="H31" s="18">
        <f>47+71</f>
        <v>118</v>
      </c>
      <c r="I31" s="19">
        <f t="shared" si="33"/>
        <v>9.7492780000000003</v>
      </c>
      <c r="J31" s="16"/>
      <c r="K31" s="18"/>
      <c r="L31" s="19">
        <f t="shared" si="34"/>
        <v>0</v>
      </c>
      <c r="M31" s="16"/>
      <c r="N31" s="18">
        <v>32</v>
      </c>
      <c r="O31" s="19">
        <f t="shared" si="35"/>
        <v>2.6438720000000004</v>
      </c>
      <c r="P31" s="17" t="s">
        <v>89</v>
      </c>
      <c r="Q31" s="18">
        <v>1</v>
      </c>
      <c r="R31" s="19">
        <f t="shared" si="36"/>
        <v>8.2621000000000014E-2</v>
      </c>
      <c r="S31" s="20">
        <f t="shared" si="37"/>
        <v>151</v>
      </c>
      <c r="T31" s="19">
        <f t="shared" si="38"/>
        <v>12.475771</v>
      </c>
      <c r="U31" s="21">
        <f t="shared" si="39"/>
        <v>5</v>
      </c>
      <c r="V31" s="19">
        <f t="shared" si="40"/>
        <v>0.41310500000000161</v>
      </c>
    </row>
    <row r="32" spans="1:22">
      <c r="A32" s="26" t="s">
        <v>13</v>
      </c>
      <c r="B32" s="26" t="s">
        <v>46</v>
      </c>
      <c r="C32" s="30">
        <v>10.73</v>
      </c>
      <c r="D32" s="27">
        <v>8</v>
      </c>
      <c r="E32" s="28">
        <v>78</v>
      </c>
      <c r="F32" s="16">
        <f t="shared" si="32"/>
        <v>6.6955200000000001</v>
      </c>
      <c r="G32" s="17"/>
      <c r="H32" s="18">
        <f>24+19</f>
        <v>43</v>
      </c>
      <c r="I32" s="19">
        <f t="shared" si="33"/>
        <v>3.6911200000000002</v>
      </c>
      <c r="J32" s="16"/>
      <c r="K32" s="18"/>
      <c r="L32" s="19">
        <f t="shared" si="34"/>
        <v>0</v>
      </c>
      <c r="M32" s="16"/>
      <c r="N32" s="18">
        <v>27</v>
      </c>
      <c r="O32" s="19">
        <f t="shared" si="35"/>
        <v>2.3176800000000002</v>
      </c>
      <c r="P32" t="s">
        <v>587</v>
      </c>
      <c r="Q32" s="18">
        <v>2</v>
      </c>
      <c r="R32" s="19">
        <f t="shared" si="36"/>
        <v>0.17168</v>
      </c>
      <c r="S32" s="20">
        <f t="shared" si="37"/>
        <v>72</v>
      </c>
      <c r="T32" s="19">
        <f t="shared" si="38"/>
        <v>6.1804800000000002</v>
      </c>
      <c r="U32" s="21">
        <f t="shared" si="39"/>
        <v>6</v>
      </c>
      <c r="V32" s="19">
        <f t="shared" si="40"/>
        <v>0.51503999999999994</v>
      </c>
    </row>
    <row r="33" spans="1:22">
      <c r="A33" s="26" t="s">
        <v>13</v>
      </c>
      <c r="B33" s="26" t="s">
        <v>46</v>
      </c>
      <c r="C33" s="30">
        <v>10.73</v>
      </c>
      <c r="D33" s="27">
        <v>9.15</v>
      </c>
      <c r="E33" s="28">
        <v>60</v>
      </c>
      <c r="F33" s="16">
        <f t="shared" si="32"/>
        <v>5.8907700000000007</v>
      </c>
      <c r="G33" s="17"/>
      <c r="H33" s="18">
        <f>22+22</f>
        <v>44</v>
      </c>
      <c r="I33" s="19">
        <f t="shared" si="33"/>
        <v>4.3198980000000002</v>
      </c>
      <c r="J33" s="16"/>
      <c r="K33" s="18">
        <v>9</v>
      </c>
      <c r="L33" s="19">
        <f t="shared" si="34"/>
        <v>0.8836155</v>
      </c>
      <c r="M33" s="16"/>
      <c r="N33" s="18"/>
      <c r="O33" s="19">
        <f t="shared" si="35"/>
        <v>0</v>
      </c>
      <c r="P33" s="16"/>
      <c r="Q33" s="18">
        <v>7</v>
      </c>
      <c r="R33" s="19">
        <f t="shared" si="36"/>
        <v>0.68725650000000005</v>
      </c>
      <c r="S33" s="20">
        <f t="shared" si="37"/>
        <v>60</v>
      </c>
      <c r="T33" s="19">
        <f t="shared" si="38"/>
        <v>5.8907700000000007</v>
      </c>
      <c r="U33" s="21">
        <f t="shared" si="39"/>
        <v>0</v>
      </c>
      <c r="V33" s="19">
        <f t="shared" si="40"/>
        <v>0</v>
      </c>
    </row>
    <row r="34" spans="1:22">
      <c r="A34" s="26" t="s">
        <v>13</v>
      </c>
      <c r="B34" s="26" t="s">
        <v>46</v>
      </c>
      <c r="C34" s="30">
        <v>10.73</v>
      </c>
      <c r="D34" s="27">
        <v>11.4</v>
      </c>
      <c r="E34" s="28">
        <v>61</v>
      </c>
      <c r="F34" s="16">
        <f t="shared" ref="F34:F41" si="41">(C34*D34*E34/1000)</f>
        <v>7.4616419999999994</v>
      </c>
      <c r="G34" s="17"/>
      <c r="H34" s="18"/>
      <c r="I34" s="19">
        <f t="shared" ref="I34:I41" si="42">(C34*D34*H34/1000)</f>
        <v>0</v>
      </c>
      <c r="J34" s="16"/>
      <c r="K34" s="18">
        <v>32</v>
      </c>
      <c r="L34" s="19">
        <f t="shared" ref="L34:L41" si="43">(C34*D34*K34/1000)</f>
        <v>3.914304</v>
      </c>
      <c r="M34" s="16"/>
      <c r="N34" s="18">
        <v>16</v>
      </c>
      <c r="O34" s="19">
        <f t="shared" ref="O34:O41" si="44">(C34*D34*N34/1000)</f>
        <v>1.957152</v>
      </c>
      <c r="P34" s="17" t="s">
        <v>111</v>
      </c>
      <c r="Q34" s="18">
        <f>12+3</f>
        <v>15</v>
      </c>
      <c r="R34" s="19">
        <f t="shared" ref="R34:R41" si="45">(C34*D34*Q34/1000)</f>
        <v>1.83483</v>
      </c>
      <c r="S34" s="20">
        <f t="shared" ref="S34:S41" si="46">+H34+K34+Q34+N34</f>
        <v>63</v>
      </c>
      <c r="T34" s="19">
        <f t="shared" ref="T34:T41" si="47">+I34+L34+R34+O34</f>
        <v>7.7062859999999995</v>
      </c>
      <c r="U34" s="21">
        <f t="shared" ref="U34:U41" si="48">E34-S34</f>
        <v>-2</v>
      </c>
      <c r="V34" s="19">
        <f t="shared" ref="V34:V41" si="49">F34-T34</f>
        <v>-0.24464400000000008</v>
      </c>
    </row>
    <row r="35" spans="1:22">
      <c r="A35" s="26" t="s">
        <v>13</v>
      </c>
      <c r="B35" s="26" t="s">
        <v>46</v>
      </c>
      <c r="C35" s="30">
        <v>10.73</v>
      </c>
      <c r="D35" s="27">
        <v>9</v>
      </c>
      <c r="E35" s="28"/>
      <c r="F35" s="16">
        <f t="shared" si="41"/>
        <v>0</v>
      </c>
      <c r="G35" s="17"/>
      <c r="H35" s="18"/>
      <c r="I35" s="19">
        <f t="shared" si="42"/>
        <v>0</v>
      </c>
      <c r="J35" s="16"/>
      <c r="K35" s="18">
        <v>1</v>
      </c>
      <c r="L35" s="19">
        <f t="shared" si="43"/>
        <v>9.6570000000000003E-2</v>
      </c>
      <c r="M35" s="16"/>
      <c r="N35" s="18">
        <v>1</v>
      </c>
      <c r="O35" s="19">
        <f t="shared" si="44"/>
        <v>9.6570000000000003E-2</v>
      </c>
      <c r="P35" s="17" t="s">
        <v>588</v>
      </c>
      <c r="Q35" s="18"/>
      <c r="R35" s="19">
        <f t="shared" si="45"/>
        <v>0</v>
      </c>
      <c r="S35" s="20">
        <f t="shared" si="46"/>
        <v>2</v>
      </c>
      <c r="T35" s="19">
        <f t="shared" si="47"/>
        <v>0.19314000000000001</v>
      </c>
      <c r="U35" s="21">
        <f t="shared" si="48"/>
        <v>-2</v>
      </c>
      <c r="V35" s="19">
        <f t="shared" si="49"/>
        <v>-0.19314000000000001</v>
      </c>
    </row>
    <row r="36" spans="1:22">
      <c r="A36" s="26" t="s">
        <v>13</v>
      </c>
      <c r="B36" s="26" t="s">
        <v>46</v>
      </c>
      <c r="C36" s="30">
        <v>10.73</v>
      </c>
      <c r="D36" s="27">
        <v>10.7</v>
      </c>
      <c r="E36" s="28"/>
      <c r="F36" s="16">
        <f t="shared" si="41"/>
        <v>0</v>
      </c>
      <c r="G36" s="17"/>
      <c r="H36" s="18"/>
      <c r="I36" s="19">
        <f t="shared" si="42"/>
        <v>0</v>
      </c>
      <c r="J36" s="16"/>
      <c r="K36" s="18"/>
      <c r="L36" s="19">
        <f t="shared" si="43"/>
        <v>0</v>
      </c>
      <c r="M36" s="16"/>
      <c r="N36" s="18"/>
      <c r="O36" s="19">
        <f t="shared" si="44"/>
        <v>0</v>
      </c>
      <c r="P36" s="16"/>
      <c r="Q36" s="18">
        <v>1</v>
      </c>
      <c r="R36" s="19">
        <f t="shared" si="45"/>
        <v>0.114811</v>
      </c>
      <c r="S36" s="20">
        <f t="shared" si="46"/>
        <v>1</v>
      </c>
      <c r="T36" s="19">
        <f t="shared" si="47"/>
        <v>0.114811</v>
      </c>
      <c r="U36" s="21">
        <f t="shared" si="48"/>
        <v>-1</v>
      </c>
      <c r="V36" s="19">
        <f t="shared" si="49"/>
        <v>-0.114811</v>
      </c>
    </row>
    <row r="37" spans="1:22">
      <c r="A37" s="26" t="s">
        <v>13</v>
      </c>
      <c r="B37" s="26" t="s">
        <v>46</v>
      </c>
      <c r="C37" s="30">
        <v>10.73</v>
      </c>
      <c r="D37" s="27">
        <v>8.5</v>
      </c>
      <c r="E37" s="28"/>
      <c r="F37" s="16">
        <f t="shared" si="41"/>
        <v>0</v>
      </c>
      <c r="G37" s="17"/>
      <c r="H37" s="18"/>
      <c r="I37" s="19">
        <f t="shared" si="42"/>
        <v>0</v>
      </c>
      <c r="J37" s="16"/>
      <c r="K37" s="18"/>
      <c r="L37" s="19">
        <f t="shared" si="43"/>
        <v>0</v>
      </c>
      <c r="M37" s="16"/>
      <c r="N37" s="18"/>
      <c r="O37" s="19">
        <f t="shared" si="44"/>
        <v>0</v>
      </c>
      <c r="P37" s="16"/>
      <c r="Q37" s="18">
        <v>2</v>
      </c>
      <c r="R37" s="19">
        <f t="shared" si="45"/>
        <v>0.18240999999999999</v>
      </c>
      <c r="S37" s="20">
        <f t="shared" si="46"/>
        <v>2</v>
      </c>
      <c r="T37" s="19">
        <f t="shared" si="47"/>
        <v>0.18240999999999999</v>
      </c>
      <c r="U37" s="21">
        <f t="shared" si="48"/>
        <v>-2</v>
      </c>
      <c r="V37" s="19">
        <f t="shared" si="49"/>
        <v>-0.18240999999999999</v>
      </c>
    </row>
    <row r="38" spans="1:22">
      <c r="A38" s="26" t="s">
        <v>13</v>
      </c>
      <c r="B38" s="26" t="s">
        <v>46</v>
      </c>
      <c r="C38" s="30">
        <v>10.73</v>
      </c>
      <c r="D38" s="27">
        <v>7.5</v>
      </c>
      <c r="E38" s="28"/>
      <c r="F38" s="16">
        <f t="shared" si="41"/>
        <v>0</v>
      </c>
      <c r="G38" s="17"/>
      <c r="H38" s="18"/>
      <c r="I38" s="19">
        <f t="shared" si="42"/>
        <v>0</v>
      </c>
      <c r="J38" s="16"/>
      <c r="K38" s="18"/>
      <c r="L38" s="19">
        <f t="shared" si="43"/>
        <v>0</v>
      </c>
      <c r="M38" s="16"/>
      <c r="N38" s="18"/>
      <c r="O38" s="19">
        <f t="shared" si="44"/>
        <v>0</v>
      </c>
      <c r="P38" s="16"/>
      <c r="Q38" s="18">
        <v>2</v>
      </c>
      <c r="R38" s="19">
        <f t="shared" si="45"/>
        <v>0.16095000000000001</v>
      </c>
      <c r="S38" s="20">
        <f t="shared" si="46"/>
        <v>2</v>
      </c>
      <c r="T38" s="19">
        <f t="shared" si="47"/>
        <v>0.16095000000000001</v>
      </c>
      <c r="U38" s="21">
        <f t="shared" si="48"/>
        <v>-2</v>
      </c>
      <c r="V38" s="19">
        <f t="shared" si="49"/>
        <v>-0.16095000000000001</v>
      </c>
    </row>
    <row r="39" spans="1:22">
      <c r="A39" s="26" t="s">
        <v>13</v>
      </c>
      <c r="B39" s="26" t="s">
        <v>46</v>
      </c>
      <c r="C39" s="30">
        <v>10.73</v>
      </c>
      <c r="D39" s="27">
        <v>6.3</v>
      </c>
      <c r="E39" s="28"/>
      <c r="F39" s="16">
        <f t="shared" si="41"/>
        <v>0</v>
      </c>
      <c r="G39" s="17"/>
      <c r="H39" s="18"/>
      <c r="I39" s="19">
        <f t="shared" si="42"/>
        <v>0</v>
      </c>
      <c r="J39" s="16"/>
      <c r="K39" s="18"/>
      <c r="L39" s="19">
        <f t="shared" si="43"/>
        <v>0</v>
      </c>
      <c r="M39" s="16"/>
      <c r="N39" s="18"/>
      <c r="O39" s="19">
        <f t="shared" si="44"/>
        <v>0</v>
      </c>
      <c r="P39" s="16"/>
      <c r="Q39" s="18">
        <v>3</v>
      </c>
      <c r="R39" s="19">
        <f t="shared" si="45"/>
        <v>0.20279700000000003</v>
      </c>
      <c r="S39" s="20">
        <f t="shared" si="46"/>
        <v>3</v>
      </c>
      <c r="T39" s="19">
        <f t="shared" si="47"/>
        <v>0.20279700000000003</v>
      </c>
      <c r="U39" s="21">
        <f t="shared" si="48"/>
        <v>-3</v>
      </c>
      <c r="V39" s="19">
        <f t="shared" si="49"/>
        <v>-0.20279700000000003</v>
      </c>
    </row>
    <row r="40" spans="1:22">
      <c r="A40" s="26" t="s">
        <v>13</v>
      </c>
      <c r="B40" s="26" t="s">
        <v>46</v>
      </c>
      <c r="C40" s="30">
        <v>10.73</v>
      </c>
      <c r="D40" s="27">
        <v>6</v>
      </c>
      <c r="E40" s="28"/>
      <c r="F40" s="16">
        <f t="shared" si="41"/>
        <v>0</v>
      </c>
      <c r="G40" s="17"/>
      <c r="H40" s="18"/>
      <c r="I40" s="19">
        <f t="shared" si="42"/>
        <v>0</v>
      </c>
      <c r="J40" s="16"/>
      <c r="K40" s="18"/>
      <c r="L40" s="19">
        <f t="shared" si="43"/>
        <v>0</v>
      </c>
      <c r="M40" s="16"/>
      <c r="N40" s="18"/>
      <c r="O40" s="19">
        <f t="shared" si="44"/>
        <v>0</v>
      </c>
      <c r="P40" s="16"/>
      <c r="Q40" s="18">
        <v>7</v>
      </c>
      <c r="R40" s="19">
        <f t="shared" si="45"/>
        <v>0.45065999999999995</v>
      </c>
      <c r="S40" s="20">
        <f t="shared" si="46"/>
        <v>7</v>
      </c>
      <c r="T40" s="19">
        <f t="shared" si="47"/>
        <v>0.45065999999999995</v>
      </c>
      <c r="U40" s="21">
        <f t="shared" si="48"/>
        <v>-7</v>
      </c>
      <c r="V40" s="19">
        <f t="shared" si="49"/>
        <v>-0.45065999999999995</v>
      </c>
    </row>
    <row r="41" spans="1:22">
      <c r="A41" s="26" t="s">
        <v>13</v>
      </c>
      <c r="B41" s="26" t="s">
        <v>46</v>
      </c>
      <c r="C41" s="30">
        <v>10.73</v>
      </c>
      <c r="D41" s="27">
        <v>11.3</v>
      </c>
      <c r="E41" s="28"/>
      <c r="F41" s="16">
        <f t="shared" si="41"/>
        <v>0</v>
      </c>
      <c r="G41" s="17"/>
      <c r="H41" s="18"/>
      <c r="I41" s="19">
        <f t="shared" si="42"/>
        <v>0</v>
      </c>
      <c r="J41" s="16"/>
      <c r="K41" s="18"/>
      <c r="L41" s="19">
        <f t="shared" si="43"/>
        <v>0</v>
      </c>
      <c r="M41" s="16"/>
      <c r="N41" s="18"/>
      <c r="O41" s="19">
        <f t="shared" si="44"/>
        <v>0</v>
      </c>
      <c r="P41" s="16"/>
      <c r="Q41" s="18">
        <v>3</v>
      </c>
      <c r="R41" s="19">
        <f t="shared" si="45"/>
        <v>0.36374699999999999</v>
      </c>
      <c r="S41" s="20">
        <f t="shared" si="46"/>
        <v>3</v>
      </c>
      <c r="T41" s="19">
        <f t="shared" si="47"/>
        <v>0.36374699999999999</v>
      </c>
      <c r="U41" s="21">
        <f t="shared" si="48"/>
        <v>-3</v>
      </c>
      <c r="V41" s="19">
        <f t="shared" si="49"/>
        <v>-0.36374699999999999</v>
      </c>
    </row>
    <row r="42" spans="1:22">
      <c r="A42" s="26" t="s">
        <v>13</v>
      </c>
      <c r="B42" s="26" t="s">
        <v>46</v>
      </c>
      <c r="C42" s="30">
        <v>10.73</v>
      </c>
      <c r="D42" s="27">
        <v>12</v>
      </c>
      <c r="E42" s="28"/>
      <c r="F42" s="16">
        <f t="shared" si="32"/>
        <v>0</v>
      </c>
      <c r="G42" s="17"/>
      <c r="H42" s="18"/>
      <c r="I42" s="19">
        <f t="shared" si="33"/>
        <v>0</v>
      </c>
      <c r="J42" s="16"/>
      <c r="K42" s="18"/>
      <c r="L42" s="19">
        <f t="shared" si="34"/>
        <v>0</v>
      </c>
      <c r="M42" s="16"/>
      <c r="N42" s="18"/>
      <c r="O42" s="19">
        <f t="shared" si="35"/>
        <v>0</v>
      </c>
      <c r="P42" s="16"/>
      <c r="Q42" s="18">
        <v>3</v>
      </c>
      <c r="R42" s="19">
        <f t="shared" si="36"/>
        <v>0.38627999999999996</v>
      </c>
      <c r="S42" s="20">
        <f t="shared" si="37"/>
        <v>3</v>
      </c>
      <c r="T42" s="19">
        <f t="shared" si="38"/>
        <v>0.38627999999999996</v>
      </c>
      <c r="U42" s="21">
        <f t="shared" si="39"/>
        <v>-3</v>
      </c>
      <c r="V42" s="19">
        <f t="shared" si="40"/>
        <v>-0.38627999999999996</v>
      </c>
    </row>
    <row r="43" spans="1:22">
      <c r="A43" s="36"/>
      <c r="B43" s="36"/>
      <c r="C43" s="30"/>
      <c r="D43" s="38"/>
      <c r="E43" s="31">
        <f>SUM(E26:E42)</f>
        <v>727</v>
      </c>
      <c r="F43" s="38">
        <f>SUM(F26:F42)</f>
        <v>60.309038000000008</v>
      </c>
      <c r="H43" s="31">
        <f>SUM(H26:H42)</f>
        <v>443</v>
      </c>
      <c r="I43" s="38">
        <f>SUM(I26:I42)</f>
        <v>35.645060000000001</v>
      </c>
      <c r="K43" s="31">
        <f>SUM(K26:K42)</f>
        <v>131</v>
      </c>
      <c r="L43" s="38">
        <f>SUM(L26:L42)</f>
        <v>11.3271245</v>
      </c>
      <c r="N43" s="31">
        <f>SUM(N26:N42)</f>
        <v>112</v>
      </c>
      <c r="O43" s="38">
        <f>SUM(O26:O42)</f>
        <v>9.5454080000000001</v>
      </c>
      <c r="Q43" s="31">
        <f>SUM(Q26:Q42)</f>
        <v>48</v>
      </c>
      <c r="R43" s="38">
        <f>SUM(R26:R42)</f>
        <v>4.7764594999999996</v>
      </c>
      <c r="S43" s="31">
        <f t="shared" ref="S43:V43" si="50">SUM(S26:S42)</f>
        <v>734</v>
      </c>
      <c r="T43" s="38">
        <f t="shared" si="50"/>
        <v>61.294052000000001</v>
      </c>
      <c r="U43" s="31">
        <f t="shared" si="50"/>
        <v>-7</v>
      </c>
      <c r="V43" s="38">
        <f t="shared" si="50"/>
        <v>-0.98501399999999828</v>
      </c>
    </row>
    <row r="44" spans="1:22">
      <c r="A44" s="26" t="s">
        <v>13</v>
      </c>
      <c r="B44" s="26" t="s">
        <v>61</v>
      </c>
      <c r="C44" s="30">
        <v>12.18</v>
      </c>
      <c r="D44" s="27">
        <v>6.7</v>
      </c>
      <c r="E44" s="28">
        <v>29</v>
      </c>
      <c r="F44" s="16">
        <f t="shared" ref="F44:F47" si="51">(C44*D44*E44/1000)</f>
        <v>2.3665739999999995</v>
      </c>
      <c r="G44" s="16" t="s">
        <v>205</v>
      </c>
      <c r="H44" s="18"/>
      <c r="I44" s="19">
        <f t="shared" ref="I44:I47" si="52">(C44*D44*H44/1000)</f>
        <v>0</v>
      </c>
      <c r="J44" s="16" t="s">
        <v>93</v>
      </c>
      <c r="K44" s="18">
        <v>15</v>
      </c>
      <c r="L44" s="19">
        <f t="shared" ref="L44:L47" si="53">(C44*D44*K44/1000)</f>
        <v>1.2240899999999999</v>
      </c>
      <c r="M44" s="16"/>
      <c r="N44" s="18"/>
      <c r="O44" s="19">
        <f t="shared" ref="O44:O47" si="54">(C44*D44*N44/1000)</f>
        <v>0</v>
      </c>
      <c r="P44" s="16"/>
      <c r="Q44" s="18"/>
      <c r="R44" s="19">
        <f t="shared" ref="R44:R47" si="55">(C44*D44*Q44/1000)</f>
        <v>0</v>
      </c>
      <c r="S44" s="20">
        <f t="shared" ref="S44:S47" si="56">+H44+K44+Q44+N44</f>
        <v>15</v>
      </c>
      <c r="T44" s="19">
        <f t="shared" ref="T44:T47" si="57">+I44+L44+R44+O44</f>
        <v>1.2240899999999999</v>
      </c>
      <c r="U44" s="21">
        <f t="shared" ref="U44:U47" si="58">E44-S44</f>
        <v>14</v>
      </c>
      <c r="V44" s="19">
        <f t="shared" ref="V44:V47" si="59">F44-T44</f>
        <v>1.1424839999999996</v>
      </c>
    </row>
    <row r="45" spans="1:22">
      <c r="A45" s="26" t="s">
        <v>13</v>
      </c>
      <c r="B45" s="26" t="s">
        <v>61</v>
      </c>
      <c r="C45" s="30">
        <v>12.18</v>
      </c>
      <c r="D45" s="27">
        <v>7</v>
      </c>
      <c r="E45" s="28">
        <v>16</v>
      </c>
      <c r="F45" s="16">
        <f t="shared" si="51"/>
        <v>1.3641599999999998</v>
      </c>
      <c r="G45" s="16" t="s">
        <v>524</v>
      </c>
      <c r="H45" s="18">
        <v>17</v>
      </c>
      <c r="I45" s="19">
        <f t="shared" si="52"/>
        <v>1.4494199999999999</v>
      </c>
      <c r="J45" s="16" t="s">
        <v>541</v>
      </c>
      <c r="K45" s="18">
        <v>13</v>
      </c>
      <c r="L45" s="19">
        <f t="shared" si="53"/>
        <v>1.1083799999999999</v>
      </c>
      <c r="M45" s="16"/>
      <c r="N45" s="18"/>
      <c r="O45" s="19">
        <f t="shared" si="54"/>
        <v>0</v>
      </c>
      <c r="P45" s="16"/>
      <c r="Q45" s="18"/>
      <c r="R45" s="19">
        <f t="shared" si="55"/>
        <v>0</v>
      </c>
      <c r="S45" s="20">
        <f t="shared" si="56"/>
        <v>30</v>
      </c>
      <c r="T45" s="19">
        <f t="shared" si="57"/>
        <v>2.5577999999999999</v>
      </c>
      <c r="U45" s="21">
        <f t="shared" si="58"/>
        <v>-14</v>
      </c>
      <c r="V45" s="19">
        <f t="shared" si="59"/>
        <v>-1.19364</v>
      </c>
    </row>
    <row r="46" spans="1:22">
      <c r="A46" s="26" t="s">
        <v>13</v>
      </c>
      <c r="B46" s="26" t="s">
        <v>61</v>
      </c>
      <c r="C46" s="30">
        <v>12.18</v>
      </c>
      <c r="D46" s="27">
        <v>8.6999999999999993</v>
      </c>
      <c r="E46" s="28">
        <v>52</v>
      </c>
      <c r="F46" s="16">
        <f t="shared" si="51"/>
        <v>5.5102320000000002</v>
      </c>
      <c r="G46" s="17"/>
      <c r="H46" s="18">
        <v>29</v>
      </c>
      <c r="I46" s="19">
        <f t="shared" si="52"/>
        <v>3.0730139999999997</v>
      </c>
      <c r="J46" s="16"/>
      <c r="K46" s="18">
        <v>25</v>
      </c>
      <c r="L46" s="19">
        <f t="shared" si="53"/>
        <v>2.6491499999999997</v>
      </c>
      <c r="M46" s="16"/>
      <c r="N46" s="18"/>
      <c r="O46" s="19">
        <f t="shared" si="54"/>
        <v>0</v>
      </c>
      <c r="P46" s="16"/>
      <c r="Q46" s="18"/>
      <c r="R46" s="19">
        <f t="shared" si="55"/>
        <v>0</v>
      </c>
      <c r="S46" s="20">
        <f t="shared" si="56"/>
        <v>54</v>
      </c>
      <c r="T46" s="19">
        <f t="shared" si="57"/>
        <v>5.7221639999999994</v>
      </c>
      <c r="U46" s="21">
        <f t="shared" si="58"/>
        <v>-2</v>
      </c>
      <c r="V46" s="19">
        <f t="shared" si="59"/>
        <v>-0.21193199999999912</v>
      </c>
    </row>
    <row r="47" spans="1:22">
      <c r="A47" s="26" t="s">
        <v>13</v>
      </c>
      <c r="B47" s="26" t="s">
        <v>61</v>
      </c>
      <c r="C47" s="30">
        <v>12.18</v>
      </c>
      <c r="D47" s="27">
        <v>11.3</v>
      </c>
      <c r="E47" s="28">
        <v>1</v>
      </c>
      <c r="F47" s="16">
        <f t="shared" si="51"/>
        <v>0.13763400000000001</v>
      </c>
      <c r="G47" s="17"/>
      <c r="H47" s="18"/>
      <c r="I47" s="19">
        <f t="shared" si="52"/>
        <v>0</v>
      </c>
      <c r="J47" s="16"/>
      <c r="K47" s="18"/>
      <c r="L47" s="19">
        <f t="shared" si="53"/>
        <v>0</v>
      </c>
      <c r="M47" s="16"/>
      <c r="N47" s="18"/>
      <c r="O47" s="19">
        <f t="shared" si="54"/>
        <v>0</v>
      </c>
      <c r="P47" s="16"/>
      <c r="Q47" s="18"/>
      <c r="R47" s="19">
        <f t="shared" si="55"/>
        <v>0</v>
      </c>
      <c r="S47" s="20">
        <f t="shared" si="56"/>
        <v>0</v>
      </c>
      <c r="T47" s="19">
        <f t="shared" si="57"/>
        <v>0</v>
      </c>
      <c r="U47" s="21">
        <f t="shared" si="58"/>
        <v>1</v>
      </c>
      <c r="V47" s="19">
        <f t="shared" si="59"/>
        <v>0.13763400000000001</v>
      </c>
    </row>
    <row r="48" spans="1:22">
      <c r="A48" s="36"/>
      <c r="B48" s="36"/>
      <c r="C48" s="30"/>
      <c r="D48" s="38"/>
      <c r="E48" s="31">
        <f t="shared" ref="E48" si="60">SUM(E44:E47)</f>
        <v>98</v>
      </c>
      <c r="F48" s="38">
        <f t="shared" ref="F48" si="61">SUM(F44:F47)</f>
        <v>9.3786000000000005</v>
      </c>
      <c r="H48" s="31">
        <f t="shared" ref="H48" si="62">SUM(H44:H47)</f>
        <v>46</v>
      </c>
      <c r="I48" s="38">
        <f t="shared" ref="I48" si="63">SUM(I44:I47)</f>
        <v>4.5224339999999996</v>
      </c>
      <c r="K48" s="31">
        <f t="shared" ref="K48" si="64">SUM(K44:K47)</f>
        <v>53</v>
      </c>
      <c r="L48" s="38">
        <f t="shared" ref="L48" si="65">SUM(L44:L47)</f>
        <v>4.9816199999999995</v>
      </c>
      <c r="N48" s="31">
        <f t="shared" ref="N48" si="66">SUM(N44:N47)</f>
        <v>0</v>
      </c>
      <c r="O48" s="38">
        <f t="shared" ref="O48" si="67">SUM(O44:O47)</f>
        <v>0</v>
      </c>
      <c r="Q48" s="31">
        <f t="shared" ref="Q48" si="68">SUM(Q44:Q47)</f>
        <v>0</v>
      </c>
      <c r="R48" s="38">
        <f t="shared" ref="R48" si="69">SUM(R44:R47)</f>
        <v>0</v>
      </c>
      <c r="S48" s="31">
        <f t="shared" ref="S48" si="70">SUM(S44:S47)</f>
        <v>99</v>
      </c>
      <c r="T48" s="38">
        <f t="shared" ref="T48" si="71">SUM(T44:T47)</f>
        <v>9.504054</v>
      </c>
      <c r="U48" s="31">
        <f t="shared" ref="U48" si="72">SUM(U44:U47)</f>
        <v>-1</v>
      </c>
      <c r="V48" s="38">
        <f t="shared" ref="V48" si="73">SUM(V44:V47)</f>
        <v>-0.12545399999999954</v>
      </c>
    </row>
    <row r="49" spans="1:22">
      <c r="A49" s="26" t="s">
        <v>13</v>
      </c>
      <c r="B49" s="26" t="s">
        <v>18</v>
      </c>
      <c r="C49" s="30">
        <v>16.579999999999998</v>
      </c>
      <c r="D49" s="27">
        <v>8.1999999999999993</v>
      </c>
      <c r="E49" s="28">
        <v>21</v>
      </c>
      <c r="F49" s="16">
        <f>(C49*D49*E49/1000)</f>
        <v>2.8550759999999991</v>
      </c>
      <c r="G49" s="17" t="s">
        <v>89</v>
      </c>
      <c r="H49" s="18">
        <v>21</v>
      </c>
      <c r="I49" s="19">
        <f>(C49*D49*H49/1000)</f>
        <v>2.8550759999999991</v>
      </c>
      <c r="J49" s="16"/>
      <c r="K49" s="18"/>
      <c r="L49" s="19">
        <f>(C49*D49*K49/1000)</f>
        <v>0</v>
      </c>
      <c r="M49" s="16"/>
      <c r="N49" s="18"/>
      <c r="O49" s="19">
        <f>(C49*D49*N49/1000)</f>
        <v>0</v>
      </c>
      <c r="P49" s="16"/>
      <c r="Q49" s="18"/>
      <c r="R49" s="19">
        <f>(C49*D49*Q49/1000)</f>
        <v>0</v>
      </c>
      <c r="S49" s="20">
        <f>+H49+K49+Q49+N49</f>
        <v>21</v>
      </c>
      <c r="T49" s="19">
        <f>+I49+L49+R49+O49</f>
        <v>2.8550759999999991</v>
      </c>
      <c r="U49" s="21">
        <f>E49-S49</f>
        <v>0</v>
      </c>
      <c r="V49" s="19">
        <f>F49-T49</f>
        <v>0</v>
      </c>
    </row>
    <row r="50" spans="1:22">
      <c r="A50" s="36"/>
      <c r="B50" s="36"/>
      <c r="C50" s="30"/>
      <c r="D50" s="38"/>
      <c r="E50" s="31">
        <f t="shared" ref="E50" si="74">SUM(E49)</f>
        <v>21</v>
      </c>
      <c r="F50" s="38">
        <f t="shared" ref="F50" si="75">SUM(F49)</f>
        <v>2.8550759999999991</v>
      </c>
      <c r="G50" s="17" t="s">
        <v>519</v>
      </c>
      <c r="H50" s="31">
        <f t="shared" ref="H50" si="76">SUM(H49)</f>
        <v>21</v>
      </c>
      <c r="I50" s="38">
        <f t="shared" ref="I50" si="77">SUM(I49)</f>
        <v>2.8550759999999991</v>
      </c>
      <c r="K50" s="31">
        <f t="shared" ref="K50" si="78">SUM(K49)</f>
        <v>0</v>
      </c>
      <c r="L50" s="38">
        <f t="shared" ref="L50" si="79">SUM(L49)</f>
        <v>0</v>
      </c>
      <c r="N50" s="31">
        <f t="shared" ref="N50" si="80">SUM(N49)</f>
        <v>0</v>
      </c>
      <c r="O50" s="38">
        <f t="shared" ref="O50" si="81">SUM(O49)</f>
        <v>0</v>
      </c>
      <c r="Q50" s="31">
        <f t="shared" ref="Q50" si="82">SUM(Q49)</f>
        <v>0</v>
      </c>
      <c r="R50" s="38">
        <f t="shared" ref="R50" si="83">SUM(R49)</f>
        <v>0</v>
      </c>
      <c r="S50" s="31">
        <f t="shared" ref="S50" si="84">SUM(S49)</f>
        <v>21</v>
      </c>
      <c r="T50" s="38">
        <f t="shared" ref="T50" si="85">SUM(T49)</f>
        <v>2.8550759999999991</v>
      </c>
      <c r="U50" s="31">
        <f t="shared" ref="U50" si="86">SUM(U49)</f>
        <v>0</v>
      </c>
      <c r="V50" s="38">
        <f t="shared" ref="V50" si="87">SUM(V49)</f>
        <v>0</v>
      </c>
    </row>
    <row r="51" spans="1:22">
      <c r="A51" s="26" t="s">
        <v>13</v>
      </c>
      <c r="B51" s="26" t="s">
        <v>31</v>
      </c>
      <c r="C51" s="30">
        <v>10.199999999999999</v>
      </c>
      <c r="D51" s="27">
        <v>6.6</v>
      </c>
      <c r="E51" s="28">
        <v>20</v>
      </c>
      <c r="F51" s="16">
        <f t="shared" ref="F51:F61" si="88">(C51*D51*E51/1000)</f>
        <v>1.3463999999999998</v>
      </c>
      <c r="G51" s="17" t="s">
        <v>89</v>
      </c>
      <c r="H51" s="18">
        <v>13</v>
      </c>
      <c r="I51" s="19">
        <f t="shared" ref="I51:I61" si="89">(C51*D51*H51/1000)</f>
        <v>0.87515999999999983</v>
      </c>
      <c r="J51" s="16" t="s">
        <v>86</v>
      </c>
      <c r="K51" s="18"/>
      <c r="L51" s="19">
        <f t="shared" ref="L51:L61" si="90">(C51*D51*K51/1000)</f>
        <v>0</v>
      </c>
      <c r="M51" s="16"/>
      <c r="N51" s="18"/>
      <c r="O51" s="19">
        <f t="shared" ref="O51:O61" si="91">(C51*D51*N51/1000)</f>
        <v>0</v>
      </c>
      <c r="P51" s="16"/>
      <c r="Q51" s="18"/>
      <c r="R51" s="19">
        <f t="shared" ref="R51:R61" si="92">(C51*D51*Q51/1000)</f>
        <v>0</v>
      </c>
      <c r="S51" s="20">
        <f t="shared" ref="S51:S61" si="93">+H51+K51+Q51+N51</f>
        <v>13</v>
      </c>
      <c r="T51" s="19">
        <f t="shared" ref="T51:T61" si="94">+I51+L51+R51+O51</f>
        <v>0.87515999999999983</v>
      </c>
      <c r="U51" s="21">
        <f t="shared" ref="U51:U61" si="95">E51-S51</f>
        <v>7</v>
      </c>
      <c r="V51" s="19">
        <f t="shared" ref="V51:V61" si="96">F51-T51</f>
        <v>0.47123999999999999</v>
      </c>
    </row>
    <row r="52" spans="1:22">
      <c r="A52" s="26" t="s">
        <v>13</v>
      </c>
      <c r="B52" s="26" t="s">
        <v>31</v>
      </c>
      <c r="C52" s="30">
        <v>10.199999999999999</v>
      </c>
      <c r="D52" s="27">
        <v>11.8</v>
      </c>
      <c r="E52" s="28">
        <v>15</v>
      </c>
      <c r="F52" s="16">
        <f t="shared" ref="F52:F60" si="97">(C52*D52*E52/1000)</f>
        <v>1.8054000000000001</v>
      </c>
      <c r="G52" s="17" t="s">
        <v>519</v>
      </c>
      <c r="H52" s="18"/>
      <c r="I52" s="19">
        <f t="shared" ref="I52:I60" si="98">(C52*D52*H52/1000)</f>
        <v>0</v>
      </c>
      <c r="J52" s="16" t="s">
        <v>520</v>
      </c>
      <c r="K52" s="18">
        <v>6</v>
      </c>
      <c r="L52" s="19">
        <f t="shared" ref="L52:L60" si="99">(C52*D52*K52/1000)</f>
        <v>0.72215999999999991</v>
      </c>
      <c r="M52" s="16"/>
      <c r="N52" s="18"/>
      <c r="O52" s="19">
        <f t="shared" ref="O52:O60" si="100">(C52*D52*N52/1000)</f>
        <v>0</v>
      </c>
      <c r="P52" s="16"/>
      <c r="Q52" s="18"/>
      <c r="R52" s="19">
        <f t="shared" ref="R52:R60" si="101">(C52*D52*Q52/1000)</f>
        <v>0</v>
      </c>
      <c r="S52" s="20">
        <f t="shared" ref="S52:S60" si="102">+H52+K52+Q52+N52</f>
        <v>6</v>
      </c>
      <c r="T52" s="19">
        <f t="shared" ref="T52:T60" si="103">+I52+L52+R52+O52</f>
        <v>0.72215999999999991</v>
      </c>
      <c r="U52" s="21">
        <f t="shared" ref="U52:U60" si="104">E52-S52</f>
        <v>9</v>
      </c>
      <c r="V52" s="19">
        <f t="shared" ref="V52:V60" si="105">F52-T52</f>
        <v>1.0832400000000002</v>
      </c>
    </row>
    <row r="53" spans="1:22">
      <c r="A53" s="26" t="s">
        <v>13</v>
      </c>
      <c r="B53" s="26" t="s">
        <v>31</v>
      </c>
      <c r="C53" s="30">
        <v>10.199999999999999</v>
      </c>
      <c r="D53" s="27">
        <v>7</v>
      </c>
      <c r="E53" s="28"/>
      <c r="F53" s="16">
        <f t="shared" si="97"/>
        <v>0</v>
      </c>
      <c r="G53" s="17"/>
      <c r="H53" s="18"/>
      <c r="I53" s="19">
        <f t="shared" si="98"/>
        <v>0</v>
      </c>
      <c r="J53" s="16"/>
      <c r="K53" s="18">
        <v>4</v>
      </c>
      <c r="L53" s="19">
        <f t="shared" si="99"/>
        <v>0.28559999999999997</v>
      </c>
      <c r="M53" s="16"/>
      <c r="N53" s="18"/>
      <c r="O53" s="19">
        <f t="shared" si="100"/>
        <v>0</v>
      </c>
      <c r="P53" s="16"/>
      <c r="Q53" s="18"/>
      <c r="R53" s="19">
        <f t="shared" si="101"/>
        <v>0</v>
      </c>
      <c r="S53" s="20">
        <f t="shared" si="102"/>
        <v>4</v>
      </c>
      <c r="T53" s="19">
        <f t="shared" si="103"/>
        <v>0.28559999999999997</v>
      </c>
      <c r="U53" s="21">
        <f t="shared" si="104"/>
        <v>-4</v>
      </c>
      <c r="V53" s="19">
        <f t="shared" si="105"/>
        <v>-0.28559999999999997</v>
      </c>
    </row>
    <row r="54" spans="1:22">
      <c r="A54" s="26" t="s">
        <v>13</v>
      </c>
      <c r="B54" s="26" t="s">
        <v>31</v>
      </c>
      <c r="C54" s="30">
        <v>10.199999999999999</v>
      </c>
      <c r="D54" s="27">
        <v>8.4</v>
      </c>
      <c r="E54" s="28"/>
      <c r="F54" s="16">
        <f t="shared" si="97"/>
        <v>0</v>
      </c>
      <c r="G54" s="17"/>
      <c r="H54" s="18"/>
      <c r="I54" s="19">
        <f t="shared" si="98"/>
        <v>0</v>
      </c>
      <c r="J54" s="16"/>
      <c r="K54" s="18">
        <v>1</v>
      </c>
      <c r="L54" s="19">
        <f t="shared" si="99"/>
        <v>8.5679999999999992E-2</v>
      </c>
      <c r="M54" s="16"/>
      <c r="N54" s="18"/>
      <c r="O54" s="19">
        <f t="shared" si="100"/>
        <v>0</v>
      </c>
      <c r="P54" s="16"/>
      <c r="Q54" s="18"/>
      <c r="R54" s="19">
        <f t="shared" si="101"/>
        <v>0</v>
      </c>
      <c r="S54" s="20">
        <f t="shared" si="102"/>
        <v>1</v>
      </c>
      <c r="T54" s="19">
        <f t="shared" si="103"/>
        <v>8.5679999999999992E-2</v>
      </c>
      <c r="U54" s="21">
        <f t="shared" si="104"/>
        <v>-1</v>
      </c>
      <c r="V54" s="19">
        <f t="shared" si="105"/>
        <v>-8.5679999999999992E-2</v>
      </c>
    </row>
    <row r="55" spans="1:22">
      <c r="A55" s="26" t="s">
        <v>13</v>
      </c>
      <c r="B55" s="26" t="s">
        <v>31</v>
      </c>
      <c r="C55" s="30">
        <v>10.199999999999999</v>
      </c>
      <c r="D55" s="27">
        <v>10</v>
      </c>
      <c r="E55" s="28"/>
      <c r="F55" s="16">
        <f t="shared" si="97"/>
        <v>0</v>
      </c>
      <c r="G55" s="17"/>
      <c r="H55" s="18"/>
      <c r="I55" s="19">
        <f t="shared" si="98"/>
        <v>0</v>
      </c>
      <c r="J55" s="16"/>
      <c r="K55" s="18">
        <v>1</v>
      </c>
      <c r="L55" s="19">
        <f t="shared" si="99"/>
        <v>0.10199999999999999</v>
      </c>
      <c r="M55" s="16"/>
      <c r="N55" s="18"/>
      <c r="O55" s="19">
        <f t="shared" si="100"/>
        <v>0</v>
      </c>
      <c r="P55" s="16"/>
      <c r="Q55" s="18"/>
      <c r="R55" s="19">
        <f t="shared" si="101"/>
        <v>0</v>
      </c>
      <c r="S55" s="20">
        <f t="shared" si="102"/>
        <v>1</v>
      </c>
      <c r="T55" s="19">
        <f t="shared" si="103"/>
        <v>0.10199999999999999</v>
      </c>
      <c r="U55" s="21">
        <f t="shared" si="104"/>
        <v>-1</v>
      </c>
      <c r="V55" s="19">
        <f t="shared" si="105"/>
        <v>-0.10199999999999999</v>
      </c>
    </row>
    <row r="56" spans="1:22">
      <c r="A56" s="26" t="s">
        <v>13</v>
      </c>
      <c r="B56" s="26" t="s">
        <v>31</v>
      </c>
      <c r="C56" s="30">
        <v>10.199999999999999</v>
      </c>
      <c r="D56" s="27">
        <v>11.2</v>
      </c>
      <c r="E56" s="28"/>
      <c r="F56" s="16">
        <f t="shared" si="97"/>
        <v>0</v>
      </c>
      <c r="G56" s="17"/>
      <c r="H56" s="18"/>
      <c r="I56" s="19">
        <f t="shared" si="98"/>
        <v>0</v>
      </c>
      <c r="J56" s="16"/>
      <c r="K56" s="18">
        <v>4</v>
      </c>
      <c r="L56" s="19">
        <f t="shared" si="99"/>
        <v>0.45695999999999992</v>
      </c>
      <c r="M56" s="16"/>
      <c r="N56" s="18"/>
      <c r="O56" s="19">
        <f t="shared" si="100"/>
        <v>0</v>
      </c>
      <c r="P56" s="16"/>
      <c r="Q56" s="18"/>
      <c r="R56" s="19">
        <f t="shared" si="101"/>
        <v>0</v>
      </c>
      <c r="S56" s="20">
        <f t="shared" si="102"/>
        <v>4</v>
      </c>
      <c r="T56" s="19">
        <f t="shared" si="103"/>
        <v>0.45695999999999992</v>
      </c>
      <c r="U56" s="21">
        <f t="shared" si="104"/>
        <v>-4</v>
      </c>
      <c r="V56" s="19">
        <f t="shared" si="105"/>
        <v>-0.45695999999999992</v>
      </c>
    </row>
    <row r="57" spans="1:22">
      <c r="A57" s="26" t="s">
        <v>13</v>
      </c>
      <c r="B57" s="26" t="s">
        <v>31</v>
      </c>
      <c r="C57" s="30">
        <v>10.199999999999999</v>
      </c>
      <c r="D57" s="27">
        <v>7.9</v>
      </c>
      <c r="E57" s="28"/>
      <c r="F57" s="16">
        <f t="shared" si="97"/>
        <v>0</v>
      </c>
      <c r="G57" s="17"/>
      <c r="H57" s="18"/>
      <c r="I57" s="19">
        <f t="shared" si="98"/>
        <v>0</v>
      </c>
      <c r="J57" s="16"/>
      <c r="K57" s="18">
        <v>1</v>
      </c>
      <c r="L57" s="19">
        <f t="shared" si="99"/>
        <v>8.0579999999999999E-2</v>
      </c>
      <c r="M57" s="16"/>
      <c r="N57" s="18"/>
      <c r="O57" s="19">
        <f t="shared" si="100"/>
        <v>0</v>
      </c>
      <c r="P57" s="16"/>
      <c r="Q57" s="18"/>
      <c r="R57" s="19">
        <f t="shared" si="101"/>
        <v>0</v>
      </c>
      <c r="S57" s="20">
        <f t="shared" si="102"/>
        <v>1</v>
      </c>
      <c r="T57" s="19">
        <f t="shared" si="103"/>
        <v>8.0579999999999999E-2</v>
      </c>
      <c r="U57" s="21">
        <f t="shared" si="104"/>
        <v>-1</v>
      </c>
      <c r="V57" s="19">
        <f t="shared" si="105"/>
        <v>-8.0579999999999999E-2</v>
      </c>
    </row>
    <row r="58" spans="1:22">
      <c r="A58" s="26" t="s">
        <v>13</v>
      </c>
      <c r="B58" s="26" t="s">
        <v>31</v>
      </c>
      <c r="C58" s="30">
        <v>10.199999999999999</v>
      </c>
      <c r="D58" s="27">
        <v>8</v>
      </c>
      <c r="E58" s="28"/>
      <c r="F58" s="16">
        <f t="shared" si="97"/>
        <v>0</v>
      </c>
      <c r="G58" s="17"/>
      <c r="H58" s="18"/>
      <c r="I58" s="19">
        <f t="shared" si="98"/>
        <v>0</v>
      </c>
      <c r="J58" s="16"/>
      <c r="K58" s="18">
        <v>2</v>
      </c>
      <c r="L58" s="19">
        <f t="shared" si="99"/>
        <v>0.16319999999999998</v>
      </c>
      <c r="M58" s="16"/>
      <c r="N58" s="18"/>
      <c r="O58" s="19">
        <f t="shared" si="100"/>
        <v>0</v>
      </c>
      <c r="P58" s="16"/>
      <c r="Q58" s="18"/>
      <c r="R58" s="19">
        <f t="shared" si="101"/>
        <v>0</v>
      </c>
      <c r="S58" s="20">
        <f t="shared" si="102"/>
        <v>2</v>
      </c>
      <c r="T58" s="19">
        <f t="shared" si="103"/>
        <v>0.16319999999999998</v>
      </c>
      <c r="U58" s="21">
        <f t="shared" si="104"/>
        <v>-2</v>
      </c>
      <c r="V58" s="19">
        <f t="shared" si="105"/>
        <v>-0.16319999999999998</v>
      </c>
    </row>
    <row r="59" spans="1:22">
      <c r="A59" s="26" t="s">
        <v>13</v>
      </c>
      <c r="B59" s="26" t="s">
        <v>31</v>
      </c>
      <c r="C59" s="30">
        <v>10.199999999999999</v>
      </c>
      <c r="D59" s="27">
        <v>8.25</v>
      </c>
      <c r="E59" s="28"/>
      <c r="F59" s="16">
        <f t="shared" si="97"/>
        <v>0</v>
      </c>
      <c r="G59" s="17"/>
      <c r="H59" s="18"/>
      <c r="I59" s="19">
        <f t="shared" si="98"/>
        <v>0</v>
      </c>
      <c r="J59" s="16"/>
      <c r="K59" s="18">
        <v>1</v>
      </c>
      <c r="L59" s="19">
        <f t="shared" si="99"/>
        <v>8.4149999999999989E-2</v>
      </c>
      <c r="M59" s="16"/>
      <c r="N59" s="18"/>
      <c r="O59" s="19">
        <f t="shared" si="100"/>
        <v>0</v>
      </c>
      <c r="P59" s="16"/>
      <c r="Q59" s="18"/>
      <c r="R59" s="19">
        <f t="shared" si="101"/>
        <v>0</v>
      </c>
      <c r="S59" s="20">
        <f t="shared" si="102"/>
        <v>1</v>
      </c>
      <c r="T59" s="19">
        <f t="shared" si="103"/>
        <v>8.4149999999999989E-2</v>
      </c>
      <c r="U59" s="21">
        <f t="shared" si="104"/>
        <v>-1</v>
      </c>
      <c r="V59" s="19">
        <f t="shared" si="105"/>
        <v>-8.4149999999999989E-2</v>
      </c>
    </row>
    <row r="60" spans="1:22">
      <c r="A60" s="26" t="s">
        <v>13</v>
      </c>
      <c r="B60" s="26" t="s">
        <v>31</v>
      </c>
      <c r="C60" s="30">
        <v>10.199999999999999</v>
      </c>
      <c r="D60" s="27">
        <v>9.5</v>
      </c>
      <c r="E60" s="28"/>
      <c r="F60" s="16">
        <f t="shared" si="97"/>
        <v>0</v>
      </c>
      <c r="G60" s="17"/>
      <c r="H60" s="18"/>
      <c r="I60" s="19">
        <f t="shared" si="98"/>
        <v>0</v>
      </c>
      <c r="J60" s="16"/>
      <c r="K60" s="18">
        <v>1</v>
      </c>
      <c r="L60" s="19">
        <f t="shared" si="99"/>
        <v>9.6899999999999986E-2</v>
      </c>
      <c r="M60" s="16"/>
      <c r="N60" s="18"/>
      <c r="O60" s="19">
        <f t="shared" si="100"/>
        <v>0</v>
      </c>
      <c r="P60" s="16"/>
      <c r="Q60" s="18"/>
      <c r="R60" s="19">
        <f t="shared" si="101"/>
        <v>0</v>
      </c>
      <c r="S60" s="20">
        <f t="shared" si="102"/>
        <v>1</v>
      </c>
      <c r="T60" s="19">
        <f t="shared" si="103"/>
        <v>9.6899999999999986E-2</v>
      </c>
      <c r="U60" s="21">
        <f t="shared" si="104"/>
        <v>-1</v>
      </c>
      <c r="V60" s="19">
        <f t="shared" si="105"/>
        <v>-9.6899999999999986E-2</v>
      </c>
    </row>
    <row r="61" spans="1:22">
      <c r="A61" s="26" t="s">
        <v>13</v>
      </c>
      <c r="B61" s="26" t="s">
        <v>31</v>
      </c>
      <c r="C61" s="30">
        <v>10.199999999999999</v>
      </c>
      <c r="D61" s="27">
        <v>9.1999999999999993</v>
      </c>
      <c r="E61" s="28"/>
      <c r="F61" s="16">
        <f t="shared" si="88"/>
        <v>0</v>
      </c>
      <c r="G61" s="17"/>
      <c r="H61" s="18"/>
      <c r="I61" s="19">
        <f t="shared" si="89"/>
        <v>0</v>
      </c>
      <c r="J61" s="16"/>
      <c r="K61" s="18">
        <v>4</v>
      </c>
      <c r="L61" s="19">
        <f t="shared" si="90"/>
        <v>0.37535999999999997</v>
      </c>
      <c r="M61" s="16"/>
      <c r="N61" s="18"/>
      <c r="O61" s="19">
        <f t="shared" si="91"/>
        <v>0</v>
      </c>
      <c r="P61" s="16"/>
      <c r="Q61" s="18"/>
      <c r="R61" s="19">
        <f t="shared" si="92"/>
        <v>0</v>
      </c>
      <c r="S61" s="20">
        <f t="shared" si="93"/>
        <v>4</v>
      </c>
      <c r="T61" s="19">
        <f t="shared" si="94"/>
        <v>0.37535999999999997</v>
      </c>
      <c r="U61" s="21">
        <f t="shared" si="95"/>
        <v>-4</v>
      </c>
      <c r="V61" s="19">
        <f t="shared" si="96"/>
        <v>-0.37535999999999997</v>
      </c>
    </row>
    <row r="62" spans="1:22">
      <c r="A62" s="36"/>
      <c r="B62" s="36"/>
      <c r="C62" s="30"/>
      <c r="D62" s="38"/>
      <c r="E62" s="31">
        <f t="shared" ref="E62" si="106">SUM(E51:E61)</f>
        <v>35</v>
      </c>
      <c r="F62" s="38">
        <f t="shared" ref="F62" si="107">SUM(F51:F61)</f>
        <v>3.1517999999999997</v>
      </c>
      <c r="H62" s="31">
        <f t="shared" ref="H62" si="108">SUM(H51:H61)</f>
        <v>13</v>
      </c>
      <c r="I62" s="38">
        <f t="shared" ref="I62" si="109">SUM(I51:I61)</f>
        <v>0.87515999999999983</v>
      </c>
      <c r="K62" s="31">
        <f t="shared" ref="K62" si="110">SUM(K51:K61)</f>
        <v>25</v>
      </c>
      <c r="L62" s="38">
        <f t="shared" ref="L62" si="111">SUM(L51:L61)</f>
        <v>2.4525899999999998</v>
      </c>
      <c r="N62" s="31">
        <f t="shared" ref="N62" si="112">SUM(N51:N61)</f>
        <v>0</v>
      </c>
      <c r="O62" s="38">
        <f t="shared" ref="O62" si="113">SUM(O51:O61)</f>
        <v>0</v>
      </c>
      <c r="Q62" s="31">
        <f t="shared" ref="Q62" si="114">SUM(Q51:Q61)</f>
        <v>0</v>
      </c>
      <c r="R62" s="38">
        <f t="shared" ref="R62" si="115">SUM(R51:R61)</f>
        <v>0</v>
      </c>
      <c r="S62" s="31">
        <f t="shared" ref="S62" si="116">SUM(S51:S61)</f>
        <v>38</v>
      </c>
      <c r="T62" s="38">
        <f t="shared" ref="T62" si="117">SUM(T51:T61)</f>
        <v>3.3277499999999995</v>
      </c>
      <c r="U62" s="31">
        <f t="shared" ref="U62" si="118">SUM(U51:U61)</f>
        <v>-3</v>
      </c>
      <c r="V62" s="38">
        <f t="shared" ref="V62" si="119">SUM(V51:V61)</f>
        <v>-0.17594999999999972</v>
      </c>
    </row>
    <row r="63" spans="1:22">
      <c r="A63" s="26" t="s">
        <v>13</v>
      </c>
      <c r="B63" s="26" t="s">
        <v>32</v>
      </c>
      <c r="C63" s="30">
        <v>11.8</v>
      </c>
      <c r="D63" s="27">
        <v>7.1</v>
      </c>
      <c r="E63" s="28">
        <v>18</v>
      </c>
      <c r="F63" s="16">
        <f t="shared" ref="F63:F76" si="120">(C63*D63*E63/1000)</f>
        <v>1.50804</v>
      </c>
      <c r="G63" s="17" t="s">
        <v>89</v>
      </c>
      <c r="H63" s="18">
        <v>10</v>
      </c>
      <c r="I63" s="19">
        <f t="shared" ref="I63:I76" si="121">(C63*D63*H63/1000)</f>
        <v>0.83779999999999999</v>
      </c>
      <c r="J63" s="16" t="s">
        <v>86</v>
      </c>
      <c r="K63" s="18">
        <v>6</v>
      </c>
      <c r="L63" s="19">
        <f t="shared" ref="L63:L76" si="122">(C63*D63*K63/1000)</f>
        <v>0.50268000000000002</v>
      </c>
      <c r="M63" s="16"/>
      <c r="N63" s="18"/>
      <c r="O63" s="19">
        <f t="shared" ref="O63:O76" si="123">(C63*D63*N63/1000)</f>
        <v>0</v>
      </c>
      <c r="P63" s="16"/>
      <c r="Q63" s="18"/>
      <c r="R63" s="19">
        <f t="shared" ref="R63:R76" si="124">(C63*D63*Q63/1000)</f>
        <v>0</v>
      </c>
      <c r="S63" s="20">
        <f t="shared" ref="S63:S76" si="125">+H63+K63+Q63+N63</f>
        <v>16</v>
      </c>
      <c r="T63" s="19">
        <f t="shared" ref="T63:T76" si="126">+I63+L63+R63+O63</f>
        <v>1.3404799999999999</v>
      </c>
      <c r="U63" s="21">
        <f t="shared" ref="U63:U76" si="127">E63-S63</f>
        <v>2</v>
      </c>
      <c r="V63" s="19">
        <f t="shared" ref="V63:V76" si="128">F63-T63</f>
        <v>0.16756000000000015</v>
      </c>
    </row>
    <row r="64" spans="1:22">
      <c r="A64" s="26" t="s">
        <v>13</v>
      </c>
      <c r="B64" s="26" t="s">
        <v>32</v>
      </c>
      <c r="C64" s="30">
        <v>11.8</v>
      </c>
      <c r="D64" s="27">
        <v>7.4</v>
      </c>
      <c r="E64" s="28">
        <v>51</v>
      </c>
      <c r="F64" s="16">
        <f t="shared" si="120"/>
        <v>4.4533200000000006</v>
      </c>
      <c r="G64" s="17" t="s">
        <v>519</v>
      </c>
      <c r="H64" s="18">
        <v>13</v>
      </c>
      <c r="I64" s="19">
        <f t="shared" si="121"/>
        <v>1.1351600000000002</v>
      </c>
      <c r="J64" s="16" t="s">
        <v>520</v>
      </c>
      <c r="K64" s="18">
        <v>5</v>
      </c>
      <c r="L64" s="19">
        <f t="shared" si="122"/>
        <v>0.43660000000000004</v>
      </c>
      <c r="M64" s="16"/>
      <c r="N64" s="18"/>
      <c r="O64" s="19">
        <f t="shared" si="123"/>
        <v>0</v>
      </c>
      <c r="P64" s="16"/>
      <c r="Q64" s="18"/>
      <c r="R64" s="19">
        <f t="shared" si="124"/>
        <v>0</v>
      </c>
      <c r="S64" s="20">
        <f t="shared" si="125"/>
        <v>18</v>
      </c>
      <c r="T64" s="19">
        <f t="shared" si="126"/>
        <v>1.5717600000000003</v>
      </c>
      <c r="U64" s="21">
        <f t="shared" si="127"/>
        <v>33</v>
      </c>
      <c r="V64" s="19">
        <f t="shared" si="128"/>
        <v>2.8815600000000003</v>
      </c>
    </row>
    <row r="65" spans="1:22">
      <c r="A65" s="26" t="s">
        <v>13</v>
      </c>
      <c r="B65" s="26" t="s">
        <v>32</v>
      </c>
      <c r="C65" s="30">
        <v>11.8</v>
      </c>
      <c r="D65" s="27">
        <v>11</v>
      </c>
      <c r="E65" s="28">
        <v>24</v>
      </c>
      <c r="F65" s="16">
        <f t="shared" si="120"/>
        <v>3.1152000000000002</v>
      </c>
      <c r="G65" s="17"/>
      <c r="H65" s="18">
        <v>11</v>
      </c>
      <c r="I65" s="19">
        <f t="shared" si="121"/>
        <v>1.4278000000000002</v>
      </c>
      <c r="J65" s="16"/>
      <c r="K65" s="18">
        <v>6</v>
      </c>
      <c r="L65" s="19">
        <f t="shared" si="122"/>
        <v>0.77880000000000005</v>
      </c>
      <c r="M65" s="16"/>
      <c r="N65" s="18"/>
      <c r="O65" s="19">
        <f t="shared" si="123"/>
        <v>0</v>
      </c>
      <c r="P65" s="16"/>
      <c r="Q65" s="18"/>
      <c r="R65" s="19">
        <f t="shared" si="124"/>
        <v>0</v>
      </c>
      <c r="S65" s="20">
        <f t="shared" si="125"/>
        <v>17</v>
      </c>
      <c r="T65" s="19">
        <f t="shared" si="126"/>
        <v>2.2066000000000003</v>
      </c>
      <c r="U65" s="21">
        <f t="shared" si="127"/>
        <v>7</v>
      </c>
      <c r="V65" s="19">
        <f t="shared" si="128"/>
        <v>0.90859999999999985</v>
      </c>
    </row>
    <row r="66" spans="1:22">
      <c r="A66" s="26" t="s">
        <v>13</v>
      </c>
      <c r="B66" s="26" t="s">
        <v>32</v>
      </c>
      <c r="C66" s="30">
        <v>11.8</v>
      </c>
      <c r="D66" s="27">
        <v>11.3</v>
      </c>
      <c r="E66" s="28">
        <v>40</v>
      </c>
      <c r="F66" s="16">
        <f t="shared" ref="F66:F75" si="129">(C66*D66*E66/1000)</f>
        <v>5.3336000000000006</v>
      </c>
      <c r="G66" s="17"/>
      <c r="H66" s="18"/>
      <c r="I66" s="19">
        <f t="shared" ref="I66:I75" si="130">(C66*D66*H66/1000)</f>
        <v>0</v>
      </c>
      <c r="J66" s="16"/>
      <c r="K66" s="18"/>
      <c r="L66" s="19">
        <f t="shared" ref="L66:L75" si="131">(C66*D66*K66/1000)</f>
        <v>0</v>
      </c>
      <c r="M66" s="16"/>
      <c r="N66" s="18"/>
      <c r="O66" s="19">
        <f t="shared" ref="O66:O75" si="132">(C66*D66*N66/1000)</f>
        <v>0</v>
      </c>
      <c r="P66" s="16"/>
      <c r="Q66" s="18"/>
      <c r="R66" s="19">
        <f t="shared" ref="R66:R75" si="133">(C66*D66*Q66/1000)</f>
        <v>0</v>
      </c>
      <c r="S66" s="20">
        <f t="shared" ref="S66:S75" si="134">+H66+K66+Q66+N66</f>
        <v>0</v>
      </c>
      <c r="T66" s="19">
        <f t="shared" ref="T66:T75" si="135">+I66+L66+R66+O66</f>
        <v>0</v>
      </c>
      <c r="U66" s="21">
        <f t="shared" ref="U66:U75" si="136">E66-S66</f>
        <v>40</v>
      </c>
      <c r="V66" s="19">
        <f t="shared" ref="V66:V75" si="137">F66-T66</f>
        <v>5.3336000000000006</v>
      </c>
    </row>
    <row r="67" spans="1:22">
      <c r="A67" s="26" t="s">
        <v>13</v>
      </c>
      <c r="B67" s="26" t="s">
        <v>32</v>
      </c>
      <c r="C67" s="30">
        <v>11.8</v>
      </c>
      <c r="D67" s="27">
        <v>7.2</v>
      </c>
      <c r="E67" s="28"/>
      <c r="F67" s="16">
        <f t="shared" si="129"/>
        <v>0</v>
      </c>
      <c r="G67" s="17"/>
      <c r="H67" s="18">
        <v>14</v>
      </c>
      <c r="I67" s="19">
        <f t="shared" si="130"/>
        <v>1.1894400000000001</v>
      </c>
      <c r="J67" s="16"/>
      <c r="K67" s="18">
        <v>10</v>
      </c>
      <c r="L67" s="19">
        <f t="shared" si="131"/>
        <v>0.84960000000000013</v>
      </c>
      <c r="M67" s="16"/>
      <c r="N67" s="18"/>
      <c r="O67" s="19">
        <f t="shared" si="132"/>
        <v>0</v>
      </c>
      <c r="P67" s="16"/>
      <c r="Q67" s="18"/>
      <c r="R67" s="19">
        <f t="shared" si="133"/>
        <v>0</v>
      </c>
      <c r="S67" s="20">
        <f t="shared" si="134"/>
        <v>24</v>
      </c>
      <c r="T67" s="19">
        <f t="shared" si="135"/>
        <v>2.03904</v>
      </c>
      <c r="U67" s="21">
        <f t="shared" si="136"/>
        <v>-24</v>
      </c>
      <c r="V67" s="19">
        <f t="shared" si="137"/>
        <v>-2.03904</v>
      </c>
    </row>
    <row r="68" spans="1:22">
      <c r="A68" s="26" t="s">
        <v>13</v>
      </c>
      <c r="B68" s="26" t="s">
        <v>32</v>
      </c>
      <c r="C68" s="30">
        <v>11.8</v>
      </c>
      <c r="D68" s="27">
        <v>11.2</v>
      </c>
      <c r="E68" s="28"/>
      <c r="F68" s="16">
        <f t="shared" si="129"/>
        <v>0</v>
      </c>
      <c r="G68" s="17"/>
      <c r="H68" s="18">
        <v>20</v>
      </c>
      <c r="I68" s="19">
        <f t="shared" si="130"/>
        <v>2.6431999999999998</v>
      </c>
      <c r="J68" s="16"/>
      <c r="K68" s="18">
        <v>18</v>
      </c>
      <c r="L68" s="19">
        <f t="shared" si="131"/>
        <v>2.3788800000000001</v>
      </c>
      <c r="M68" s="16"/>
      <c r="N68" s="18"/>
      <c r="O68" s="19">
        <f t="shared" si="132"/>
        <v>0</v>
      </c>
      <c r="P68" s="16"/>
      <c r="Q68" s="18"/>
      <c r="R68" s="19">
        <f t="shared" si="133"/>
        <v>0</v>
      </c>
      <c r="S68" s="20">
        <f t="shared" si="134"/>
        <v>38</v>
      </c>
      <c r="T68" s="19">
        <f t="shared" si="135"/>
        <v>5.0220799999999999</v>
      </c>
      <c r="U68" s="21">
        <f t="shared" si="136"/>
        <v>-38</v>
      </c>
      <c r="V68" s="19">
        <f t="shared" si="137"/>
        <v>-5.0220799999999999</v>
      </c>
    </row>
    <row r="69" spans="1:22">
      <c r="A69" s="26" t="s">
        <v>13</v>
      </c>
      <c r="B69" s="26" t="s">
        <v>32</v>
      </c>
      <c r="C69" s="30">
        <v>11.8</v>
      </c>
      <c r="D69" s="27">
        <v>12</v>
      </c>
      <c r="E69" s="28"/>
      <c r="F69" s="16">
        <f t="shared" si="129"/>
        <v>0</v>
      </c>
      <c r="G69" s="17"/>
      <c r="H69" s="18">
        <v>7</v>
      </c>
      <c r="I69" s="19">
        <f t="shared" si="130"/>
        <v>0.99120000000000019</v>
      </c>
      <c r="J69" s="16"/>
      <c r="K69" s="18"/>
      <c r="L69" s="19">
        <f t="shared" si="131"/>
        <v>0</v>
      </c>
      <c r="M69" s="16"/>
      <c r="N69" s="18"/>
      <c r="O69" s="19">
        <f t="shared" si="132"/>
        <v>0</v>
      </c>
      <c r="P69" s="16"/>
      <c r="Q69" s="18"/>
      <c r="R69" s="19">
        <f t="shared" si="133"/>
        <v>0</v>
      </c>
      <c r="S69" s="20">
        <f t="shared" si="134"/>
        <v>7</v>
      </c>
      <c r="T69" s="19">
        <f t="shared" si="135"/>
        <v>0.99120000000000019</v>
      </c>
      <c r="U69" s="21">
        <f t="shared" si="136"/>
        <v>-7</v>
      </c>
      <c r="V69" s="19">
        <f t="shared" si="137"/>
        <v>-0.99120000000000019</v>
      </c>
    </row>
    <row r="70" spans="1:22">
      <c r="A70" s="26" t="s">
        <v>13</v>
      </c>
      <c r="B70" s="26" t="s">
        <v>32</v>
      </c>
      <c r="C70" s="30">
        <v>11.8</v>
      </c>
      <c r="D70" s="27">
        <v>10.5</v>
      </c>
      <c r="E70" s="28"/>
      <c r="F70" s="16">
        <f t="shared" si="129"/>
        <v>0</v>
      </c>
      <c r="G70" s="17"/>
      <c r="H70" s="18"/>
      <c r="I70" s="19">
        <f t="shared" si="130"/>
        <v>0</v>
      </c>
      <c r="J70" s="16"/>
      <c r="K70" s="18">
        <v>12</v>
      </c>
      <c r="L70" s="19">
        <f t="shared" si="131"/>
        <v>1.4868000000000001</v>
      </c>
      <c r="M70" s="16"/>
      <c r="N70" s="18"/>
      <c r="O70" s="19">
        <f t="shared" si="132"/>
        <v>0</v>
      </c>
      <c r="P70" s="16"/>
      <c r="Q70" s="18"/>
      <c r="R70" s="19">
        <f t="shared" si="133"/>
        <v>0</v>
      </c>
      <c r="S70" s="20">
        <f t="shared" si="134"/>
        <v>12</v>
      </c>
      <c r="T70" s="19">
        <f t="shared" si="135"/>
        <v>1.4868000000000001</v>
      </c>
      <c r="U70" s="21">
        <f t="shared" si="136"/>
        <v>-12</v>
      </c>
      <c r="V70" s="19">
        <f t="shared" si="137"/>
        <v>-1.4868000000000001</v>
      </c>
    </row>
    <row r="71" spans="1:22">
      <c r="A71" s="26" t="s">
        <v>13</v>
      </c>
      <c r="B71" s="26" t="s">
        <v>32</v>
      </c>
      <c r="C71" s="30">
        <v>11.8</v>
      </c>
      <c r="D71" s="27"/>
      <c r="E71" s="28"/>
      <c r="F71" s="16">
        <f t="shared" si="129"/>
        <v>0</v>
      </c>
      <c r="G71" s="17"/>
      <c r="H71" s="18"/>
      <c r="I71" s="19">
        <f t="shared" si="130"/>
        <v>0</v>
      </c>
      <c r="J71" s="16"/>
      <c r="K71" s="18"/>
      <c r="L71" s="19">
        <f t="shared" si="131"/>
        <v>0</v>
      </c>
      <c r="M71" s="16"/>
      <c r="N71" s="18"/>
      <c r="O71" s="19">
        <f t="shared" si="132"/>
        <v>0</v>
      </c>
      <c r="P71" s="16"/>
      <c r="Q71" s="18"/>
      <c r="R71" s="19">
        <f t="shared" si="133"/>
        <v>0</v>
      </c>
      <c r="S71" s="20">
        <f t="shared" si="134"/>
        <v>0</v>
      </c>
      <c r="T71" s="19">
        <f t="shared" si="135"/>
        <v>0</v>
      </c>
      <c r="U71" s="21">
        <f t="shared" si="136"/>
        <v>0</v>
      </c>
      <c r="V71" s="19">
        <f t="shared" si="137"/>
        <v>0</v>
      </c>
    </row>
    <row r="72" spans="1:22">
      <c r="A72" s="26" t="s">
        <v>13</v>
      </c>
      <c r="B72" s="26" t="s">
        <v>32</v>
      </c>
      <c r="C72" s="30">
        <v>11.8</v>
      </c>
      <c r="D72" s="27"/>
      <c r="E72" s="28"/>
      <c r="F72" s="16">
        <f t="shared" si="129"/>
        <v>0</v>
      </c>
      <c r="G72" s="17"/>
      <c r="H72" s="18"/>
      <c r="I72" s="19">
        <f t="shared" si="130"/>
        <v>0</v>
      </c>
      <c r="J72" s="16"/>
      <c r="K72" s="18"/>
      <c r="L72" s="19">
        <f t="shared" si="131"/>
        <v>0</v>
      </c>
      <c r="M72" s="16"/>
      <c r="N72" s="18"/>
      <c r="O72" s="19">
        <f t="shared" si="132"/>
        <v>0</v>
      </c>
      <c r="P72" s="16"/>
      <c r="Q72" s="18"/>
      <c r="R72" s="19">
        <f t="shared" si="133"/>
        <v>0</v>
      </c>
      <c r="S72" s="20">
        <f t="shared" si="134"/>
        <v>0</v>
      </c>
      <c r="T72" s="19">
        <f t="shared" si="135"/>
        <v>0</v>
      </c>
      <c r="U72" s="21">
        <f t="shared" si="136"/>
        <v>0</v>
      </c>
      <c r="V72" s="19">
        <f t="shared" si="137"/>
        <v>0</v>
      </c>
    </row>
    <row r="73" spans="1:22">
      <c r="A73" s="26" t="s">
        <v>13</v>
      </c>
      <c r="B73" s="26" t="s">
        <v>32</v>
      </c>
      <c r="C73" s="30">
        <v>11.8</v>
      </c>
      <c r="D73" s="27"/>
      <c r="E73" s="28"/>
      <c r="F73" s="16">
        <f t="shared" si="129"/>
        <v>0</v>
      </c>
      <c r="G73" s="17"/>
      <c r="H73" s="18"/>
      <c r="I73" s="19">
        <f t="shared" si="130"/>
        <v>0</v>
      </c>
      <c r="J73" s="16"/>
      <c r="K73" s="18"/>
      <c r="L73" s="19">
        <f t="shared" si="131"/>
        <v>0</v>
      </c>
      <c r="M73" s="16"/>
      <c r="N73" s="18"/>
      <c r="O73" s="19">
        <f t="shared" si="132"/>
        <v>0</v>
      </c>
      <c r="P73" s="16"/>
      <c r="Q73" s="18"/>
      <c r="R73" s="19">
        <f t="shared" si="133"/>
        <v>0</v>
      </c>
      <c r="S73" s="20">
        <f t="shared" si="134"/>
        <v>0</v>
      </c>
      <c r="T73" s="19">
        <f t="shared" si="135"/>
        <v>0</v>
      </c>
      <c r="U73" s="21">
        <f t="shared" si="136"/>
        <v>0</v>
      </c>
      <c r="V73" s="19">
        <f t="shared" si="137"/>
        <v>0</v>
      </c>
    </row>
    <row r="74" spans="1:22">
      <c r="A74" s="26" t="s">
        <v>13</v>
      </c>
      <c r="B74" s="26" t="s">
        <v>32</v>
      </c>
      <c r="C74" s="30">
        <v>11.8</v>
      </c>
      <c r="D74" s="27"/>
      <c r="E74" s="28"/>
      <c r="F74" s="16">
        <f t="shared" si="129"/>
        <v>0</v>
      </c>
      <c r="G74" s="17"/>
      <c r="H74" s="18"/>
      <c r="I74" s="19">
        <f t="shared" si="130"/>
        <v>0</v>
      </c>
      <c r="J74" s="16"/>
      <c r="K74" s="18"/>
      <c r="L74" s="19">
        <f t="shared" si="131"/>
        <v>0</v>
      </c>
      <c r="M74" s="16"/>
      <c r="N74" s="18"/>
      <c r="O74" s="19">
        <f t="shared" si="132"/>
        <v>0</v>
      </c>
      <c r="P74" s="16"/>
      <c r="Q74" s="18"/>
      <c r="R74" s="19">
        <f t="shared" si="133"/>
        <v>0</v>
      </c>
      <c r="S74" s="20">
        <f t="shared" si="134"/>
        <v>0</v>
      </c>
      <c r="T74" s="19">
        <f t="shared" si="135"/>
        <v>0</v>
      </c>
      <c r="U74" s="21">
        <f t="shared" si="136"/>
        <v>0</v>
      </c>
      <c r="V74" s="19">
        <f t="shared" si="137"/>
        <v>0</v>
      </c>
    </row>
    <row r="75" spans="1:22">
      <c r="A75" s="26" t="s">
        <v>13</v>
      </c>
      <c r="B75" s="26" t="s">
        <v>32</v>
      </c>
      <c r="C75" s="30">
        <v>11.8</v>
      </c>
      <c r="D75" s="27"/>
      <c r="E75" s="28"/>
      <c r="F75" s="16">
        <f t="shared" si="129"/>
        <v>0</v>
      </c>
      <c r="G75" s="17"/>
      <c r="H75" s="18"/>
      <c r="I75" s="19">
        <f t="shared" si="130"/>
        <v>0</v>
      </c>
      <c r="J75" s="16"/>
      <c r="K75" s="18"/>
      <c r="L75" s="19">
        <f t="shared" si="131"/>
        <v>0</v>
      </c>
      <c r="M75" s="16"/>
      <c r="N75" s="18"/>
      <c r="O75" s="19">
        <f t="shared" si="132"/>
        <v>0</v>
      </c>
      <c r="P75" s="16"/>
      <c r="Q75" s="18"/>
      <c r="R75" s="19">
        <f t="shared" si="133"/>
        <v>0</v>
      </c>
      <c r="S75" s="20">
        <f t="shared" si="134"/>
        <v>0</v>
      </c>
      <c r="T75" s="19">
        <f t="shared" si="135"/>
        <v>0</v>
      </c>
      <c r="U75" s="21">
        <f t="shared" si="136"/>
        <v>0</v>
      </c>
      <c r="V75" s="19">
        <f t="shared" si="137"/>
        <v>0</v>
      </c>
    </row>
    <row r="76" spans="1:22">
      <c r="A76" s="26" t="s">
        <v>13</v>
      </c>
      <c r="B76" s="26" t="s">
        <v>32</v>
      </c>
      <c r="C76" s="30">
        <v>11.8</v>
      </c>
      <c r="D76" s="27"/>
      <c r="E76" s="28"/>
      <c r="F76" s="16">
        <f t="shared" si="120"/>
        <v>0</v>
      </c>
      <c r="G76" s="17"/>
      <c r="H76" s="18"/>
      <c r="I76" s="19">
        <f t="shared" si="121"/>
        <v>0</v>
      </c>
      <c r="J76" s="16"/>
      <c r="K76" s="18"/>
      <c r="L76" s="19">
        <f t="shared" si="122"/>
        <v>0</v>
      </c>
      <c r="M76" s="16"/>
      <c r="N76" s="18"/>
      <c r="O76" s="19">
        <f t="shared" si="123"/>
        <v>0</v>
      </c>
      <c r="P76" s="16"/>
      <c r="Q76" s="18"/>
      <c r="R76" s="19">
        <f t="shared" si="124"/>
        <v>0</v>
      </c>
      <c r="S76" s="20">
        <f t="shared" si="125"/>
        <v>0</v>
      </c>
      <c r="T76" s="19">
        <f t="shared" si="126"/>
        <v>0</v>
      </c>
      <c r="U76" s="21">
        <f t="shared" si="127"/>
        <v>0</v>
      </c>
      <c r="V76" s="19">
        <f t="shared" si="128"/>
        <v>0</v>
      </c>
    </row>
    <row r="77" spans="1:22">
      <c r="A77" s="36"/>
      <c r="B77" s="36"/>
      <c r="C77" s="30"/>
      <c r="D77" s="38"/>
      <c r="E77" s="31">
        <f t="shared" ref="E77" si="138">SUM(E63:E76)</f>
        <v>133</v>
      </c>
      <c r="F77" s="38">
        <f t="shared" ref="F77" si="139">SUM(F63:F76)</f>
        <v>14.410160000000001</v>
      </c>
      <c r="H77" s="31">
        <f t="shared" ref="H77" si="140">SUM(H63:H76)</f>
        <v>75</v>
      </c>
      <c r="I77" s="38">
        <f t="shared" ref="I77" si="141">SUM(I63:I76)</f>
        <v>8.2246000000000006</v>
      </c>
      <c r="K77" s="31">
        <f t="shared" ref="K77" si="142">SUM(K63:K76)</f>
        <v>57</v>
      </c>
      <c r="L77" s="38">
        <f t="shared" ref="L77" si="143">SUM(L63:L76)</f>
        <v>6.4333600000000004</v>
      </c>
      <c r="N77" s="31">
        <f t="shared" ref="N77" si="144">SUM(N63:N76)</f>
        <v>0</v>
      </c>
      <c r="O77" s="38">
        <f t="shared" ref="O77" si="145">SUM(O63:O76)</f>
        <v>0</v>
      </c>
      <c r="Q77" s="31">
        <f t="shared" ref="Q77" si="146">SUM(Q63:Q76)</f>
        <v>0</v>
      </c>
      <c r="R77" s="38">
        <f t="shared" ref="R77" si="147">SUM(R63:R76)</f>
        <v>0</v>
      </c>
      <c r="S77" s="31">
        <f t="shared" ref="S77" si="148">SUM(S63:S76)</f>
        <v>132</v>
      </c>
      <c r="T77" s="38">
        <f t="shared" ref="T77" si="149">SUM(T63:T76)</f>
        <v>14.657960000000003</v>
      </c>
      <c r="U77" s="31">
        <f t="shared" ref="U77" si="150">SUM(U63:U76)</f>
        <v>1</v>
      </c>
      <c r="V77" s="38">
        <f t="shared" ref="V77" si="151">SUM(V63:V76)</f>
        <v>-0.24779999999999935</v>
      </c>
    </row>
    <row r="78" spans="1:22">
      <c r="A78" s="26" t="s">
        <v>13</v>
      </c>
      <c r="B78" s="26" t="s">
        <v>25</v>
      </c>
      <c r="C78" s="30">
        <v>13.4</v>
      </c>
      <c r="D78" s="27">
        <v>7.8</v>
      </c>
      <c r="E78" s="28">
        <v>18</v>
      </c>
      <c r="F78" s="16">
        <f t="shared" ref="F78:F86" si="152">(C78*D78*E78/1000)</f>
        <v>1.8813599999999999</v>
      </c>
      <c r="G78" s="17" t="s">
        <v>89</v>
      </c>
      <c r="H78" s="18">
        <v>14</v>
      </c>
      <c r="I78" s="19">
        <f t="shared" ref="I78:I86" si="153">(C78*D78*H78/1000)</f>
        <v>1.4632799999999999</v>
      </c>
      <c r="J78" s="16" t="s">
        <v>86</v>
      </c>
      <c r="K78" s="18">
        <v>1</v>
      </c>
      <c r="L78" s="19">
        <f t="shared" ref="L78:L86" si="154">(C78*D78*K78/1000)</f>
        <v>0.10452</v>
      </c>
      <c r="M78" s="16"/>
      <c r="N78" s="18"/>
      <c r="O78" s="19">
        <f t="shared" ref="O78:O86" si="155">(C78*D78*N78/1000)</f>
        <v>0</v>
      </c>
      <c r="P78" s="16"/>
      <c r="Q78" s="18"/>
      <c r="R78" s="19">
        <f t="shared" ref="R78:R86" si="156">(C78*D78*Q78/1000)</f>
        <v>0</v>
      </c>
      <c r="S78" s="20">
        <f t="shared" ref="S78:S86" si="157">+H78+K78+Q78+N78</f>
        <v>15</v>
      </c>
      <c r="T78" s="19">
        <f t="shared" ref="T78:T86" si="158">+I78+L78+R78+O78</f>
        <v>1.5677999999999999</v>
      </c>
      <c r="U78" s="21">
        <f t="shared" ref="U78:U86" si="159">E78-S78</f>
        <v>3</v>
      </c>
      <c r="V78" s="19">
        <f t="shared" ref="V78:V86" si="160">F78-T78</f>
        <v>0.31356000000000006</v>
      </c>
    </row>
    <row r="79" spans="1:22">
      <c r="A79" s="26" t="s">
        <v>13</v>
      </c>
      <c r="B79" s="26" t="s">
        <v>25</v>
      </c>
      <c r="C79" s="30">
        <v>13.4</v>
      </c>
      <c r="D79" s="27">
        <v>8.6</v>
      </c>
      <c r="E79" s="28">
        <v>23</v>
      </c>
      <c r="F79" s="16">
        <f t="shared" si="152"/>
        <v>2.6505199999999998</v>
      </c>
      <c r="G79" s="17" t="s">
        <v>519</v>
      </c>
      <c r="H79" s="18">
        <v>7</v>
      </c>
      <c r="I79" s="19">
        <f t="shared" si="153"/>
        <v>0.80667999999999995</v>
      </c>
      <c r="J79" s="16" t="s">
        <v>520</v>
      </c>
      <c r="K79" s="18">
        <v>12</v>
      </c>
      <c r="L79" s="19">
        <f t="shared" si="154"/>
        <v>1.3828799999999999</v>
      </c>
      <c r="M79" s="16"/>
      <c r="N79" s="18"/>
      <c r="O79" s="19">
        <f t="shared" si="155"/>
        <v>0</v>
      </c>
      <c r="P79" s="16"/>
      <c r="Q79" s="18"/>
      <c r="R79" s="19">
        <f t="shared" si="156"/>
        <v>0</v>
      </c>
      <c r="S79" s="20">
        <f t="shared" si="157"/>
        <v>19</v>
      </c>
      <c r="T79" s="19">
        <f t="shared" si="158"/>
        <v>2.1895599999999997</v>
      </c>
      <c r="U79" s="21">
        <f t="shared" si="159"/>
        <v>4</v>
      </c>
      <c r="V79" s="19">
        <f t="shared" si="160"/>
        <v>0.46096000000000004</v>
      </c>
    </row>
    <row r="80" spans="1:22">
      <c r="A80" s="26" t="s">
        <v>13</v>
      </c>
      <c r="B80" s="26" t="s">
        <v>25</v>
      </c>
      <c r="C80" s="30">
        <v>13.4</v>
      </c>
      <c r="D80" s="27">
        <v>11.9</v>
      </c>
      <c r="E80" s="28">
        <v>25</v>
      </c>
      <c r="F80" s="16">
        <f t="shared" ref="F80:F85" si="161">(C80*D80*E80/1000)</f>
        <v>3.9864999999999999</v>
      </c>
      <c r="G80" s="17"/>
      <c r="H80" s="18">
        <v>14</v>
      </c>
      <c r="I80" s="19">
        <f t="shared" ref="I80:I85" si="162">(C80*D80*H80/1000)</f>
        <v>2.23244</v>
      </c>
      <c r="J80" s="16"/>
      <c r="K80" s="18"/>
      <c r="L80" s="19">
        <f t="shared" ref="L80:L85" si="163">(C80*D80*K80/1000)</f>
        <v>0</v>
      </c>
      <c r="M80" s="16"/>
      <c r="N80" s="18"/>
      <c r="O80" s="19">
        <f t="shared" ref="O80:O85" si="164">(C80*D80*N80/1000)</f>
        <v>0</v>
      </c>
      <c r="P80" s="16"/>
      <c r="Q80" s="18"/>
      <c r="R80" s="19">
        <f t="shared" ref="R80:R85" si="165">(C80*D80*Q80/1000)</f>
        <v>0</v>
      </c>
      <c r="S80" s="20">
        <f t="shared" ref="S80:S85" si="166">+H80+K80+Q80+N80</f>
        <v>14</v>
      </c>
      <c r="T80" s="19">
        <f t="shared" ref="T80:T85" si="167">+I80+L80+R80+O80</f>
        <v>2.23244</v>
      </c>
      <c r="U80" s="21">
        <f t="shared" ref="U80:U85" si="168">E80-S80</f>
        <v>11</v>
      </c>
      <c r="V80" s="19">
        <f t="shared" ref="V80:V85" si="169">F80-T80</f>
        <v>1.75406</v>
      </c>
    </row>
    <row r="81" spans="1:22">
      <c r="A81" s="26" t="s">
        <v>13</v>
      </c>
      <c r="B81" s="26" t="s">
        <v>25</v>
      </c>
      <c r="C81" s="30">
        <v>13.4</v>
      </c>
      <c r="D81" s="27">
        <v>11.8</v>
      </c>
      <c r="E81" s="28"/>
      <c r="F81" s="16">
        <f t="shared" si="161"/>
        <v>0</v>
      </c>
      <c r="G81" s="17"/>
      <c r="H81" s="18">
        <v>11</v>
      </c>
      <c r="I81" s="19">
        <f t="shared" si="162"/>
        <v>1.7393200000000002</v>
      </c>
      <c r="J81" s="16"/>
      <c r="K81" s="18"/>
      <c r="L81" s="19">
        <f t="shared" si="163"/>
        <v>0</v>
      </c>
      <c r="M81" s="16"/>
      <c r="N81" s="18"/>
      <c r="O81" s="19">
        <f t="shared" si="164"/>
        <v>0</v>
      </c>
      <c r="P81" s="16"/>
      <c r="Q81" s="18"/>
      <c r="R81" s="19">
        <f t="shared" si="165"/>
        <v>0</v>
      </c>
      <c r="S81" s="20">
        <f t="shared" si="166"/>
        <v>11</v>
      </c>
      <c r="T81" s="19">
        <f t="shared" si="167"/>
        <v>1.7393200000000002</v>
      </c>
      <c r="U81" s="21">
        <f t="shared" si="168"/>
        <v>-11</v>
      </c>
      <c r="V81" s="19">
        <f t="shared" si="169"/>
        <v>-1.7393200000000002</v>
      </c>
    </row>
    <row r="82" spans="1:22">
      <c r="A82" s="26" t="s">
        <v>13</v>
      </c>
      <c r="B82" s="26" t="s">
        <v>25</v>
      </c>
      <c r="C82" s="30">
        <v>13.4</v>
      </c>
      <c r="D82" s="27">
        <v>7.2</v>
      </c>
      <c r="E82" s="28"/>
      <c r="F82" s="16">
        <f t="shared" si="161"/>
        <v>0</v>
      </c>
      <c r="G82" s="17"/>
      <c r="H82" s="18">
        <v>1</v>
      </c>
      <c r="I82" s="19">
        <f t="shared" si="162"/>
        <v>9.648000000000001E-2</v>
      </c>
      <c r="J82" s="16"/>
      <c r="K82" s="18"/>
      <c r="L82" s="19">
        <f t="shared" si="163"/>
        <v>0</v>
      </c>
      <c r="M82" s="16"/>
      <c r="N82" s="18"/>
      <c r="O82" s="19">
        <f t="shared" si="164"/>
        <v>0</v>
      </c>
      <c r="P82" s="16"/>
      <c r="Q82" s="18"/>
      <c r="R82" s="19">
        <f t="shared" si="165"/>
        <v>0</v>
      </c>
      <c r="S82" s="20">
        <f t="shared" si="166"/>
        <v>1</v>
      </c>
      <c r="T82" s="19">
        <f t="shared" si="167"/>
        <v>9.648000000000001E-2</v>
      </c>
      <c r="U82" s="21">
        <f t="shared" si="168"/>
        <v>-1</v>
      </c>
      <c r="V82" s="19">
        <f t="shared" si="169"/>
        <v>-9.648000000000001E-2</v>
      </c>
    </row>
    <row r="83" spans="1:22">
      <c r="A83" s="26" t="s">
        <v>13</v>
      </c>
      <c r="B83" s="26" t="s">
        <v>25</v>
      </c>
      <c r="C83" s="30">
        <v>13.4</v>
      </c>
      <c r="D83" s="27">
        <v>6.8</v>
      </c>
      <c r="E83" s="28"/>
      <c r="F83" s="16">
        <f t="shared" si="161"/>
        <v>0</v>
      </c>
      <c r="G83" s="17"/>
      <c r="H83" s="18"/>
      <c r="I83" s="19">
        <f t="shared" si="162"/>
        <v>0</v>
      </c>
      <c r="J83" s="16"/>
      <c r="K83" s="18">
        <v>2</v>
      </c>
      <c r="L83" s="19">
        <f t="shared" si="163"/>
        <v>0.18224000000000001</v>
      </c>
      <c r="M83" s="16"/>
      <c r="N83" s="18"/>
      <c r="O83" s="19">
        <f t="shared" si="164"/>
        <v>0</v>
      </c>
      <c r="P83" s="16"/>
      <c r="Q83" s="18"/>
      <c r="R83" s="19">
        <f t="shared" si="165"/>
        <v>0</v>
      </c>
      <c r="S83" s="20">
        <f t="shared" si="166"/>
        <v>2</v>
      </c>
      <c r="T83" s="19">
        <f t="shared" si="167"/>
        <v>0.18224000000000001</v>
      </c>
      <c r="U83" s="21">
        <f t="shared" si="168"/>
        <v>-2</v>
      </c>
      <c r="V83" s="19">
        <f t="shared" si="169"/>
        <v>-0.18224000000000001</v>
      </c>
    </row>
    <row r="84" spans="1:22">
      <c r="A84" s="26" t="s">
        <v>13</v>
      </c>
      <c r="B84" s="26" t="s">
        <v>25</v>
      </c>
      <c r="C84" s="30">
        <v>13.4</v>
      </c>
      <c r="D84" s="27">
        <v>10</v>
      </c>
      <c r="E84" s="28"/>
      <c r="F84" s="16">
        <f t="shared" si="161"/>
        <v>0</v>
      </c>
      <c r="G84" s="17"/>
      <c r="H84" s="18"/>
      <c r="I84" s="19">
        <f t="shared" si="162"/>
        <v>0</v>
      </c>
      <c r="J84" s="16"/>
      <c r="K84" s="18">
        <v>4</v>
      </c>
      <c r="L84" s="19">
        <f t="shared" si="163"/>
        <v>0.53600000000000003</v>
      </c>
      <c r="M84" s="16"/>
      <c r="N84" s="18"/>
      <c r="O84" s="19">
        <f t="shared" si="164"/>
        <v>0</v>
      </c>
      <c r="P84" s="16"/>
      <c r="Q84" s="18"/>
      <c r="R84" s="19">
        <f t="shared" si="165"/>
        <v>0</v>
      </c>
      <c r="S84" s="20">
        <f t="shared" si="166"/>
        <v>4</v>
      </c>
      <c r="T84" s="19">
        <f t="shared" si="167"/>
        <v>0.53600000000000003</v>
      </c>
      <c r="U84" s="21">
        <f t="shared" si="168"/>
        <v>-4</v>
      </c>
      <c r="V84" s="19">
        <f t="shared" si="169"/>
        <v>-0.53600000000000003</v>
      </c>
    </row>
    <row r="85" spans="1:22">
      <c r="A85" s="26" t="s">
        <v>13</v>
      </c>
      <c r="B85" s="26" t="s">
        <v>25</v>
      </c>
      <c r="C85" s="30">
        <v>13.4</v>
      </c>
      <c r="D85" s="27"/>
      <c r="E85" s="28"/>
      <c r="F85" s="16">
        <f t="shared" si="161"/>
        <v>0</v>
      </c>
      <c r="G85" s="17"/>
      <c r="H85" s="18"/>
      <c r="I85" s="19">
        <f t="shared" si="162"/>
        <v>0</v>
      </c>
      <c r="J85" s="16"/>
      <c r="K85" s="18"/>
      <c r="L85" s="19">
        <f t="shared" si="163"/>
        <v>0</v>
      </c>
      <c r="M85" s="16"/>
      <c r="N85" s="18"/>
      <c r="O85" s="19">
        <f t="shared" si="164"/>
        <v>0</v>
      </c>
      <c r="P85" s="16"/>
      <c r="Q85" s="18"/>
      <c r="R85" s="19">
        <f t="shared" si="165"/>
        <v>0</v>
      </c>
      <c r="S85" s="20">
        <f t="shared" si="166"/>
        <v>0</v>
      </c>
      <c r="T85" s="19">
        <f t="shared" si="167"/>
        <v>0</v>
      </c>
      <c r="U85" s="21">
        <f t="shared" si="168"/>
        <v>0</v>
      </c>
      <c r="V85" s="19">
        <f t="shared" si="169"/>
        <v>0</v>
      </c>
    </row>
    <row r="86" spans="1:22">
      <c r="A86" s="26" t="s">
        <v>13</v>
      </c>
      <c r="B86" s="26" t="s">
        <v>25</v>
      </c>
      <c r="C86" s="30">
        <v>13.4</v>
      </c>
      <c r="D86" s="27"/>
      <c r="E86" s="28"/>
      <c r="F86" s="16">
        <f t="shared" si="152"/>
        <v>0</v>
      </c>
      <c r="G86" s="17"/>
      <c r="H86" s="18"/>
      <c r="I86" s="19">
        <f t="shared" si="153"/>
        <v>0</v>
      </c>
      <c r="J86" s="16"/>
      <c r="K86" s="18"/>
      <c r="L86" s="19">
        <f t="shared" si="154"/>
        <v>0</v>
      </c>
      <c r="M86" s="16"/>
      <c r="N86" s="18"/>
      <c r="O86" s="19">
        <f t="shared" si="155"/>
        <v>0</v>
      </c>
      <c r="P86" s="16"/>
      <c r="Q86" s="18"/>
      <c r="R86" s="19">
        <f t="shared" si="156"/>
        <v>0</v>
      </c>
      <c r="S86" s="20">
        <f t="shared" si="157"/>
        <v>0</v>
      </c>
      <c r="T86" s="19">
        <f t="shared" si="158"/>
        <v>0</v>
      </c>
      <c r="U86" s="21">
        <f t="shared" si="159"/>
        <v>0</v>
      </c>
      <c r="V86" s="19">
        <f t="shared" si="160"/>
        <v>0</v>
      </c>
    </row>
    <row r="87" spans="1:22">
      <c r="A87" s="36"/>
      <c r="B87" s="36"/>
      <c r="C87" s="30"/>
      <c r="D87" s="38"/>
      <c r="E87" s="31">
        <f>SUM(E78:E86)</f>
        <v>66</v>
      </c>
      <c r="F87" s="38">
        <f>SUM(F78:F86)</f>
        <v>8.5183799999999987</v>
      </c>
      <c r="H87" s="31">
        <f>SUM(H78:H86)</f>
        <v>47</v>
      </c>
      <c r="I87" s="38">
        <f>SUM(I78:I86)</f>
        <v>6.3381999999999996</v>
      </c>
      <c r="K87" s="31">
        <f>SUM(K78:K86)</f>
        <v>19</v>
      </c>
      <c r="L87" s="38">
        <f>SUM(L78:L86)</f>
        <v>2.2056399999999998</v>
      </c>
      <c r="N87" s="31">
        <f>SUM(N78:N86)</f>
        <v>0</v>
      </c>
      <c r="O87" s="38">
        <f>SUM(O78:O86)</f>
        <v>0</v>
      </c>
      <c r="Q87" s="31">
        <f t="shared" ref="Q87:V87" si="170">SUM(Q78:Q86)</f>
        <v>0</v>
      </c>
      <c r="R87" s="38">
        <f t="shared" si="170"/>
        <v>0</v>
      </c>
      <c r="S87" s="31">
        <f t="shared" si="170"/>
        <v>66</v>
      </c>
      <c r="T87" s="38">
        <f t="shared" si="170"/>
        <v>8.5438399999999977</v>
      </c>
      <c r="U87" s="31">
        <f t="shared" si="170"/>
        <v>0</v>
      </c>
      <c r="V87" s="38">
        <f t="shared" si="170"/>
        <v>-2.5460000000000482E-2</v>
      </c>
    </row>
    <row r="88" spans="1:22">
      <c r="A88" s="26" t="s">
        <v>13</v>
      </c>
      <c r="B88" s="26" t="s">
        <v>47</v>
      </c>
      <c r="C88" s="30">
        <v>18.149999999999999</v>
      </c>
      <c r="D88" s="27">
        <v>6.2</v>
      </c>
      <c r="E88" s="28">
        <v>2</v>
      </c>
      <c r="F88" s="16">
        <f t="shared" ref="F88:F90" si="171">(C88*D88*E88/1000)</f>
        <v>0.22506000000000001</v>
      </c>
      <c r="G88" s="16" t="s">
        <v>64</v>
      </c>
      <c r="H88" s="18">
        <v>2</v>
      </c>
      <c r="I88" s="19">
        <f t="shared" ref="I88:I90" si="172">(C88*D88*H88/1000)</f>
        <v>0.22506000000000001</v>
      </c>
      <c r="J88" s="16" t="s">
        <v>150</v>
      </c>
      <c r="K88" s="18"/>
      <c r="L88" s="19">
        <f t="shared" ref="L88:L90" si="173">(C88*D88*K88/1000)</f>
        <v>0</v>
      </c>
      <c r="M88" s="16"/>
      <c r="N88" s="18"/>
      <c r="O88" s="19">
        <f t="shared" ref="O88:O90" si="174">(C88*D88*N88/1000)</f>
        <v>0</v>
      </c>
      <c r="P88" s="16"/>
      <c r="Q88" s="18"/>
      <c r="R88" s="19">
        <f t="shared" ref="R88:R90" si="175">(C88*D88*Q88/1000)</f>
        <v>0</v>
      </c>
      <c r="S88" s="20">
        <f t="shared" ref="S88:S90" si="176">+H88+K88+Q88+N88</f>
        <v>2</v>
      </c>
      <c r="T88" s="19">
        <f t="shared" ref="T88:T90" si="177">+I88+L88+R88+O88</f>
        <v>0.22506000000000001</v>
      </c>
      <c r="U88" s="21">
        <f t="shared" ref="U88:U90" si="178">E88-S88</f>
        <v>0</v>
      </c>
      <c r="V88" s="19">
        <f t="shared" ref="V88:V90" si="179">F88-T88</f>
        <v>0</v>
      </c>
    </row>
    <row r="89" spans="1:22">
      <c r="A89" s="26" t="s">
        <v>13</v>
      </c>
      <c r="B89" s="26" t="s">
        <v>47</v>
      </c>
      <c r="C89" s="30">
        <v>18.149999999999999</v>
      </c>
      <c r="D89" s="27">
        <v>8.1999999999999993</v>
      </c>
      <c r="E89" s="28">
        <v>22</v>
      </c>
      <c r="F89" s="16">
        <f t="shared" si="171"/>
        <v>3.2742599999999999</v>
      </c>
      <c r="G89" s="16" t="s">
        <v>559</v>
      </c>
      <c r="H89" s="18">
        <v>21</v>
      </c>
      <c r="I89" s="19">
        <f t="shared" si="172"/>
        <v>3.1254299999999997</v>
      </c>
      <c r="J89" s="16" t="s">
        <v>562</v>
      </c>
      <c r="K89" s="18">
        <v>1</v>
      </c>
      <c r="L89" s="19">
        <f t="shared" si="173"/>
        <v>0.14882999999999999</v>
      </c>
      <c r="M89" s="16"/>
      <c r="N89" s="18"/>
      <c r="O89" s="19">
        <f t="shared" si="174"/>
        <v>0</v>
      </c>
      <c r="P89" s="16"/>
      <c r="Q89" s="18"/>
      <c r="R89" s="19">
        <f t="shared" si="175"/>
        <v>0</v>
      </c>
      <c r="S89" s="20">
        <f t="shared" si="176"/>
        <v>22</v>
      </c>
      <c r="T89" s="19">
        <f t="shared" si="177"/>
        <v>3.2742599999999995</v>
      </c>
      <c r="U89" s="21">
        <f t="shared" si="178"/>
        <v>0</v>
      </c>
      <c r="V89" s="19">
        <f t="shared" si="179"/>
        <v>0</v>
      </c>
    </row>
    <row r="90" spans="1:22">
      <c r="A90" s="26" t="s">
        <v>13</v>
      </c>
      <c r="B90" s="26" t="s">
        <v>47</v>
      </c>
      <c r="C90" s="30">
        <v>18.149999999999999</v>
      </c>
      <c r="D90" s="27">
        <v>11.7</v>
      </c>
      <c r="E90" s="28">
        <v>13</v>
      </c>
      <c r="F90" s="16">
        <f t="shared" si="171"/>
        <v>2.7606149999999992</v>
      </c>
      <c r="G90" s="17"/>
      <c r="H90" s="18">
        <v>13</v>
      </c>
      <c r="I90" s="19">
        <f t="shared" si="172"/>
        <v>2.7606149999999992</v>
      </c>
      <c r="J90" s="16"/>
      <c r="K90" s="18"/>
      <c r="L90" s="19">
        <f t="shared" si="173"/>
        <v>0</v>
      </c>
      <c r="M90" s="16"/>
      <c r="N90" s="18"/>
      <c r="O90" s="19">
        <f t="shared" si="174"/>
        <v>0</v>
      </c>
      <c r="P90" s="16"/>
      <c r="Q90" s="18"/>
      <c r="R90" s="19">
        <f t="shared" si="175"/>
        <v>0</v>
      </c>
      <c r="S90" s="20">
        <f t="shared" si="176"/>
        <v>13</v>
      </c>
      <c r="T90" s="19">
        <f t="shared" si="177"/>
        <v>2.7606149999999992</v>
      </c>
      <c r="U90" s="21">
        <f t="shared" si="178"/>
        <v>0</v>
      </c>
      <c r="V90" s="19">
        <f t="shared" si="179"/>
        <v>0</v>
      </c>
    </row>
    <row r="91" spans="1:22">
      <c r="A91" s="36"/>
      <c r="B91" s="36"/>
      <c r="C91" s="30"/>
      <c r="D91" s="38"/>
      <c r="E91" s="31">
        <f t="shared" ref="E91" si="180">SUM(E88:E90)</f>
        <v>37</v>
      </c>
      <c r="F91" s="38">
        <f t="shared" ref="F91" si="181">SUM(F88:F90)</f>
        <v>6.2599349999999987</v>
      </c>
      <c r="H91" s="31">
        <f t="shared" ref="H91" si="182">SUM(H88:H90)</f>
        <v>36</v>
      </c>
      <c r="I91" s="38">
        <f t="shared" ref="I91" si="183">SUM(I88:I90)</f>
        <v>6.1111049999999985</v>
      </c>
      <c r="K91" s="31">
        <f t="shared" ref="K91" si="184">SUM(K88:K90)</f>
        <v>1</v>
      </c>
      <c r="L91" s="38">
        <f t="shared" ref="L91" si="185">SUM(L88:L90)</f>
        <v>0.14882999999999999</v>
      </c>
      <c r="N91" s="31">
        <f t="shared" ref="N91" si="186">SUM(N88:N90)</f>
        <v>0</v>
      </c>
      <c r="O91" s="38">
        <f t="shared" ref="O91" si="187">SUM(O88:O90)</f>
        <v>0</v>
      </c>
      <c r="Q91" s="31">
        <f t="shared" ref="Q91" si="188">SUM(Q88:Q90)</f>
        <v>0</v>
      </c>
      <c r="R91" s="38">
        <f t="shared" ref="R91" si="189">SUM(R88:R90)</f>
        <v>0</v>
      </c>
      <c r="S91" s="31">
        <f t="shared" ref="S91" si="190">SUM(S88:S90)</f>
        <v>37</v>
      </c>
      <c r="T91" s="38">
        <f t="shared" ref="T91" si="191">SUM(T88:T90)</f>
        <v>6.2599349999999987</v>
      </c>
      <c r="U91" s="31">
        <f t="shared" ref="U91" si="192">SUM(U88:U90)</f>
        <v>0</v>
      </c>
      <c r="V91" s="38">
        <f t="shared" ref="V91" si="193">SUM(V88:V90)</f>
        <v>0</v>
      </c>
    </row>
    <row r="92" spans="1:22">
      <c r="A92" s="26" t="s">
        <v>13</v>
      </c>
      <c r="B92" s="26" t="s">
        <v>123</v>
      </c>
      <c r="C92" s="30">
        <v>21.57</v>
      </c>
      <c r="D92" s="27">
        <v>8.1999999999999993</v>
      </c>
      <c r="E92" s="28">
        <v>21</v>
      </c>
      <c r="F92" s="16">
        <f>(C92*D92*E92/1000)</f>
        <v>3.7143539999999997</v>
      </c>
      <c r="G92" s="17" t="s">
        <v>86</v>
      </c>
      <c r="H92" s="18">
        <v>21</v>
      </c>
      <c r="I92" s="19">
        <f>(C92*D92*H92/1000)</f>
        <v>3.7143539999999997</v>
      </c>
      <c r="J92" s="16"/>
      <c r="K92" s="18"/>
      <c r="L92" s="19">
        <f>(C92*D92*K92/1000)</f>
        <v>0</v>
      </c>
      <c r="M92" s="16"/>
      <c r="N92" s="18"/>
      <c r="O92" s="19">
        <f>(C92*D92*N92/1000)</f>
        <v>0</v>
      </c>
      <c r="P92" s="16"/>
      <c r="Q92" s="18"/>
      <c r="R92" s="19">
        <f>(C92*D92*Q92/1000)</f>
        <v>0</v>
      </c>
      <c r="S92" s="20">
        <f>+H92+K92+Q92+N92</f>
        <v>21</v>
      </c>
      <c r="T92" s="19">
        <f>+I92+L92+R92+O92</f>
        <v>3.7143539999999997</v>
      </c>
      <c r="U92" s="21">
        <f>E92-S92</f>
        <v>0</v>
      </c>
      <c r="V92" s="19">
        <f>F92-T92</f>
        <v>0</v>
      </c>
    </row>
    <row r="93" spans="1:22">
      <c r="A93" s="36"/>
      <c r="B93" s="36"/>
      <c r="C93" s="30"/>
      <c r="D93" s="38"/>
      <c r="E93" s="31">
        <f t="shared" ref="E93" si="194">SUM(E92)</f>
        <v>21</v>
      </c>
      <c r="F93" s="38">
        <f t="shared" ref="F93" si="195">SUM(F92)</f>
        <v>3.7143539999999997</v>
      </c>
      <c r="G93" s="17" t="s">
        <v>559</v>
      </c>
      <c r="H93" s="31">
        <f t="shared" ref="H93" si="196">SUM(H92)</f>
        <v>21</v>
      </c>
      <c r="I93" s="38">
        <f t="shared" ref="I93" si="197">SUM(I92)</f>
        <v>3.7143539999999997</v>
      </c>
      <c r="K93" s="31">
        <f t="shared" ref="K93" si="198">SUM(K92)</f>
        <v>0</v>
      </c>
      <c r="L93" s="38">
        <f t="shared" ref="L93" si="199">SUM(L92)</f>
        <v>0</v>
      </c>
      <c r="N93" s="31">
        <f t="shared" ref="N93" si="200">SUM(N92)</f>
        <v>0</v>
      </c>
      <c r="O93" s="38">
        <f t="shared" ref="O93" si="201">SUM(O92)</f>
        <v>0</v>
      </c>
      <c r="Q93" s="31">
        <f t="shared" ref="Q93" si="202">SUM(Q92)</f>
        <v>0</v>
      </c>
      <c r="R93" s="38">
        <f t="shared" ref="R93" si="203">SUM(R92)</f>
        <v>0</v>
      </c>
      <c r="S93" s="31">
        <f t="shared" ref="S93" si="204">SUM(S92)</f>
        <v>21</v>
      </c>
      <c r="T93" s="38">
        <f t="shared" ref="T93" si="205">SUM(T92)</f>
        <v>3.7143539999999997</v>
      </c>
      <c r="U93" s="31">
        <f t="shared" ref="U93" si="206">SUM(U92)</f>
        <v>0</v>
      </c>
      <c r="V93" s="38">
        <f t="shared" ref="V93" si="207">SUM(V92)</f>
        <v>0</v>
      </c>
    </row>
    <row r="94" spans="1:22">
      <c r="A94" s="26" t="s">
        <v>13</v>
      </c>
      <c r="B94" s="26" t="s">
        <v>50</v>
      </c>
      <c r="C94" s="30">
        <v>16.5</v>
      </c>
      <c r="D94" s="27">
        <v>7.6</v>
      </c>
      <c r="E94" s="28">
        <v>18</v>
      </c>
      <c r="F94" s="16">
        <f t="shared" ref="F94:F95" si="208">(C94*D94*E94/1000)</f>
        <v>2.2571999999999997</v>
      </c>
      <c r="G94" s="17" t="s">
        <v>86</v>
      </c>
      <c r="H94" s="18">
        <v>18</v>
      </c>
      <c r="I94" s="19">
        <f t="shared" ref="I94:I95" si="209">(C94*D94*H94/1000)</f>
        <v>2.2571999999999997</v>
      </c>
      <c r="J94" s="16"/>
      <c r="K94" s="18"/>
      <c r="L94" s="19">
        <f t="shared" ref="L94:L95" si="210">(C94*D94*K94/1000)</f>
        <v>0</v>
      </c>
      <c r="M94" s="16"/>
      <c r="N94" s="18"/>
      <c r="O94" s="19">
        <f t="shared" ref="O94:O95" si="211">(C94*D94*N94/1000)</f>
        <v>0</v>
      </c>
      <c r="P94" s="16"/>
      <c r="Q94" s="18"/>
      <c r="R94" s="19">
        <f t="shared" ref="R94:R95" si="212">(C94*D94*Q94/1000)</f>
        <v>0</v>
      </c>
      <c r="S94" s="20">
        <f t="shared" ref="S94:S95" si="213">+H94+K94+Q94+N94</f>
        <v>18</v>
      </c>
      <c r="T94" s="19">
        <f t="shared" ref="T94:T95" si="214">+I94+L94+R94+O94</f>
        <v>2.2571999999999997</v>
      </c>
      <c r="U94" s="21">
        <f t="shared" ref="U94:U95" si="215">E94-S94</f>
        <v>0</v>
      </c>
      <c r="V94" s="19">
        <f t="shared" ref="V94:V95" si="216">F94-T94</f>
        <v>0</v>
      </c>
    </row>
    <row r="95" spans="1:22">
      <c r="A95" s="26" t="s">
        <v>13</v>
      </c>
      <c r="B95" s="26" t="s">
        <v>50</v>
      </c>
      <c r="C95" s="30">
        <v>16.5</v>
      </c>
      <c r="D95" s="27">
        <v>8.8000000000000007</v>
      </c>
      <c r="E95" s="28">
        <v>21</v>
      </c>
      <c r="F95" s="16">
        <f t="shared" si="208"/>
        <v>3.0492000000000004</v>
      </c>
      <c r="G95" s="17" t="s">
        <v>559</v>
      </c>
      <c r="H95" s="18">
        <v>21</v>
      </c>
      <c r="I95" s="19">
        <f t="shared" si="209"/>
        <v>3.0492000000000004</v>
      </c>
      <c r="J95" s="16"/>
      <c r="K95" s="18"/>
      <c r="L95" s="19">
        <f t="shared" si="210"/>
        <v>0</v>
      </c>
      <c r="M95" s="16"/>
      <c r="N95" s="18"/>
      <c r="O95" s="19">
        <f t="shared" si="211"/>
        <v>0</v>
      </c>
      <c r="P95" s="16"/>
      <c r="Q95" s="18"/>
      <c r="R95" s="19">
        <f t="shared" si="212"/>
        <v>0</v>
      </c>
      <c r="S95" s="20">
        <f t="shared" si="213"/>
        <v>21</v>
      </c>
      <c r="T95" s="19">
        <f t="shared" si="214"/>
        <v>3.0492000000000004</v>
      </c>
      <c r="U95" s="21">
        <f t="shared" si="215"/>
        <v>0</v>
      </c>
      <c r="V95" s="19">
        <f t="shared" si="216"/>
        <v>0</v>
      </c>
    </row>
    <row r="96" spans="1:22">
      <c r="A96" s="36"/>
      <c r="B96" s="36"/>
      <c r="C96" s="30"/>
      <c r="D96" s="38"/>
      <c r="E96" s="31">
        <f t="shared" ref="E96" si="217">SUM(E94:E95)</f>
        <v>39</v>
      </c>
      <c r="F96" s="38">
        <f t="shared" ref="F96" si="218">SUM(F94:F95)</f>
        <v>5.3064</v>
      </c>
      <c r="H96" s="31">
        <f t="shared" ref="H96" si="219">SUM(H94:H95)</f>
        <v>39</v>
      </c>
      <c r="I96" s="38">
        <f t="shared" ref="I96" si="220">SUM(I94:I95)</f>
        <v>5.3064</v>
      </c>
      <c r="K96" s="31">
        <f t="shared" ref="K96" si="221">SUM(K94:K95)</f>
        <v>0</v>
      </c>
      <c r="L96" s="38">
        <f t="shared" ref="L96" si="222">SUM(L94:L95)</f>
        <v>0</v>
      </c>
      <c r="N96" s="31">
        <f t="shared" ref="N96" si="223">SUM(N94:N95)</f>
        <v>0</v>
      </c>
      <c r="O96" s="38">
        <f t="shared" ref="O96" si="224">SUM(O94:O95)</f>
        <v>0</v>
      </c>
      <c r="Q96" s="31">
        <f t="shared" ref="Q96" si="225">SUM(Q94:Q95)</f>
        <v>0</v>
      </c>
      <c r="R96" s="38">
        <f t="shared" ref="R96" si="226">SUM(R94:R95)</f>
        <v>0</v>
      </c>
      <c r="S96" s="31">
        <f t="shared" ref="S96" si="227">SUM(S94:S95)</f>
        <v>39</v>
      </c>
      <c r="T96" s="38">
        <f t="shared" ref="T96" si="228">SUM(T94:T95)</f>
        <v>5.3064</v>
      </c>
      <c r="U96" s="31">
        <f t="shared" ref="U96" si="229">SUM(U94:U95)</f>
        <v>0</v>
      </c>
      <c r="V96" s="38">
        <f t="shared" ref="V96" si="230">SUM(V94:V95)</f>
        <v>0</v>
      </c>
    </row>
    <row r="97" spans="1:22">
      <c r="A97" s="26" t="s">
        <v>13</v>
      </c>
      <c r="B97" s="26" t="s">
        <v>51</v>
      </c>
      <c r="C97" s="30">
        <v>19.72</v>
      </c>
      <c r="D97" s="27">
        <v>10</v>
      </c>
      <c r="E97" s="28">
        <v>7</v>
      </c>
      <c r="F97" s="16">
        <f t="shared" ref="F97:F99" si="231">(C97*D97*E97/1000)</f>
        <v>1.3803999999999998</v>
      </c>
      <c r="G97" s="16" t="s">
        <v>64</v>
      </c>
      <c r="H97" s="18">
        <v>7</v>
      </c>
      <c r="I97" s="19">
        <f t="shared" ref="I97:I99" si="232">(C97*D97*H97/1000)</f>
        <v>1.3803999999999998</v>
      </c>
      <c r="J97" s="16"/>
      <c r="K97" s="18"/>
      <c r="L97" s="19">
        <f t="shared" ref="L97:L99" si="233">(C97*D97*K97/1000)</f>
        <v>0</v>
      </c>
      <c r="M97" s="16"/>
      <c r="N97" s="18"/>
      <c r="O97" s="19">
        <f t="shared" ref="O97:O99" si="234">(C97*D97*N97/1000)</f>
        <v>0</v>
      </c>
      <c r="P97" s="16"/>
      <c r="Q97" s="18"/>
      <c r="R97" s="19">
        <f t="shared" ref="R97:R99" si="235">(C97*D97*Q97/1000)</f>
        <v>0</v>
      </c>
      <c r="S97" s="20">
        <f t="shared" ref="S97:S99" si="236">+H97+K97+Q97+N97</f>
        <v>7</v>
      </c>
      <c r="T97" s="19">
        <f t="shared" ref="T97:T99" si="237">+I97+L97+R97+O97</f>
        <v>1.3803999999999998</v>
      </c>
      <c r="U97" s="21">
        <f t="shared" ref="U97:U99" si="238">E97-S97</f>
        <v>0</v>
      </c>
      <c r="V97" s="19">
        <f t="shared" ref="V97:V99" si="239">F97-T97</f>
        <v>0</v>
      </c>
    </row>
    <row r="98" spans="1:22">
      <c r="A98" s="26" t="s">
        <v>13</v>
      </c>
      <c r="B98" s="26" t="s">
        <v>51</v>
      </c>
      <c r="C98" s="30">
        <v>19.72</v>
      </c>
      <c r="D98" s="27">
        <v>11.6</v>
      </c>
      <c r="E98" s="28">
        <v>29</v>
      </c>
      <c r="F98" s="16">
        <f t="shared" si="231"/>
        <v>6.6338079999999993</v>
      </c>
      <c r="G98" s="16" t="s">
        <v>559</v>
      </c>
      <c r="H98" s="18">
        <f>27+2</f>
        <v>29</v>
      </c>
      <c r="I98" s="19">
        <f t="shared" si="232"/>
        <v>6.6338079999999993</v>
      </c>
      <c r="J98" s="16"/>
      <c r="K98" s="18"/>
      <c r="L98" s="19">
        <f t="shared" si="233"/>
        <v>0</v>
      </c>
      <c r="M98" s="16"/>
      <c r="N98" s="18"/>
      <c r="O98" s="19">
        <f t="shared" si="234"/>
        <v>0</v>
      </c>
      <c r="P98" s="16"/>
      <c r="Q98" s="18"/>
      <c r="R98" s="19">
        <f t="shared" si="235"/>
        <v>0</v>
      </c>
      <c r="S98" s="20">
        <f t="shared" si="236"/>
        <v>29</v>
      </c>
      <c r="T98" s="19">
        <f t="shared" si="237"/>
        <v>6.6338079999999993</v>
      </c>
      <c r="U98" s="21">
        <f t="shared" si="238"/>
        <v>0</v>
      </c>
      <c r="V98" s="19">
        <f t="shared" si="239"/>
        <v>0</v>
      </c>
    </row>
    <row r="99" spans="1:22">
      <c r="A99" s="26" t="s">
        <v>13</v>
      </c>
      <c r="B99" s="26" t="s">
        <v>51</v>
      </c>
      <c r="C99" s="30">
        <v>19.72</v>
      </c>
      <c r="D99" s="27">
        <v>12</v>
      </c>
      <c r="E99" s="28">
        <v>2</v>
      </c>
      <c r="F99" s="16">
        <f t="shared" si="231"/>
        <v>0.47327999999999998</v>
      </c>
      <c r="G99" s="17"/>
      <c r="H99" s="18">
        <v>2</v>
      </c>
      <c r="I99" s="19">
        <f t="shared" si="232"/>
        <v>0.47327999999999998</v>
      </c>
      <c r="J99" s="16"/>
      <c r="K99" s="18"/>
      <c r="L99" s="19">
        <f t="shared" si="233"/>
        <v>0</v>
      </c>
      <c r="M99" s="16"/>
      <c r="N99" s="18"/>
      <c r="O99" s="19">
        <f t="shared" si="234"/>
        <v>0</v>
      </c>
      <c r="P99" s="16"/>
      <c r="Q99" s="18"/>
      <c r="R99" s="19">
        <f t="shared" si="235"/>
        <v>0</v>
      </c>
      <c r="S99" s="20">
        <f t="shared" si="236"/>
        <v>2</v>
      </c>
      <c r="T99" s="19">
        <f t="shared" si="237"/>
        <v>0.47327999999999998</v>
      </c>
      <c r="U99" s="21">
        <f t="shared" si="238"/>
        <v>0</v>
      </c>
      <c r="V99" s="19">
        <f t="shared" si="239"/>
        <v>0</v>
      </c>
    </row>
    <row r="100" spans="1:22">
      <c r="A100" s="36"/>
      <c r="B100" s="36"/>
      <c r="C100" s="30"/>
      <c r="D100" s="38"/>
      <c r="E100" s="31">
        <f t="shared" ref="E100" si="240">SUM(E97:E99)</f>
        <v>38</v>
      </c>
      <c r="F100" s="38">
        <f t="shared" ref="F100" si="241">SUM(F97:F99)</f>
        <v>8.4874880000000008</v>
      </c>
      <c r="H100" s="31">
        <f t="shared" ref="H100" si="242">SUM(H97:H99)</f>
        <v>38</v>
      </c>
      <c r="I100" s="38">
        <f t="shared" ref="I100" si="243">SUM(I97:I99)</f>
        <v>8.4874880000000008</v>
      </c>
      <c r="K100" s="31">
        <f t="shared" ref="K100" si="244">SUM(K97:K99)</f>
        <v>0</v>
      </c>
      <c r="L100" s="38">
        <f t="shared" ref="L100" si="245">SUM(L97:L99)</f>
        <v>0</v>
      </c>
      <c r="N100" s="31">
        <f t="shared" ref="N100" si="246">SUM(N97:N99)</f>
        <v>0</v>
      </c>
      <c r="O100" s="38">
        <f t="shared" ref="O100" si="247">SUM(O97:O99)</f>
        <v>0</v>
      </c>
      <c r="Q100" s="31">
        <f t="shared" ref="Q100" si="248">SUM(Q97:Q99)</f>
        <v>0</v>
      </c>
      <c r="R100" s="38">
        <f t="shared" ref="R100" si="249">SUM(R97:R99)</f>
        <v>0</v>
      </c>
      <c r="S100" s="31">
        <f t="shared" ref="S100" si="250">SUM(S97:S99)</f>
        <v>38</v>
      </c>
      <c r="T100" s="38">
        <f t="shared" ref="T100" si="251">SUM(T97:T99)</f>
        <v>8.4874880000000008</v>
      </c>
      <c r="U100" s="31">
        <f t="shared" ref="U100" si="252">SUM(U97:U99)</f>
        <v>0</v>
      </c>
      <c r="V100" s="38">
        <f t="shared" ref="V100" si="253">SUM(V97:V99)</f>
        <v>0</v>
      </c>
    </row>
    <row r="101" spans="1:22">
      <c r="A101" s="26" t="s">
        <v>13</v>
      </c>
      <c r="B101" s="26" t="s">
        <v>52</v>
      </c>
      <c r="C101" s="30">
        <v>21.7</v>
      </c>
      <c r="D101" s="27">
        <v>6.8</v>
      </c>
      <c r="E101" s="28">
        <v>8</v>
      </c>
      <c r="F101" s="16">
        <f t="shared" ref="F101:F112" si="254">(C101*D101*E101/1000)</f>
        <v>1.18048</v>
      </c>
      <c r="G101" s="17" t="s">
        <v>86</v>
      </c>
      <c r="H101" s="18">
        <v>6</v>
      </c>
      <c r="I101" s="19">
        <f t="shared" ref="I101:I112" si="255">(C101*D101*H101/1000)</f>
        <v>0.88536000000000004</v>
      </c>
      <c r="J101" s="16" t="s">
        <v>560</v>
      </c>
      <c r="K101" s="18"/>
      <c r="L101" s="19">
        <f t="shared" ref="L101:L112" si="256">(C101*D101*K101/1000)</f>
        <v>0</v>
      </c>
      <c r="M101" s="16"/>
      <c r="N101" s="18"/>
      <c r="O101" s="19">
        <f t="shared" ref="O101:O112" si="257">(C101*D101*N101/1000)</f>
        <v>0</v>
      </c>
      <c r="P101" s="16"/>
      <c r="Q101" s="18"/>
      <c r="R101" s="19">
        <f t="shared" ref="R101:R112" si="258">(C101*D101*Q101/1000)</f>
        <v>0</v>
      </c>
      <c r="S101" s="20">
        <f t="shared" ref="S101:S112" si="259">+H101+K101+Q101+N101</f>
        <v>6</v>
      </c>
      <c r="T101" s="19">
        <f t="shared" ref="T101:T112" si="260">+I101+L101+R101+O101</f>
        <v>0.88536000000000004</v>
      </c>
      <c r="U101" s="21">
        <f t="shared" ref="U101:U112" si="261">E101-S101</f>
        <v>2</v>
      </c>
      <c r="V101" s="19">
        <f t="shared" ref="V101:V112" si="262">F101-T101</f>
        <v>0.29511999999999994</v>
      </c>
    </row>
    <row r="102" spans="1:22">
      <c r="A102" s="26" t="s">
        <v>13</v>
      </c>
      <c r="B102" s="26" t="s">
        <v>52</v>
      </c>
      <c r="C102" s="30">
        <v>21.7</v>
      </c>
      <c r="D102" s="27">
        <v>8.3000000000000007</v>
      </c>
      <c r="E102" s="28">
        <v>18</v>
      </c>
      <c r="F102" s="16">
        <f t="shared" si="254"/>
        <v>3.2419800000000003</v>
      </c>
      <c r="G102" s="17" t="s">
        <v>559</v>
      </c>
      <c r="H102" s="18">
        <v>16</v>
      </c>
      <c r="I102" s="19">
        <f t="shared" si="255"/>
        <v>2.8817600000000003</v>
      </c>
      <c r="J102" s="16" t="s">
        <v>561</v>
      </c>
      <c r="K102" s="18"/>
      <c r="L102" s="19">
        <f t="shared" si="256"/>
        <v>0</v>
      </c>
      <c r="M102" s="16"/>
      <c r="N102" s="18"/>
      <c r="O102" s="19">
        <f t="shared" si="257"/>
        <v>0</v>
      </c>
      <c r="P102" s="16"/>
      <c r="Q102" s="18"/>
      <c r="R102" s="19">
        <f t="shared" si="258"/>
        <v>0</v>
      </c>
      <c r="S102" s="20">
        <f t="shared" si="259"/>
        <v>16</v>
      </c>
      <c r="T102" s="19">
        <f t="shared" si="260"/>
        <v>2.8817600000000003</v>
      </c>
      <c r="U102" s="21">
        <f t="shared" si="261"/>
        <v>2</v>
      </c>
      <c r="V102" s="19">
        <f t="shared" si="262"/>
        <v>0.36021999999999998</v>
      </c>
    </row>
    <row r="103" spans="1:22">
      <c r="A103" s="26" t="s">
        <v>13</v>
      </c>
      <c r="B103" s="26" t="s">
        <v>52</v>
      </c>
      <c r="C103" s="30">
        <v>21.7</v>
      </c>
      <c r="D103" s="27">
        <v>9.1999999999999993</v>
      </c>
      <c r="E103" s="28">
        <v>16</v>
      </c>
      <c r="F103" s="16">
        <f t="shared" si="254"/>
        <v>3.1942399999999997</v>
      </c>
      <c r="G103" s="17"/>
      <c r="H103" s="18">
        <f>2+15</f>
        <v>17</v>
      </c>
      <c r="I103" s="19">
        <f t="shared" si="255"/>
        <v>3.3938799999999998</v>
      </c>
      <c r="J103" s="16"/>
      <c r="K103" s="18"/>
      <c r="L103" s="19">
        <f t="shared" si="256"/>
        <v>0</v>
      </c>
      <c r="M103" s="16"/>
      <c r="N103" s="18"/>
      <c r="O103" s="19">
        <f t="shared" si="257"/>
        <v>0</v>
      </c>
      <c r="P103" s="16"/>
      <c r="Q103" s="18"/>
      <c r="R103" s="19">
        <f t="shared" si="258"/>
        <v>0</v>
      </c>
      <c r="S103" s="20">
        <f t="shared" si="259"/>
        <v>17</v>
      </c>
      <c r="T103" s="19">
        <f t="shared" si="260"/>
        <v>3.3938799999999998</v>
      </c>
      <c r="U103" s="21">
        <f t="shared" si="261"/>
        <v>-1</v>
      </c>
      <c r="V103" s="19">
        <f t="shared" si="262"/>
        <v>-0.19964000000000004</v>
      </c>
    </row>
    <row r="104" spans="1:22">
      <c r="A104" s="26" t="s">
        <v>13</v>
      </c>
      <c r="B104" s="26" t="s">
        <v>52</v>
      </c>
      <c r="C104" s="30">
        <v>21.7</v>
      </c>
      <c r="D104" s="27">
        <v>10.8</v>
      </c>
      <c r="E104" s="28">
        <v>12</v>
      </c>
      <c r="F104" s="16">
        <f t="shared" si="254"/>
        <v>2.8123200000000002</v>
      </c>
      <c r="G104" s="17"/>
      <c r="H104" s="18">
        <v>11</v>
      </c>
      <c r="I104" s="19">
        <f t="shared" si="255"/>
        <v>2.57796</v>
      </c>
      <c r="J104" s="16"/>
      <c r="K104" s="18"/>
      <c r="L104" s="19">
        <f t="shared" si="256"/>
        <v>0</v>
      </c>
      <c r="M104" s="16"/>
      <c r="N104" s="18"/>
      <c r="O104" s="19">
        <f t="shared" si="257"/>
        <v>0</v>
      </c>
      <c r="P104" s="16"/>
      <c r="Q104" s="18"/>
      <c r="R104" s="19">
        <f t="shared" si="258"/>
        <v>0</v>
      </c>
      <c r="S104" s="20">
        <f t="shared" si="259"/>
        <v>11</v>
      </c>
      <c r="T104" s="19">
        <f t="shared" si="260"/>
        <v>2.57796</v>
      </c>
      <c r="U104" s="21">
        <f t="shared" si="261"/>
        <v>1</v>
      </c>
      <c r="V104" s="19">
        <f t="shared" si="262"/>
        <v>0.23436000000000012</v>
      </c>
    </row>
    <row r="105" spans="1:22">
      <c r="A105" s="26" t="s">
        <v>13</v>
      </c>
      <c r="B105" s="26" t="s">
        <v>52</v>
      </c>
      <c r="C105" s="30">
        <v>21.7</v>
      </c>
      <c r="D105" s="27">
        <v>11.8</v>
      </c>
      <c r="E105" s="28">
        <v>52</v>
      </c>
      <c r="F105" s="16">
        <f t="shared" ref="F105:F111" si="263">(C105*D105*E105/1000)</f>
        <v>13.31512</v>
      </c>
      <c r="G105" s="17"/>
      <c r="H105" s="18">
        <f t="shared" ref="H105" si="264">42+7</f>
        <v>49</v>
      </c>
      <c r="I105" s="19">
        <f t="shared" ref="I105:I111" si="265">(C105*D105*H105/1000)</f>
        <v>12.546940000000001</v>
      </c>
      <c r="J105" s="16"/>
      <c r="K105" s="18"/>
      <c r="L105" s="19">
        <f t="shared" ref="L105:L111" si="266">(C105*D105*K105/1000)</f>
        <v>0</v>
      </c>
      <c r="M105" s="16"/>
      <c r="N105" s="18"/>
      <c r="O105" s="19">
        <f t="shared" ref="O105:O111" si="267">(C105*D105*N105/1000)</f>
        <v>0</v>
      </c>
      <c r="P105" s="16"/>
      <c r="Q105" s="18"/>
      <c r="R105" s="19">
        <f t="shared" ref="R105:R111" si="268">(C105*D105*Q105/1000)</f>
        <v>0</v>
      </c>
      <c r="S105" s="20">
        <f t="shared" ref="S105:S111" si="269">+H105+K105+Q105+N105</f>
        <v>49</v>
      </c>
      <c r="T105" s="19">
        <f t="shared" ref="T105:T111" si="270">+I105+L105+R105+O105</f>
        <v>12.546940000000001</v>
      </c>
      <c r="U105" s="21">
        <f t="shared" ref="U105:U111" si="271">E105-S105</f>
        <v>3</v>
      </c>
      <c r="V105" s="19">
        <f t="shared" ref="V105:V111" si="272">F105-T105</f>
        <v>0.7681799999999992</v>
      </c>
    </row>
    <row r="106" spans="1:22">
      <c r="A106" s="26" t="s">
        <v>13</v>
      </c>
      <c r="B106" s="26" t="s">
        <v>52</v>
      </c>
      <c r="C106" s="30">
        <v>21.7</v>
      </c>
      <c r="D106" s="27">
        <v>7.8</v>
      </c>
      <c r="E106" s="28"/>
      <c r="F106" s="16">
        <f t="shared" si="263"/>
        <v>0</v>
      </c>
      <c r="G106" s="17"/>
      <c r="H106" s="18"/>
      <c r="I106" s="19">
        <f t="shared" si="265"/>
        <v>0</v>
      </c>
      <c r="J106" s="16"/>
      <c r="K106" s="18">
        <v>1</v>
      </c>
      <c r="L106" s="19">
        <f t="shared" si="266"/>
        <v>0.16925999999999999</v>
      </c>
      <c r="M106" s="16"/>
      <c r="N106" s="18"/>
      <c r="O106" s="19">
        <f t="shared" si="267"/>
        <v>0</v>
      </c>
      <c r="P106" s="16"/>
      <c r="Q106" s="18"/>
      <c r="R106" s="19">
        <f t="shared" si="268"/>
        <v>0</v>
      </c>
      <c r="S106" s="20">
        <f t="shared" si="269"/>
        <v>1</v>
      </c>
      <c r="T106" s="19">
        <f t="shared" si="270"/>
        <v>0.16925999999999999</v>
      </c>
      <c r="U106" s="21">
        <f t="shared" si="271"/>
        <v>-1</v>
      </c>
      <c r="V106" s="19">
        <f t="shared" si="272"/>
        <v>-0.16925999999999999</v>
      </c>
    </row>
    <row r="107" spans="1:22">
      <c r="A107" s="26" t="s">
        <v>13</v>
      </c>
      <c r="B107" s="26" t="s">
        <v>52</v>
      </c>
      <c r="C107" s="30">
        <v>21.7</v>
      </c>
      <c r="D107" s="27">
        <v>8.6999999999999993</v>
      </c>
      <c r="E107" s="28"/>
      <c r="F107" s="16">
        <f t="shared" si="263"/>
        <v>0</v>
      </c>
      <c r="G107" s="17"/>
      <c r="H107" s="18"/>
      <c r="I107" s="19">
        <f t="shared" si="265"/>
        <v>0</v>
      </c>
      <c r="J107" s="16"/>
      <c r="K107" s="18">
        <v>1</v>
      </c>
      <c r="L107" s="19">
        <f t="shared" si="266"/>
        <v>0.18878999999999999</v>
      </c>
      <c r="M107" s="16"/>
      <c r="N107" s="18"/>
      <c r="O107" s="19">
        <f t="shared" si="267"/>
        <v>0</v>
      </c>
      <c r="P107" s="16"/>
      <c r="Q107" s="18"/>
      <c r="R107" s="19">
        <f t="shared" si="268"/>
        <v>0</v>
      </c>
      <c r="S107" s="20">
        <f t="shared" si="269"/>
        <v>1</v>
      </c>
      <c r="T107" s="19">
        <f t="shared" si="270"/>
        <v>0.18878999999999999</v>
      </c>
      <c r="U107" s="21">
        <f t="shared" si="271"/>
        <v>-1</v>
      </c>
      <c r="V107" s="19">
        <f t="shared" si="272"/>
        <v>-0.18878999999999999</v>
      </c>
    </row>
    <row r="108" spans="1:22">
      <c r="A108" s="26" t="s">
        <v>13</v>
      </c>
      <c r="B108" s="26" t="s">
        <v>52</v>
      </c>
      <c r="C108" s="30">
        <v>21.7</v>
      </c>
      <c r="D108" s="27">
        <v>7.2</v>
      </c>
      <c r="E108" s="28"/>
      <c r="F108" s="16">
        <f t="shared" si="263"/>
        <v>0</v>
      </c>
      <c r="G108" s="17"/>
      <c r="H108" s="18"/>
      <c r="I108" s="19">
        <f t="shared" si="265"/>
        <v>0</v>
      </c>
      <c r="J108" s="16"/>
      <c r="K108" s="18">
        <v>1</v>
      </c>
      <c r="L108" s="19">
        <f t="shared" si="266"/>
        <v>0.15624000000000002</v>
      </c>
      <c r="M108" s="16"/>
      <c r="N108" s="18"/>
      <c r="O108" s="19">
        <f t="shared" si="267"/>
        <v>0</v>
      </c>
      <c r="P108" s="16"/>
      <c r="Q108" s="18"/>
      <c r="R108" s="19">
        <f t="shared" si="268"/>
        <v>0</v>
      </c>
      <c r="S108" s="20">
        <f t="shared" si="269"/>
        <v>1</v>
      </c>
      <c r="T108" s="19">
        <f t="shared" si="270"/>
        <v>0.15624000000000002</v>
      </c>
      <c r="U108" s="21">
        <f t="shared" si="271"/>
        <v>-1</v>
      </c>
      <c r="V108" s="19">
        <f t="shared" si="272"/>
        <v>-0.15624000000000002</v>
      </c>
    </row>
    <row r="109" spans="1:22">
      <c r="A109" s="26" t="s">
        <v>13</v>
      </c>
      <c r="B109" s="26" t="s">
        <v>52</v>
      </c>
      <c r="C109" s="30">
        <v>21.7</v>
      </c>
      <c r="D109" s="27">
        <v>11.3</v>
      </c>
      <c r="E109" s="28"/>
      <c r="F109" s="16">
        <f t="shared" si="263"/>
        <v>0</v>
      </c>
      <c r="G109" s="17"/>
      <c r="H109" s="18"/>
      <c r="I109" s="19">
        <f t="shared" si="265"/>
        <v>0</v>
      </c>
      <c r="J109" s="16"/>
      <c r="K109" s="18">
        <v>1</v>
      </c>
      <c r="L109" s="19">
        <f t="shared" si="266"/>
        <v>0.24521000000000001</v>
      </c>
      <c r="M109" s="16"/>
      <c r="N109" s="18"/>
      <c r="O109" s="19">
        <f t="shared" si="267"/>
        <v>0</v>
      </c>
      <c r="P109" s="16"/>
      <c r="Q109" s="18"/>
      <c r="R109" s="19">
        <f t="shared" si="268"/>
        <v>0</v>
      </c>
      <c r="S109" s="20">
        <f t="shared" si="269"/>
        <v>1</v>
      </c>
      <c r="T109" s="19">
        <f t="shared" si="270"/>
        <v>0.24521000000000001</v>
      </c>
      <c r="U109" s="21">
        <f t="shared" si="271"/>
        <v>-1</v>
      </c>
      <c r="V109" s="19">
        <f t="shared" si="272"/>
        <v>-0.24521000000000001</v>
      </c>
    </row>
    <row r="110" spans="1:22">
      <c r="A110" s="26" t="s">
        <v>13</v>
      </c>
      <c r="B110" s="26" t="s">
        <v>52</v>
      </c>
      <c r="C110" s="30">
        <v>21.7</v>
      </c>
      <c r="D110" s="27">
        <v>12</v>
      </c>
      <c r="E110" s="28"/>
      <c r="F110" s="16">
        <f t="shared" si="263"/>
        <v>0</v>
      </c>
      <c r="G110" s="17"/>
      <c r="H110" s="18"/>
      <c r="I110" s="19">
        <f t="shared" si="265"/>
        <v>0</v>
      </c>
      <c r="J110" s="16"/>
      <c r="K110" s="18">
        <v>3</v>
      </c>
      <c r="L110" s="19">
        <f t="shared" si="266"/>
        <v>0.78119999999999989</v>
      </c>
      <c r="M110" s="16"/>
      <c r="N110" s="18"/>
      <c r="O110" s="19">
        <f t="shared" si="267"/>
        <v>0</v>
      </c>
      <c r="P110" s="16"/>
      <c r="Q110" s="18"/>
      <c r="R110" s="19">
        <f t="shared" si="268"/>
        <v>0</v>
      </c>
      <c r="S110" s="20">
        <f t="shared" si="269"/>
        <v>3</v>
      </c>
      <c r="T110" s="19">
        <f t="shared" si="270"/>
        <v>0.78119999999999989</v>
      </c>
      <c r="U110" s="21">
        <f t="shared" si="271"/>
        <v>-3</v>
      </c>
      <c r="V110" s="19">
        <f t="shared" si="272"/>
        <v>-0.78119999999999989</v>
      </c>
    </row>
    <row r="111" spans="1:22">
      <c r="A111" s="26" t="s">
        <v>13</v>
      </c>
      <c r="B111" s="26" t="s">
        <v>52</v>
      </c>
      <c r="C111" s="30">
        <v>21.7</v>
      </c>
      <c r="D111" s="27"/>
      <c r="E111" s="28"/>
      <c r="F111" s="16">
        <f t="shared" si="263"/>
        <v>0</v>
      </c>
      <c r="G111" s="17"/>
      <c r="H111" s="18"/>
      <c r="I111" s="19">
        <f t="shared" si="265"/>
        <v>0</v>
      </c>
      <c r="J111" s="16"/>
      <c r="K111" s="18"/>
      <c r="L111" s="19">
        <f t="shared" si="266"/>
        <v>0</v>
      </c>
      <c r="M111" s="16"/>
      <c r="N111" s="18"/>
      <c r="O111" s="19">
        <f t="shared" si="267"/>
        <v>0</v>
      </c>
      <c r="P111" s="16"/>
      <c r="Q111" s="18"/>
      <c r="R111" s="19">
        <f t="shared" si="268"/>
        <v>0</v>
      </c>
      <c r="S111" s="20">
        <f t="shared" si="269"/>
        <v>0</v>
      </c>
      <c r="T111" s="19">
        <f t="shared" si="270"/>
        <v>0</v>
      </c>
      <c r="U111" s="21">
        <f t="shared" si="271"/>
        <v>0</v>
      </c>
      <c r="V111" s="19">
        <f t="shared" si="272"/>
        <v>0</v>
      </c>
    </row>
    <row r="112" spans="1:22">
      <c r="A112" s="26" t="s">
        <v>13</v>
      </c>
      <c r="B112" s="26" t="s">
        <v>52</v>
      </c>
      <c r="C112" s="30">
        <v>21.7</v>
      </c>
      <c r="D112" s="27"/>
      <c r="E112" s="28"/>
      <c r="F112" s="16">
        <f t="shared" si="254"/>
        <v>0</v>
      </c>
      <c r="G112" s="17"/>
      <c r="H112" s="18"/>
      <c r="I112" s="19">
        <f t="shared" si="255"/>
        <v>0</v>
      </c>
      <c r="J112" s="16"/>
      <c r="K112" s="18"/>
      <c r="L112" s="19">
        <f t="shared" si="256"/>
        <v>0</v>
      </c>
      <c r="M112" s="16"/>
      <c r="N112" s="18"/>
      <c r="O112" s="19">
        <f t="shared" si="257"/>
        <v>0</v>
      </c>
      <c r="P112" s="16"/>
      <c r="Q112" s="18"/>
      <c r="R112" s="19">
        <f t="shared" si="258"/>
        <v>0</v>
      </c>
      <c r="S112" s="20">
        <f t="shared" si="259"/>
        <v>0</v>
      </c>
      <c r="T112" s="19">
        <f t="shared" si="260"/>
        <v>0</v>
      </c>
      <c r="U112" s="21">
        <f t="shared" si="261"/>
        <v>0</v>
      </c>
      <c r="V112" s="19">
        <f t="shared" si="262"/>
        <v>0</v>
      </c>
    </row>
    <row r="113" spans="1:22">
      <c r="A113" s="36"/>
      <c r="B113" s="36"/>
      <c r="C113" s="30"/>
      <c r="D113" s="38"/>
      <c r="E113" s="31"/>
      <c r="F113" s="38">
        <f t="shared" ref="F113" si="273">SUM(F101:F112)</f>
        <v>23.744140000000002</v>
      </c>
      <c r="H113" s="31">
        <f t="shared" ref="H113" si="274">SUM(H101:H112)</f>
        <v>99</v>
      </c>
      <c r="I113" s="38">
        <f t="shared" ref="I113" si="275">SUM(I101:I112)</f>
        <v>22.285899999999998</v>
      </c>
      <c r="K113" s="31">
        <f t="shared" ref="K113" si="276">SUM(K101:K112)</f>
        <v>7</v>
      </c>
      <c r="L113" s="38">
        <f t="shared" ref="L113" si="277">SUM(L101:L112)</f>
        <v>1.5407</v>
      </c>
      <c r="N113" s="31">
        <f t="shared" ref="N113" si="278">SUM(N101:N112)</f>
        <v>0</v>
      </c>
      <c r="O113" s="38">
        <f t="shared" ref="O113" si="279">SUM(O101:O112)</f>
        <v>0</v>
      </c>
      <c r="Q113" s="31">
        <f t="shared" ref="Q113" si="280">SUM(Q101:Q112)</f>
        <v>0</v>
      </c>
      <c r="R113" s="38">
        <f t="shared" ref="R113" si="281">SUM(R101:R112)</f>
        <v>0</v>
      </c>
      <c r="S113" s="31">
        <f t="shared" ref="S113" si="282">SUM(S101:S112)</f>
        <v>106</v>
      </c>
      <c r="T113" s="38">
        <f t="shared" ref="T113" si="283">SUM(T101:T112)</f>
        <v>23.826599999999999</v>
      </c>
      <c r="U113" s="31">
        <f t="shared" ref="U113" si="284">SUM(U101:U112)</f>
        <v>0</v>
      </c>
      <c r="V113" s="38">
        <f t="shared" ref="V113" si="285">SUM(V101:V112)</f>
        <v>-8.2460000000000866E-2</v>
      </c>
    </row>
    <row r="114" spans="1:22" hidden="1">
      <c r="A114" s="26" t="s">
        <v>13</v>
      </c>
      <c r="B114" s="26" t="s">
        <v>124</v>
      </c>
      <c r="C114" s="30">
        <v>22.93</v>
      </c>
      <c r="D114" s="27">
        <v>7.6</v>
      </c>
      <c r="E114" s="28">
        <v>4</v>
      </c>
      <c r="F114" s="16">
        <f t="shared" ref="F114:F115" si="286">(C114*D114*E114/1000)</f>
        <v>0.69707200000000002</v>
      </c>
      <c r="G114" s="16" t="s">
        <v>205</v>
      </c>
      <c r="H114" s="18">
        <v>4</v>
      </c>
      <c r="I114" s="19">
        <f t="shared" ref="I114:I115" si="287">(C114*D114*H114/1000)</f>
        <v>0.69707200000000002</v>
      </c>
      <c r="J114" s="16"/>
      <c r="K114" s="18"/>
      <c r="L114" s="19">
        <f t="shared" ref="L114:L115" si="288">(C114*D114*K114/1000)</f>
        <v>0</v>
      </c>
      <c r="M114" s="16"/>
      <c r="N114" s="18"/>
      <c r="O114" s="19">
        <f t="shared" ref="O114:O115" si="289">(C114*D114*N114/1000)</f>
        <v>0</v>
      </c>
      <c r="P114" s="16"/>
      <c r="Q114" s="18"/>
      <c r="R114" s="19">
        <f t="shared" ref="R114:R115" si="290">(C114*D114*Q114/1000)</f>
        <v>0</v>
      </c>
      <c r="S114" s="20">
        <f t="shared" ref="S114:S115" si="291">+H114+K114+Q114+N114</f>
        <v>4</v>
      </c>
      <c r="T114" s="19">
        <f t="shared" ref="T114:T115" si="292">+I114+L114+R114+O114</f>
        <v>0.69707200000000002</v>
      </c>
      <c r="U114" s="21">
        <f t="shared" ref="U114:U115" si="293">E114-S114</f>
        <v>0</v>
      </c>
      <c r="V114" s="19">
        <f t="shared" ref="V114:V115" si="294">F114-T114</f>
        <v>0</v>
      </c>
    </row>
    <row r="115" spans="1:22" hidden="1">
      <c r="A115" s="26" t="s">
        <v>13</v>
      </c>
      <c r="B115" s="26" t="s">
        <v>124</v>
      </c>
      <c r="C115" s="30">
        <v>22.93</v>
      </c>
      <c r="D115" s="27">
        <v>12</v>
      </c>
      <c r="E115" s="28">
        <v>38</v>
      </c>
      <c r="F115" s="16">
        <f t="shared" si="286"/>
        <v>10.456079999999998</v>
      </c>
      <c r="G115" s="16" t="s">
        <v>525</v>
      </c>
      <c r="H115" s="18">
        <v>38</v>
      </c>
      <c r="I115" s="19">
        <f t="shared" si="287"/>
        <v>10.456079999999998</v>
      </c>
      <c r="J115" s="16"/>
      <c r="K115" s="18"/>
      <c r="L115" s="19">
        <f t="shared" si="288"/>
        <v>0</v>
      </c>
      <c r="M115" s="16"/>
      <c r="N115" s="18"/>
      <c r="O115" s="19">
        <f t="shared" si="289"/>
        <v>0</v>
      </c>
      <c r="P115" s="16"/>
      <c r="Q115" s="18"/>
      <c r="R115" s="19">
        <f t="shared" si="290"/>
        <v>0</v>
      </c>
      <c r="S115" s="20">
        <f t="shared" si="291"/>
        <v>38</v>
      </c>
      <c r="T115" s="19">
        <f t="shared" si="292"/>
        <v>10.456079999999998</v>
      </c>
      <c r="U115" s="21">
        <f t="shared" si="293"/>
        <v>0</v>
      </c>
      <c r="V115" s="19">
        <f t="shared" si="294"/>
        <v>0</v>
      </c>
    </row>
    <row r="116" spans="1:22" hidden="1">
      <c r="A116" s="36"/>
      <c r="B116" s="36"/>
      <c r="C116" s="30"/>
      <c r="D116" s="38"/>
      <c r="E116" s="31">
        <f t="shared" ref="E116" si="295">SUM(E114:E115)</f>
        <v>42</v>
      </c>
      <c r="F116" s="38">
        <f t="shared" ref="F116" si="296">SUM(F114:F115)</f>
        <v>11.153151999999999</v>
      </c>
      <c r="H116" s="31">
        <f t="shared" ref="H116" si="297">SUM(H114:H115)</f>
        <v>42</v>
      </c>
      <c r="I116" s="38">
        <f t="shared" ref="I116" si="298">SUM(I114:I115)</f>
        <v>11.153151999999999</v>
      </c>
      <c r="K116" s="31">
        <f t="shared" ref="K116" si="299">SUM(K114:K115)</f>
        <v>0</v>
      </c>
      <c r="L116" s="38">
        <f t="shared" ref="L116" si="300">SUM(L114:L115)</f>
        <v>0</v>
      </c>
      <c r="N116" s="31">
        <f t="shared" ref="N116" si="301">SUM(N114:N115)</f>
        <v>0</v>
      </c>
      <c r="O116" s="38">
        <f t="shared" ref="O116" si="302">SUM(O114:O115)</f>
        <v>0</v>
      </c>
      <c r="Q116" s="31">
        <f t="shared" ref="Q116" si="303">SUM(Q114:Q115)</f>
        <v>0</v>
      </c>
      <c r="R116" s="38">
        <f t="shared" ref="R116" si="304">SUM(R114:R115)</f>
        <v>0</v>
      </c>
      <c r="S116" s="31">
        <f t="shared" ref="S116" si="305">SUM(S114:S115)</f>
        <v>42</v>
      </c>
      <c r="T116" s="38">
        <f t="shared" ref="T116" si="306">SUM(T114:T115)</f>
        <v>11.153151999999999</v>
      </c>
      <c r="U116" s="31">
        <f t="shared" ref="U116" si="307">SUM(U114:U115)</f>
        <v>0</v>
      </c>
      <c r="V116" s="38">
        <f t="shared" ref="V116" si="308">SUM(V114:V115)</f>
        <v>0</v>
      </c>
    </row>
    <row r="117" spans="1:22">
      <c r="A117" s="26" t="s">
        <v>13</v>
      </c>
      <c r="B117" s="26" t="s">
        <v>255</v>
      </c>
      <c r="C117" s="30">
        <v>25.2</v>
      </c>
      <c r="D117" s="27">
        <v>9.1</v>
      </c>
      <c r="E117" s="28">
        <v>17</v>
      </c>
      <c r="F117" s="16">
        <f t="shared" ref="F117:F119" si="309">(C117*D117*E117/1000)</f>
        <v>3.8984399999999999</v>
      </c>
      <c r="G117" s="17" t="s">
        <v>86</v>
      </c>
      <c r="H117" s="18">
        <v>12</v>
      </c>
      <c r="I117" s="19">
        <f t="shared" ref="I117:I119" si="310">(C117*D117*H117/1000)</f>
        <v>2.7518400000000001</v>
      </c>
      <c r="J117" s="16" t="s">
        <v>325</v>
      </c>
      <c r="K117" s="18"/>
      <c r="L117" s="19">
        <f t="shared" ref="L117:L119" si="311">(C117*D117*K117/1000)</f>
        <v>0</v>
      </c>
      <c r="M117" s="16" t="s">
        <v>89</v>
      </c>
      <c r="N117" s="18">
        <v>5</v>
      </c>
      <c r="O117" s="19">
        <f t="shared" ref="O117:O119" si="312">(C117*D117*N117/1000)</f>
        <v>1.1465999999999998</v>
      </c>
      <c r="P117" s="16"/>
      <c r="Q117" s="18"/>
      <c r="R117" s="19">
        <f t="shared" ref="R117:R119" si="313">(C117*D117*Q117/1000)</f>
        <v>0</v>
      </c>
      <c r="S117" s="20">
        <f t="shared" ref="S117:S119" si="314">+H117+K117+Q117+N117</f>
        <v>17</v>
      </c>
      <c r="T117" s="19">
        <f t="shared" ref="T117:T119" si="315">+I117+L117+R117+O117</f>
        <v>3.8984399999999999</v>
      </c>
      <c r="U117" s="21">
        <f t="shared" ref="U117:U119" si="316">E117-S117</f>
        <v>0</v>
      </c>
      <c r="V117" s="19">
        <f t="shared" ref="V117:V119" si="317">F117-T117</f>
        <v>0</v>
      </c>
    </row>
    <row r="118" spans="1:22">
      <c r="A118" s="26" t="s">
        <v>13</v>
      </c>
      <c r="B118" s="26" t="s">
        <v>255</v>
      </c>
      <c r="C118" s="30">
        <v>25.2</v>
      </c>
      <c r="D118" s="27">
        <v>9.6999999999999993</v>
      </c>
      <c r="E118" s="28">
        <v>10</v>
      </c>
      <c r="F118" s="16">
        <f t="shared" si="309"/>
        <v>2.4443999999999995</v>
      </c>
      <c r="G118" s="17" t="s">
        <v>524</v>
      </c>
      <c r="H118" s="18">
        <v>4</v>
      </c>
      <c r="I118" s="19">
        <f t="shared" si="310"/>
        <v>0.97775999999999985</v>
      </c>
      <c r="J118" s="16" t="s">
        <v>545</v>
      </c>
      <c r="K118" s="18">
        <v>5</v>
      </c>
      <c r="L118" s="19">
        <f t="shared" si="311"/>
        <v>1.2221999999999997</v>
      </c>
      <c r="M118" s="16" t="s">
        <v>548</v>
      </c>
      <c r="N118" s="18">
        <v>1</v>
      </c>
      <c r="O118" s="19">
        <f t="shared" si="312"/>
        <v>0.24443999999999996</v>
      </c>
      <c r="P118" s="16"/>
      <c r="Q118" s="18"/>
      <c r="R118" s="19">
        <f t="shared" si="313"/>
        <v>0</v>
      </c>
      <c r="S118" s="20">
        <f t="shared" si="314"/>
        <v>10</v>
      </c>
      <c r="T118" s="19">
        <f t="shared" si="315"/>
        <v>2.4443999999999995</v>
      </c>
      <c r="U118" s="21">
        <f t="shared" si="316"/>
        <v>0</v>
      </c>
      <c r="V118" s="19">
        <f t="shared" si="317"/>
        <v>0</v>
      </c>
    </row>
    <row r="119" spans="1:22">
      <c r="A119" s="26" t="s">
        <v>13</v>
      </c>
      <c r="B119" s="26" t="s">
        <v>255</v>
      </c>
      <c r="C119" s="30">
        <v>25.2</v>
      </c>
      <c r="D119" s="27">
        <v>10</v>
      </c>
      <c r="E119" s="28">
        <v>9</v>
      </c>
      <c r="F119" s="16">
        <f t="shared" si="309"/>
        <v>2.2679999999999998</v>
      </c>
      <c r="G119" s="17"/>
      <c r="H119" s="18">
        <v>9</v>
      </c>
      <c r="I119" s="19">
        <f t="shared" si="310"/>
        <v>2.2679999999999998</v>
      </c>
      <c r="J119" s="16"/>
      <c r="K119" s="18"/>
      <c r="L119" s="19">
        <f t="shared" si="311"/>
        <v>0</v>
      </c>
      <c r="M119" s="16"/>
      <c r="N119" s="18"/>
      <c r="O119" s="19">
        <f t="shared" si="312"/>
        <v>0</v>
      </c>
      <c r="P119" s="16"/>
      <c r="Q119" s="18"/>
      <c r="R119" s="19">
        <f t="shared" si="313"/>
        <v>0</v>
      </c>
      <c r="S119" s="20">
        <f t="shared" si="314"/>
        <v>9</v>
      </c>
      <c r="T119" s="19">
        <f t="shared" si="315"/>
        <v>2.2679999999999998</v>
      </c>
      <c r="U119" s="21">
        <f t="shared" si="316"/>
        <v>0</v>
      </c>
      <c r="V119" s="19">
        <f t="shared" si="317"/>
        <v>0</v>
      </c>
    </row>
    <row r="120" spans="1:22">
      <c r="A120" s="36"/>
      <c r="B120" s="36"/>
      <c r="C120" s="30"/>
      <c r="D120" s="38"/>
      <c r="E120" s="31">
        <f t="shared" ref="E120" si="318">SUM(E117:E119)</f>
        <v>36</v>
      </c>
      <c r="F120" s="38">
        <f t="shared" ref="F120" si="319">SUM(F117:F119)</f>
        <v>8.6108399999999996</v>
      </c>
      <c r="H120" s="31">
        <f>SUM(H117:H119)</f>
        <v>25</v>
      </c>
      <c r="I120" s="38">
        <f>SUM(I117:I119)</f>
        <v>5.9976000000000003</v>
      </c>
      <c r="K120" s="31">
        <f t="shared" ref="K120" si="320">SUM(K117:K119)</f>
        <v>5</v>
      </c>
      <c r="L120" s="38">
        <f t="shared" ref="L120" si="321">SUM(L117:L119)</f>
        <v>1.2221999999999997</v>
      </c>
      <c r="N120" s="31">
        <f t="shared" ref="N120" si="322">SUM(N117:N119)</f>
        <v>6</v>
      </c>
      <c r="O120" s="38">
        <f t="shared" ref="O120" si="323">SUM(O117:O119)</f>
        <v>1.3910399999999998</v>
      </c>
      <c r="Q120" s="31">
        <f t="shared" ref="Q120" si="324">SUM(Q117:Q119)</f>
        <v>0</v>
      </c>
      <c r="R120" s="38">
        <f t="shared" ref="R120" si="325">SUM(R117:R119)</f>
        <v>0</v>
      </c>
      <c r="S120" s="31">
        <f t="shared" ref="S120" si="326">SUM(S117:S119)</f>
        <v>36</v>
      </c>
      <c r="T120" s="38">
        <f t="shared" ref="T120" si="327">SUM(T117:T119)</f>
        <v>8.6108399999999996</v>
      </c>
      <c r="U120" s="31">
        <f t="shared" ref="U120" si="328">SUM(U117:U119)</f>
        <v>0</v>
      </c>
      <c r="V120" s="38">
        <f t="shared" ref="V120" si="329">SUM(V117:V119)</f>
        <v>0</v>
      </c>
    </row>
    <row r="121" spans="1:22">
      <c r="A121" s="26" t="s">
        <v>13</v>
      </c>
      <c r="B121" s="26" t="s">
        <v>125</v>
      </c>
      <c r="C121" s="30">
        <v>27.29</v>
      </c>
      <c r="D121" s="27">
        <v>8</v>
      </c>
      <c r="E121" s="28">
        <v>16</v>
      </c>
      <c r="F121" s="16">
        <f t="shared" ref="F121:F127" si="330">(C121*D121*E121/1000)</f>
        <v>3.4931199999999998</v>
      </c>
      <c r="G121" s="17" t="s">
        <v>527</v>
      </c>
      <c r="H121" s="18">
        <v>16</v>
      </c>
      <c r="I121" s="19">
        <f t="shared" ref="I121:I127" si="331">(C121*D121*H121/1000)</f>
        <v>3.4931199999999998</v>
      </c>
      <c r="J121" s="16" t="s">
        <v>89</v>
      </c>
      <c r="K121" s="18">
        <v>4</v>
      </c>
      <c r="L121" s="19">
        <f t="shared" ref="L121:L127" si="332">(C121*D121*K121/1000)</f>
        <v>0.87327999999999995</v>
      </c>
      <c r="M121" s="16"/>
      <c r="N121" s="18"/>
      <c r="O121" s="19">
        <f t="shared" ref="O121:O127" si="333">(C121*D121*N121/1000)</f>
        <v>0</v>
      </c>
      <c r="P121" s="16"/>
      <c r="Q121" s="18"/>
      <c r="R121" s="19">
        <f t="shared" ref="R121:R127" si="334">(C121*D121*Q121/1000)</f>
        <v>0</v>
      </c>
      <c r="S121" s="20">
        <f t="shared" ref="S121:S127" si="335">+H121+K121+Q121+N121</f>
        <v>20</v>
      </c>
      <c r="T121" s="19">
        <f t="shared" ref="T121:T127" si="336">+I121+L121+R121+O121</f>
        <v>4.3663999999999996</v>
      </c>
      <c r="U121" s="21">
        <f t="shared" ref="U121:U127" si="337">E121-S121</f>
        <v>-4</v>
      </c>
      <c r="V121" s="19">
        <f t="shared" ref="V121:V127" si="338">F121-T121</f>
        <v>-0.87327999999999983</v>
      </c>
    </row>
    <row r="122" spans="1:22">
      <c r="A122" s="26" t="s">
        <v>13</v>
      </c>
      <c r="B122" s="26" t="s">
        <v>125</v>
      </c>
      <c r="C122" s="30">
        <v>27.29</v>
      </c>
      <c r="D122" s="27">
        <v>8.6</v>
      </c>
      <c r="E122" s="28">
        <v>12</v>
      </c>
      <c r="F122" s="16">
        <f t="shared" si="330"/>
        <v>2.8163279999999999</v>
      </c>
      <c r="G122" s="17" t="s">
        <v>526</v>
      </c>
      <c r="H122" s="18">
        <v>5</v>
      </c>
      <c r="I122" s="19">
        <f t="shared" si="331"/>
        <v>1.17347</v>
      </c>
      <c r="J122" s="16" t="s">
        <v>548</v>
      </c>
      <c r="K122" s="18"/>
      <c r="L122" s="19">
        <f t="shared" si="332"/>
        <v>0</v>
      </c>
      <c r="M122" s="16"/>
      <c r="N122" s="18"/>
      <c r="O122" s="19">
        <f t="shared" si="333"/>
        <v>0</v>
      </c>
      <c r="P122" s="16"/>
      <c r="Q122" s="18"/>
      <c r="R122" s="19">
        <f t="shared" si="334"/>
        <v>0</v>
      </c>
      <c r="S122" s="20">
        <f t="shared" si="335"/>
        <v>5</v>
      </c>
      <c r="T122" s="19">
        <f t="shared" si="336"/>
        <v>1.17347</v>
      </c>
      <c r="U122" s="21">
        <f t="shared" si="337"/>
        <v>7</v>
      </c>
      <c r="V122" s="19">
        <f t="shared" si="338"/>
        <v>1.6428579999999999</v>
      </c>
    </row>
    <row r="123" spans="1:22">
      <c r="A123" s="26" t="s">
        <v>13</v>
      </c>
      <c r="B123" s="26" t="s">
        <v>125</v>
      </c>
      <c r="C123" s="30">
        <v>27.29</v>
      </c>
      <c r="D123" s="27">
        <v>9.1</v>
      </c>
      <c r="E123" s="28">
        <v>8</v>
      </c>
      <c r="F123" s="16">
        <f t="shared" ref="F123:F126" si="339">(C123*D123*E123/1000)</f>
        <v>1.9867119999999998</v>
      </c>
      <c r="G123" s="17"/>
      <c r="H123" s="18">
        <v>8</v>
      </c>
      <c r="I123" s="19">
        <f t="shared" ref="I123:I126" si="340">(C123*D123*H123/1000)</f>
        <v>1.9867119999999998</v>
      </c>
      <c r="J123" s="16"/>
      <c r="K123" s="18"/>
      <c r="L123" s="19">
        <f t="shared" ref="L123:L126" si="341">(C123*D123*K123/1000)</f>
        <v>0</v>
      </c>
      <c r="M123" s="16"/>
      <c r="N123" s="18"/>
      <c r="O123" s="19">
        <f t="shared" ref="O123:O126" si="342">(C123*D123*N123/1000)</f>
        <v>0</v>
      </c>
      <c r="P123" s="16"/>
      <c r="Q123" s="18"/>
      <c r="R123" s="19">
        <f t="shared" ref="R123:R126" si="343">(C123*D123*Q123/1000)</f>
        <v>0</v>
      </c>
      <c r="S123" s="20">
        <f t="shared" ref="S123:S126" si="344">+H123+K123+Q123+N123</f>
        <v>8</v>
      </c>
      <c r="T123" s="19">
        <f t="shared" ref="T123:T126" si="345">+I123+L123+R123+O123</f>
        <v>1.9867119999999998</v>
      </c>
      <c r="U123" s="21">
        <f t="shared" ref="U123:U126" si="346">E123-S123</f>
        <v>0</v>
      </c>
      <c r="V123" s="19">
        <f t="shared" ref="V123:V126" si="347">F123-T123</f>
        <v>0</v>
      </c>
    </row>
    <row r="124" spans="1:22">
      <c r="A124" s="26" t="s">
        <v>13</v>
      </c>
      <c r="B124" s="26" t="s">
        <v>125</v>
      </c>
      <c r="C124" s="30">
        <v>27.29</v>
      </c>
      <c r="D124" s="27">
        <v>8.1999999999999993</v>
      </c>
      <c r="E124" s="28"/>
      <c r="F124" s="16">
        <f t="shared" si="339"/>
        <v>0</v>
      </c>
      <c r="G124" s="17"/>
      <c r="H124" s="18"/>
      <c r="I124" s="19">
        <f t="shared" si="340"/>
        <v>0</v>
      </c>
      <c r="J124" s="16"/>
      <c r="K124" s="18">
        <v>1</v>
      </c>
      <c r="L124" s="19">
        <f t="shared" si="341"/>
        <v>0.22377799999999998</v>
      </c>
      <c r="M124" s="16"/>
      <c r="N124" s="18"/>
      <c r="O124" s="19">
        <f t="shared" si="342"/>
        <v>0</v>
      </c>
      <c r="P124" s="16"/>
      <c r="Q124" s="18"/>
      <c r="R124" s="19">
        <f t="shared" si="343"/>
        <v>0</v>
      </c>
      <c r="S124" s="20">
        <f t="shared" si="344"/>
        <v>1</v>
      </c>
      <c r="T124" s="19">
        <f t="shared" si="345"/>
        <v>0.22377799999999998</v>
      </c>
      <c r="U124" s="21">
        <f t="shared" si="346"/>
        <v>-1</v>
      </c>
      <c r="V124" s="19">
        <f t="shared" si="347"/>
        <v>-0.22377799999999998</v>
      </c>
    </row>
    <row r="125" spans="1:22">
      <c r="A125" s="26" t="s">
        <v>13</v>
      </c>
      <c r="B125" s="26" t="s">
        <v>125</v>
      </c>
      <c r="C125" s="30">
        <v>27.29</v>
      </c>
      <c r="D125" s="27">
        <v>7.8</v>
      </c>
      <c r="E125" s="28"/>
      <c r="F125" s="16">
        <f t="shared" si="339"/>
        <v>0</v>
      </c>
      <c r="G125" s="17"/>
      <c r="H125" s="18"/>
      <c r="I125" s="19">
        <f t="shared" si="340"/>
        <v>0</v>
      </c>
      <c r="J125" s="16"/>
      <c r="K125" s="18">
        <v>1</v>
      </c>
      <c r="L125" s="19">
        <f t="shared" si="341"/>
        <v>0.212862</v>
      </c>
      <c r="M125" s="16"/>
      <c r="N125" s="18"/>
      <c r="O125" s="19">
        <f t="shared" si="342"/>
        <v>0</v>
      </c>
      <c r="P125" s="16"/>
      <c r="Q125" s="18"/>
      <c r="R125" s="19">
        <f t="shared" si="343"/>
        <v>0</v>
      </c>
      <c r="S125" s="20">
        <f t="shared" si="344"/>
        <v>1</v>
      </c>
      <c r="T125" s="19">
        <f t="shared" si="345"/>
        <v>0.212862</v>
      </c>
      <c r="U125" s="21">
        <f t="shared" si="346"/>
        <v>-1</v>
      </c>
      <c r="V125" s="19">
        <f t="shared" si="347"/>
        <v>-0.212862</v>
      </c>
    </row>
    <row r="126" spans="1:22">
      <c r="A126" s="26" t="s">
        <v>13</v>
      </c>
      <c r="B126" s="26" t="s">
        <v>125</v>
      </c>
      <c r="C126" s="30">
        <v>27.29</v>
      </c>
      <c r="D126" s="27">
        <v>7</v>
      </c>
      <c r="E126" s="28"/>
      <c r="F126" s="16">
        <f t="shared" si="339"/>
        <v>0</v>
      </c>
      <c r="G126" s="17"/>
      <c r="H126" s="18"/>
      <c r="I126" s="19">
        <f t="shared" si="340"/>
        <v>0</v>
      </c>
      <c r="J126" s="16"/>
      <c r="K126" s="18">
        <v>1</v>
      </c>
      <c r="L126" s="19">
        <f t="shared" si="341"/>
        <v>0.19103000000000001</v>
      </c>
      <c r="M126" s="16"/>
      <c r="N126" s="18"/>
      <c r="O126" s="19">
        <f t="shared" si="342"/>
        <v>0</v>
      </c>
      <c r="P126" s="16"/>
      <c r="Q126" s="18"/>
      <c r="R126" s="19">
        <f t="shared" si="343"/>
        <v>0</v>
      </c>
      <c r="S126" s="20">
        <f t="shared" si="344"/>
        <v>1</v>
      </c>
      <c r="T126" s="19">
        <f t="shared" si="345"/>
        <v>0.19103000000000001</v>
      </c>
      <c r="U126" s="21">
        <f t="shared" si="346"/>
        <v>-1</v>
      </c>
      <c r="V126" s="19">
        <f t="shared" si="347"/>
        <v>-0.19103000000000001</v>
      </c>
    </row>
    <row r="127" spans="1:22">
      <c r="A127" s="26" t="s">
        <v>13</v>
      </c>
      <c r="B127" s="26" t="s">
        <v>125</v>
      </c>
      <c r="C127" s="30">
        <v>27.29</v>
      </c>
      <c r="D127" s="27">
        <v>8.1999999999999993</v>
      </c>
      <c r="E127" s="28"/>
      <c r="F127" s="16">
        <f t="shared" si="330"/>
        <v>0</v>
      </c>
      <c r="G127" s="17"/>
      <c r="H127" s="18"/>
      <c r="I127" s="19">
        <f t="shared" si="331"/>
        <v>0</v>
      </c>
      <c r="J127" s="16"/>
      <c r="K127" s="18">
        <v>1</v>
      </c>
      <c r="L127" s="19">
        <f t="shared" si="332"/>
        <v>0.22377799999999998</v>
      </c>
      <c r="M127" s="16"/>
      <c r="N127" s="18"/>
      <c r="O127" s="19">
        <f t="shared" si="333"/>
        <v>0</v>
      </c>
      <c r="P127" s="16"/>
      <c r="Q127" s="18"/>
      <c r="R127" s="19">
        <f t="shared" si="334"/>
        <v>0</v>
      </c>
      <c r="S127" s="20">
        <f t="shared" si="335"/>
        <v>1</v>
      </c>
      <c r="T127" s="19">
        <f t="shared" si="336"/>
        <v>0.22377799999999998</v>
      </c>
      <c r="U127" s="21">
        <f t="shared" si="337"/>
        <v>-1</v>
      </c>
      <c r="V127" s="19">
        <f t="shared" si="338"/>
        <v>-0.22377799999999998</v>
      </c>
    </row>
    <row r="128" spans="1:22">
      <c r="A128" s="36"/>
      <c r="B128" s="36"/>
      <c r="C128" s="30"/>
      <c r="D128" s="38"/>
      <c r="E128" s="31">
        <f>SUM(E121:E127)</f>
        <v>36</v>
      </c>
      <c r="F128" s="38">
        <f>SUM(F121:F127)</f>
        <v>8.2961600000000004</v>
      </c>
      <c r="H128" s="31">
        <f>SUM(H121:H127)</f>
        <v>29</v>
      </c>
      <c r="I128" s="38">
        <f>SUM(I121:I127)</f>
        <v>6.6533019999999992</v>
      </c>
      <c r="K128" s="31">
        <f>SUM(K121:K127)</f>
        <v>8</v>
      </c>
      <c r="L128" s="38">
        <f>SUM(L121:L127)</f>
        <v>1.724728</v>
      </c>
      <c r="N128" s="31">
        <f>SUM(N121:N127)</f>
        <v>0</v>
      </c>
      <c r="O128" s="38">
        <f>SUM(O121:O127)</f>
        <v>0</v>
      </c>
      <c r="Q128" s="31">
        <f t="shared" ref="Q128:V128" si="348">SUM(Q121:Q127)</f>
        <v>0</v>
      </c>
      <c r="R128" s="38">
        <f t="shared" si="348"/>
        <v>0</v>
      </c>
      <c r="S128" s="31">
        <f t="shared" si="348"/>
        <v>37</v>
      </c>
      <c r="T128" s="38">
        <f t="shared" si="348"/>
        <v>8.378029999999999</v>
      </c>
      <c r="U128" s="31">
        <f t="shared" si="348"/>
        <v>-1</v>
      </c>
      <c r="V128" s="38">
        <f t="shared" si="348"/>
        <v>-8.1869999999999915E-2</v>
      </c>
    </row>
    <row r="129" spans="1:22">
      <c r="A129" s="26" t="s">
        <v>13</v>
      </c>
      <c r="B129" s="26" t="s">
        <v>212</v>
      </c>
      <c r="C129" s="30">
        <v>29.5</v>
      </c>
      <c r="D129" s="27">
        <v>8.1999999999999993</v>
      </c>
      <c r="E129" s="28">
        <v>28</v>
      </c>
      <c r="F129" s="16">
        <f t="shared" ref="F129:F139" si="349">(C129*D129*E129/1000)</f>
        <v>6.7731999999999992</v>
      </c>
      <c r="G129" s="16" t="s">
        <v>205</v>
      </c>
      <c r="H129" s="18">
        <v>7</v>
      </c>
      <c r="I129" s="19">
        <f t="shared" ref="I129:I139" si="350">(C129*D129*H129/1000)</f>
        <v>1.6932999999999998</v>
      </c>
      <c r="J129" s="17" t="s">
        <v>527</v>
      </c>
      <c r="K129" s="18">
        <v>21</v>
      </c>
      <c r="L129" s="19">
        <f t="shared" ref="L129:L139" si="351">(C129*D129*K129/1000)</f>
        <v>5.0798999999999994</v>
      </c>
      <c r="M129" s="16" t="s">
        <v>88</v>
      </c>
      <c r="N129" s="18"/>
      <c r="O129" s="19">
        <f t="shared" ref="O129:O139" si="352">(C129*D129*N129/1000)</f>
        <v>0</v>
      </c>
      <c r="P129" s="16"/>
      <c r="Q129" s="18"/>
      <c r="R129" s="19">
        <f t="shared" ref="R129:R139" si="353">(C129*D129*Q129/1000)</f>
        <v>0</v>
      </c>
      <c r="S129" s="20">
        <f t="shared" ref="S129:S139" si="354">+H129+K129+Q129+N129</f>
        <v>28</v>
      </c>
      <c r="T129" s="19">
        <f t="shared" ref="T129:T139" si="355">+I129+L129+R129+O129</f>
        <v>6.7731999999999992</v>
      </c>
      <c r="U129" s="21">
        <f t="shared" ref="U129:U139" si="356">E129-S129</f>
        <v>0</v>
      </c>
      <c r="V129" s="19">
        <f t="shared" ref="V129:V139" si="357">F129-T129</f>
        <v>0</v>
      </c>
    </row>
    <row r="130" spans="1:22">
      <c r="A130" s="26" t="s">
        <v>13</v>
      </c>
      <c r="B130" s="26" t="s">
        <v>212</v>
      </c>
      <c r="C130" s="30">
        <v>29.5</v>
      </c>
      <c r="D130" s="27">
        <v>8.4</v>
      </c>
      <c r="E130" s="28">
        <v>4</v>
      </c>
      <c r="F130" s="16">
        <f t="shared" si="349"/>
        <v>0.99120000000000008</v>
      </c>
      <c r="G130" s="16" t="s">
        <v>525</v>
      </c>
      <c r="H130" s="18">
        <v>2</v>
      </c>
      <c r="I130" s="19">
        <f t="shared" si="350"/>
        <v>0.49560000000000004</v>
      </c>
      <c r="J130" s="17" t="s">
        <v>526</v>
      </c>
      <c r="K130" s="18"/>
      <c r="L130" s="19">
        <f t="shared" si="351"/>
        <v>0</v>
      </c>
      <c r="M130" s="16" t="s">
        <v>528</v>
      </c>
      <c r="N130" s="18"/>
      <c r="O130" s="19">
        <f t="shared" si="352"/>
        <v>0</v>
      </c>
      <c r="P130" s="16"/>
      <c r="Q130" s="18"/>
      <c r="R130" s="19">
        <f t="shared" si="353"/>
        <v>0</v>
      </c>
      <c r="S130" s="20">
        <f t="shared" si="354"/>
        <v>2</v>
      </c>
      <c r="T130" s="19">
        <f t="shared" si="355"/>
        <v>0.49560000000000004</v>
      </c>
      <c r="U130" s="21">
        <f t="shared" si="356"/>
        <v>2</v>
      </c>
      <c r="V130" s="19">
        <f t="shared" si="357"/>
        <v>0.49560000000000004</v>
      </c>
    </row>
    <row r="131" spans="1:22">
      <c r="A131" s="26" t="s">
        <v>13</v>
      </c>
      <c r="B131" s="26" t="s">
        <v>212</v>
      </c>
      <c r="C131" s="30">
        <v>29.5</v>
      </c>
      <c r="D131" s="27">
        <v>9.6999999999999993</v>
      </c>
      <c r="E131" s="28">
        <v>2</v>
      </c>
      <c r="F131" s="16">
        <f t="shared" si="349"/>
        <v>0.57229999999999992</v>
      </c>
      <c r="G131" s="17"/>
      <c r="H131" s="18">
        <v>2</v>
      </c>
      <c r="I131" s="19">
        <f t="shared" si="350"/>
        <v>0.57229999999999992</v>
      </c>
      <c r="J131" s="16"/>
      <c r="K131" s="18"/>
      <c r="L131" s="19">
        <f t="shared" si="351"/>
        <v>0</v>
      </c>
      <c r="M131" s="16"/>
      <c r="N131" s="18"/>
      <c r="O131" s="19">
        <f t="shared" si="352"/>
        <v>0</v>
      </c>
      <c r="P131" s="16"/>
      <c r="Q131" s="18"/>
      <c r="R131" s="19">
        <f t="shared" si="353"/>
        <v>0</v>
      </c>
      <c r="S131" s="20">
        <f t="shared" si="354"/>
        <v>2</v>
      </c>
      <c r="T131" s="19">
        <f t="shared" si="355"/>
        <v>0.57229999999999992</v>
      </c>
      <c r="U131" s="21">
        <f t="shared" si="356"/>
        <v>0</v>
      </c>
      <c r="V131" s="19">
        <f t="shared" si="357"/>
        <v>0</v>
      </c>
    </row>
    <row r="132" spans="1:22">
      <c r="A132" s="26" t="s">
        <v>13</v>
      </c>
      <c r="B132" s="26" t="s">
        <v>212</v>
      </c>
      <c r="C132" s="30">
        <v>29.5</v>
      </c>
      <c r="D132" s="27">
        <v>10</v>
      </c>
      <c r="E132" s="28">
        <v>14</v>
      </c>
      <c r="F132" s="16">
        <f t="shared" si="349"/>
        <v>4.13</v>
      </c>
      <c r="G132" s="17"/>
      <c r="H132" s="18">
        <v>3</v>
      </c>
      <c r="I132" s="19">
        <f t="shared" si="350"/>
        <v>0.88500000000000001</v>
      </c>
      <c r="J132" s="16"/>
      <c r="K132" s="18"/>
      <c r="L132" s="19">
        <f t="shared" si="351"/>
        <v>0</v>
      </c>
      <c r="M132" s="16"/>
      <c r="N132" s="18">
        <v>9</v>
      </c>
      <c r="O132" s="19">
        <f t="shared" si="352"/>
        <v>2.6549999999999998</v>
      </c>
      <c r="P132" s="16"/>
      <c r="Q132" s="18"/>
      <c r="R132" s="19">
        <f t="shared" si="353"/>
        <v>0</v>
      </c>
      <c r="S132" s="20">
        <f t="shared" si="354"/>
        <v>12</v>
      </c>
      <c r="T132" s="19">
        <f t="shared" si="355"/>
        <v>3.54</v>
      </c>
      <c r="U132" s="21">
        <f t="shared" si="356"/>
        <v>2</v>
      </c>
      <c r="V132" s="19">
        <f t="shared" si="357"/>
        <v>0.58999999999999986</v>
      </c>
    </row>
    <row r="133" spans="1:22">
      <c r="A133" s="26" t="s">
        <v>13</v>
      </c>
      <c r="B133" s="26" t="s">
        <v>212</v>
      </c>
      <c r="C133" s="30">
        <v>29.5</v>
      </c>
      <c r="D133" s="27">
        <v>10.1</v>
      </c>
      <c r="E133" s="28">
        <v>6</v>
      </c>
      <c r="F133" s="16">
        <f t="shared" si="349"/>
        <v>1.7876999999999998</v>
      </c>
      <c r="G133" s="17"/>
      <c r="H133" s="18">
        <v>4</v>
      </c>
      <c r="I133" s="19">
        <f t="shared" si="350"/>
        <v>1.1918</v>
      </c>
      <c r="J133" s="16"/>
      <c r="K133" s="18"/>
      <c r="L133" s="19">
        <f t="shared" si="351"/>
        <v>0</v>
      </c>
      <c r="M133" s="16"/>
      <c r="N133" s="18">
        <v>1</v>
      </c>
      <c r="O133" s="19">
        <f t="shared" si="352"/>
        <v>0.29794999999999999</v>
      </c>
      <c r="P133" s="16"/>
      <c r="Q133" s="18"/>
      <c r="R133" s="19">
        <f t="shared" si="353"/>
        <v>0</v>
      </c>
      <c r="S133" s="20">
        <f t="shared" si="354"/>
        <v>5</v>
      </c>
      <c r="T133" s="19">
        <f t="shared" si="355"/>
        <v>1.4897499999999999</v>
      </c>
      <c r="U133" s="21">
        <f t="shared" si="356"/>
        <v>1</v>
      </c>
      <c r="V133" s="19">
        <f t="shared" si="357"/>
        <v>0.29794999999999994</v>
      </c>
    </row>
    <row r="134" spans="1:22">
      <c r="A134" s="26" t="s">
        <v>13</v>
      </c>
      <c r="B134" s="26" t="s">
        <v>212</v>
      </c>
      <c r="C134" s="30">
        <v>29.5</v>
      </c>
      <c r="D134" s="27">
        <v>10.5</v>
      </c>
      <c r="E134" s="28">
        <v>4</v>
      </c>
      <c r="F134" s="16">
        <f t="shared" si="349"/>
        <v>1.2390000000000001</v>
      </c>
      <c r="G134" s="17"/>
      <c r="H134" s="18">
        <v>4</v>
      </c>
      <c r="I134" s="19">
        <f t="shared" si="350"/>
        <v>1.2390000000000001</v>
      </c>
      <c r="J134" s="16"/>
      <c r="K134" s="18"/>
      <c r="L134" s="19">
        <f t="shared" si="351"/>
        <v>0</v>
      </c>
      <c r="M134" s="16"/>
      <c r="N134" s="18"/>
      <c r="O134" s="19">
        <f t="shared" si="352"/>
        <v>0</v>
      </c>
      <c r="P134" s="16"/>
      <c r="Q134" s="18"/>
      <c r="R134" s="19">
        <f t="shared" si="353"/>
        <v>0</v>
      </c>
      <c r="S134" s="20">
        <f t="shared" si="354"/>
        <v>4</v>
      </c>
      <c r="T134" s="19">
        <f t="shared" si="355"/>
        <v>1.2390000000000001</v>
      </c>
      <c r="U134" s="21">
        <f t="shared" si="356"/>
        <v>0</v>
      </c>
      <c r="V134" s="19">
        <f t="shared" si="357"/>
        <v>0</v>
      </c>
    </row>
    <row r="135" spans="1:22">
      <c r="A135" s="26" t="s">
        <v>13</v>
      </c>
      <c r="B135" s="26" t="s">
        <v>212</v>
      </c>
      <c r="C135" s="30">
        <v>29.5</v>
      </c>
      <c r="D135" s="27">
        <v>11.8</v>
      </c>
      <c r="E135" s="28">
        <v>29</v>
      </c>
      <c r="F135" s="16">
        <f t="shared" ref="F135:F138" si="358">(C135*D135*E135/1000)</f>
        <v>10.094900000000001</v>
      </c>
      <c r="G135" s="17"/>
      <c r="H135" s="18">
        <v>7</v>
      </c>
      <c r="I135" s="19">
        <f t="shared" ref="I135:I138" si="359">(C135*D135*H135/1000)</f>
        <v>2.4367000000000001</v>
      </c>
      <c r="J135" s="16"/>
      <c r="K135" s="18">
        <v>10</v>
      </c>
      <c r="L135" s="19">
        <f t="shared" ref="L135:L138" si="360">(C135*D135*K135/1000)</f>
        <v>3.4809999999999999</v>
      </c>
      <c r="M135" s="16"/>
      <c r="N135" s="18">
        <v>13</v>
      </c>
      <c r="O135" s="19">
        <f t="shared" ref="O135:O138" si="361">(C135*D135*N135/1000)</f>
        <v>4.5253000000000005</v>
      </c>
      <c r="P135" s="16"/>
      <c r="Q135" s="18"/>
      <c r="R135" s="19">
        <f t="shared" ref="R135:R138" si="362">(C135*D135*Q135/1000)</f>
        <v>0</v>
      </c>
      <c r="S135" s="20">
        <f t="shared" ref="S135:S138" si="363">+H135+K135+Q135+N135</f>
        <v>30</v>
      </c>
      <c r="T135" s="19">
        <f t="shared" ref="T135:T138" si="364">+I135+L135+R135+O135</f>
        <v>10.443000000000001</v>
      </c>
      <c r="U135" s="21">
        <f t="shared" ref="U135:U138" si="365">E135-S135</f>
        <v>-1</v>
      </c>
      <c r="V135" s="19">
        <f t="shared" ref="V135:V138" si="366">F135-T135</f>
        <v>-0.34810000000000052</v>
      </c>
    </row>
    <row r="136" spans="1:22">
      <c r="A136" s="26" t="s">
        <v>13</v>
      </c>
      <c r="B136" s="26" t="s">
        <v>212</v>
      </c>
      <c r="C136" s="30">
        <v>29.5</v>
      </c>
      <c r="D136" s="27">
        <v>11.2</v>
      </c>
      <c r="E136" s="28"/>
      <c r="F136" s="16">
        <f t="shared" si="358"/>
        <v>0</v>
      </c>
      <c r="G136" s="17"/>
      <c r="H136" s="18">
        <v>1</v>
      </c>
      <c r="I136" s="19">
        <f t="shared" si="359"/>
        <v>0.33039999999999997</v>
      </c>
      <c r="J136" s="16"/>
      <c r="K136" s="18"/>
      <c r="L136" s="19">
        <f t="shared" si="360"/>
        <v>0</v>
      </c>
      <c r="M136" s="16"/>
      <c r="N136" s="18"/>
      <c r="O136" s="19">
        <f t="shared" si="361"/>
        <v>0</v>
      </c>
      <c r="P136" s="16"/>
      <c r="Q136" s="18"/>
      <c r="R136" s="19">
        <f t="shared" si="362"/>
        <v>0</v>
      </c>
      <c r="S136" s="20">
        <f t="shared" si="363"/>
        <v>1</v>
      </c>
      <c r="T136" s="19">
        <f t="shared" si="364"/>
        <v>0.33039999999999997</v>
      </c>
      <c r="U136" s="21">
        <f t="shared" si="365"/>
        <v>-1</v>
      </c>
      <c r="V136" s="19">
        <f t="shared" si="366"/>
        <v>-0.33039999999999997</v>
      </c>
    </row>
    <row r="137" spans="1:22">
      <c r="A137" s="26" t="s">
        <v>13</v>
      </c>
      <c r="B137" s="26" t="s">
        <v>212</v>
      </c>
      <c r="C137" s="30">
        <v>29.5</v>
      </c>
      <c r="D137" s="27">
        <v>6.5</v>
      </c>
      <c r="E137" s="28"/>
      <c r="F137" s="16">
        <f t="shared" si="358"/>
        <v>0</v>
      </c>
      <c r="G137" s="17"/>
      <c r="H137" s="18"/>
      <c r="I137" s="19">
        <f t="shared" si="359"/>
        <v>0</v>
      </c>
      <c r="J137" s="16"/>
      <c r="K137" s="18"/>
      <c r="L137" s="19">
        <f t="shared" si="360"/>
        <v>0</v>
      </c>
      <c r="M137" s="16"/>
      <c r="N137" s="18">
        <v>1</v>
      </c>
      <c r="O137" s="19">
        <f t="shared" si="361"/>
        <v>0.19175</v>
      </c>
      <c r="P137" s="16"/>
      <c r="Q137" s="18"/>
      <c r="R137" s="19">
        <f t="shared" si="362"/>
        <v>0</v>
      </c>
      <c r="S137" s="20">
        <f t="shared" si="363"/>
        <v>1</v>
      </c>
      <c r="T137" s="19">
        <f t="shared" si="364"/>
        <v>0.19175</v>
      </c>
      <c r="U137" s="21">
        <f t="shared" si="365"/>
        <v>-1</v>
      </c>
      <c r="V137" s="19">
        <f t="shared" si="366"/>
        <v>-0.19175</v>
      </c>
    </row>
    <row r="138" spans="1:22">
      <c r="A138" s="26" t="s">
        <v>13</v>
      </c>
      <c r="B138" s="26" t="s">
        <v>212</v>
      </c>
      <c r="C138" s="30">
        <v>29.5</v>
      </c>
      <c r="D138" s="27">
        <v>9.4</v>
      </c>
      <c r="E138" s="28"/>
      <c r="F138" s="16">
        <f t="shared" si="358"/>
        <v>0</v>
      </c>
      <c r="G138" s="17"/>
      <c r="H138" s="18"/>
      <c r="I138" s="19">
        <f t="shared" si="359"/>
        <v>0</v>
      </c>
      <c r="J138" s="16"/>
      <c r="K138" s="18"/>
      <c r="L138" s="19">
        <f t="shared" si="360"/>
        <v>0</v>
      </c>
      <c r="M138" s="16"/>
      <c r="N138" s="18">
        <v>2</v>
      </c>
      <c r="O138" s="19">
        <f t="shared" si="361"/>
        <v>0.55459999999999998</v>
      </c>
      <c r="P138" s="16"/>
      <c r="Q138" s="18"/>
      <c r="R138" s="19">
        <f t="shared" si="362"/>
        <v>0</v>
      </c>
      <c r="S138" s="20">
        <f t="shared" si="363"/>
        <v>2</v>
      </c>
      <c r="T138" s="19">
        <f t="shared" si="364"/>
        <v>0.55459999999999998</v>
      </c>
      <c r="U138" s="21">
        <f t="shared" si="365"/>
        <v>-2</v>
      </c>
      <c r="V138" s="19">
        <f t="shared" si="366"/>
        <v>-0.55459999999999998</v>
      </c>
    </row>
    <row r="139" spans="1:22">
      <c r="A139" s="26" t="s">
        <v>13</v>
      </c>
      <c r="B139" s="26" t="s">
        <v>212</v>
      </c>
      <c r="C139" s="30">
        <v>29.5</v>
      </c>
      <c r="D139" s="27">
        <v>11.7</v>
      </c>
      <c r="E139" s="28"/>
      <c r="F139" s="16">
        <f t="shared" si="349"/>
        <v>0</v>
      </c>
      <c r="G139" s="17"/>
      <c r="H139" s="18"/>
      <c r="I139" s="19">
        <f t="shared" si="350"/>
        <v>0</v>
      </c>
      <c r="J139" s="16"/>
      <c r="K139" s="18"/>
      <c r="L139" s="19">
        <f t="shared" si="351"/>
        <v>0</v>
      </c>
      <c r="M139" s="16"/>
      <c r="N139" s="18">
        <v>1</v>
      </c>
      <c r="O139" s="19">
        <f t="shared" si="352"/>
        <v>0.34514999999999996</v>
      </c>
      <c r="P139" s="16"/>
      <c r="Q139" s="18"/>
      <c r="R139" s="19">
        <f t="shared" si="353"/>
        <v>0</v>
      </c>
      <c r="S139" s="20">
        <f t="shared" si="354"/>
        <v>1</v>
      </c>
      <c r="T139" s="19">
        <f t="shared" si="355"/>
        <v>0.34514999999999996</v>
      </c>
      <c r="U139" s="21">
        <f t="shared" si="356"/>
        <v>-1</v>
      </c>
      <c r="V139" s="19">
        <f t="shared" si="357"/>
        <v>-0.34514999999999996</v>
      </c>
    </row>
    <row r="140" spans="1:22">
      <c r="A140" s="36"/>
      <c r="B140" s="36"/>
      <c r="C140" s="30"/>
      <c r="D140" s="38"/>
      <c r="E140" s="31">
        <f t="shared" ref="E140" si="367">SUM(E129:E139)</f>
        <v>87</v>
      </c>
      <c r="F140" s="38">
        <f t="shared" ref="F140" si="368">SUM(F129:F139)</f>
        <v>25.5883</v>
      </c>
      <c r="H140" s="31">
        <f t="shared" ref="H140" si="369">SUM(H129:H139)</f>
        <v>30</v>
      </c>
      <c r="I140" s="38">
        <f t="shared" ref="I140" si="370">SUM(I129:I139)</f>
        <v>8.8440999999999992</v>
      </c>
      <c r="K140" s="31">
        <f t="shared" ref="K140" si="371">SUM(K129:K139)</f>
        <v>31</v>
      </c>
      <c r="L140" s="38">
        <f t="shared" ref="L140" si="372">SUM(L129:L139)</f>
        <v>8.5609000000000002</v>
      </c>
      <c r="N140" s="31">
        <f t="shared" ref="N140" si="373">SUM(N129:N139)</f>
        <v>27</v>
      </c>
      <c r="O140" s="38">
        <f t="shared" ref="O140" si="374">SUM(O129:O139)</f>
        <v>8.5697500000000009</v>
      </c>
      <c r="Q140" s="31">
        <f t="shared" ref="Q140" si="375">SUM(Q129:Q139)</f>
        <v>0</v>
      </c>
      <c r="R140" s="38">
        <f t="shared" ref="R140" si="376">SUM(R129:R139)</f>
        <v>0</v>
      </c>
      <c r="S140" s="31">
        <f t="shared" ref="S140" si="377">SUM(S129:S139)</f>
        <v>88</v>
      </c>
      <c r="T140" s="38">
        <f t="shared" ref="T140" si="378">SUM(T129:T139)</f>
        <v>25.974750000000004</v>
      </c>
      <c r="U140" s="31">
        <f t="shared" ref="U140" si="379">SUM(U129:U139)</f>
        <v>-1</v>
      </c>
      <c r="V140" s="38">
        <f t="shared" ref="V140" si="380">SUM(V129:V139)</f>
        <v>-0.38645000000000063</v>
      </c>
    </row>
    <row r="141" spans="1:22">
      <c r="A141" s="26" t="s">
        <v>13</v>
      </c>
      <c r="B141" s="26" t="s">
        <v>126</v>
      </c>
      <c r="C141" s="30">
        <v>33.72</v>
      </c>
      <c r="D141" s="27">
        <v>8.3000000000000007</v>
      </c>
      <c r="E141" s="28">
        <v>16</v>
      </c>
      <c r="F141" s="16">
        <f t="shared" ref="F141:F144" si="381">(C141*D141*E141/1000)</f>
        <v>4.4780160000000002</v>
      </c>
      <c r="G141" s="17" t="s">
        <v>205</v>
      </c>
      <c r="H141" s="18"/>
      <c r="I141" s="19">
        <f t="shared" ref="I141:I144" si="382">(C141*D141*H141/1000)</f>
        <v>0</v>
      </c>
      <c r="J141" s="16" t="s">
        <v>325</v>
      </c>
      <c r="K141" s="18">
        <v>16</v>
      </c>
      <c r="L141" s="19">
        <f t="shared" ref="L141:L144" si="383">(C141*D141*K141/1000)</f>
        <v>4.4780160000000002</v>
      </c>
      <c r="M141" s="16"/>
      <c r="N141" s="18"/>
      <c r="O141" s="19">
        <f t="shared" ref="O141:O144" si="384">(C141*D141*N141/1000)</f>
        <v>0</v>
      </c>
      <c r="P141" s="16"/>
      <c r="Q141" s="18"/>
      <c r="R141" s="19">
        <f t="shared" ref="R141:R144" si="385">(C141*D141*Q141/1000)</f>
        <v>0</v>
      </c>
      <c r="S141" s="20">
        <f t="shared" ref="S141:S144" si="386">+H141+K141+Q141+N141</f>
        <v>16</v>
      </c>
      <c r="T141" s="19">
        <f t="shared" ref="T141:T144" si="387">+I141+L141+R141+O141</f>
        <v>4.4780160000000002</v>
      </c>
      <c r="U141" s="21">
        <f t="shared" ref="U141:U144" si="388">E141-S141</f>
        <v>0</v>
      </c>
      <c r="V141" s="19">
        <f t="shared" ref="V141:V144" si="389">F141-T141</f>
        <v>0</v>
      </c>
    </row>
    <row r="142" spans="1:22">
      <c r="A142" s="26" t="s">
        <v>13</v>
      </c>
      <c r="B142" s="26" t="s">
        <v>126</v>
      </c>
      <c r="C142" s="30">
        <v>33.72</v>
      </c>
      <c r="D142" s="27">
        <v>8.8000000000000007</v>
      </c>
      <c r="E142" s="28">
        <v>25</v>
      </c>
      <c r="F142" s="16">
        <f t="shared" si="381"/>
        <v>7.4183999999999992</v>
      </c>
      <c r="G142" s="17" t="s">
        <v>528</v>
      </c>
      <c r="H142" s="18">
        <v>11</v>
      </c>
      <c r="I142" s="19">
        <f t="shared" si="382"/>
        <v>3.2640959999999999</v>
      </c>
      <c r="J142" s="16" t="s">
        <v>545</v>
      </c>
      <c r="K142" s="18">
        <v>14</v>
      </c>
      <c r="L142" s="19">
        <f t="shared" si="383"/>
        <v>4.1543039999999998</v>
      </c>
      <c r="M142" s="16"/>
      <c r="N142" s="18"/>
      <c r="O142" s="19">
        <f t="shared" si="384"/>
        <v>0</v>
      </c>
      <c r="P142" s="16"/>
      <c r="Q142" s="18"/>
      <c r="R142" s="19">
        <f t="shared" si="385"/>
        <v>0</v>
      </c>
      <c r="S142" s="20">
        <f t="shared" si="386"/>
        <v>25</v>
      </c>
      <c r="T142" s="19">
        <f t="shared" si="387"/>
        <v>7.4184000000000001</v>
      </c>
      <c r="U142" s="21">
        <f t="shared" si="388"/>
        <v>0</v>
      </c>
      <c r="V142" s="19">
        <f t="shared" si="389"/>
        <v>0</v>
      </c>
    </row>
    <row r="143" spans="1:22">
      <c r="A143" s="26" t="s">
        <v>13</v>
      </c>
      <c r="B143" s="26" t="s">
        <v>126</v>
      </c>
      <c r="C143" s="30">
        <v>33.72</v>
      </c>
      <c r="D143" s="27">
        <v>9.6999999999999993</v>
      </c>
      <c r="E143" s="28">
        <v>4</v>
      </c>
      <c r="F143" s="16">
        <f t="shared" ref="F143" si="390">(C143*D143*E143/1000)</f>
        <v>1.3083359999999997</v>
      </c>
      <c r="G143" s="17"/>
      <c r="H143" s="18"/>
      <c r="I143" s="19">
        <f t="shared" ref="I143" si="391">(C143*D143*H143/1000)</f>
        <v>0</v>
      </c>
      <c r="J143" s="16"/>
      <c r="K143" s="18">
        <v>3</v>
      </c>
      <c r="L143" s="19">
        <f t="shared" ref="L143" si="392">(C143*D143*K143/1000)</f>
        <v>0.98125199999999979</v>
      </c>
      <c r="M143" s="16"/>
      <c r="N143" s="18"/>
      <c r="O143" s="19">
        <f t="shared" ref="O143" si="393">(C143*D143*N143/1000)</f>
        <v>0</v>
      </c>
      <c r="P143" s="16"/>
      <c r="Q143" s="18"/>
      <c r="R143" s="19">
        <f t="shared" ref="R143" si="394">(C143*D143*Q143/1000)</f>
        <v>0</v>
      </c>
      <c r="S143" s="20">
        <f t="shared" ref="S143" si="395">+H143+K143+Q143+N143</f>
        <v>3</v>
      </c>
      <c r="T143" s="19">
        <f t="shared" ref="T143" si="396">+I143+L143+R143+O143</f>
        <v>0.98125199999999979</v>
      </c>
      <c r="U143" s="21">
        <f t="shared" ref="U143" si="397">E143-S143</f>
        <v>1</v>
      </c>
      <c r="V143" s="19">
        <f t="shared" ref="V143" si="398">F143-T143</f>
        <v>0.32708399999999993</v>
      </c>
    </row>
    <row r="144" spans="1:22">
      <c r="A144" s="26" t="s">
        <v>13</v>
      </c>
      <c r="B144" s="26" t="s">
        <v>126</v>
      </c>
      <c r="C144" s="30">
        <v>33.72</v>
      </c>
      <c r="D144" s="27">
        <v>10.5</v>
      </c>
      <c r="E144" s="28"/>
      <c r="F144" s="16">
        <f t="shared" si="381"/>
        <v>0</v>
      </c>
      <c r="G144" s="17"/>
      <c r="H144" s="18"/>
      <c r="I144" s="19">
        <f t="shared" si="382"/>
        <v>0</v>
      </c>
      <c r="J144" s="16"/>
      <c r="K144" s="18">
        <v>1</v>
      </c>
      <c r="L144" s="19">
        <f t="shared" si="383"/>
        <v>0.35405999999999999</v>
      </c>
      <c r="M144" s="16"/>
      <c r="N144" s="18"/>
      <c r="O144" s="19">
        <f t="shared" si="384"/>
        <v>0</v>
      </c>
      <c r="P144" s="16"/>
      <c r="Q144" s="18"/>
      <c r="R144" s="19">
        <f t="shared" si="385"/>
        <v>0</v>
      </c>
      <c r="S144" s="20">
        <f t="shared" si="386"/>
        <v>1</v>
      </c>
      <c r="T144" s="19">
        <f t="shared" si="387"/>
        <v>0.35405999999999999</v>
      </c>
      <c r="U144" s="21">
        <f t="shared" si="388"/>
        <v>-1</v>
      </c>
      <c r="V144" s="19">
        <f t="shared" si="389"/>
        <v>-0.35405999999999999</v>
      </c>
    </row>
    <row r="145" spans="1:22">
      <c r="A145" s="36"/>
      <c r="B145" s="36"/>
      <c r="C145" s="30"/>
      <c r="D145" s="38"/>
      <c r="E145" s="31">
        <f t="shared" ref="E145" si="399">SUM(E141:E144)</f>
        <v>45</v>
      </c>
      <c r="F145" s="38">
        <f t="shared" ref="F145" si="400">SUM(F141:F144)</f>
        <v>13.204751999999999</v>
      </c>
      <c r="H145" s="31">
        <f t="shared" ref="H145" si="401">SUM(H141:H144)</f>
        <v>11</v>
      </c>
      <c r="I145" s="38">
        <f t="shared" ref="I145" si="402">SUM(I141:I144)</f>
        <v>3.2640959999999999</v>
      </c>
      <c r="K145" s="31">
        <f t="shared" ref="K145" si="403">SUM(K141:K144)</f>
        <v>34</v>
      </c>
      <c r="L145" s="38">
        <f t="shared" ref="L145" si="404">SUM(L141:L144)</f>
        <v>9.967632</v>
      </c>
      <c r="N145" s="31">
        <f t="shared" ref="N145" si="405">SUM(N141:N144)</f>
        <v>0</v>
      </c>
      <c r="O145" s="38">
        <f t="shared" ref="O145" si="406">SUM(O141:O144)</f>
        <v>0</v>
      </c>
      <c r="Q145" s="31">
        <f t="shared" ref="Q145" si="407">SUM(Q141:Q144)</f>
        <v>0</v>
      </c>
      <c r="R145" s="38">
        <f t="shared" ref="R145" si="408">SUM(R141:R144)</f>
        <v>0</v>
      </c>
      <c r="S145" s="31">
        <f t="shared" ref="S145" si="409">SUM(S141:S144)</f>
        <v>45</v>
      </c>
      <c r="T145" s="38">
        <f t="shared" ref="T145" si="410">SUM(T141:T144)</f>
        <v>13.231728</v>
      </c>
      <c r="U145" s="31">
        <f t="shared" ref="U145" si="411">SUM(U141:U144)</f>
        <v>0</v>
      </c>
      <c r="V145" s="38">
        <f t="shared" ref="V145" si="412">SUM(V141:V144)</f>
        <v>-2.6976000000000055E-2</v>
      </c>
    </row>
    <row r="146" spans="1:22">
      <c r="A146" s="26" t="s">
        <v>13</v>
      </c>
      <c r="B146" s="26" t="s">
        <v>127</v>
      </c>
      <c r="C146" s="30">
        <v>35.840000000000003</v>
      </c>
      <c r="D146" s="27">
        <v>8</v>
      </c>
      <c r="E146" s="28">
        <v>16</v>
      </c>
      <c r="F146" s="16">
        <f t="shared" ref="F146:F149" si="413">(C146*D146*E146/1000)</f>
        <v>4.5875200000000005</v>
      </c>
      <c r="G146" s="16" t="s">
        <v>111</v>
      </c>
      <c r="H146" s="18">
        <v>15</v>
      </c>
      <c r="I146" s="19">
        <f t="shared" ref="I146:I149" si="414">(C146*D146*H146/1000)</f>
        <v>4.3008000000000006</v>
      </c>
      <c r="J146" s="17" t="s">
        <v>527</v>
      </c>
      <c r="K146" s="18"/>
      <c r="L146" s="19">
        <f t="shared" ref="L146:L149" si="415">(C146*D146*K146/1000)</f>
        <v>0</v>
      </c>
      <c r="M146" s="16" t="s">
        <v>89</v>
      </c>
      <c r="N146" s="18"/>
      <c r="O146" s="19">
        <f t="shared" ref="O146:O149" si="416">(C146*D146*N146/1000)</f>
        <v>0</v>
      </c>
      <c r="P146" s="16"/>
      <c r="Q146" s="18"/>
      <c r="R146" s="19">
        <f t="shared" ref="R146:R149" si="417">(C146*D146*Q146/1000)</f>
        <v>0</v>
      </c>
      <c r="S146" s="20">
        <f t="shared" ref="S146:S149" si="418">+H146+K146+Q146+N146</f>
        <v>15</v>
      </c>
      <c r="T146" s="19">
        <f t="shared" ref="T146:T149" si="419">+I146+L146+R146+O146</f>
        <v>4.3008000000000006</v>
      </c>
      <c r="U146" s="21">
        <f t="shared" ref="U146:U149" si="420">E146-S146</f>
        <v>1</v>
      </c>
      <c r="V146" s="19">
        <f t="shared" ref="V146:V149" si="421">F146-T146</f>
        <v>0.28671999999999986</v>
      </c>
    </row>
    <row r="147" spans="1:22">
      <c r="A147" s="26" t="s">
        <v>13</v>
      </c>
      <c r="B147" s="26" t="s">
        <v>127</v>
      </c>
      <c r="C147" s="30">
        <v>35.840000000000003</v>
      </c>
      <c r="D147" s="27">
        <v>10</v>
      </c>
      <c r="E147" s="28">
        <v>18</v>
      </c>
      <c r="F147" s="16">
        <f t="shared" si="413"/>
        <v>6.4512000000000009</v>
      </c>
      <c r="G147" s="16" t="s">
        <v>525</v>
      </c>
      <c r="H147" s="18">
        <v>14</v>
      </c>
      <c r="I147" s="19">
        <f t="shared" si="414"/>
        <v>5.0176000000000007</v>
      </c>
      <c r="J147" s="17" t="s">
        <v>526</v>
      </c>
      <c r="K147" s="18">
        <v>4</v>
      </c>
      <c r="L147" s="19">
        <f t="shared" si="415"/>
        <v>1.4336000000000002</v>
      </c>
      <c r="M147" s="16" t="s">
        <v>548</v>
      </c>
      <c r="N147" s="18">
        <v>2</v>
      </c>
      <c r="O147" s="19">
        <f t="shared" si="416"/>
        <v>0.7168000000000001</v>
      </c>
      <c r="P147" s="16"/>
      <c r="Q147" s="18"/>
      <c r="R147" s="19">
        <f t="shared" si="417"/>
        <v>0</v>
      </c>
      <c r="S147" s="20">
        <f t="shared" si="418"/>
        <v>20</v>
      </c>
      <c r="T147" s="19">
        <f t="shared" si="419"/>
        <v>7.168000000000001</v>
      </c>
      <c r="U147" s="21">
        <f t="shared" si="420"/>
        <v>-2</v>
      </c>
      <c r="V147" s="19">
        <f t="shared" si="421"/>
        <v>-0.7168000000000001</v>
      </c>
    </row>
    <row r="148" spans="1:22">
      <c r="A148" s="26" t="s">
        <v>13</v>
      </c>
      <c r="B148" s="26" t="s">
        <v>127</v>
      </c>
      <c r="C148" s="30">
        <v>35.840000000000003</v>
      </c>
      <c r="D148" s="27">
        <v>10.5</v>
      </c>
      <c r="E148" s="28">
        <v>19</v>
      </c>
      <c r="F148" s="16">
        <f t="shared" si="413"/>
        <v>7.1500800000000009</v>
      </c>
      <c r="G148" s="17"/>
      <c r="H148" s="18">
        <v>14</v>
      </c>
      <c r="I148" s="19">
        <f t="shared" si="414"/>
        <v>5.2684800000000003</v>
      </c>
      <c r="J148" s="16"/>
      <c r="K148" s="18">
        <v>6</v>
      </c>
      <c r="L148" s="19">
        <f t="shared" si="415"/>
        <v>2.2579199999999999</v>
      </c>
      <c r="M148" s="16"/>
      <c r="N148" s="18"/>
      <c r="O148" s="19">
        <f t="shared" si="416"/>
        <v>0</v>
      </c>
      <c r="P148" s="16"/>
      <c r="Q148" s="18"/>
      <c r="R148" s="19">
        <f t="shared" si="417"/>
        <v>0</v>
      </c>
      <c r="S148" s="20">
        <f t="shared" si="418"/>
        <v>20</v>
      </c>
      <c r="T148" s="19">
        <f t="shared" si="419"/>
        <v>7.5264000000000006</v>
      </c>
      <c r="U148" s="21">
        <f t="shared" si="420"/>
        <v>-1</v>
      </c>
      <c r="V148" s="19">
        <f t="shared" si="421"/>
        <v>-0.37631999999999977</v>
      </c>
    </row>
    <row r="149" spans="1:22">
      <c r="A149" s="26" t="s">
        <v>13</v>
      </c>
      <c r="B149" s="26" t="s">
        <v>127</v>
      </c>
      <c r="C149" s="30">
        <v>35.840000000000003</v>
      </c>
      <c r="D149" s="27">
        <v>10.7</v>
      </c>
      <c r="E149" s="28">
        <v>4</v>
      </c>
      <c r="F149" s="16">
        <f t="shared" si="413"/>
        <v>1.533952</v>
      </c>
      <c r="G149" s="17"/>
      <c r="H149" s="18"/>
      <c r="I149" s="19">
        <f t="shared" si="414"/>
        <v>0</v>
      </c>
      <c r="J149" s="16"/>
      <c r="K149" s="18">
        <v>2</v>
      </c>
      <c r="L149" s="19">
        <f t="shared" si="415"/>
        <v>0.76697599999999999</v>
      </c>
      <c r="M149" s="16"/>
      <c r="N149" s="18"/>
      <c r="O149" s="19">
        <f t="shared" si="416"/>
        <v>0</v>
      </c>
      <c r="P149" s="16"/>
      <c r="Q149" s="18"/>
      <c r="R149" s="19">
        <f t="shared" si="417"/>
        <v>0</v>
      </c>
      <c r="S149" s="20">
        <f t="shared" si="418"/>
        <v>2</v>
      </c>
      <c r="T149" s="19">
        <f t="shared" si="419"/>
        <v>0.76697599999999999</v>
      </c>
      <c r="U149" s="21">
        <f t="shared" si="420"/>
        <v>2</v>
      </c>
      <c r="V149" s="19">
        <f t="shared" si="421"/>
        <v>0.76697599999999999</v>
      </c>
    </row>
    <row r="150" spans="1:22">
      <c r="A150" s="36"/>
      <c r="B150" s="36"/>
      <c r="C150" s="30"/>
      <c r="D150" s="38"/>
      <c r="E150" s="31">
        <f t="shared" ref="E150" si="422">SUM(E146:E149)</f>
        <v>57</v>
      </c>
      <c r="F150" s="38">
        <f t="shared" ref="F150" si="423">SUM(F146:F149)</f>
        <v>19.722752</v>
      </c>
      <c r="H150" s="31">
        <f t="shared" ref="H150" si="424">SUM(H146:H149)</f>
        <v>43</v>
      </c>
      <c r="I150" s="38">
        <f t="shared" ref="I150" si="425">SUM(I146:I149)</f>
        <v>14.586880000000001</v>
      </c>
      <c r="K150" s="31">
        <f t="shared" ref="K150" si="426">SUM(K146:K149)</f>
        <v>12</v>
      </c>
      <c r="L150" s="38">
        <f t="shared" ref="L150" si="427">SUM(L146:L149)</f>
        <v>4.4584960000000002</v>
      </c>
      <c r="N150" s="31">
        <f t="shared" ref="N150" si="428">SUM(N146:N149)</f>
        <v>2</v>
      </c>
      <c r="O150" s="38">
        <f t="shared" ref="O150" si="429">SUM(O146:O149)</f>
        <v>0.7168000000000001</v>
      </c>
      <c r="Q150" s="31">
        <f t="shared" ref="Q150" si="430">SUM(Q146:Q149)</f>
        <v>0</v>
      </c>
      <c r="R150" s="38">
        <f t="shared" ref="R150" si="431">SUM(R146:R149)</f>
        <v>0</v>
      </c>
      <c r="S150" s="31">
        <f t="shared" ref="S150" si="432">SUM(S146:S149)</f>
        <v>57</v>
      </c>
      <c r="T150" s="38">
        <f t="shared" ref="T150" si="433">SUM(T146:T149)</f>
        <v>19.762176000000004</v>
      </c>
      <c r="U150" s="31">
        <f t="shared" ref="U150" si="434">SUM(U146:U149)</f>
        <v>0</v>
      </c>
      <c r="V150" s="38">
        <f t="shared" ref="V150" si="435">SUM(V146:V149)</f>
        <v>-3.9424000000000015E-2</v>
      </c>
    </row>
    <row r="151" spans="1:22" hidden="1">
      <c r="A151" s="26" t="s">
        <v>13</v>
      </c>
      <c r="B151" s="26" t="s">
        <v>146</v>
      </c>
      <c r="C151" s="30">
        <v>38</v>
      </c>
      <c r="D151" s="27">
        <v>7.6</v>
      </c>
      <c r="E151" s="28">
        <f>1+19</f>
        <v>20</v>
      </c>
      <c r="F151" s="16">
        <f t="shared" ref="F151:F152" si="436">(C151*D151*E151/1000)</f>
        <v>5.7759999999999998</v>
      </c>
      <c r="G151" s="16" t="s">
        <v>93</v>
      </c>
      <c r="H151" s="18">
        <v>19</v>
      </c>
      <c r="I151" s="19">
        <f t="shared" ref="I151:I152" si="437">(C151*D151*H151/1000)</f>
        <v>5.4871999999999996</v>
      </c>
      <c r="J151" s="16"/>
      <c r="K151" s="18"/>
      <c r="L151" s="19">
        <f t="shared" ref="L151:L152" si="438">(C151*D151*K151/1000)</f>
        <v>0</v>
      </c>
      <c r="M151" s="16"/>
      <c r="N151" s="18"/>
      <c r="O151" s="19">
        <f t="shared" ref="O151:O152" si="439">(C151*D151*N151/1000)</f>
        <v>0</v>
      </c>
      <c r="P151" s="16"/>
      <c r="Q151" s="18"/>
      <c r="R151" s="19">
        <f t="shared" ref="R151:R152" si="440">(C151*D151*Q151/1000)</f>
        <v>0</v>
      </c>
      <c r="S151" s="20">
        <f t="shared" ref="S151:S152" si="441">+H151+K151+Q151+N151</f>
        <v>19</v>
      </c>
      <c r="T151" s="19">
        <f t="shared" ref="T151:T152" si="442">+I151+L151+R151+O151</f>
        <v>5.4871999999999996</v>
      </c>
      <c r="U151" s="21">
        <f t="shared" ref="U151:U152" si="443">E151-S151</f>
        <v>1</v>
      </c>
      <c r="V151" s="19">
        <f t="shared" ref="V151:V152" si="444">F151-T151</f>
        <v>0.28880000000000017</v>
      </c>
    </row>
    <row r="152" spans="1:22" hidden="1">
      <c r="A152" s="26" t="s">
        <v>13</v>
      </c>
      <c r="B152" s="26" t="s">
        <v>146</v>
      </c>
      <c r="C152" s="30">
        <v>38</v>
      </c>
      <c r="D152" s="27">
        <v>6.6</v>
      </c>
      <c r="E152" s="28"/>
      <c r="F152" s="16">
        <f t="shared" si="436"/>
        <v>0</v>
      </c>
      <c r="G152" s="16" t="s">
        <v>545</v>
      </c>
      <c r="H152" s="18">
        <v>1</v>
      </c>
      <c r="I152" s="19">
        <f t="shared" si="437"/>
        <v>0.25079999999999997</v>
      </c>
      <c r="J152" s="16"/>
      <c r="K152" s="18"/>
      <c r="L152" s="19">
        <f t="shared" si="438"/>
        <v>0</v>
      </c>
      <c r="M152" s="16"/>
      <c r="N152" s="18"/>
      <c r="O152" s="19">
        <f t="shared" si="439"/>
        <v>0</v>
      </c>
      <c r="P152" s="16"/>
      <c r="Q152" s="18"/>
      <c r="R152" s="19">
        <f t="shared" si="440"/>
        <v>0</v>
      </c>
      <c r="S152" s="20">
        <f t="shared" si="441"/>
        <v>1</v>
      </c>
      <c r="T152" s="19">
        <f t="shared" si="442"/>
        <v>0.25079999999999997</v>
      </c>
      <c r="U152" s="21">
        <f t="shared" si="443"/>
        <v>-1</v>
      </c>
      <c r="V152" s="19">
        <f t="shared" si="444"/>
        <v>-0.25079999999999997</v>
      </c>
    </row>
    <row r="153" spans="1:22" hidden="1">
      <c r="A153" s="36"/>
      <c r="B153" s="36"/>
      <c r="C153" s="30"/>
      <c r="D153" s="38"/>
      <c r="E153" s="31">
        <f t="shared" ref="E153" si="445">SUM(E151:E152)</f>
        <v>20</v>
      </c>
      <c r="F153" s="38">
        <f t="shared" ref="F153" si="446">SUM(F151:F152)</f>
        <v>5.7759999999999998</v>
      </c>
      <c r="H153" s="31">
        <f t="shared" ref="H153" si="447">SUM(H151:H152)</f>
        <v>20</v>
      </c>
      <c r="I153" s="38">
        <f t="shared" ref="I153" si="448">SUM(I151:I152)</f>
        <v>5.7379999999999995</v>
      </c>
      <c r="K153" s="31">
        <f t="shared" ref="K153" si="449">SUM(K151:K152)</f>
        <v>0</v>
      </c>
      <c r="L153" s="38">
        <f t="shared" ref="L153" si="450">SUM(L151:L152)</f>
        <v>0</v>
      </c>
      <c r="N153" s="31">
        <f t="shared" ref="N153" si="451">SUM(N151:N152)</f>
        <v>0</v>
      </c>
      <c r="O153" s="38">
        <f t="shared" ref="O153" si="452">SUM(O151:O152)</f>
        <v>0</v>
      </c>
      <c r="Q153" s="31">
        <f t="shared" ref="Q153" si="453">SUM(Q151:Q152)</f>
        <v>0</v>
      </c>
      <c r="R153" s="38">
        <f t="shared" ref="R153" si="454">SUM(R151:R152)</f>
        <v>0</v>
      </c>
      <c r="S153" s="31">
        <f t="shared" ref="S153" si="455">SUM(S151:S152)</f>
        <v>20</v>
      </c>
      <c r="T153" s="38">
        <f t="shared" ref="T153" si="456">SUM(T151:T152)</f>
        <v>5.7379999999999995</v>
      </c>
      <c r="U153" s="31">
        <f t="shared" ref="U153" si="457">SUM(U151:U152)</f>
        <v>0</v>
      </c>
      <c r="V153" s="38">
        <f t="shared" ref="V153" si="458">SUM(V151:V152)</f>
        <v>3.80000000000002E-2</v>
      </c>
    </row>
    <row r="154" spans="1:22">
      <c r="A154" s="26" t="s">
        <v>13</v>
      </c>
      <c r="B154" s="26" t="s">
        <v>128</v>
      </c>
      <c r="C154" s="30">
        <v>40.01</v>
      </c>
      <c r="D154" s="27">
        <v>6.2</v>
      </c>
      <c r="E154" s="28">
        <v>32</v>
      </c>
      <c r="F154" s="16">
        <f t="shared" ref="F154:F158" si="459">(C154*D154*E154/1000)</f>
        <v>7.9379839999999993</v>
      </c>
      <c r="G154" s="16" t="s">
        <v>88</v>
      </c>
      <c r="H154" s="18"/>
      <c r="I154" s="19">
        <f t="shared" ref="I154:I158" si="460">(C154*D154*H154/1000)</f>
        <v>0</v>
      </c>
      <c r="J154" s="17" t="s">
        <v>88</v>
      </c>
      <c r="K154" s="18">
        <v>14</v>
      </c>
      <c r="L154" s="19">
        <f t="shared" ref="L154:L158" si="461">(C154*D154*K154/1000)</f>
        <v>3.4728680000000001</v>
      </c>
      <c r="M154" s="17" t="s">
        <v>107</v>
      </c>
      <c r="N154" s="18">
        <v>18</v>
      </c>
      <c r="O154" s="19">
        <f t="shared" ref="O154:O158" si="462">(C154*D154*N154/1000)</f>
        <v>4.4651160000000001</v>
      </c>
      <c r="P154" s="16" t="s">
        <v>89</v>
      </c>
      <c r="Q154" s="18"/>
      <c r="R154" s="19">
        <f t="shared" ref="R154:R158" si="463">(C154*D154*Q154/1000)</f>
        <v>0</v>
      </c>
      <c r="S154" s="20">
        <f t="shared" ref="S154:S158" si="464">+H154+K154+Q154+N154</f>
        <v>32</v>
      </c>
      <c r="T154" s="19">
        <f t="shared" ref="T154:T158" si="465">+I154+L154+R154+O154</f>
        <v>7.9379840000000002</v>
      </c>
      <c r="U154" s="21">
        <f t="shared" ref="U154:U158" si="466">E154-S154</f>
        <v>0</v>
      </c>
      <c r="V154" s="19">
        <f t="shared" ref="V154:V158" si="467">F154-T154</f>
        <v>0</v>
      </c>
    </row>
    <row r="155" spans="1:22">
      <c r="A155" s="26" t="s">
        <v>13</v>
      </c>
      <c r="B155" s="26" t="s">
        <v>128</v>
      </c>
      <c r="C155" s="30">
        <v>40.01</v>
      </c>
      <c r="D155" s="27">
        <v>6.55</v>
      </c>
      <c r="E155" s="28">
        <v>32</v>
      </c>
      <c r="F155" s="16">
        <f t="shared" si="459"/>
        <v>8.3860960000000002</v>
      </c>
      <c r="G155" s="16" t="s">
        <v>528</v>
      </c>
      <c r="H155" s="18">
        <v>9</v>
      </c>
      <c r="I155" s="19">
        <f t="shared" si="460"/>
        <v>2.3585894999999999</v>
      </c>
      <c r="J155" s="17" t="s">
        <v>531</v>
      </c>
      <c r="K155" s="18">
        <v>8</v>
      </c>
      <c r="L155" s="19">
        <f t="shared" si="461"/>
        <v>2.0965240000000001</v>
      </c>
      <c r="M155" s="17" t="s">
        <v>542</v>
      </c>
      <c r="N155" s="18">
        <f>3+3</f>
        <v>6</v>
      </c>
      <c r="O155" s="19">
        <f t="shared" si="462"/>
        <v>1.5723929999999999</v>
      </c>
      <c r="P155" s="16" t="s">
        <v>548</v>
      </c>
      <c r="Q155" s="18">
        <v>1</v>
      </c>
      <c r="R155" s="19">
        <f t="shared" si="463"/>
        <v>0.26206550000000001</v>
      </c>
      <c r="S155" s="20">
        <f t="shared" si="464"/>
        <v>24</v>
      </c>
      <c r="T155" s="19">
        <f t="shared" si="465"/>
        <v>6.2895719999999997</v>
      </c>
      <c r="U155" s="21">
        <f t="shared" si="466"/>
        <v>8</v>
      </c>
      <c r="V155" s="19">
        <f t="shared" si="467"/>
        <v>2.0965240000000005</v>
      </c>
    </row>
    <row r="156" spans="1:22">
      <c r="A156" s="26" t="s">
        <v>13</v>
      </c>
      <c r="B156" s="26" t="s">
        <v>128</v>
      </c>
      <c r="C156" s="30">
        <v>40.01</v>
      </c>
      <c r="D156" s="27">
        <v>6.7</v>
      </c>
      <c r="E156" s="28">
        <v>20</v>
      </c>
      <c r="F156" s="16">
        <f t="shared" si="459"/>
        <v>5.3613400000000002</v>
      </c>
      <c r="G156" s="17"/>
      <c r="H156" s="18"/>
      <c r="I156" s="19">
        <f t="shared" si="460"/>
        <v>0</v>
      </c>
      <c r="J156" s="16"/>
      <c r="K156" s="18"/>
      <c r="L156" s="19">
        <f t="shared" si="461"/>
        <v>0</v>
      </c>
      <c r="M156" s="16" t="s">
        <v>93</v>
      </c>
      <c r="N156" s="18">
        <v>19</v>
      </c>
      <c r="O156" s="19">
        <f t="shared" si="462"/>
        <v>5.0932729999999999</v>
      </c>
      <c r="P156" s="16"/>
      <c r="Q156" s="18">
        <v>10</v>
      </c>
      <c r="R156" s="19">
        <f t="shared" si="463"/>
        <v>2.6806700000000001</v>
      </c>
      <c r="S156" s="20">
        <f t="shared" si="464"/>
        <v>29</v>
      </c>
      <c r="T156" s="19">
        <f t="shared" si="465"/>
        <v>7.773943</v>
      </c>
      <c r="U156" s="21">
        <f t="shared" si="466"/>
        <v>-9</v>
      </c>
      <c r="V156" s="19">
        <f t="shared" si="467"/>
        <v>-2.4126029999999998</v>
      </c>
    </row>
    <row r="157" spans="1:22">
      <c r="A157" s="26" t="s">
        <v>13</v>
      </c>
      <c r="B157" s="26" t="s">
        <v>128</v>
      </c>
      <c r="C157" s="30">
        <v>40.01</v>
      </c>
      <c r="D157" s="27">
        <v>8</v>
      </c>
      <c r="E157" s="28">
        <f>3+28</f>
        <v>31</v>
      </c>
      <c r="F157" s="16">
        <f t="shared" si="459"/>
        <v>9.9224800000000002</v>
      </c>
      <c r="G157" s="17"/>
      <c r="H157" s="18">
        <v>9</v>
      </c>
      <c r="I157" s="19">
        <f t="shared" si="460"/>
        <v>2.8807199999999997</v>
      </c>
      <c r="J157" s="16"/>
      <c r="K157" s="18">
        <v>10</v>
      </c>
      <c r="L157" s="19">
        <f t="shared" si="461"/>
        <v>3.2007999999999996</v>
      </c>
      <c r="M157" s="16" t="s">
        <v>546</v>
      </c>
      <c r="N157" s="18">
        <f>4+2</f>
        <v>6</v>
      </c>
      <c r="O157" s="19">
        <f t="shared" si="462"/>
        <v>1.92048</v>
      </c>
      <c r="P157" s="16"/>
      <c r="Q157" s="18">
        <v>5</v>
      </c>
      <c r="R157" s="19">
        <f t="shared" si="463"/>
        <v>1.6003999999999998</v>
      </c>
      <c r="S157" s="20">
        <f t="shared" si="464"/>
        <v>30</v>
      </c>
      <c r="T157" s="19">
        <f t="shared" si="465"/>
        <v>9.6023999999999994</v>
      </c>
      <c r="U157" s="21">
        <f t="shared" si="466"/>
        <v>1</v>
      </c>
      <c r="V157" s="19">
        <f t="shared" si="467"/>
        <v>0.32008000000000081</v>
      </c>
    </row>
    <row r="158" spans="1:22">
      <c r="A158" s="26" t="s">
        <v>13</v>
      </c>
      <c r="B158" s="26" t="s">
        <v>128</v>
      </c>
      <c r="C158" s="30">
        <v>40.01</v>
      </c>
      <c r="D158" s="27">
        <v>9.1999999999999993</v>
      </c>
      <c r="E158" s="28">
        <v>9</v>
      </c>
      <c r="F158" s="16">
        <f t="shared" si="459"/>
        <v>3.3128279999999997</v>
      </c>
      <c r="G158" s="17"/>
      <c r="H158" s="18"/>
      <c r="I158" s="19">
        <f t="shared" si="460"/>
        <v>0</v>
      </c>
      <c r="J158" s="16"/>
      <c r="K158" s="18"/>
      <c r="L158" s="19">
        <f t="shared" si="461"/>
        <v>0</v>
      </c>
      <c r="M158" s="16" t="s">
        <v>545</v>
      </c>
      <c r="N158" s="18"/>
      <c r="O158" s="19">
        <f t="shared" si="462"/>
        <v>0</v>
      </c>
      <c r="P158" s="16"/>
      <c r="Q158" s="18">
        <v>9</v>
      </c>
      <c r="R158" s="19">
        <f t="shared" si="463"/>
        <v>3.3128279999999997</v>
      </c>
      <c r="S158" s="20">
        <f t="shared" si="464"/>
        <v>9</v>
      </c>
      <c r="T158" s="19">
        <f t="shared" si="465"/>
        <v>3.3128279999999997</v>
      </c>
      <c r="U158" s="21">
        <f t="shared" si="466"/>
        <v>0</v>
      </c>
      <c r="V158" s="19">
        <f t="shared" si="467"/>
        <v>0</v>
      </c>
    </row>
    <row r="159" spans="1:22">
      <c r="A159" s="36"/>
      <c r="B159" s="36"/>
      <c r="C159" s="30"/>
      <c r="D159" s="38"/>
      <c r="E159" s="31">
        <f>SUM(E154:E158)</f>
        <v>124</v>
      </c>
      <c r="F159" s="38">
        <f>SUM(F154:F158)</f>
        <v>34.920727999999997</v>
      </c>
      <c r="H159" s="31">
        <f>SUM(H154:H158)</f>
        <v>18</v>
      </c>
      <c r="I159" s="38">
        <f>SUM(I154:I158)</f>
        <v>5.2393094999999992</v>
      </c>
      <c r="K159" s="31">
        <f>SUM(K154:K158)</f>
        <v>32</v>
      </c>
      <c r="L159" s="38">
        <f>SUM(L154:L158)</f>
        <v>8.7701919999999998</v>
      </c>
      <c r="N159" s="31">
        <f>SUM(N154:N158)</f>
        <v>49</v>
      </c>
      <c r="O159" s="38">
        <f>SUM(O154:O158)</f>
        <v>13.051261999999999</v>
      </c>
      <c r="Q159" s="31">
        <f t="shared" ref="Q159:V159" si="468">SUM(Q154:Q158)</f>
        <v>25</v>
      </c>
      <c r="R159" s="38">
        <f t="shared" si="468"/>
        <v>7.8559634999999997</v>
      </c>
      <c r="S159" s="31">
        <f t="shared" si="468"/>
        <v>124</v>
      </c>
      <c r="T159" s="38">
        <f t="shared" si="468"/>
        <v>34.916726999999995</v>
      </c>
      <c r="U159" s="31">
        <f t="shared" si="468"/>
        <v>0</v>
      </c>
      <c r="V159" s="38">
        <f t="shared" si="468"/>
        <v>4.0010000000014756E-3</v>
      </c>
    </row>
    <row r="160" spans="1:22">
      <c r="A160" s="26" t="s">
        <v>13</v>
      </c>
      <c r="B160" s="26" t="s">
        <v>161</v>
      </c>
      <c r="C160" s="30">
        <v>44.12</v>
      </c>
      <c r="D160" s="27">
        <v>6.7</v>
      </c>
      <c r="E160" s="28">
        <v>2</v>
      </c>
      <c r="F160" s="16">
        <f t="shared" ref="F160:F164" si="469">(C160*D160*E160/1000)</f>
        <v>0.59120799999999996</v>
      </c>
      <c r="G160" s="16" t="s">
        <v>88</v>
      </c>
      <c r="H160" s="18"/>
      <c r="I160" s="19">
        <f t="shared" ref="I160:I164" si="470">(C160*D160*H160/1000)</f>
        <v>0</v>
      </c>
      <c r="J160" s="17" t="s">
        <v>205</v>
      </c>
      <c r="K160" s="18"/>
      <c r="L160" s="19">
        <f t="shared" ref="L160:L164" si="471">(C160*D160*K160/1000)</f>
        <v>0</v>
      </c>
      <c r="M160" s="16" t="s">
        <v>93</v>
      </c>
      <c r="N160" s="18"/>
      <c r="O160" s="19">
        <f t="shared" ref="O160:O164" si="472">(C160*D160*N160/1000)</f>
        <v>0</v>
      </c>
      <c r="P160" s="16" t="s">
        <v>325</v>
      </c>
      <c r="Q160" s="18">
        <v>2</v>
      </c>
      <c r="R160" s="19">
        <f t="shared" ref="R160:R164" si="473">(C160*D160*Q160/1000)</f>
        <v>0.59120799999999996</v>
      </c>
      <c r="S160" s="20">
        <f t="shared" ref="S160:S164" si="474">+H160+K160+Q160+N160</f>
        <v>2</v>
      </c>
      <c r="T160" s="19">
        <f t="shared" ref="T160:T164" si="475">+I160+L160+R160+O160</f>
        <v>0.59120799999999996</v>
      </c>
      <c r="U160" s="21">
        <f t="shared" ref="U160:U164" si="476">E160-S160</f>
        <v>0</v>
      </c>
      <c r="V160" s="19">
        <f t="shared" ref="V160:V164" si="477">F160-T160</f>
        <v>0</v>
      </c>
    </row>
    <row r="161" spans="1:22">
      <c r="A161" s="26" t="s">
        <v>13</v>
      </c>
      <c r="B161" s="26" t="s">
        <v>161</v>
      </c>
      <c r="C161" s="30">
        <v>44.12</v>
      </c>
      <c r="D161" s="27">
        <v>7.7</v>
      </c>
      <c r="E161" s="28">
        <v>70</v>
      </c>
      <c r="F161" s="16">
        <f t="shared" si="469"/>
        <v>23.78068</v>
      </c>
      <c r="G161" s="16" t="s">
        <v>528</v>
      </c>
      <c r="H161" s="18">
        <f>13+19</f>
        <v>32</v>
      </c>
      <c r="I161" s="19">
        <f t="shared" si="470"/>
        <v>10.871167999999999</v>
      </c>
      <c r="J161" s="17" t="s">
        <v>528</v>
      </c>
      <c r="K161" s="18"/>
      <c r="L161" s="19">
        <f t="shared" si="471"/>
        <v>0</v>
      </c>
      <c r="M161" s="16" t="s">
        <v>545</v>
      </c>
      <c r="N161" s="18">
        <f>6+8</f>
        <v>14</v>
      </c>
      <c r="O161" s="19">
        <f t="shared" si="472"/>
        <v>4.7561359999999997</v>
      </c>
      <c r="P161" s="16" t="s">
        <v>545</v>
      </c>
      <c r="Q161" s="18">
        <f>10+14</f>
        <v>24</v>
      </c>
      <c r="R161" s="19">
        <f t="shared" si="473"/>
        <v>8.1533759999999997</v>
      </c>
      <c r="S161" s="20">
        <f t="shared" si="474"/>
        <v>70</v>
      </c>
      <c r="T161" s="19">
        <f t="shared" si="475"/>
        <v>23.780679999999997</v>
      </c>
      <c r="U161" s="21">
        <f t="shared" si="476"/>
        <v>0</v>
      </c>
      <c r="V161" s="19">
        <f t="shared" si="477"/>
        <v>0</v>
      </c>
    </row>
    <row r="162" spans="1:22">
      <c r="A162" s="26" t="s">
        <v>13</v>
      </c>
      <c r="B162" s="26" t="s">
        <v>161</v>
      </c>
      <c r="C162" s="30">
        <v>44.12</v>
      </c>
      <c r="D162" s="27">
        <v>9.5</v>
      </c>
      <c r="E162" s="28">
        <v>32</v>
      </c>
      <c r="F162" s="16">
        <f t="shared" si="469"/>
        <v>13.41248</v>
      </c>
      <c r="G162" s="17"/>
      <c r="H162" s="18">
        <v>7</v>
      </c>
      <c r="I162" s="19">
        <f t="shared" si="470"/>
        <v>2.93398</v>
      </c>
      <c r="J162" s="17" t="s">
        <v>88</v>
      </c>
      <c r="K162" s="18">
        <f>7+6</f>
        <v>13</v>
      </c>
      <c r="L162" s="19">
        <f t="shared" si="471"/>
        <v>5.4488199999999996</v>
      </c>
      <c r="M162" s="16"/>
      <c r="N162" s="18">
        <v>10</v>
      </c>
      <c r="O162" s="19">
        <f t="shared" si="472"/>
        <v>4.1913999999999998</v>
      </c>
      <c r="P162" s="16" t="s">
        <v>89</v>
      </c>
      <c r="Q162" s="18">
        <v>2</v>
      </c>
      <c r="R162" s="19">
        <f t="shared" si="473"/>
        <v>0.83828000000000003</v>
      </c>
      <c r="S162" s="20">
        <f t="shared" si="474"/>
        <v>32</v>
      </c>
      <c r="T162" s="19">
        <f t="shared" si="475"/>
        <v>13.412479999999999</v>
      </c>
      <c r="U162" s="21">
        <f t="shared" si="476"/>
        <v>0</v>
      </c>
      <c r="V162" s="19">
        <f t="shared" si="477"/>
        <v>0</v>
      </c>
    </row>
    <row r="163" spans="1:22">
      <c r="A163" s="26" t="s">
        <v>13</v>
      </c>
      <c r="B163" s="26" t="s">
        <v>161</v>
      </c>
      <c r="C163" s="30">
        <v>44.12</v>
      </c>
      <c r="D163" s="27">
        <v>10</v>
      </c>
      <c r="E163" s="28">
        <v>15</v>
      </c>
      <c r="F163" s="16">
        <f t="shared" ref="F163" si="478">(C163*D163*E163/1000)</f>
        <v>6.6180000000000003</v>
      </c>
      <c r="G163" s="17" t="s">
        <v>114</v>
      </c>
      <c r="H163" s="18">
        <v>8</v>
      </c>
      <c r="I163" s="19">
        <f t="shared" ref="I163" si="479">(C163*D163*H163/1000)</f>
        <v>3.5295999999999998</v>
      </c>
      <c r="J163" s="17" t="s">
        <v>531</v>
      </c>
      <c r="K163" s="18">
        <v>5</v>
      </c>
      <c r="L163" s="19">
        <f t="shared" ref="L163" si="480">(C163*D163*K163/1000)</f>
        <v>2.206</v>
      </c>
      <c r="M163" s="16"/>
      <c r="N163" s="18"/>
      <c r="O163" s="19">
        <f t="shared" ref="O163" si="481">(C163*D163*N163/1000)</f>
        <v>0</v>
      </c>
      <c r="P163" s="16" t="s">
        <v>548</v>
      </c>
      <c r="Q163" s="18">
        <v>2</v>
      </c>
      <c r="R163" s="19">
        <f t="shared" ref="R163" si="482">(C163*D163*Q163/1000)</f>
        <v>0.88239999999999996</v>
      </c>
      <c r="S163" s="20">
        <f t="shared" ref="S163" si="483">+H163+K163+Q163+N163</f>
        <v>15</v>
      </c>
      <c r="T163" s="19">
        <f t="shared" ref="T163" si="484">+I163+L163+R163+O163</f>
        <v>6.6179999999999994</v>
      </c>
      <c r="U163" s="21">
        <f t="shared" ref="U163" si="485">E163-S163</f>
        <v>0</v>
      </c>
      <c r="V163" s="19">
        <f t="shared" ref="V163" si="486">F163-T163</f>
        <v>0</v>
      </c>
    </row>
    <row r="164" spans="1:22">
      <c r="A164" s="26" t="s">
        <v>13</v>
      </c>
      <c r="B164" s="26" t="s">
        <v>161</v>
      </c>
      <c r="C164" s="30">
        <v>44.12</v>
      </c>
      <c r="D164" s="27">
        <v>11.5</v>
      </c>
      <c r="E164" s="28"/>
      <c r="F164" s="16">
        <f t="shared" si="469"/>
        <v>0</v>
      </c>
      <c r="G164" s="17" t="s">
        <v>603</v>
      </c>
      <c r="H164" s="18">
        <v>1</v>
      </c>
      <c r="I164" s="19">
        <f t="shared" si="470"/>
        <v>0.50737999999999994</v>
      </c>
      <c r="J164" s="17"/>
      <c r="K164" s="18"/>
      <c r="L164" s="19">
        <f t="shared" si="471"/>
        <v>0</v>
      </c>
      <c r="M164" s="16"/>
      <c r="N164" s="18"/>
      <c r="O164" s="19">
        <f t="shared" si="472"/>
        <v>0</v>
      </c>
      <c r="P164" s="16"/>
      <c r="Q164" s="18"/>
      <c r="R164" s="19">
        <f t="shared" si="473"/>
        <v>0</v>
      </c>
      <c r="S164" s="20">
        <f t="shared" si="474"/>
        <v>1</v>
      </c>
      <c r="T164" s="19">
        <f t="shared" si="475"/>
        <v>0.50737999999999994</v>
      </c>
      <c r="U164" s="21">
        <f t="shared" si="476"/>
        <v>-1</v>
      </c>
      <c r="V164" s="19">
        <f t="shared" si="477"/>
        <v>-0.50737999999999994</v>
      </c>
    </row>
    <row r="165" spans="1:22">
      <c r="A165" s="36"/>
      <c r="B165" s="36"/>
      <c r="C165" s="30"/>
      <c r="D165" s="38"/>
      <c r="E165" s="31">
        <f>SUM(E160:E164)</f>
        <v>119</v>
      </c>
      <c r="F165" s="38">
        <f>SUM(F160:F164)</f>
        <v>44.402368000000003</v>
      </c>
      <c r="H165" s="31">
        <f>SUM(H160:H164)</f>
        <v>48</v>
      </c>
      <c r="I165" s="38">
        <f>SUM(I160:I164)</f>
        <v>17.842127999999999</v>
      </c>
      <c r="K165" s="31">
        <f>SUM(K160:K164)</f>
        <v>18</v>
      </c>
      <c r="L165" s="38">
        <f>SUM(L160:L164)</f>
        <v>7.6548199999999991</v>
      </c>
      <c r="N165" s="31">
        <f>SUM(N160:N164)</f>
        <v>24</v>
      </c>
      <c r="O165" s="38">
        <f>SUM(O160:O164)</f>
        <v>8.9475359999999995</v>
      </c>
      <c r="Q165" s="31">
        <f t="shared" ref="Q165:V165" si="487">SUM(Q160:Q164)</f>
        <v>30</v>
      </c>
      <c r="R165" s="38">
        <f t="shared" si="487"/>
        <v>10.465263999999999</v>
      </c>
      <c r="S165" s="31">
        <f t="shared" si="487"/>
        <v>120</v>
      </c>
      <c r="T165" s="38">
        <f t="shared" si="487"/>
        <v>44.909748</v>
      </c>
      <c r="U165" s="31">
        <f t="shared" si="487"/>
        <v>-1</v>
      </c>
      <c r="V165" s="38">
        <f t="shared" si="487"/>
        <v>-0.50737999999999994</v>
      </c>
    </row>
    <row r="166" spans="1:22">
      <c r="A166" s="26" t="s">
        <v>13</v>
      </c>
      <c r="B166" s="26" t="s">
        <v>34</v>
      </c>
      <c r="C166" s="30">
        <v>5.77</v>
      </c>
      <c r="D166" s="27">
        <v>8</v>
      </c>
      <c r="E166" s="28">
        <v>24</v>
      </c>
      <c r="F166" s="16">
        <f t="shared" ref="F166:F170" si="488">(C166*D166*E166/1000)</f>
        <v>1.1078399999999999</v>
      </c>
      <c r="G166" s="17" t="s">
        <v>86</v>
      </c>
      <c r="H166" s="18"/>
      <c r="I166" s="19">
        <f t="shared" ref="I166:I170" si="489">(C166*D166*H166/1000)</f>
        <v>0</v>
      </c>
      <c r="J166" s="16" t="s">
        <v>89</v>
      </c>
      <c r="K166" s="18">
        <v>1</v>
      </c>
      <c r="L166" s="19">
        <f t="shared" ref="L166:L170" si="490">(C166*D166*K166/1000)</f>
        <v>4.616E-2</v>
      </c>
      <c r="M166" s="17" t="s">
        <v>111</v>
      </c>
      <c r="N166" s="18">
        <v>24</v>
      </c>
      <c r="O166" s="19">
        <f t="shared" ref="O166:O170" si="491">(C166*D166*N166/1000)</f>
        <v>1.1078399999999999</v>
      </c>
      <c r="P166" s="17" t="s">
        <v>560</v>
      </c>
      <c r="Q166" s="18"/>
      <c r="R166" s="19">
        <f t="shared" ref="R166:R170" si="492">(C166*D166*Q166/1000)</f>
        <v>0</v>
      </c>
      <c r="S166" s="20">
        <f t="shared" ref="S166:S170" si="493">+H166+K166+Q166+N166</f>
        <v>25</v>
      </c>
      <c r="T166" s="19">
        <f t="shared" ref="T166:T170" si="494">+I166+L166+R166+O166</f>
        <v>1.1539999999999999</v>
      </c>
      <c r="U166" s="21">
        <f t="shared" ref="U166:U170" si="495">E166-S166</f>
        <v>-1</v>
      </c>
      <c r="V166" s="19">
        <f t="shared" ref="V166:V170" si="496">F166-T166</f>
        <v>-4.6159999999999979E-2</v>
      </c>
    </row>
    <row r="167" spans="1:22">
      <c r="A167" s="26" t="s">
        <v>13</v>
      </c>
      <c r="B167" s="26" t="s">
        <v>34</v>
      </c>
      <c r="C167" s="30">
        <v>5.77</v>
      </c>
      <c r="D167" s="27">
        <v>10</v>
      </c>
      <c r="E167" s="28">
        <v>120</v>
      </c>
      <c r="F167" s="16">
        <f t="shared" si="488"/>
        <v>6.9239999999999995</v>
      </c>
      <c r="G167" s="17" t="s">
        <v>556</v>
      </c>
      <c r="H167" s="18">
        <v>51</v>
      </c>
      <c r="I167" s="19">
        <f t="shared" si="489"/>
        <v>2.9426999999999999</v>
      </c>
      <c r="J167" s="16" t="s">
        <v>557</v>
      </c>
      <c r="K167" s="18">
        <f>46+4</f>
        <v>50</v>
      </c>
      <c r="L167" s="19">
        <f t="shared" si="490"/>
        <v>2.8849999999999998</v>
      </c>
      <c r="M167" s="17" t="s">
        <v>557</v>
      </c>
      <c r="N167" s="18">
        <v>28</v>
      </c>
      <c r="O167" s="19">
        <f t="shared" si="491"/>
        <v>1.6155999999999999</v>
      </c>
      <c r="P167" s="17" t="s">
        <v>561</v>
      </c>
      <c r="Q167" s="18"/>
      <c r="R167" s="19">
        <f t="shared" si="492"/>
        <v>0</v>
      </c>
      <c r="S167" s="20">
        <f t="shared" si="493"/>
        <v>129</v>
      </c>
      <c r="T167" s="19">
        <f t="shared" si="494"/>
        <v>7.4432999999999998</v>
      </c>
      <c r="U167" s="21">
        <f t="shared" si="495"/>
        <v>-9</v>
      </c>
      <c r="V167" s="19">
        <f t="shared" si="496"/>
        <v>-0.51930000000000032</v>
      </c>
    </row>
    <row r="168" spans="1:22">
      <c r="A168" s="26" t="s">
        <v>13</v>
      </c>
      <c r="B168" s="26" t="s">
        <v>34</v>
      </c>
      <c r="C168" s="30">
        <v>5.77</v>
      </c>
      <c r="D168" s="27">
        <v>10.5</v>
      </c>
      <c r="E168" s="28">
        <v>281</v>
      </c>
      <c r="F168" s="16">
        <f t="shared" si="488"/>
        <v>17.024384999999999</v>
      </c>
      <c r="G168" s="17"/>
      <c r="H168" s="18">
        <v>56</v>
      </c>
      <c r="I168" s="19">
        <f t="shared" si="489"/>
        <v>3.3927599999999996</v>
      </c>
      <c r="J168" s="16"/>
      <c r="K168" s="18">
        <f>50+9</f>
        <v>59</v>
      </c>
      <c r="L168" s="19">
        <f t="shared" si="490"/>
        <v>3.5745149999999994</v>
      </c>
      <c r="M168" s="17" t="s">
        <v>64</v>
      </c>
      <c r="N168" s="18">
        <v>51</v>
      </c>
      <c r="O168" s="19">
        <f t="shared" si="491"/>
        <v>3.0898349999999994</v>
      </c>
      <c r="P168" s="16" t="s">
        <v>150</v>
      </c>
      <c r="Q168" s="18"/>
      <c r="R168" s="19">
        <f t="shared" si="492"/>
        <v>0</v>
      </c>
      <c r="S168" s="20">
        <f t="shared" si="493"/>
        <v>166</v>
      </c>
      <c r="T168" s="19">
        <f t="shared" si="494"/>
        <v>10.057109999999998</v>
      </c>
      <c r="U168" s="21">
        <f t="shared" si="495"/>
        <v>115</v>
      </c>
      <c r="V168" s="19">
        <f t="shared" si="496"/>
        <v>6.9672750000000008</v>
      </c>
    </row>
    <row r="169" spans="1:22">
      <c r="A169" s="26" t="s">
        <v>13</v>
      </c>
      <c r="B169" s="26" t="s">
        <v>34</v>
      </c>
      <c r="C169" s="30">
        <v>5.77</v>
      </c>
      <c r="D169" s="27">
        <v>11</v>
      </c>
      <c r="E169" s="28">
        <v>76</v>
      </c>
      <c r="F169" s="16">
        <f t="shared" si="488"/>
        <v>4.8237200000000007</v>
      </c>
      <c r="G169" s="17"/>
      <c r="H169" s="18">
        <v>39</v>
      </c>
      <c r="I169" s="19">
        <f t="shared" si="489"/>
        <v>2.47533</v>
      </c>
      <c r="J169" s="16"/>
      <c r="K169" s="18">
        <v>40</v>
      </c>
      <c r="L169" s="19">
        <f t="shared" si="490"/>
        <v>2.5388000000000002</v>
      </c>
      <c r="M169" s="17" t="s">
        <v>557</v>
      </c>
      <c r="N169" s="18"/>
      <c r="O169" s="19">
        <f t="shared" si="491"/>
        <v>0</v>
      </c>
      <c r="P169" s="16" t="s">
        <v>562</v>
      </c>
      <c r="Q169" s="18">
        <v>1</v>
      </c>
      <c r="R169" s="19">
        <f t="shared" si="492"/>
        <v>6.3469999999999999E-2</v>
      </c>
      <c r="S169" s="20">
        <f t="shared" si="493"/>
        <v>80</v>
      </c>
      <c r="T169" s="19">
        <f t="shared" si="494"/>
        <v>5.0775999999999994</v>
      </c>
      <c r="U169" s="21">
        <f t="shared" si="495"/>
        <v>-4</v>
      </c>
      <c r="V169" s="19">
        <f t="shared" si="496"/>
        <v>-0.25387999999999877</v>
      </c>
    </row>
    <row r="170" spans="1:22">
      <c r="A170" s="26" t="s">
        <v>13</v>
      </c>
      <c r="B170" s="26" t="s">
        <v>34</v>
      </c>
      <c r="C170" s="30">
        <v>5.77</v>
      </c>
      <c r="D170" s="27">
        <v>11.5</v>
      </c>
      <c r="E170" s="28">
        <v>279</v>
      </c>
      <c r="F170" s="16">
        <f t="shared" si="488"/>
        <v>18.513044999999998</v>
      </c>
      <c r="G170" s="17"/>
      <c r="H170" s="18">
        <f>74+3</f>
        <v>77</v>
      </c>
      <c r="I170" s="19">
        <f t="shared" si="489"/>
        <v>5.1093349999999988</v>
      </c>
      <c r="J170" s="16"/>
      <c r="K170" s="18">
        <v>156</v>
      </c>
      <c r="L170" s="19">
        <f t="shared" si="490"/>
        <v>10.351379999999999</v>
      </c>
      <c r="M170" s="16"/>
      <c r="N170" s="18">
        <f>9+47</f>
        <v>56</v>
      </c>
      <c r="O170" s="19">
        <f t="shared" si="491"/>
        <v>3.7158799999999994</v>
      </c>
      <c r="P170" s="16"/>
      <c r="Q170" s="18"/>
      <c r="R170" s="19">
        <f t="shared" si="492"/>
        <v>0</v>
      </c>
      <c r="S170" s="20">
        <f t="shared" si="493"/>
        <v>289</v>
      </c>
      <c r="T170" s="19">
        <f t="shared" si="494"/>
        <v>19.176594999999995</v>
      </c>
      <c r="U170" s="21">
        <f t="shared" si="495"/>
        <v>-10</v>
      </c>
      <c r="V170" s="19">
        <f t="shared" si="496"/>
        <v>-0.6635499999999972</v>
      </c>
    </row>
    <row r="171" spans="1:22">
      <c r="A171" s="26" t="s">
        <v>13</v>
      </c>
      <c r="B171" s="26" t="s">
        <v>34</v>
      </c>
      <c r="C171" s="30">
        <v>5.77</v>
      </c>
      <c r="D171" s="27">
        <v>12</v>
      </c>
      <c r="E171" s="28">
        <v>492</v>
      </c>
      <c r="F171" s="16">
        <f t="shared" ref="F171:F175" si="497">(C171*D171*E171/1000)</f>
        <v>34.066079999999992</v>
      </c>
      <c r="G171" s="17"/>
      <c r="H171" s="18">
        <v>253</v>
      </c>
      <c r="I171" s="19">
        <f t="shared" ref="I171:I175" si="498">(C171*D171*H171/1000)</f>
        <v>17.517719999999997</v>
      </c>
      <c r="J171" s="16"/>
      <c r="K171" s="18">
        <f t="shared" ref="K171" si="499">19+177</f>
        <v>196</v>
      </c>
      <c r="L171" s="19">
        <f t="shared" ref="L171:L175" si="500">(C171*D171*K171/1000)</f>
        <v>13.571039999999998</v>
      </c>
      <c r="M171" s="16"/>
      <c r="N171" s="18">
        <v>70</v>
      </c>
      <c r="O171" s="19">
        <f t="shared" ref="O171:O175" si="501">(C171*D171*N171/1000)</f>
        <v>4.8467999999999991</v>
      </c>
      <c r="P171" s="16"/>
      <c r="Q171" s="18">
        <f>47+5</f>
        <v>52</v>
      </c>
      <c r="R171" s="19">
        <f t="shared" ref="R171:R175" si="502">(C171*D171*Q171/1000)</f>
        <v>3.6004799999999997</v>
      </c>
      <c r="S171" s="20">
        <f t="shared" ref="S171:S175" si="503">+H171+K171+Q171+N171</f>
        <v>571</v>
      </c>
      <c r="T171" s="19">
        <f t="shared" ref="T171:T175" si="504">+I171+L171+R171+O171</f>
        <v>39.536039999999993</v>
      </c>
      <c r="U171" s="21">
        <f t="shared" ref="U171:U175" si="505">E171-S171</f>
        <v>-79</v>
      </c>
      <c r="V171" s="19">
        <f t="shared" ref="V171:V175" si="506">F171-T171</f>
        <v>-5.4699600000000004</v>
      </c>
    </row>
    <row r="172" spans="1:22">
      <c r="A172" s="26" t="s">
        <v>13</v>
      </c>
      <c r="B172" s="26" t="s">
        <v>34</v>
      </c>
      <c r="C172" s="30">
        <v>5.77</v>
      </c>
      <c r="D172" s="27">
        <v>9.6999999999999993</v>
      </c>
      <c r="E172" s="28"/>
      <c r="F172" s="16">
        <f t="shared" si="497"/>
        <v>0</v>
      </c>
      <c r="G172" s="17"/>
      <c r="H172" s="18"/>
      <c r="I172" s="19">
        <f t="shared" si="498"/>
        <v>0</v>
      </c>
      <c r="J172" s="16"/>
      <c r="K172" s="18"/>
      <c r="L172" s="19">
        <f t="shared" si="500"/>
        <v>0</v>
      </c>
      <c r="M172" s="16"/>
      <c r="N172" s="18"/>
      <c r="O172" s="19">
        <f t="shared" si="501"/>
        <v>0</v>
      </c>
      <c r="P172" s="16"/>
      <c r="Q172" s="18">
        <v>4</v>
      </c>
      <c r="R172" s="19">
        <f t="shared" si="502"/>
        <v>0.22387599999999996</v>
      </c>
      <c r="S172" s="20">
        <f t="shared" si="503"/>
        <v>4</v>
      </c>
      <c r="T172" s="19">
        <f t="shared" si="504"/>
        <v>0.22387599999999996</v>
      </c>
      <c r="U172" s="21">
        <f t="shared" si="505"/>
        <v>-4</v>
      </c>
      <c r="V172" s="19">
        <f t="shared" si="506"/>
        <v>-0.22387599999999996</v>
      </c>
    </row>
    <row r="173" spans="1:22">
      <c r="A173" s="26" t="s">
        <v>13</v>
      </c>
      <c r="B173" s="26" t="s">
        <v>34</v>
      </c>
      <c r="C173" s="30">
        <v>5.77</v>
      </c>
      <c r="D173" s="27">
        <v>9.5</v>
      </c>
      <c r="E173" s="28"/>
      <c r="F173" s="16">
        <f t="shared" si="497"/>
        <v>0</v>
      </c>
      <c r="G173" s="17"/>
      <c r="H173" s="18"/>
      <c r="I173" s="19">
        <f t="shared" si="498"/>
        <v>0</v>
      </c>
      <c r="J173" s="16"/>
      <c r="K173" s="18"/>
      <c r="L173" s="19">
        <f t="shared" si="500"/>
        <v>0</v>
      </c>
      <c r="M173" s="16"/>
      <c r="N173" s="18"/>
      <c r="O173" s="19">
        <f t="shared" si="501"/>
        <v>0</v>
      </c>
      <c r="P173" s="16"/>
      <c r="Q173" s="18">
        <v>2</v>
      </c>
      <c r="R173" s="19">
        <f t="shared" si="502"/>
        <v>0.10962999999999999</v>
      </c>
      <c r="S173" s="20">
        <f t="shared" si="503"/>
        <v>2</v>
      </c>
      <c r="T173" s="19">
        <f t="shared" si="504"/>
        <v>0.10962999999999999</v>
      </c>
      <c r="U173" s="21">
        <f t="shared" si="505"/>
        <v>-2</v>
      </c>
      <c r="V173" s="19">
        <f t="shared" si="506"/>
        <v>-0.10962999999999999</v>
      </c>
    </row>
    <row r="174" spans="1:22">
      <c r="A174" s="26" t="s">
        <v>13</v>
      </c>
      <c r="B174" s="26" t="s">
        <v>34</v>
      </c>
      <c r="C174" s="30">
        <v>5.77</v>
      </c>
      <c r="D174" s="27">
        <v>8.5</v>
      </c>
      <c r="E174" s="28"/>
      <c r="F174" s="16">
        <f t="shared" si="497"/>
        <v>0</v>
      </c>
      <c r="G174" s="17"/>
      <c r="H174" s="18"/>
      <c r="I174" s="19">
        <f t="shared" si="498"/>
        <v>0</v>
      </c>
      <c r="J174" s="16"/>
      <c r="K174" s="18"/>
      <c r="L174" s="19">
        <f t="shared" si="500"/>
        <v>0</v>
      </c>
      <c r="M174" s="16"/>
      <c r="N174" s="18"/>
      <c r="O174" s="19">
        <f t="shared" si="501"/>
        <v>0</v>
      </c>
      <c r="P174" s="16"/>
      <c r="Q174" s="18">
        <v>4</v>
      </c>
      <c r="R174" s="19">
        <f t="shared" si="502"/>
        <v>0.19617999999999997</v>
      </c>
      <c r="S174" s="20">
        <f t="shared" si="503"/>
        <v>4</v>
      </c>
      <c r="T174" s="19">
        <f t="shared" si="504"/>
        <v>0.19617999999999997</v>
      </c>
      <c r="U174" s="21">
        <f t="shared" si="505"/>
        <v>-4</v>
      </c>
      <c r="V174" s="19">
        <f t="shared" si="506"/>
        <v>-0.19617999999999997</v>
      </c>
    </row>
    <row r="175" spans="1:22">
      <c r="A175" s="26" t="s">
        <v>13</v>
      </c>
      <c r="B175" s="26" t="s">
        <v>34</v>
      </c>
      <c r="C175" s="30">
        <v>5.77</v>
      </c>
      <c r="D175" s="27">
        <v>9.6</v>
      </c>
      <c r="E175" s="28"/>
      <c r="F175" s="16">
        <f t="shared" si="497"/>
        <v>0</v>
      </c>
      <c r="G175" s="17"/>
      <c r="H175" s="18"/>
      <c r="I175" s="19">
        <f t="shared" si="498"/>
        <v>0</v>
      </c>
      <c r="J175" s="16"/>
      <c r="K175" s="18"/>
      <c r="L175" s="19">
        <f t="shared" si="500"/>
        <v>0</v>
      </c>
      <c r="M175" s="16"/>
      <c r="N175" s="18"/>
      <c r="O175" s="19">
        <f t="shared" si="501"/>
        <v>0</v>
      </c>
      <c r="P175" s="16"/>
      <c r="Q175" s="18">
        <v>5</v>
      </c>
      <c r="R175" s="19">
        <f t="shared" si="502"/>
        <v>0.27695999999999998</v>
      </c>
      <c r="S175" s="20">
        <f t="shared" si="503"/>
        <v>5</v>
      </c>
      <c r="T175" s="19">
        <f t="shared" si="504"/>
        <v>0.27695999999999998</v>
      </c>
      <c r="U175" s="21">
        <f t="shared" si="505"/>
        <v>-5</v>
      </c>
      <c r="V175" s="19">
        <f t="shared" si="506"/>
        <v>-0.27695999999999998</v>
      </c>
    </row>
    <row r="176" spans="1:22">
      <c r="A176" s="26" t="s">
        <v>13</v>
      </c>
      <c r="B176" s="26" t="s">
        <v>34</v>
      </c>
      <c r="C176" s="30">
        <v>5.77</v>
      </c>
      <c r="D176" s="27">
        <v>9.4</v>
      </c>
      <c r="E176" s="28"/>
      <c r="F176" s="16">
        <f t="shared" ref="F176:F177" si="507">(C176*D176*E176/1000)</f>
        <v>0</v>
      </c>
      <c r="G176" s="17"/>
      <c r="H176" s="18"/>
      <c r="I176" s="19">
        <f t="shared" ref="I176:I177" si="508">(C176*D176*H176/1000)</f>
        <v>0</v>
      </c>
      <c r="J176" s="16"/>
      <c r="K176" s="18"/>
      <c r="L176" s="19">
        <f t="shared" ref="L176:L177" si="509">(C176*D176*K176/1000)</f>
        <v>0</v>
      </c>
      <c r="M176" s="16"/>
      <c r="N176" s="18"/>
      <c r="O176" s="19">
        <f t="shared" ref="O176:O177" si="510">(C176*D176*N176/1000)</f>
        <v>0</v>
      </c>
      <c r="P176" s="16"/>
      <c r="Q176" s="18">
        <v>1</v>
      </c>
      <c r="R176" s="19">
        <f t="shared" ref="R176:R177" si="511">(C176*D176*Q176/1000)</f>
        <v>5.4238000000000001E-2</v>
      </c>
      <c r="S176" s="20">
        <f t="shared" ref="S176:S177" si="512">+H176+K176+Q176+N176</f>
        <v>1</v>
      </c>
      <c r="T176" s="19">
        <f t="shared" ref="T176:T177" si="513">+I176+L176+R176+O176</f>
        <v>5.4238000000000001E-2</v>
      </c>
      <c r="U176" s="21">
        <f t="shared" ref="U176:U177" si="514">E176-S176</f>
        <v>-1</v>
      </c>
      <c r="V176" s="19">
        <f t="shared" ref="V176:V177" si="515">F176-T176</f>
        <v>-5.4238000000000001E-2</v>
      </c>
    </row>
    <row r="177" spans="1:22">
      <c r="A177" s="26" t="s">
        <v>13</v>
      </c>
      <c r="B177" s="26" t="s">
        <v>34</v>
      </c>
      <c r="C177" s="30">
        <v>5.77</v>
      </c>
      <c r="D177" s="27">
        <v>8.4</v>
      </c>
      <c r="E177" s="28"/>
      <c r="F177" s="16">
        <f t="shared" si="507"/>
        <v>0</v>
      </c>
      <c r="G177" s="17"/>
      <c r="H177" s="18"/>
      <c r="I177" s="19">
        <f t="shared" si="508"/>
        <v>0</v>
      </c>
      <c r="J177" s="16"/>
      <c r="K177" s="18"/>
      <c r="L177" s="19">
        <f t="shared" si="509"/>
        <v>0</v>
      </c>
      <c r="M177" s="16"/>
      <c r="N177" s="18"/>
      <c r="O177" s="19">
        <f t="shared" si="510"/>
        <v>0</v>
      </c>
      <c r="P177" s="16"/>
      <c r="Q177" s="18">
        <v>1</v>
      </c>
      <c r="R177" s="19">
        <f t="shared" si="511"/>
        <v>4.8467999999999997E-2</v>
      </c>
      <c r="S177" s="20">
        <f t="shared" si="512"/>
        <v>1</v>
      </c>
      <c r="T177" s="19">
        <f t="shared" si="513"/>
        <v>4.8467999999999997E-2</v>
      </c>
      <c r="U177" s="21">
        <f t="shared" si="514"/>
        <v>-1</v>
      </c>
      <c r="V177" s="19">
        <f t="shared" si="515"/>
        <v>-4.8467999999999997E-2</v>
      </c>
    </row>
    <row r="178" spans="1:22">
      <c r="A178" s="36"/>
      <c r="B178" s="36"/>
      <c r="C178" s="30"/>
      <c r="D178" s="38"/>
      <c r="E178" s="31">
        <f>SUM(E166:E177)</f>
        <v>1272</v>
      </c>
      <c r="F178" s="38">
        <f>SUM(F166:F177)</f>
        <v>82.459069999999997</v>
      </c>
      <c r="H178" s="31">
        <f>SUM(H166:H177)</f>
        <v>476</v>
      </c>
      <c r="I178" s="38">
        <f>SUM(I166:I177)</f>
        <v>31.437844999999996</v>
      </c>
      <c r="K178" s="31">
        <f>SUM(K166:K177)</f>
        <v>502</v>
      </c>
      <c r="L178" s="38">
        <f>SUM(L166:L177)</f>
        <v>32.966894999999994</v>
      </c>
      <c r="N178" s="31">
        <f>SUM(N166:N177)</f>
        <v>229</v>
      </c>
      <c r="O178" s="38">
        <f>SUM(O166:O177)</f>
        <v>14.375954999999998</v>
      </c>
      <c r="Q178" s="31">
        <f t="shared" ref="Q178:V178" si="516">SUM(Q166:Q177)</f>
        <v>70</v>
      </c>
      <c r="R178" s="38">
        <f t="shared" si="516"/>
        <v>4.5733019999999991</v>
      </c>
      <c r="S178" s="31">
        <f t="shared" si="516"/>
        <v>1277</v>
      </c>
      <c r="T178" s="38">
        <f t="shared" si="516"/>
        <v>83.353996999999978</v>
      </c>
      <c r="U178" s="31">
        <f t="shared" si="516"/>
        <v>-5</v>
      </c>
      <c r="V178" s="38">
        <f t="shared" si="516"/>
        <v>-0.89492699999999525</v>
      </c>
    </row>
    <row r="179" spans="1:22" hidden="1">
      <c r="A179" s="26" t="s">
        <v>13</v>
      </c>
      <c r="B179" s="26" t="s">
        <v>35</v>
      </c>
      <c r="C179" s="30">
        <v>6.86</v>
      </c>
      <c r="D179" s="27">
        <v>10</v>
      </c>
      <c r="E179" s="28">
        <v>88</v>
      </c>
      <c r="F179" s="16">
        <f t="shared" ref="F179:F188" si="517">(C179*D179*E179/1000)</f>
        <v>6.0368000000000013</v>
      </c>
      <c r="G179" s="17" t="s">
        <v>89</v>
      </c>
      <c r="H179" s="18">
        <v>33</v>
      </c>
      <c r="I179" s="19">
        <f t="shared" ref="I179:I188" si="518">(C179*D179*H179/1000)</f>
        <v>2.2638000000000003</v>
      </c>
      <c r="J179" s="17" t="s">
        <v>89</v>
      </c>
      <c r="K179" s="18">
        <v>47</v>
      </c>
      <c r="L179" s="19">
        <f t="shared" ref="L179:L188" si="519">(C179*D179*K179/1000)</f>
        <v>3.2242000000000002</v>
      </c>
      <c r="M179" s="16" t="s">
        <v>86</v>
      </c>
      <c r="N179" s="18"/>
      <c r="O179" s="19">
        <f t="shared" ref="O179:O188" si="520">(C179*D179*N179/1000)</f>
        <v>0</v>
      </c>
      <c r="P179" s="16"/>
      <c r="Q179" s="18"/>
      <c r="R179" s="19">
        <f t="shared" ref="R179:R188" si="521">(C179*D179*Q179/1000)</f>
        <v>0</v>
      </c>
      <c r="S179" s="20">
        <f t="shared" ref="S179:S188" si="522">+H179+K179+Q179+N179</f>
        <v>80</v>
      </c>
      <c r="T179" s="19">
        <f t="shared" ref="T179:T188" si="523">+I179+L179+R179+O179</f>
        <v>5.4880000000000004</v>
      </c>
      <c r="U179" s="21">
        <f t="shared" ref="U179:U188" si="524">E179-S179</f>
        <v>8</v>
      </c>
      <c r="V179" s="19">
        <f t="shared" ref="V179:V188" si="525">F179-T179</f>
        <v>0.54880000000000084</v>
      </c>
    </row>
    <row r="180" spans="1:22" hidden="1">
      <c r="A180" s="26" t="s">
        <v>13</v>
      </c>
      <c r="B180" s="26" t="s">
        <v>35</v>
      </c>
      <c r="C180" s="30">
        <v>6.86</v>
      </c>
      <c r="D180" s="27">
        <v>10.5</v>
      </c>
      <c r="E180" s="28">
        <v>207</v>
      </c>
      <c r="F180" s="16">
        <f t="shared" si="517"/>
        <v>14.910210000000001</v>
      </c>
      <c r="G180" s="17" t="s">
        <v>519</v>
      </c>
      <c r="H180" s="18">
        <v>85</v>
      </c>
      <c r="I180" s="19">
        <f t="shared" si="518"/>
        <v>6.1225500000000004</v>
      </c>
      <c r="J180" s="17" t="s">
        <v>519</v>
      </c>
      <c r="K180" s="18">
        <v>127</v>
      </c>
      <c r="L180" s="19">
        <f t="shared" si="519"/>
        <v>9.1478099999999998</v>
      </c>
      <c r="M180" s="16" t="s">
        <v>520</v>
      </c>
      <c r="N180" s="18"/>
      <c r="O180" s="19">
        <f t="shared" si="520"/>
        <v>0</v>
      </c>
      <c r="P180" s="16"/>
      <c r="Q180" s="18"/>
      <c r="R180" s="19">
        <f t="shared" si="521"/>
        <v>0</v>
      </c>
      <c r="S180" s="20">
        <f t="shared" si="522"/>
        <v>212</v>
      </c>
      <c r="T180" s="19">
        <f t="shared" si="523"/>
        <v>15.27036</v>
      </c>
      <c r="U180" s="21">
        <f t="shared" si="524"/>
        <v>-5</v>
      </c>
      <c r="V180" s="19">
        <f t="shared" si="525"/>
        <v>-0.36014999999999908</v>
      </c>
    </row>
    <row r="181" spans="1:22" hidden="1">
      <c r="A181" s="26" t="s">
        <v>13</v>
      </c>
      <c r="B181" s="26" t="s">
        <v>35</v>
      </c>
      <c r="C181" s="30">
        <v>6.86</v>
      </c>
      <c r="D181" s="27">
        <v>11</v>
      </c>
      <c r="E181" s="28">
        <v>47</v>
      </c>
      <c r="F181" s="16">
        <f t="shared" si="517"/>
        <v>3.5466200000000003</v>
      </c>
      <c r="G181" s="17"/>
      <c r="H181" s="18"/>
      <c r="I181" s="19">
        <f t="shared" si="518"/>
        <v>0</v>
      </c>
      <c r="J181" s="16"/>
      <c r="K181" s="18">
        <v>41</v>
      </c>
      <c r="L181" s="19">
        <f t="shared" si="519"/>
        <v>3.0938600000000003</v>
      </c>
      <c r="M181" s="16"/>
      <c r="N181" s="18">
        <v>3</v>
      </c>
      <c r="O181" s="19">
        <f t="shared" si="520"/>
        <v>0.22638000000000003</v>
      </c>
      <c r="P181" s="16"/>
      <c r="Q181" s="18"/>
      <c r="R181" s="19">
        <f t="shared" si="521"/>
        <v>0</v>
      </c>
      <c r="S181" s="20">
        <f t="shared" si="522"/>
        <v>44</v>
      </c>
      <c r="T181" s="19">
        <f t="shared" si="523"/>
        <v>3.3202400000000001</v>
      </c>
      <c r="U181" s="21">
        <f t="shared" si="524"/>
        <v>3</v>
      </c>
      <c r="V181" s="19">
        <f t="shared" si="525"/>
        <v>0.22638000000000025</v>
      </c>
    </row>
    <row r="182" spans="1:22" hidden="1">
      <c r="A182" s="26" t="s">
        <v>13</v>
      </c>
      <c r="B182" s="26" t="s">
        <v>35</v>
      </c>
      <c r="C182" s="30">
        <v>6.86</v>
      </c>
      <c r="D182" s="27">
        <v>11.5</v>
      </c>
      <c r="E182" s="28">
        <v>160</v>
      </c>
      <c r="F182" s="16">
        <f t="shared" si="517"/>
        <v>12.622399999999999</v>
      </c>
      <c r="G182" s="17"/>
      <c r="H182" s="18">
        <v>64</v>
      </c>
      <c r="I182" s="19">
        <f t="shared" si="518"/>
        <v>5.0489600000000001</v>
      </c>
      <c r="J182" s="16"/>
      <c r="K182" s="18">
        <v>75</v>
      </c>
      <c r="L182" s="19">
        <f t="shared" si="519"/>
        <v>5.9167500000000004</v>
      </c>
      <c r="M182" s="16"/>
      <c r="N182" s="18">
        <v>2</v>
      </c>
      <c r="O182" s="19">
        <f t="shared" si="520"/>
        <v>0.15778</v>
      </c>
      <c r="P182" s="16"/>
      <c r="Q182" s="18"/>
      <c r="R182" s="19">
        <f t="shared" si="521"/>
        <v>0</v>
      </c>
      <c r="S182" s="20">
        <f t="shared" si="522"/>
        <v>141</v>
      </c>
      <c r="T182" s="19">
        <f t="shared" si="523"/>
        <v>11.123490000000002</v>
      </c>
      <c r="U182" s="21">
        <f t="shared" si="524"/>
        <v>19</v>
      </c>
      <c r="V182" s="19">
        <f t="shared" si="525"/>
        <v>1.4989099999999969</v>
      </c>
    </row>
    <row r="183" spans="1:22" hidden="1">
      <c r="A183" s="26" t="s">
        <v>13</v>
      </c>
      <c r="B183" s="26" t="s">
        <v>35</v>
      </c>
      <c r="C183" s="30">
        <v>6.86</v>
      </c>
      <c r="D183" s="27">
        <v>12</v>
      </c>
      <c r="E183" s="28">
        <v>142</v>
      </c>
      <c r="F183" s="16">
        <f t="shared" ref="F183:F187" si="526">(C183*D183*E183/1000)</f>
        <v>11.689440000000001</v>
      </c>
      <c r="G183" s="17"/>
      <c r="H183" s="18"/>
      <c r="I183" s="19">
        <f t="shared" ref="I183:I187" si="527">(C183*D183*H183/1000)</f>
        <v>0</v>
      </c>
      <c r="J183" s="16"/>
      <c r="K183" s="18">
        <v>123</v>
      </c>
      <c r="L183" s="19">
        <f t="shared" ref="L183:L187" si="528">(C183*D183*K183/1000)</f>
        <v>10.125360000000001</v>
      </c>
      <c r="M183" s="16"/>
      <c r="N183" s="18">
        <v>25</v>
      </c>
      <c r="O183" s="19">
        <f t="shared" ref="O183:O187" si="529">(C183*D183*N183/1000)</f>
        <v>2.0579999999999998</v>
      </c>
      <c r="P183" s="16"/>
      <c r="Q183" s="18"/>
      <c r="R183" s="19">
        <f t="shared" ref="R183:R187" si="530">(C183*D183*Q183/1000)</f>
        <v>0</v>
      </c>
      <c r="S183" s="20">
        <f t="shared" ref="S183:S187" si="531">+H183+K183+Q183+N183</f>
        <v>148</v>
      </c>
      <c r="T183" s="19">
        <f t="shared" ref="T183:T187" si="532">+I183+L183+R183+O183</f>
        <v>12.18336</v>
      </c>
      <c r="U183" s="21">
        <f t="shared" ref="U183:U187" si="533">E183-S183</f>
        <v>-6</v>
      </c>
      <c r="V183" s="19">
        <f t="shared" ref="V183:V187" si="534">F183-T183</f>
        <v>-0.49391999999999925</v>
      </c>
    </row>
    <row r="184" spans="1:22" hidden="1">
      <c r="A184" s="26" t="s">
        <v>13</v>
      </c>
      <c r="B184" s="26" t="s">
        <v>35</v>
      </c>
      <c r="C184" s="30">
        <v>6.86</v>
      </c>
      <c r="D184" s="27">
        <v>11.4</v>
      </c>
      <c r="E184" s="28"/>
      <c r="F184" s="16">
        <f t="shared" si="526"/>
        <v>0</v>
      </c>
      <c r="G184" s="17"/>
      <c r="H184" s="18"/>
      <c r="I184" s="19">
        <f t="shared" si="527"/>
        <v>0</v>
      </c>
      <c r="J184" s="16"/>
      <c r="K184" s="18">
        <v>8</v>
      </c>
      <c r="L184" s="19">
        <f t="shared" si="528"/>
        <v>0.62563200000000008</v>
      </c>
      <c r="M184" s="16"/>
      <c r="N184" s="18">
        <v>8</v>
      </c>
      <c r="O184" s="19">
        <f t="shared" si="529"/>
        <v>0.62563200000000008</v>
      </c>
      <c r="P184" s="16"/>
      <c r="Q184" s="18"/>
      <c r="R184" s="19">
        <f t="shared" si="530"/>
        <v>0</v>
      </c>
      <c r="S184" s="20">
        <f t="shared" si="531"/>
        <v>16</v>
      </c>
      <c r="T184" s="19">
        <f t="shared" si="532"/>
        <v>1.2512640000000002</v>
      </c>
      <c r="U184" s="21">
        <f t="shared" si="533"/>
        <v>-16</v>
      </c>
      <c r="V184" s="19">
        <f t="shared" si="534"/>
        <v>-1.2512640000000002</v>
      </c>
    </row>
    <row r="185" spans="1:22" hidden="1">
      <c r="A185" s="26" t="s">
        <v>13</v>
      </c>
      <c r="B185" s="26" t="s">
        <v>35</v>
      </c>
      <c r="C185" s="30">
        <v>6.86</v>
      </c>
      <c r="D185" s="27">
        <v>9.5</v>
      </c>
      <c r="E185" s="28"/>
      <c r="F185" s="16">
        <f t="shared" si="526"/>
        <v>0</v>
      </c>
      <c r="G185" s="17"/>
      <c r="H185" s="18"/>
      <c r="I185" s="19">
        <f t="shared" si="527"/>
        <v>0</v>
      </c>
      <c r="J185" s="16"/>
      <c r="K185" s="18"/>
      <c r="L185" s="19">
        <f t="shared" si="528"/>
        <v>0</v>
      </c>
      <c r="M185" s="16"/>
      <c r="N185" s="18">
        <v>4</v>
      </c>
      <c r="O185" s="19">
        <f t="shared" si="529"/>
        <v>0.26068000000000002</v>
      </c>
      <c r="P185" s="16"/>
      <c r="Q185" s="18"/>
      <c r="R185" s="19">
        <f t="shared" si="530"/>
        <v>0</v>
      </c>
      <c r="S185" s="20">
        <f t="shared" si="531"/>
        <v>4</v>
      </c>
      <c r="T185" s="19">
        <f t="shared" si="532"/>
        <v>0.26068000000000002</v>
      </c>
      <c r="U185" s="21">
        <f t="shared" si="533"/>
        <v>-4</v>
      </c>
      <c r="V185" s="19">
        <f t="shared" si="534"/>
        <v>-0.26068000000000002</v>
      </c>
    </row>
    <row r="186" spans="1:22" hidden="1">
      <c r="A186" s="26" t="s">
        <v>13</v>
      </c>
      <c r="B186" s="26" t="s">
        <v>35</v>
      </c>
      <c r="C186" s="30">
        <v>6.86</v>
      </c>
      <c r="D186" s="27"/>
      <c r="E186" s="28"/>
      <c r="F186" s="16">
        <f t="shared" si="526"/>
        <v>0</v>
      </c>
      <c r="G186" s="17"/>
      <c r="H186" s="18"/>
      <c r="I186" s="19">
        <f t="shared" si="527"/>
        <v>0</v>
      </c>
      <c r="J186" s="16"/>
      <c r="K186" s="18"/>
      <c r="L186" s="19">
        <f t="shared" si="528"/>
        <v>0</v>
      </c>
      <c r="M186" s="16"/>
      <c r="N186" s="18"/>
      <c r="O186" s="19">
        <f t="shared" si="529"/>
        <v>0</v>
      </c>
      <c r="P186" s="16"/>
      <c r="Q186" s="18"/>
      <c r="R186" s="19">
        <f t="shared" si="530"/>
        <v>0</v>
      </c>
      <c r="S186" s="20">
        <f t="shared" si="531"/>
        <v>0</v>
      </c>
      <c r="T186" s="19">
        <f t="shared" si="532"/>
        <v>0</v>
      </c>
      <c r="U186" s="21">
        <f t="shared" si="533"/>
        <v>0</v>
      </c>
      <c r="V186" s="19">
        <f t="shared" si="534"/>
        <v>0</v>
      </c>
    </row>
    <row r="187" spans="1:22" hidden="1">
      <c r="A187" s="26" t="s">
        <v>13</v>
      </c>
      <c r="B187" s="26" t="s">
        <v>35</v>
      </c>
      <c r="C187" s="30">
        <v>6.86</v>
      </c>
      <c r="D187" s="27"/>
      <c r="E187" s="28"/>
      <c r="F187" s="16">
        <f t="shared" si="526"/>
        <v>0</v>
      </c>
      <c r="G187" s="17"/>
      <c r="H187" s="18"/>
      <c r="I187" s="19">
        <f t="shared" si="527"/>
        <v>0</v>
      </c>
      <c r="J187" s="16"/>
      <c r="K187" s="18"/>
      <c r="L187" s="19">
        <f t="shared" si="528"/>
        <v>0</v>
      </c>
      <c r="M187" s="16"/>
      <c r="N187" s="18"/>
      <c r="O187" s="19">
        <f t="shared" si="529"/>
        <v>0</v>
      </c>
      <c r="P187" s="16"/>
      <c r="Q187" s="18"/>
      <c r="R187" s="19">
        <f t="shared" si="530"/>
        <v>0</v>
      </c>
      <c r="S187" s="20">
        <f t="shared" si="531"/>
        <v>0</v>
      </c>
      <c r="T187" s="19">
        <f t="shared" si="532"/>
        <v>0</v>
      </c>
      <c r="U187" s="21">
        <f t="shared" si="533"/>
        <v>0</v>
      </c>
      <c r="V187" s="19">
        <f t="shared" si="534"/>
        <v>0</v>
      </c>
    </row>
    <row r="188" spans="1:22" hidden="1">
      <c r="A188" s="26" t="s">
        <v>13</v>
      </c>
      <c r="B188" s="26" t="s">
        <v>35</v>
      </c>
      <c r="C188" s="30">
        <v>6.86</v>
      </c>
      <c r="D188" s="27"/>
      <c r="E188" s="28"/>
      <c r="F188" s="16">
        <f t="shared" si="517"/>
        <v>0</v>
      </c>
      <c r="G188" s="17"/>
      <c r="H188" s="18"/>
      <c r="I188" s="19">
        <f t="shared" si="518"/>
        <v>0</v>
      </c>
      <c r="J188" s="16"/>
      <c r="K188" s="18"/>
      <c r="L188" s="19">
        <f t="shared" si="519"/>
        <v>0</v>
      </c>
      <c r="M188" s="16"/>
      <c r="N188" s="18"/>
      <c r="O188" s="19">
        <f t="shared" si="520"/>
        <v>0</v>
      </c>
      <c r="P188" s="16"/>
      <c r="Q188" s="18"/>
      <c r="R188" s="19">
        <f t="shared" si="521"/>
        <v>0</v>
      </c>
      <c r="S188" s="20">
        <f t="shared" si="522"/>
        <v>0</v>
      </c>
      <c r="T188" s="19">
        <f t="shared" si="523"/>
        <v>0</v>
      </c>
      <c r="U188" s="21">
        <f t="shared" si="524"/>
        <v>0</v>
      </c>
      <c r="V188" s="19">
        <f t="shared" si="525"/>
        <v>0</v>
      </c>
    </row>
    <row r="189" spans="1:22" hidden="1">
      <c r="A189" s="36"/>
      <c r="B189" s="36"/>
      <c r="C189" s="30"/>
      <c r="D189" s="38"/>
      <c r="E189" s="31">
        <f>SUM(E179:E188)</f>
        <v>644</v>
      </c>
      <c r="F189" s="38">
        <f>SUM(F179:F188)</f>
        <v>48.80547</v>
      </c>
      <c r="H189" s="31">
        <f>SUM(H179:H188)</f>
        <v>182</v>
      </c>
      <c r="I189" s="38">
        <f>SUM(I179:I188)</f>
        <v>13.435310000000001</v>
      </c>
      <c r="K189" s="31">
        <f>SUM(K179:K188)</f>
        <v>421</v>
      </c>
      <c r="L189" s="38">
        <f>SUM(L179:L188)</f>
        <v>32.133611999999999</v>
      </c>
      <c r="N189" s="31">
        <f>SUM(N179:N188)</f>
        <v>42</v>
      </c>
      <c r="O189" s="38">
        <f>SUM(O179:O188)</f>
        <v>3.3284719999999997</v>
      </c>
      <c r="Q189" s="31">
        <f t="shared" ref="Q189:V189" si="535">SUM(Q179:Q188)</f>
        <v>0</v>
      </c>
      <c r="R189" s="38">
        <f t="shared" si="535"/>
        <v>0</v>
      </c>
      <c r="S189" s="31">
        <f t="shared" si="535"/>
        <v>645</v>
      </c>
      <c r="T189" s="38">
        <f t="shared" si="535"/>
        <v>48.897394000000006</v>
      </c>
      <c r="U189" s="31">
        <f t="shared" si="535"/>
        <v>-1</v>
      </c>
      <c r="V189" s="38">
        <f t="shared" si="535"/>
        <v>-9.1924000000000561E-2</v>
      </c>
    </row>
    <row r="190" spans="1:22">
      <c r="A190" s="26" t="s">
        <v>13</v>
      </c>
      <c r="B190" s="26" t="s">
        <v>57</v>
      </c>
      <c r="C190" s="30">
        <v>6.17</v>
      </c>
      <c r="D190" s="27">
        <v>8</v>
      </c>
      <c r="E190" s="28">
        <v>31</v>
      </c>
      <c r="F190" s="16">
        <f t="shared" ref="F190:F203" si="536">(C190*D190*E190/1000)</f>
        <v>1.5301600000000002</v>
      </c>
      <c r="G190" s="17" t="s">
        <v>111</v>
      </c>
      <c r="H190" s="18">
        <v>10</v>
      </c>
      <c r="I190" s="19">
        <f t="shared" ref="I190:I203" si="537">(C190*D190*H190/1000)</f>
        <v>0.49360000000000004</v>
      </c>
      <c r="J190" s="16" t="s">
        <v>93</v>
      </c>
      <c r="K190" s="18">
        <v>12</v>
      </c>
      <c r="L190" s="19">
        <f t="shared" ref="L190:L203" si="538">(C190*D190*K190/1000)</f>
        <v>0.59231999999999996</v>
      </c>
      <c r="M190" s="16" t="s">
        <v>150</v>
      </c>
      <c r="N190" s="18"/>
      <c r="O190" s="19">
        <f t="shared" ref="O190:O203" si="539">(C190*D190*N190/1000)</f>
        <v>0</v>
      </c>
      <c r="P190" s="16"/>
      <c r="Q190" s="18"/>
      <c r="R190" s="19">
        <f t="shared" ref="R190:R203" si="540">(C190*D190*Q190/1000)</f>
        <v>0</v>
      </c>
      <c r="S190" s="20">
        <f t="shared" ref="S190:S203" si="541">+H190+K190+Q190+N190</f>
        <v>22</v>
      </c>
      <c r="T190" s="19">
        <f t="shared" ref="T190:T203" si="542">+I190+L190+R190+O190</f>
        <v>1.08592</v>
      </c>
      <c r="U190" s="21">
        <f t="shared" ref="U190:U203" si="543">E190-S190</f>
        <v>9</v>
      </c>
      <c r="V190" s="19">
        <f t="shared" ref="V190:V203" si="544">F190-T190</f>
        <v>0.44424000000000019</v>
      </c>
    </row>
    <row r="191" spans="1:22">
      <c r="A191" s="26" t="s">
        <v>13</v>
      </c>
      <c r="B191" s="26" t="s">
        <v>57</v>
      </c>
      <c r="C191" s="30">
        <v>6.17</v>
      </c>
      <c r="D191" s="27">
        <v>9.1999999999999993</v>
      </c>
      <c r="E191" s="28">
        <v>105</v>
      </c>
      <c r="F191" s="16">
        <f t="shared" si="536"/>
        <v>5.9602199999999996</v>
      </c>
      <c r="G191" s="17" t="s">
        <v>557</v>
      </c>
      <c r="H191" s="18">
        <v>49</v>
      </c>
      <c r="I191" s="19">
        <f t="shared" si="537"/>
        <v>2.7814359999999998</v>
      </c>
      <c r="J191" s="16" t="s">
        <v>557</v>
      </c>
      <c r="K191" s="18">
        <v>50</v>
      </c>
      <c r="L191" s="19">
        <f t="shared" si="538"/>
        <v>2.8381999999999996</v>
      </c>
      <c r="M191" s="16" t="s">
        <v>562</v>
      </c>
      <c r="N191" s="18"/>
      <c r="O191" s="19">
        <f t="shared" si="539"/>
        <v>0</v>
      </c>
      <c r="P191" s="16"/>
      <c r="Q191" s="18"/>
      <c r="R191" s="19">
        <f t="shared" si="540"/>
        <v>0</v>
      </c>
      <c r="S191" s="20">
        <f t="shared" si="541"/>
        <v>99</v>
      </c>
      <c r="T191" s="19">
        <f t="shared" si="542"/>
        <v>5.6196359999999999</v>
      </c>
      <c r="U191" s="21">
        <f t="shared" si="543"/>
        <v>6</v>
      </c>
      <c r="V191" s="19">
        <f t="shared" si="544"/>
        <v>0.34058399999999978</v>
      </c>
    </row>
    <row r="192" spans="1:22">
      <c r="A192" s="26" t="s">
        <v>13</v>
      </c>
      <c r="B192" s="26" t="s">
        <v>57</v>
      </c>
      <c r="C192" s="30">
        <v>6.17</v>
      </c>
      <c r="D192" s="27">
        <v>9.6999999999999993</v>
      </c>
      <c r="E192" s="28">
        <v>69</v>
      </c>
      <c r="F192" s="16">
        <f t="shared" si="536"/>
        <v>4.1295809999999999</v>
      </c>
      <c r="G192" s="17"/>
      <c r="H192" s="18">
        <v>28</v>
      </c>
      <c r="I192" s="19">
        <f t="shared" si="537"/>
        <v>1.675772</v>
      </c>
      <c r="J192" s="16"/>
      <c r="K192" s="18">
        <v>22</v>
      </c>
      <c r="L192" s="19">
        <f t="shared" si="538"/>
        <v>1.3166779999999998</v>
      </c>
      <c r="M192" s="16"/>
      <c r="N192" s="18"/>
      <c r="O192" s="19">
        <f t="shared" si="539"/>
        <v>0</v>
      </c>
      <c r="P192" s="16"/>
      <c r="Q192" s="18"/>
      <c r="R192" s="19">
        <f t="shared" si="540"/>
        <v>0</v>
      </c>
      <c r="S192" s="20">
        <f t="shared" si="541"/>
        <v>50</v>
      </c>
      <c r="T192" s="19">
        <f t="shared" si="542"/>
        <v>2.9924499999999998</v>
      </c>
      <c r="U192" s="21">
        <f t="shared" si="543"/>
        <v>19</v>
      </c>
      <c r="V192" s="19">
        <f t="shared" si="544"/>
        <v>1.1371310000000001</v>
      </c>
    </row>
    <row r="193" spans="1:22">
      <c r="A193" s="26" t="s">
        <v>13</v>
      </c>
      <c r="B193" s="26" t="s">
        <v>57</v>
      </c>
      <c r="C193" s="30">
        <v>6.17</v>
      </c>
      <c r="D193" s="27">
        <v>10.199999999999999</v>
      </c>
      <c r="E193" s="28">
        <v>56</v>
      </c>
      <c r="F193" s="16">
        <f t="shared" si="536"/>
        <v>3.5243039999999999</v>
      </c>
      <c r="G193" s="17"/>
      <c r="H193" s="18">
        <v>26</v>
      </c>
      <c r="I193" s="19">
        <f t="shared" si="537"/>
        <v>1.6362839999999998</v>
      </c>
      <c r="J193" s="16"/>
      <c r="K193" s="18">
        <v>30</v>
      </c>
      <c r="L193" s="19">
        <f t="shared" si="538"/>
        <v>1.88802</v>
      </c>
      <c r="M193" s="16"/>
      <c r="N193" s="18"/>
      <c r="O193" s="19">
        <f t="shared" si="539"/>
        <v>0</v>
      </c>
      <c r="P193" s="16"/>
      <c r="Q193" s="18"/>
      <c r="R193" s="19">
        <f t="shared" si="540"/>
        <v>0</v>
      </c>
      <c r="S193" s="20">
        <f t="shared" si="541"/>
        <v>56</v>
      </c>
      <c r="T193" s="19">
        <f t="shared" si="542"/>
        <v>3.5243039999999999</v>
      </c>
      <c r="U193" s="21">
        <f t="shared" si="543"/>
        <v>0</v>
      </c>
      <c r="V193" s="19">
        <f t="shared" si="544"/>
        <v>0</v>
      </c>
    </row>
    <row r="194" spans="1:22">
      <c r="A194" s="26" t="s">
        <v>13</v>
      </c>
      <c r="B194" s="26" t="s">
        <v>57</v>
      </c>
      <c r="C194" s="30">
        <v>6.17</v>
      </c>
      <c r="D194" s="27">
        <v>10.5</v>
      </c>
      <c r="E194" s="28">
        <v>52</v>
      </c>
      <c r="F194" s="16">
        <f t="shared" si="536"/>
        <v>3.3688199999999999</v>
      </c>
      <c r="G194" s="17"/>
      <c r="H194" s="18">
        <v>24</v>
      </c>
      <c r="I194" s="19">
        <f t="shared" si="537"/>
        <v>1.55484</v>
      </c>
      <c r="J194" s="16"/>
      <c r="K194" s="18">
        <v>25</v>
      </c>
      <c r="L194" s="19">
        <f t="shared" si="538"/>
        <v>1.6196250000000001</v>
      </c>
      <c r="M194" s="16"/>
      <c r="N194" s="18">
        <v>6</v>
      </c>
      <c r="O194" s="19">
        <f t="shared" si="539"/>
        <v>0.38871</v>
      </c>
      <c r="P194" s="16"/>
      <c r="Q194" s="18"/>
      <c r="R194" s="19">
        <f t="shared" si="540"/>
        <v>0</v>
      </c>
      <c r="S194" s="20">
        <f t="shared" si="541"/>
        <v>55</v>
      </c>
      <c r="T194" s="19">
        <f t="shared" si="542"/>
        <v>3.5631750000000002</v>
      </c>
      <c r="U194" s="21">
        <f t="shared" si="543"/>
        <v>-3</v>
      </c>
      <c r="V194" s="19">
        <f t="shared" si="544"/>
        <v>-0.19435500000000028</v>
      </c>
    </row>
    <row r="195" spans="1:22">
      <c r="A195" s="26" t="s">
        <v>13</v>
      </c>
      <c r="B195" s="26" t="s">
        <v>57</v>
      </c>
      <c r="C195" s="30">
        <v>6.17</v>
      </c>
      <c r="D195" s="27">
        <v>10.6</v>
      </c>
      <c r="E195" s="28">
        <v>56</v>
      </c>
      <c r="F195" s="16">
        <f t="shared" si="536"/>
        <v>3.662512</v>
      </c>
      <c r="G195" s="17"/>
      <c r="H195" s="18">
        <v>30</v>
      </c>
      <c r="I195" s="19">
        <f t="shared" si="537"/>
        <v>1.9620599999999999</v>
      </c>
      <c r="J195" s="16"/>
      <c r="K195" s="18">
        <v>29</v>
      </c>
      <c r="L195" s="19">
        <f t="shared" si="538"/>
        <v>1.8966580000000002</v>
      </c>
      <c r="M195" s="16"/>
      <c r="N195" s="18"/>
      <c r="O195" s="19">
        <f t="shared" si="539"/>
        <v>0</v>
      </c>
      <c r="P195" s="16"/>
      <c r="Q195" s="18"/>
      <c r="R195" s="19">
        <f t="shared" si="540"/>
        <v>0</v>
      </c>
      <c r="S195" s="20">
        <f t="shared" si="541"/>
        <v>59</v>
      </c>
      <c r="T195" s="19">
        <f t="shared" si="542"/>
        <v>3.8587180000000001</v>
      </c>
      <c r="U195" s="21">
        <f t="shared" si="543"/>
        <v>-3</v>
      </c>
      <c r="V195" s="19">
        <f t="shared" si="544"/>
        <v>-0.1962060000000001</v>
      </c>
    </row>
    <row r="196" spans="1:22">
      <c r="A196" s="26" t="s">
        <v>13</v>
      </c>
      <c r="B196" s="26" t="s">
        <v>57</v>
      </c>
      <c r="C196" s="30">
        <v>6.17</v>
      </c>
      <c r="D196" s="27">
        <v>10.8</v>
      </c>
      <c r="E196" s="28">
        <v>35</v>
      </c>
      <c r="F196" s="16">
        <f t="shared" si="536"/>
        <v>2.3322600000000002</v>
      </c>
      <c r="G196" s="17"/>
      <c r="H196" s="18">
        <v>15</v>
      </c>
      <c r="I196" s="19">
        <f t="shared" si="537"/>
        <v>0.99954000000000021</v>
      </c>
      <c r="J196" s="16"/>
      <c r="K196" s="18">
        <v>15</v>
      </c>
      <c r="L196" s="19">
        <f t="shared" si="538"/>
        <v>0.99954000000000021</v>
      </c>
      <c r="M196" s="16"/>
      <c r="N196" s="18"/>
      <c r="O196" s="19">
        <f t="shared" si="539"/>
        <v>0</v>
      </c>
      <c r="P196" s="16"/>
      <c r="Q196" s="18"/>
      <c r="R196" s="19">
        <f t="shared" si="540"/>
        <v>0</v>
      </c>
      <c r="S196" s="20">
        <f t="shared" si="541"/>
        <v>30</v>
      </c>
      <c r="T196" s="19">
        <f t="shared" si="542"/>
        <v>1.9990800000000004</v>
      </c>
      <c r="U196" s="21">
        <f t="shared" si="543"/>
        <v>5</v>
      </c>
      <c r="V196" s="19">
        <f t="shared" si="544"/>
        <v>0.33317999999999981</v>
      </c>
    </row>
    <row r="197" spans="1:22">
      <c r="A197" s="26" t="s">
        <v>13</v>
      </c>
      <c r="B197" s="26" t="s">
        <v>57</v>
      </c>
      <c r="C197" s="30">
        <v>6.17</v>
      </c>
      <c r="D197" s="27">
        <v>11</v>
      </c>
      <c r="E197" s="28">
        <v>36</v>
      </c>
      <c r="F197" s="16">
        <f t="shared" si="536"/>
        <v>2.4433200000000004</v>
      </c>
      <c r="G197" s="17"/>
      <c r="H197" s="18">
        <v>21</v>
      </c>
      <c r="I197" s="19">
        <f t="shared" si="537"/>
        <v>1.42527</v>
      </c>
      <c r="J197" s="16"/>
      <c r="K197" s="18">
        <v>25</v>
      </c>
      <c r="L197" s="19">
        <f t="shared" si="538"/>
        <v>1.69675</v>
      </c>
      <c r="M197" s="16"/>
      <c r="N197" s="18"/>
      <c r="O197" s="19">
        <f t="shared" si="539"/>
        <v>0</v>
      </c>
      <c r="P197" s="16"/>
      <c r="Q197" s="18"/>
      <c r="R197" s="19">
        <f t="shared" si="540"/>
        <v>0</v>
      </c>
      <c r="S197" s="20">
        <f t="shared" si="541"/>
        <v>46</v>
      </c>
      <c r="T197" s="19">
        <f t="shared" si="542"/>
        <v>3.12202</v>
      </c>
      <c r="U197" s="21">
        <f t="shared" si="543"/>
        <v>-10</v>
      </c>
      <c r="V197" s="19">
        <f t="shared" si="544"/>
        <v>-0.67869999999999964</v>
      </c>
    </row>
    <row r="198" spans="1:22">
      <c r="A198" s="26" t="s">
        <v>13</v>
      </c>
      <c r="B198" s="26" t="s">
        <v>57</v>
      </c>
      <c r="C198" s="30">
        <v>6.17</v>
      </c>
      <c r="D198" s="27">
        <v>11.5</v>
      </c>
      <c r="E198" s="28">
        <v>125</v>
      </c>
      <c r="F198" s="16">
        <f t="shared" si="536"/>
        <v>8.8693749999999998</v>
      </c>
      <c r="G198" s="17"/>
      <c r="H198" s="18">
        <v>67</v>
      </c>
      <c r="I198" s="19">
        <f t="shared" si="537"/>
        <v>4.7539849999999992</v>
      </c>
      <c r="J198" s="16"/>
      <c r="K198" s="18">
        <v>57</v>
      </c>
      <c r="L198" s="19">
        <f t="shared" si="538"/>
        <v>4.044435</v>
      </c>
      <c r="M198" s="16"/>
      <c r="N198" s="18"/>
      <c r="O198" s="19">
        <f t="shared" si="539"/>
        <v>0</v>
      </c>
      <c r="P198" s="16"/>
      <c r="Q198" s="18"/>
      <c r="R198" s="19">
        <f t="shared" si="540"/>
        <v>0</v>
      </c>
      <c r="S198" s="20">
        <f t="shared" si="541"/>
        <v>124</v>
      </c>
      <c r="T198" s="19">
        <f t="shared" si="542"/>
        <v>8.7984200000000001</v>
      </c>
      <c r="U198" s="21">
        <f t="shared" si="543"/>
        <v>1</v>
      </c>
      <c r="V198" s="19">
        <f t="shared" si="544"/>
        <v>7.0954999999999657E-2</v>
      </c>
    </row>
    <row r="199" spans="1:22">
      <c r="A199" s="26" t="s">
        <v>13</v>
      </c>
      <c r="B199" s="26" t="s">
        <v>57</v>
      </c>
      <c r="C199" s="30">
        <v>6.17</v>
      </c>
      <c r="D199" s="27">
        <v>11.7</v>
      </c>
      <c r="E199" s="28">
        <v>93</v>
      </c>
      <c r="F199" s="16">
        <f t="shared" si="536"/>
        <v>6.713576999999999</v>
      </c>
      <c r="G199" s="17"/>
      <c r="H199" s="18">
        <v>47</v>
      </c>
      <c r="I199" s="19">
        <f t="shared" si="537"/>
        <v>3.3928829999999999</v>
      </c>
      <c r="J199" s="16"/>
      <c r="K199" s="18">
        <v>48</v>
      </c>
      <c r="L199" s="19">
        <f t="shared" si="538"/>
        <v>3.4650719999999997</v>
      </c>
      <c r="M199" s="16"/>
      <c r="N199" s="18"/>
      <c r="O199" s="19">
        <f t="shared" si="539"/>
        <v>0</v>
      </c>
      <c r="P199" s="16"/>
      <c r="Q199" s="18"/>
      <c r="R199" s="19">
        <f t="shared" si="540"/>
        <v>0</v>
      </c>
      <c r="S199" s="20">
        <f t="shared" si="541"/>
        <v>95</v>
      </c>
      <c r="T199" s="19">
        <f t="shared" si="542"/>
        <v>6.8579549999999996</v>
      </c>
      <c r="U199" s="21">
        <f t="shared" si="543"/>
        <v>-2</v>
      </c>
      <c r="V199" s="19">
        <f t="shared" si="544"/>
        <v>-0.14437800000000056</v>
      </c>
    </row>
    <row r="200" spans="1:22">
      <c r="A200" s="26" t="s">
        <v>13</v>
      </c>
      <c r="B200" s="26" t="s">
        <v>57</v>
      </c>
      <c r="C200" s="30">
        <v>6.17</v>
      </c>
      <c r="D200" s="27">
        <v>11.8</v>
      </c>
      <c r="E200" s="28">
        <v>39</v>
      </c>
      <c r="F200" s="16">
        <f t="shared" si="536"/>
        <v>2.8394339999999998</v>
      </c>
      <c r="G200" s="17"/>
      <c r="H200" s="18">
        <v>21</v>
      </c>
      <c r="I200" s="19">
        <f t="shared" si="537"/>
        <v>1.528926</v>
      </c>
      <c r="J200" s="16"/>
      <c r="K200" s="18">
        <v>20</v>
      </c>
      <c r="L200" s="19">
        <f t="shared" si="538"/>
        <v>1.4561199999999999</v>
      </c>
      <c r="M200" s="16"/>
      <c r="N200" s="18"/>
      <c r="O200" s="19">
        <f t="shared" si="539"/>
        <v>0</v>
      </c>
      <c r="P200" s="16"/>
      <c r="Q200" s="18"/>
      <c r="R200" s="19">
        <f t="shared" si="540"/>
        <v>0</v>
      </c>
      <c r="S200" s="20">
        <f t="shared" si="541"/>
        <v>41</v>
      </c>
      <c r="T200" s="19">
        <f t="shared" si="542"/>
        <v>2.9850459999999996</v>
      </c>
      <c r="U200" s="21">
        <f t="shared" si="543"/>
        <v>-2</v>
      </c>
      <c r="V200" s="19">
        <f t="shared" si="544"/>
        <v>-0.14561199999999985</v>
      </c>
    </row>
    <row r="201" spans="1:22">
      <c r="A201" s="26" t="s">
        <v>13</v>
      </c>
      <c r="B201" s="26" t="s">
        <v>57</v>
      </c>
      <c r="C201" s="30">
        <v>6.17</v>
      </c>
      <c r="D201" s="27">
        <v>12</v>
      </c>
      <c r="E201" s="28">
        <v>182</v>
      </c>
      <c r="F201" s="16">
        <f t="shared" ref="F201:F202" si="545">(C201*D201*E201/1000)</f>
        <v>13.47528</v>
      </c>
      <c r="G201" s="17"/>
      <c r="H201" s="18">
        <v>99</v>
      </c>
      <c r="I201" s="19">
        <f t="shared" ref="I201:I202" si="546">(C201*D201*H201/1000)</f>
        <v>7.3299599999999989</v>
      </c>
      <c r="J201" s="16"/>
      <c r="K201" s="18">
        <f t="shared" ref="K201" si="547">75+17</f>
        <v>92</v>
      </c>
      <c r="L201" s="19">
        <f t="shared" ref="L201:L202" si="548">(C201*D201*K201/1000)</f>
        <v>6.8116799999999991</v>
      </c>
      <c r="M201" s="16"/>
      <c r="N201" s="18"/>
      <c r="O201" s="19">
        <f t="shared" ref="O201:O202" si="549">(C201*D201*N201/1000)</f>
        <v>0</v>
      </c>
      <c r="P201" s="16"/>
      <c r="Q201" s="18"/>
      <c r="R201" s="19">
        <f t="shared" ref="R201:R202" si="550">(C201*D201*Q201/1000)</f>
        <v>0</v>
      </c>
      <c r="S201" s="20">
        <f t="shared" ref="S201:S202" si="551">+H201+K201+Q201+N201</f>
        <v>191</v>
      </c>
      <c r="T201" s="19">
        <f t="shared" ref="T201:T202" si="552">+I201+L201+R201+O201</f>
        <v>14.141639999999999</v>
      </c>
      <c r="U201" s="21">
        <f t="shared" ref="U201:U202" si="553">E201-S201</f>
        <v>-9</v>
      </c>
      <c r="V201" s="19">
        <f t="shared" ref="V201:V202" si="554">F201-T201</f>
        <v>-0.66635999999999918</v>
      </c>
    </row>
    <row r="202" spans="1:22">
      <c r="A202" s="26" t="s">
        <v>13</v>
      </c>
      <c r="B202" s="26" t="s">
        <v>57</v>
      </c>
      <c r="C202" s="30">
        <v>6.17</v>
      </c>
      <c r="D202" s="27">
        <v>9.4</v>
      </c>
      <c r="E202" s="28"/>
      <c r="F202" s="16">
        <f t="shared" si="545"/>
        <v>0</v>
      </c>
      <c r="G202" s="17"/>
      <c r="H202" s="18"/>
      <c r="I202" s="19">
        <f t="shared" si="546"/>
        <v>0</v>
      </c>
      <c r="J202" s="16"/>
      <c r="K202" s="18"/>
      <c r="L202" s="19">
        <f t="shared" si="548"/>
        <v>0</v>
      </c>
      <c r="M202" s="16"/>
      <c r="N202" s="18">
        <v>2</v>
      </c>
      <c r="O202" s="19">
        <f t="shared" si="549"/>
        <v>0.11599600000000002</v>
      </c>
      <c r="P202" s="16"/>
      <c r="Q202" s="18"/>
      <c r="R202" s="19">
        <f t="shared" si="550"/>
        <v>0</v>
      </c>
      <c r="S202" s="20">
        <f t="shared" si="551"/>
        <v>2</v>
      </c>
      <c r="T202" s="19">
        <f t="shared" si="552"/>
        <v>0.11599600000000002</v>
      </c>
      <c r="U202" s="21">
        <f t="shared" si="553"/>
        <v>-2</v>
      </c>
      <c r="V202" s="19">
        <f t="shared" si="554"/>
        <v>-0.11599600000000002</v>
      </c>
    </row>
    <row r="203" spans="1:22">
      <c r="A203" s="26" t="s">
        <v>13</v>
      </c>
      <c r="B203" s="26" t="s">
        <v>57</v>
      </c>
      <c r="C203" s="30">
        <v>6.17</v>
      </c>
      <c r="D203" s="27">
        <v>9.75</v>
      </c>
      <c r="E203" s="28"/>
      <c r="F203" s="16">
        <f t="shared" si="536"/>
        <v>0</v>
      </c>
      <c r="G203" s="17"/>
      <c r="H203" s="18"/>
      <c r="I203" s="19">
        <f t="shared" si="537"/>
        <v>0</v>
      </c>
      <c r="J203" s="16"/>
      <c r="K203" s="18"/>
      <c r="L203" s="19">
        <f t="shared" si="538"/>
        <v>0</v>
      </c>
      <c r="M203" s="16"/>
      <c r="N203" s="18">
        <v>2</v>
      </c>
      <c r="O203" s="19">
        <f t="shared" si="539"/>
        <v>0.12031499999999999</v>
      </c>
      <c r="P203" s="16"/>
      <c r="Q203" s="18"/>
      <c r="R203" s="19">
        <f t="shared" si="540"/>
        <v>0</v>
      </c>
      <c r="S203" s="20">
        <f t="shared" si="541"/>
        <v>2</v>
      </c>
      <c r="T203" s="19">
        <f t="shared" si="542"/>
        <v>0.12031499999999999</v>
      </c>
      <c r="U203" s="21">
        <f t="shared" si="543"/>
        <v>-2</v>
      </c>
      <c r="V203" s="19">
        <f t="shared" si="544"/>
        <v>-0.12031499999999999</v>
      </c>
    </row>
    <row r="204" spans="1:22">
      <c r="A204" s="36"/>
      <c r="B204" s="36"/>
      <c r="C204" s="30"/>
      <c r="D204" s="38"/>
      <c r="E204" s="31">
        <f t="shared" ref="E204" si="555">SUM(E190:E203)</f>
        <v>879</v>
      </c>
      <c r="F204" s="38">
        <f>SUM(F190:F203)</f>
        <v>58.848842999999995</v>
      </c>
      <c r="H204" s="31">
        <f t="shared" ref="H204" si="556">SUM(H190:H203)</f>
        <v>437</v>
      </c>
      <c r="I204" s="38">
        <f t="shared" ref="I204" si="557">SUM(I190:I203)</f>
        <v>29.534555999999998</v>
      </c>
      <c r="K204" s="31">
        <f t="shared" ref="K204" si="558">SUM(K190:K203)</f>
        <v>425</v>
      </c>
      <c r="L204" s="38">
        <f t="shared" ref="L204" si="559">SUM(L190:L203)</f>
        <v>28.625097999999998</v>
      </c>
      <c r="N204" s="31">
        <f t="shared" ref="N204" si="560">SUM(N190:N203)</f>
        <v>10</v>
      </c>
      <c r="O204" s="38">
        <f t="shared" ref="O204" si="561">SUM(O190:O203)</f>
        <v>0.62502099999999994</v>
      </c>
      <c r="Q204" s="31">
        <f t="shared" ref="Q204" si="562">SUM(Q190:Q203)</f>
        <v>0</v>
      </c>
      <c r="R204" s="38">
        <f t="shared" ref="R204" si="563">SUM(R190:R203)</f>
        <v>0</v>
      </c>
      <c r="S204" s="31">
        <f t="shared" ref="S204" si="564">SUM(S190:S203)</f>
        <v>872</v>
      </c>
      <c r="T204" s="38">
        <f t="shared" ref="T204" si="565">SUM(T190:T203)</f>
        <v>58.784674999999993</v>
      </c>
      <c r="U204" s="31">
        <f t="shared" ref="U204" si="566">SUM(U190:U203)</f>
        <v>7</v>
      </c>
      <c r="V204" s="38">
        <f t="shared" ref="V204" si="567">SUM(V190:V203)</f>
        <v>6.4167999999999933E-2</v>
      </c>
    </row>
    <row r="205" spans="1:22">
      <c r="A205" s="26" t="s">
        <v>13</v>
      </c>
      <c r="B205" s="26" t="s">
        <v>58</v>
      </c>
      <c r="C205" s="30">
        <v>7.36</v>
      </c>
      <c r="D205" s="27">
        <v>8</v>
      </c>
      <c r="E205" s="28">
        <v>12</v>
      </c>
      <c r="F205" s="16">
        <f t="shared" ref="F205:F210" si="568">(C205*D205*E205/1000)</f>
        <v>0.70656000000000008</v>
      </c>
      <c r="G205" s="17" t="s">
        <v>64</v>
      </c>
      <c r="H205" s="18">
        <v>2</v>
      </c>
      <c r="I205" s="19">
        <f t="shared" ref="I205:I210" si="569">(C205*D205*H205/1000)</f>
        <v>0.11776</v>
      </c>
      <c r="J205" s="16" t="s">
        <v>93</v>
      </c>
      <c r="K205" s="18">
        <v>5</v>
      </c>
      <c r="L205" s="19">
        <f t="shared" ref="L205:L210" si="570">(C205*D205*K205/1000)</f>
        <v>0.29440000000000005</v>
      </c>
      <c r="M205" s="16" t="s">
        <v>64</v>
      </c>
      <c r="N205" s="18"/>
      <c r="O205" s="19">
        <f t="shared" ref="O205:O210" si="571">(C205*D205*N205/1000)</f>
        <v>0</v>
      </c>
      <c r="P205" s="16" t="s">
        <v>150</v>
      </c>
      <c r="Q205" s="18"/>
      <c r="R205" s="19">
        <f t="shared" ref="R205:R210" si="572">(C205*D205*Q205/1000)</f>
        <v>0</v>
      </c>
      <c r="S205" s="20">
        <f t="shared" ref="S205:S210" si="573">+H205+K205+Q205+N205</f>
        <v>7</v>
      </c>
      <c r="T205" s="19">
        <f t="shared" ref="T205:T210" si="574">+I205+L205+R205+O205</f>
        <v>0.41216000000000008</v>
      </c>
      <c r="U205" s="21">
        <f t="shared" ref="U205:U210" si="575">E205-S205</f>
        <v>5</v>
      </c>
      <c r="V205" s="19">
        <f t="shared" ref="V205:V210" si="576">F205-T205</f>
        <v>0.2944</v>
      </c>
    </row>
    <row r="206" spans="1:22">
      <c r="A206" s="26" t="s">
        <v>13</v>
      </c>
      <c r="B206" s="26" t="s">
        <v>58</v>
      </c>
      <c r="C206" s="30">
        <v>7.36</v>
      </c>
      <c r="D206" s="27">
        <v>9.25</v>
      </c>
      <c r="E206" s="28">
        <v>31</v>
      </c>
      <c r="F206" s="16">
        <f t="shared" si="568"/>
        <v>2.1104799999999999</v>
      </c>
      <c r="G206" s="17" t="s">
        <v>557</v>
      </c>
      <c r="H206" s="18">
        <v>7</v>
      </c>
      <c r="I206" s="19">
        <f t="shared" si="569"/>
        <v>0.47655999999999998</v>
      </c>
      <c r="J206" s="16" t="s">
        <v>557</v>
      </c>
      <c r="K206" s="18">
        <v>10</v>
      </c>
      <c r="L206" s="19">
        <f t="shared" si="570"/>
        <v>0.68079999999999996</v>
      </c>
      <c r="M206" s="16" t="s">
        <v>559</v>
      </c>
      <c r="N206" s="18"/>
      <c r="O206" s="19">
        <f t="shared" si="571"/>
        <v>0</v>
      </c>
      <c r="P206" s="16" t="s">
        <v>562</v>
      </c>
      <c r="Q206" s="18"/>
      <c r="R206" s="19">
        <f t="shared" si="572"/>
        <v>0</v>
      </c>
      <c r="S206" s="20">
        <f t="shared" si="573"/>
        <v>17</v>
      </c>
      <c r="T206" s="19">
        <f t="shared" si="574"/>
        <v>1.1573599999999999</v>
      </c>
      <c r="U206" s="21">
        <f t="shared" si="575"/>
        <v>14</v>
      </c>
      <c r="V206" s="19">
        <f t="shared" si="576"/>
        <v>0.95311999999999997</v>
      </c>
    </row>
    <row r="207" spans="1:22">
      <c r="A207" s="26" t="s">
        <v>13</v>
      </c>
      <c r="B207" s="26" t="s">
        <v>58</v>
      </c>
      <c r="C207" s="30">
        <v>7.36</v>
      </c>
      <c r="D207" s="27">
        <v>10</v>
      </c>
      <c r="E207" s="28">
        <v>92</v>
      </c>
      <c r="F207" s="16">
        <f t="shared" si="568"/>
        <v>6.7712000000000003</v>
      </c>
      <c r="G207" s="17"/>
      <c r="H207" s="18">
        <v>39</v>
      </c>
      <c r="I207" s="19">
        <f t="shared" si="569"/>
        <v>2.8704000000000005</v>
      </c>
      <c r="J207" s="16"/>
      <c r="K207" s="18"/>
      <c r="L207" s="19">
        <f t="shared" si="570"/>
        <v>0</v>
      </c>
      <c r="M207" s="17" t="s">
        <v>560</v>
      </c>
      <c r="N207" s="18">
        <f>32+6</f>
        <v>38</v>
      </c>
      <c r="O207" s="19">
        <f t="shared" si="571"/>
        <v>2.7968000000000002</v>
      </c>
      <c r="P207" s="16"/>
      <c r="Q207" s="18"/>
      <c r="R207" s="19">
        <f t="shared" si="572"/>
        <v>0</v>
      </c>
      <c r="S207" s="20">
        <f t="shared" si="573"/>
        <v>77</v>
      </c>
      <c r="T207" s="19">
        <f t="shared" si="574"/>
        <v>5.6672000000000011</v>
      </c>
      <c r="U207" s="21">
        <f t="shared" si="575"/>
        <v>15</v>
      </c>
      <c r="V207" s="19">
        <f t="shared" si="576"/>
        <v>1.1039999999999992</v>
      </c>
    </row>
    <row r="208" spans="1:22">
      <c r="A208" s="26" t="s">
        <v>13</v>
      </c>
      <c r="B208" s="26" t="s">
        <v>58</v>
      </c>
      <c r="C208" s="30">
        <v>7.36</v>
      </c>
      <c r="D208" s="27">
        <v>10.5</v>
      </c>
      <c r="E208" s="28">
        <v>207</v>
      </c>
      <c r="F208" s="16">
        <f t="shared" si="568"/>
        <v>15.996960000000001</v>
      </c>
      <c r="G208" s="17"/>
      <c r="H208" s="18">
        <f>17+77</f>
        <v>94</v>
      </c>
      <c r="I208" s="19">
        <f t="shared" si="569"/>
        <v>7.2643199999999997</v>
      </c>
      <c r="J208" s="16"/>
      <c r="K208" s="18"/>
      <c r="L208" s="19">
        <f t="shared" si="570"/>
        <v>0</v>
      </c>
      <c r="M208" s="17" t="s">
        <v>561</v>
      </c>
      <c r="N208" s="18">
        <f>79+4</f>
        <v>83</v>
      </c>
      <c r="O208" s="19">
        <f t="shared" si="571"/>
        <v>6.4142399999999995</v>
      </c>
      <c r="P208" s="16"/>
      <c r="Q208" s="18">
        <v>1</v>
      </c>
      <c r="R208" s="19">
        <f t="shared" si="572"/>
        <v>7.7280000000000001E-2</v>
      </c>
      <c r="S208" s="20">
        <f t="shared" si="573"/>
        <v>178</v>
      </c>
      <c r="T208" s="19">
        <f t="shared" si="574"/>
        <v>13.755839999999999</v>
      </c>
      <c r="U208" s="21">
        <f t="shared" si="575"/>
        <v>29</v>
      </c>
      <c r="V208" s="19">
        <f t="shared" si="576"/>
        <v>2.2411200000000022</v>
      </c>
    </row>
    <row r="209" spans="1:22">
      <c r="A209" s="26" t="s">
        <v>13</v>
      </c>
      <c r="B209" s="26" t="s">
        <v>58</v>
      </c>
      <c r="C209" s="30">
        <v>7.36</v>
      </c>
      <c r="D209" s="27">
        <v>11</v>
      </c>
      <c r="E209" s="28">
        <v>96</v>
      </c>
      <c r="F209" s="16">
        <f t="shared" si="568"/>
        <v>7.7721600000000004</v>
      </c>
      <c r="G209" s="17"/>
      <c r="H209" s="18">
        <f>44+10</f>
        <v>54</v>
      </c>
      <c r="I209" s="19">
        <f t="shared" si="569"/>
        <v>4.3718399999999997</v>
      </c>
      <c r="J209" s="16"/>
      <c r="K209" s="18">
        <v>27</v>
      </c>
      <c r="L209" s="19">
        <f t="shared" si="570"/>
        <v>2.1859199999999999</v>
      </c>
      <c r="M209" s="16"/>
      <c r="N209" s="18">
        <f>8+7+17</f>
        <v>32</v>
      </c>
      <c r="O209" s="19">
        <f t="shared" si="571"/>
        <v>2.5907200000000001</v>
      </c>
      <c r="P209" s="16"/>
      <c r="Q209" s="18"/>
      <c r="R209" s="19">
        <f t="shared" si="572"/>
        <v>0</v>
      </c>
      <c r="S209" s="20">
        <f t="shared" si="573"/>
        <v>113</v>
      </c>
      <c r="T209" s="19">
        <f t="shared" si="574"/>
        <v>9.1484799999999993</v>
      </c>
      <c r="U209" s="21">
        <f t="shared" si="575"/>
        <v>-17</v>
      </c>
      <c r="V209" s="19">
        <f t="shared" si="576"/>
        <v>-1.3763199999999989</v>
      </c>
    </row>
    <row r="210" spans="1:22">
      <c r="A210" s="26" t="s">
        <v>13</v>
      </c>
      <c r="B210" s="26" t="s">
        <v>58</v>
      </c>
      <c r="C210" s="30">
        <v>7.36</v>
      </c>
      <c r="D210" s="27">
        <v>11.5</v>
      </c>
      <c r="E210" s="28">
        <v>43</v>
      </c>
      <c r="F210" s="16">
        <f t="shared" si="568"/>
        <v>3.6395200000000001</v>
      </c>
      <c r="G210" s="17"/>
      <c r="H210" s="18">
        <v>18</v>
      </c>
      <c r="I210" s="19">
        <f t="shared" si="569"/>
        <v>1.52352</v>
      </c>
      <c r="J210" s="16"/>
      <c r="K210" s="18"/>
      <c r="L210" s="19">
        <f t="shared" si="570"/>
        <v>0</v>
      </c>
      <c r="M210" s="16"/>
      <c r="N210" s="18">
        <f>8+13+6</f>
        <v>27</v>
      </c>
      <c r="O210" s="19">
        <f t="shared" si="571"/>
        <v>2.2852800000000002</v>
      </c>
      <c r="P210" s="16"/>
      <c r="Q210" s="18">
        <v>4</v>
      </c>
      <c r="R210" s="19">
        <f t="shared" si="572"/>
        <v>0.33856000000000003</v>
      </c>
      <c r="S210" s="20">
        <f t="shared" si="573"/>
        <v>49</v>
      </c>
      <c r="T210" s="19">
        <f t="shared" si="574"/>
        <v>4.1473599999999999</v>
      </c>
      <c r="U210" s="21">
        <f t="shared" si="575"/>
        <v>-6</v>
      </c>
      <c r="V210" s="19">
        <f t="shared" si="576"/>
        <v>-0.50783999999999985</v>
      </c>
    </row>
    <row r="211" spans="1:22">
      <c r="A211" s="26" t="s">
        <v>13</v>
      </c>
      <c r="B211" s="26" t="s">
        <v>58</v>
      </c>
      <c r="C211" s="30">
        <v>7.36</v>
      </c>
      <c r="D211" s="27">
        <v>12</v>
      </c>
      <c r="E211" s="28">
        <v>112</v>
      </c>
      <c r="F211" s="16">
        <f t="shared" ref="F211:F221" si="577">(C211*D211*E211/1000)</f>
        <v>9.8918400000000002</v>
      </c>
      <c r="G211" s="17"/>
      <c r="H211" s="18">
        <f t="shared" ref="H211" si="578">42+15</f>
        <v>57</v>
      </c>
      <c r="I211" s="19">
        <f t="shared" ref="I211:I221" si="579">(C211*D211*H211/1000)</f>
        <v>5.0342400000000005</v>
      </c>
      <c r="J211" s="16"/>
      <c r="K211" s="18"/>
      <c r="L211" s="19">
        <f t="shared" ref="L211:L221" si="580">(C211*D211*K211/1000)</f>
        <v>0</v>
      </c>
      <c r="M211" s="16"/>
      <c r="N211" s="18">
        <f>52+14</f>
        <v>66</v>
      </c>
      <c r="O211" s="19">
        <f t="shared" ref="O211:O221" si="581">(C211*D211*N211/1000)</f>
        <v>5.8291200000000005</v>
      </c>
      <c r="P211" s="16"/>
      <c r="Q211" s="18">
        <v>1</v>
      </c>
      <c r="R211" s="19">
        <f t="shared" ref="R211:R221" si="582">(C211*D211*Q211/1000)</f>
        <v>8.832000000000001E-2</v>
      </c>
      <c r="S211" s="20">
        <f t="shared" ref="S211:S221" si="583">+H211+K211+Q211+N211</f>
        <v>124</v>
      </c>
      <c r="T211" s="19">
        <f t="shared" ref="T211:T221" si="584">+I211+L211+R211+O211</f>
        <v>10.951680000000001</v>
      </c>
      <c r="U211" s="21">
        <f t="shared" ref="U211:U221" si="585">E211-S211</f>
        <v>-12</v>
      </c>
      <c r="V211" s="19">
        <f t="shared" ref="V211:V221" si="586">F211-T211</f>
        <v>-1.0598400000000012</v>
      </c>
    </row>
    <row r="212" spans="1:22">
      <c r="A212" s="26" t="s">
        <v>13</v>
      </c>
      <c r="B212" s="26" t="s">
        <v>58</v>
      </c>
      <c r="C212" s="30">
        <v>7.36</v>
      </c>
      <c r="D212" s="27">
        <v>7.15</v>
      </c>
      <c r="E212" s="28"/>
      <c r="F212" s="16">
        <f t="shared" si="577"/>
        <v>0</v>
      </c>
      <c r="G212" s="17"/>
      <c r="H212" s="18">
        <v>1</v>
      </c>
      <c r="I212" s="19">
        <f t="shared" si="579"/>
        <v>5.2624000000000004E-2</v>
      </c>
      <c r="J212" s="16"/>
      <c r="K212" s="18"/>
      <c r="L212" s="19">
        <f t="shared" si="580"/>
        <v>0</v>
      </c>
      <c r="M212" s="16"/>
      <c r="N212" s="18"/>
      <c r="O212" s="19">
        <f t="shared" si="581"/>
        <v>0</v>
      </c>
      <c r="P212" s="16"/>
      <c r="Q212" s="18"/>
      <c r="R212" s="19">
        <f t="shared" si="582"/>
        <v>0</v>
      </c>
      <c r="S212" s="20">
        <f t="shared" si="583"/>
        <v>1</v>
      </c>
      <c r="T212" s="19">
        <f t="shared" si="584"/>
        <v>5.2624000000000004E-2</v>
      </c>
      <c r="U212" s="21">
        <f t="shared" si="585"/>
        <v>-1</v>
      </c>
      <c r="V212" s="19">
        <f t="shared" si="586"/>
        <v>-5.2624000000000004E-2</v>
      </c>
    </row>
    <row r="213" spans="1:22">
      <c r="A213" s="26" t="s">
        <v>13</v>
      </c>
      <c r="B213" s="26" t="s">
        <v>58</v>
      </c>
      <c r="C213" s="30">
        <v>7.36</v>
      </c>
      <c r="D213" s="27">
        <v>7.5</v>
      </c>
      <c r="E213" s="28"/>
      <c r="F213" s="16">
        <f t="shared" si="577"/>
        <v>0</v>
      </c>
      <c r="G213" s="17"/>
      <c r="H213" s="18">
        <v>1</v>
      </c>
      <c r="I213" s="19">
        <f t="shared" si="579"/>
        <v>5.5200000000000006E-2</v>
      </c>
      <c r="J213" s="16"/>
      <c r="K213" s="18"/>
      <c r="L213" s="19">
        <f t="shared" si="580"/>
        <v>0</v>
      </c>
      <c r="M213" s="16"/>
      <c r="N213" s="18"/>
      <c r="O213" s="19">
        <f t="shared" si="581"/>
        <v>0</v>
      </c>
      <c r="P213" s="16"/>
      <c r="Q213" s="18">
        <v>2</v>
      </c>
      <c r="R213" s="19">
        <f t="shared" si="582"/>
        <v>0.11040000000000001</v>
      </c>
      <c r="S213" s="20">
        <f t="shared" si="583"/>
        <v>3</v>
      </c>
      <c r="T213" s="19">
        <f t="shared" si="584"/>
        <v>0.16560000000000002</v>
      </c>
      <c r="U213" s="21">
        <f t="shared" si="585"/>
        <v>-3</v>
      </c>
      <c r="V213" s="19">
        <f t="shared" si="586"/>
        <v>-0.16560000000000002</v>
      </c>
    </row>
    <row r="214" spans="1:22">
      <c r="A214" s="26" t="s">
        <v>13</v>
      </c>
      <c r="B214" s="26" t="s">
        <v>58</v>
      </c>
      <c r="C214" s="30">
        <v>7.36</v>
      </c>
      <c r="D214" s="27">
        <v>9</v>
      </c>
      <c r="E214" s="28"/>
      <c r="F214" s="16">
        <f t="shared" si="577"/>
        <v>0</v>
      </c>
      <c r="G214" s="17"/>
      <c r="H214" s="18"/>
      <c r="I214" s="19">
        <f t="shared" si="579"/>
        <v>0</v>
      </c>
      <c r="J214" s="16"/>
      <c r="K214" s="18"/>
      <c r="L214" s="19">
        <f t="shared" si="580"/>
        <v>0</v>
      </c>
      <c r="M214" s="16"/>
      <c r="N214" s="18">
        <v>1</v>
      </c>
      <c r="O214" s="19">
        <f t="shared" si="581"/>
        <v>6.6240000000000007E-2</v>
      </c>
      <c r="P214" s="16"/>
      <c r="Q214" s="18">
        <v>1</v>
      </c>
      <c r="R214" s="19">
        <f t="shared" si="582"/>
        <v>6.6240000000000007E-2</v>
      </c>
      <c r="S214" s="20">
        <f t="shared" si="583"/>
        <v>2</v>
      </c>
      <c r="T214" s="19">
        <f t="shared" si="584"/>
        <v>0.13248000000000001</v>
      </c>
      <c r="U214" s="21">
        <f t="shared" si="585"/>
        <v>-2</v>
      </c>
      <c r="V214" s="19">
        <f t="shared" si="586"/>
        <v>-0.13248000000000001</v>
      </c>
    </row>
    <row r="215" spans="1:22">
      <c r="A215" s="26" t="s">
        <v>13</v>
      </c>
      <c r="B215" s="26" t="s">
        <v>58</v>
      </c>
      <c r="C215" s="30">
        <v>7.36</v>
      </c>
      <c r="D215" s="27">
        <v>9.5</v>
      </c>
      <c r="E215" s="28"/>
      <c r="F215" s="16">
        <f t="shared" si="577"/>
        <v>0</v>
      </c>
      <c r="G215" s="17"/>
      <c r="H215" s="18"/>
      <c r="I215" s="19">
        <f t="shared" si="579"/>
        <v>0</v>
      </c>
      <c r="J215" s="16"/>
      <c r="K215" s="18"/>
      <c r="L215" s="19">
        <f t="shared" si="580"/>
        <v>0</v>
      </c>
      <c r="M215" s="16"/>
      <c r="N215" s="18">
        <v>4</v>
      </c>
      <c r="O215" s="19">
        <f t="shared" si="581"/>
        <v>0.27967999999999998</v>
      </c>
      <c r="P215" s="16"/>
      <c r="Q215" s="18">
        <v>3</v>
      </c>
      <c r="R215" s="19">
        <f t="shared" si="582"/>
        <v>0.20976</v>
      </c>
      <c r="S215" s="20">
        <f t="shared" si="583"/>
        <v>7</v>
      </c>
      <c r="T215" s="19">
        <f t="shared" si="584"/>
        <v>0.48943999999999999</v>
      </c>
      <c r="U215" s="21">
        <f t="shared" si="585"/>
        <v>-7</v>
      </c>
      <c r="V215" s="19">
        <f t="shared" si="586"/>
        <v>-0.48943999999999999</v>
      </c>
    </row>
    <row r="216" spans="1:22">
      <c r="A216" s="26" t="s">
        <v>13</v>
      </c>
      <c r="B216" s="26" t="s">
        <v>58</v>
      </c>
      <c r="C216" s="30">
        <v>7.36</v>
      </c>
      <c r="D216" s="27">
        <v>8.5</v>
      </c>
      <c r="E216" s="28"/>
      <c r="F216" s="16">
        <f t="shared" si="577"/>
        <v>0</v>
      </c>
      <c r="G216" s="17"/>
      <c r="H216" s="18"/>
      <c r="I216" s="19">
        <f t="shared" si="579"/>
        <v>0</v>
      </c>
      <c r="J216" s="16"/>
      <c r="K216" s="18"/>
      <c r="L216" s="19">
        <f t="shared" si="580"/>
        <v>0</v>
      </c>
      <c r="M216" s="16"/>
      <c r="N216" s="18">
        <v>1</v>
      </c>
      <c r="O216" s="19">
        <f t="shared" si="581"/>
        <v>6.2560000000000004E-2</v>
      </c>
      <c r="P216" s="16"/>
      <c r="Q216" s="18"/>
      <c r="R216" s="19">
        <f t="shared" si="582"/>
        <v>0</v>
      </c>
      <c r="S216" s="20">
        <f t="shared" si="583"/>
        <v>1</v>
      </c>
      <c r="T216" s="19">
        <f t="shared" si="584"/>
        <v>6.2560000000000004E-2</v>
      </c>
      <c r="U216" s="21">
        <f t="shared" si="585"/>
        <v>-1</v>
      </c>
      <c r="V216" s="19">
        <f t="shared" si="586"/>
        <v>-6.2560000000000004E-2</v>
      </c>
    </row>
    <row r="217" spans="1:22">
      <c r="A217" s="26" t="s">
        <v>13</v>
      </c>
      <c r="B217" s="26" t="s">
        <v>58</v>
      </c>
      <c r="C217" s="30">
        <v>7.36</v>
      </c>
      <c r="D217" s="27">
        <v>10.25</v>
      </c>
      <c r="E217" s="28"/>
      <c r="F217" s="16">
        <f t="shared" ref="F217:F220" si="587">(C217*D217*E217/1000)</f>
        <v>0</v>
      </c>
      <c r="G217" s="17"/>
      <c r="H217" s="18"/>
      <c r="I217" s="19">
        <f t="shared" ref="I217:I220" si="588">(C217*D217*H217/1000)</f>
        <v>0</v>
      </c>
      <c r="J217" s="16"/>
      <c r="K217" s="18"/>
      <c r="L217" s="19">
        <f t="shared" ref="L217:L220" si="589">(C217*D217*K217/1000)</f>
        <v>0</v>
      </c>
      <c r="M217" s="16"/>
      <c r="N217" s="18">
        <v>5</v>
      </c>
      <c r="O217" s="19">
        <f t="shared" ref="O217:O220" si="590">(C217*D217*N217/1000)</f>
        <v>0.37719999999999998</v>
      </c>
      <c r="P217" s="16"/>
      <c r="Q217" s="18"/>
      <c r="R217" s="19">
        <f t="shared" ref="R217:R220" si="591">(C217*D217*Q217/1000)</f>
        <v>0</v>
      </c>
      <c r="S217" s="20">
        <f t="shared" ref="S217:S220" si="592">+H217+K217+Q217+N217</f>
        <v>5</v>
      </c>
      <c r="T217" s="19">
        <f t="shared" ref="T217:T220" si="593">+I217+L217+R217+O217</f>
        <v>0.37719999999999998</v>
      </c>
      <c r="U217" s="21">
        <f t="shared" ref="U217:U220" si="594">E217-S217</f>
        <v>-5</v>
      </c>
      <c r="V217" s="19">
        <f t="shared" ref="V217:V220" si="595">F217-T217</f>
        <v>-0.37719999999999998</v>
      </c>
    </row>
    <row r="218" spans="1:22">
      <c r="A218" s="26" t="s">
        <v>13</v>
      </c>
      <c r="B218" s="26" t="s">
        <v>58</v>
      </c>
      <c r="C218" s="30">
        <v>7.36</v>
      </c>
      <c r="D218" s="27">
        <v>11.2</v>
      </c>
      <c r="E218" s="28"/>
      <c r="F218" s="16">
        <f t="shared" si="587"/>
        <v>0</v>
      </c>
      <c r="G218" s="17"/>
      <c r="H218" s="18"/>
      <c r="I218" s="19">
        <f t="shared" si="588"/>
        <v>0</v>
      </c>
      <c r="J218" s="16"/>
      <c r="K218" s="18"/>
      <c r="L218" s="19">
        <f t="shared" si="589"/>
        <v>0</v>
      </c>
      <c r="M218" s="16"/>
      <c r="N218" s="18"/>
      <c r="O218" s="19">
        <f t="shared" si="590"/>
        <v>0</v>
      </c>
      <c r="P218" s="16"/>
      <c r="Q218" s="18">
        <v>2</v>
      </c>
      <c r="R218" s="19">
        <f t="shared" si="591"/>
        <v>0.16486400000000001</v>
      </c>
      <c r="S218" s="20">
        <f t="shared" si="592"/>
        <v>2</v>
      </c>
      <c r="T218" s="19">
        <f t="shared" si="593"/>
        <v>0.16486400000000001</v>
      </c>
      <c r="U218" s="21">
        <f t="shared" si="594"/>
        <v>-2</v>
      </c>
      <c r="V218" s="19">
        <f t="shared" si="595"/>
        <v>-0.16486400000000001</v>
      </c>
    </row>
    <row r="219" spans="1:22">
      <c r="A219" s="26" t="s">
        <v>13</v>
      </c>
      <c r="B219" s="26" t="s">
        <v>58</v>
      </c>
      <c r="C219" s="30">
        <v>7.36</v>
      </c>
      <c r="D219" s="27">
        <v>7.4</v>
      </c>
      <c r="E219" s="28"/>
      <c r="F219" s="16">
        <f t="shared" si="587"/>
        <v>0</v>
      </c>
      <c r="G219" s="17"/>
      <c r="H219" s="18"/>
      <c r="I219" s="19">
        <f t="shared" si="588"/>
        <v>0</v>
      </c>
      <c r="J219" s="16"/>
      <c r="K219" s="18"/>
      <c r="L219" s="19">
        <f t="shared" si="589"/>
        <v>0</v>
      </c>
      <c r="M219" s="16"/>
      <c r="N219" s="18"/>
      <c r="O219" s="19">
        <f t="shared" si="590"/>
        <v>0</v>
      </c>
      <c r="P219" s="16"/>
      <c r="Q219" s="18">
        <v>1</v>
      </c>
      <c r="R219" s="19">
        <f t="shared" si="591"/>
        <v>5.4464000000000005E-2</v>
      </c>
      <c r="S219" s="20">
        <f t="shared" si="592"/>
        <v>1</v>
      </c>
      <c r="T219" s="19">
        <f t="shared" si="593"/>
        <v>5.4464000000000005E-2</v>
      </c>
      <c r="U219" s="21">
        <f t="shared" si="594"/>
        <v>-1</v>
      </c>
      <c r="V219" s="19">
        <f t="shared" si="595"/>
        <v>-5.4464000000000005E-2</v>
      </c>
    </row>
    <row r="220" spans="1:22">
      <c r="A220" s="26" t="s">
        <v>13</v>
      </c>
      <c r="B220" s="26" t="s">
        <v>58</v>
      </c>
      <c r="C220" s="30">
        <v>7.36</v>
      </c>
      <c r="D220" s="27">
        <v>9.1999999999999993</v>
      </c>
      <c r="E220" s="28"/>
      <c r="F220" s="16">
        <f t="shared" si="587"/>
        <v>0</v>
      </c>
      <c r="G220" s="17"/>
      <c r="H220" s="18"/>
      <c r="I220" s="19">
        <f t="shared" si="588"/>
        <v>0</v>
      </c>
      <c r="J220" s="16"/>
      <c r="K220" s="18"/>
      <c r="L220" s="19">
        <f t="shared" si="589"/>
        <v>0</v>
      </c>
      <c r="M220" s="16"/>
      <c r="N220" s="18"/>
      <c r="O220" s="19">
        <f t="shared" si="590"/>
        <v>0</v>
      </c>
      <c r="P220" s="16"/>
      <c r="Q220" s="18">
        <v>1</v>
      </c>
      <c r="R220" s="19">
        <f t="shared" si="591"/>
        <v>6.7712000000000008E-2</v>
      </c>
      <c r="S220" s="20">
        <f t="shared" si="592"/>
        <v>1</v>
      </c>
      <c r="T220" s="19">
        <f t="shared" si="593"/>
        <v>6.7712000000000008E-2</v>
      </c>
      <c r="U220" s="21">
        <f t="shared" si="594"/>
        <v>-1</v>
      </c>
      <c r="V220" s="19">
        <f t="shared" si="595"/>
        <v>-6.7712000000000008E-2</v>
      </c>
    </row>
    <row r="221" spans="1:22">
      <c r="A221" s="26" t="s">
        <v>13</v>
      </c>
      <c r="B221" s="26" t="s">
        <v>58</v>
      </c>
      <c r="C221" s="30">
        <v>7.36</v>
      </c>
      <c r="D221" s="27">
        <v>6.3</v>
      </c>
      <c r="E221" s="28"/>
      <c r="F221" s="16">
        <f t="shared" si="577"/>
        <v>0</v>
      </c>
      <c r="G221" s="17"/>
      <c r="H221" s="18"/>
      <c r="I221" s="19">
        <f t="shared" si="579"/>
        <v>0</v>
      </c>
      <c r="J221" s="16"/>
      <c r="K221" s="18"/>
      <c r="L221" s="19">
        <f t="shared" si="580"/>
        <v>0</v>
      </c>
      <c r="M221" s="16"/>
      <c r="N221" s="18"/>
      <c r="O221" s="19">
        <f t="shared" si="581"/>
        <v>0</v>
      </c>
      <c r="P221" s="16"/>
      <c r="Q221" s="18">
        <v>2</v>
      </c>
      <c r="R221" s="19">
        <f t="shared" si="582"/>
        <v>9.2735999999999999E-2</v>
      </c>
      <c r="S221" s="20">
        <f t="shared" si="583"/>
        <v>2</v>
      </c>
      <c r="T221" s="19">
        <f t="shared" si="584"/>
        <v>9.2735999999999999E-2</v>
      </c>
      <c r="U221" s="21">
        <f t="shared" si="585"/>
        <v>-2</v>
      </c>
      <c r="V221" s="19">
        <f t="shared" si="586"/>
        <v>-9.2735999999999999E-2</v>
      </c>
    </row>
    <row r="222" spans="1:22">
      <c r="A222" s="36"/>
      <c r="B222" s="36"/>
      <c r="C222" s="30"/>
      <c r="D222" s="38"/>
      <c r="E222" s="31">
        <f>SUM(E205:E221)</f>
        <v>593</v>
      </c>
      <c r="F222" s="38">
        <f>SUM(F205:F221)</f>
        <v>46.888719999999999</v>
      </c>
      <c r="H222" s="31">
        <f>SUM(H205:H221)</f>
        <v>273</v>
      </c>
      <c r="I222" s="38">
        <f>SUM(I205:I221)</f>
        <v>21.766464000000003</v>
      </c>
      <c r="K222" s="31">
        <f>SUM(K205:K221)</f>
        <v>42</v>
      </c>
      <c r="L222" s="38">
        <f>SUM(L205:L221)</f>
        <v>3.1611199999999999</v>
      </c>
      <c r="N222" s="31">
        <f>SUM(N205:N221)</f>
        <v>257</v>
      </c>
      <c r="O222" s="38">
        <f>SUM(O205:O221)</f>
        <v>20.701840000000001</v>
      </c>
      <c r="Q222" s="31">
        <f>SUM(Q205:Q221)</f>
        <v>18</v>
      </c>
      <c r="R222" s="38">
        <f t="shared" ref="R222:V222" si="596">SUM(R205:R221)</f>
        <v>1.2703359999999999</v>
      </c>
      <c r="S222" s="31">
        <f t="shared" si="596"/>
        <v>590</v>
      </c>
      <c r="T222" s="38">
        <f t="shared" si="596"/>
        <v>46.899760000000015</v>
      </c>
      <c r="U222" s="31">
        <f t="shared" si="596"/>
        <v>3</v>
      </c>
      <c r="V222" s="38">
        <f t="shared" si="596"/>
        <v>-1.1039999999998745E-2</v>
      </c>
    </row>
    <row r="223" spans="1:22" hidden="1">
      <c r="A223" s="26" t="s">
        <v>13</v>
      </c>
      <c r="B223" s="26" t="s">
        <v>36</v>
      </c>
      <c r="C223" s="30">
        <v>6.97</v>
      </c>
      <c r="D223" s="27">
        <v>8</v>
      </c>
      <c r="E223" s="28">
        <v>14</v>
      </c>
      <c r="F223" s="16">
        <f t="shared" ref="F223:F241" si="597">(C223*D223*E223/1000)</f>
        <v>0.78064</v>
      </c>
      <c r="G223" s="17" t="s">
        <v>88</v>
      </c>
      <c r="H223" s="18"/>
      <c r="I223" s="19">
        <f t="shared" ref="I223:I241" si="598">(C223*D223*H223/1000)</f>
        <v>0</v>
      </c>
      <c r="J223" s="16" t="s">
        <v>93</v>
      </c>
      <c r="K223" s="18"/>
      <c r="L223" s="19">
        <f t="shared" ref="L223:L241" si="599">(C223*D223*K223/1000)</f>
        <v>0</v>
      </c>
      <c r="M223" s="17" t="s">
        <v>107</v>
      </c>
      <c r="N223" s="18"/>
      <c r="O223" s="19">
        <f t="shared" ref="O223:O241" si="600">(C223*D223*N223/1000)</f>
        <v>0</v>
      </c>
      <c r="P223" s="16" t="s">
        <v>325</v>
      </c>
      <c r="Q223" s="18">
        <v>14</v>
      </c>
      <c r="R223" s="19">
        <f t="shared" ref="R223:R241" si="601">(C223*D223*Q223/1000)</f>
        <v>0.78064</v>
      </c>
      <c r="S223" s="20">
        <f t="shared" ref="S223:S241" si="602">+H223+K223+Q223+N223</f>
        <v>14</v>
      </c>
      <c r="T223" s="19">
        <f t="shared" ref="T223:T241" si="603">+I223+L223+R223+O223</f>
        <v>0.78064</v>
      </c>
      <c r="U223" s="21">
        <f t="shared" ref="U223:U241" si="604">E223-S223</f>
        <v>0</v>
      </c>
      <c r="V223" s="19">
        <f t="shared" ref="V223:V241" si="605">F223-T223</f>
        <v>0</v>
      </c>
    </row>
    <row r="224" spans="1:22" hidden="1">
      <c r="A224" s="26" t="s">
        <v>13</v>
      </c>
      <c r="B224" s="26" t="s">
        <v>36</v>
      </c>
      <c r="C224" s="30">
        <v>6.97</v>
      </c>
      <c r="D224" s="27">
        <v>9.1999999999999993</v>
      </c>
      <c r="E224" s="28">
        <v>40</v>
      </c>
      <c r="F224" s="16">
        <f t="shared" si="597"/>
        <v>2.5649600000000001</v>
      </c>
      <c r="G224" s="17" t="s">
        <v>539</v>
      </c>
      <c r="H224" s="18">
        <v>10</v>
      </c>
      <c r="I224" s="19">
        <f t="shared" si="598"/>
        <v>0.64124000000000003</v>
      </c>
      <c r="J224" s="16" t="s">
        <v>541</v>
      </c>
      <c r="K224" s="18">
        <v>28</v>
      </c>
      <c r="L224" s="19">
        <f t="shared" si="599"/>
        <v>1.7954719999999997</v>
      </c>
      <c r="M224" s="17" t="s">
        <v>542</v>
      </c>
      <c r="N224" s="18"/>
      <c r="O224" s="19">
        <f t="shared" si="600"/>
        <v>0</v>
      </c>
      <c r="P224" s="16" t="s">
        <v>545</v>
      </c>
      <c r="Q224" s="18">
        <v>4</v>
      </c>
      <c r="R224" s="19">
        <f t="shared" si="601"/>
        <v>0.256496</v>
      </c>
      <c r="S224" s="20">
        <f t="shared" si="602"/>
        <v>42</v>
      </c>
      <c r="T224" s="19">
        <f t="shared" si="603"/>
        <v>2.6932079999999998</v>
      </c>
      <c r="U224" s="21">
        <f t="shared" si="604"/>
        <v>-2</v>
      </c>
      <c r="V224" s="19">
        <f t="shared" si="605"/>
        <v>-0.1282479999999997</v>
      </c>
    </row>
    <row r="225" spans="1:22" hidden="1">
      <c r="A225" s="26" t="s">
        <v>13</v>
      </c>
      <c r="B225" s="26" t="s">
        <v>36</v>
      </c>
      <c r="C225" s="30">
        <v>6.97</v>
      </c>
      <c r="D225" s="27">
        <v>9.5</v>
      </c>
      <c r="E225" s="28">
        <v>28</v>
      </c>
      <c r="F225" s="16">
        <f t="shared" si="597"/>
        <v>1.85402</v>
      </c>
      <c r="G225" s="17"/>
      <c r="H225" s="18"/>
      <c r="I225" s="19">
        <f t="shared" si="598"/>
        <v>0</v>
      </c>
      <c r="J225" s="16"/>
      <c r="K225" s="18"/>
      <c r="L225" s="19">
        <f t="shared" si="599"/>
        <v>0</v>
      </c>
      <c r="M225" s="16"/>
      <c r="N225" s="18"/>
      <c r="O225" s="19">
        <f t="shared" si="600"/>
        <v>0</v>
      </c>
      <c r="P225" s="16"/>
      <c r="Q225" s="18">
        <v>18</v>
      </c>
      <c r="R225" s="19">
        <f t="shared" si="601"/>
        <v>1.1918700000000002</v>
      </c>
      <c r="S225" s="20">
        <f t="shared" si="602"/>
        <v>18</v>
      </c>
      <c r="T225" s="19">
        <f t="shared" si="603"/>
        <v>1.1918700000000002</v>
      </c>
      <c r="U225" s="21">
        <f t="shared" si="604"/>
        <v>10</v>
      </c>
      <c r="V225" s="19">
        <f t="shared" si="605"/>
        <v>0.66214999999999979</v>
      </c>
    </row>
    <row r="226" spans="1:22" hidden="1">
      <c r="A226" s="26" t="s">
        <v>13</v>
      </c>
      <c r="B226" s="26" t="s">
        <v>36</v>
      </c>
      <c r="C226" s="30">
        <v>6.97</v>
      </c>
      <c r="D226" s="27">
        <v>10.1</v>
      </c>
      <c r="E226" s="28">
        <v>47</v>
      </c>
      <c r="F226" s="16">
        <f t="shared" si="597"/>
        <v>3.3086589999999996</v>
      </c>
      <c r="G226" s="17"/>
      <c r="H226" s="18">
        <v>24</v>
      </c>
      <c r="I226" s="19">
        <f t="shared" si="598"/>
        <v>1.6895279999999997</v>
      </c>
      <c r="J226" s="16"/>
      <c r="K226" s="18">
        <v>22</v>
      </c>
      <c r="L226" s="19">
        <f t="shared" si="599"/>
        <v>1.5487339999999998</v>
      </c>
      <c r="M226" s="16"/>
      <c r="N226" s="18"/>
      <c r="O226" s="19">
        <f t="shared" si="600"/>
        <v>0</v>
      </c>
      <c r="P226" s="16"/>
      <c r="Q226" s="18">
        <v>2</v>
      </c>
      <c r="R226" s="19">
        <f t="shared" si="601"/>
        <v>0.14079399999999997</v>
      </c>
      <c r="S226" s="20">
        <f t="shared" si="602"/>
        <v>48</v>
      </c>
      <c r="T226" s="19">
        <f t="shared" si="603"/>
        <v>3.3790559999999998</v>
      </c>
      <c r="U226" s="21">
        <f t="shared" si="604"/>
        <v>-1</v>
      </c>
      <c r="V226" s="19">
        <f t="shared" si="605"/>
        <v>-7.0397000000000265E-2</v>
      </c>
    </row>
    <row r="227" spans="1:22" hidden="1">
      <c r="A227" s="26" t="s">
        <v>13</v>
      </c>
      <c r="B227" s="26" t="s">
        <v>36</v>
      </c>
      <c r="C227" s="30">
        <v>6.97</v>
      </c>
      <c r="D227" s="27">
        <v>10.5</v>
      </c>
      <c r="E227" s="28">
        <v>40</v>
      </c>
      <c r="F227" s="16">
        <f t="shared" si="597"/>
        <v>2.9274</v>
      </c>
      <c r="G227" s="17"/>
      <c r="H227" s="18">
        <v>20</v>
      </c>
      <c r="I227" s="19">
        <f t="shared" si="598"/>
        <v>1.4637</v>
      </c>
      <c r="J227" s="16"/>
      <c r="K227" s="18">
        <v>2</v>
      </c>
      <c r="L227" s="19">
        <f t="shared" si="599"/>
        <v>0.14637</v>
      </c>
      <c r="M227" s="16"/>
      <c r="N227" s="18">
        <v>10</v>
      </c>
      <c r="O227" s="19">
        <f t="shared" si="600"/>
        <v>0.73185</v>
      </c>
      <c r="P227" s="16"/>
      <c r="Q227" s="18"/>
      <c r="R227" s="19">
        <f t="shared" si="601"/>
        <v>0</v>
      </c>
      <c r="S227" s="20">
        <f t="shared" si="602"/>
        <v>32</v>
      </c>
      <c r="T227" s="19">
        <f t="shared" si="603"/>
        <v>2.34192</v>
      </c>
      <c r="U227" s="21">
        <f t="shared" si="604"/>
        <v>8</v>
      </c>
      <c r="V227" s="19">
        <f t="shared" si="605"/>
        <v>0.58548</v>
      </c>
    </row>
    <row r="228" spans="1:22" hidden="1">
      <c r="A228" s="26" t="s">
        <v>13</v>
      </c>
      <c r="B228" s="26" t="s">
        <v>36</v>
      </c>
      <c r="C228" s="30">
        <v>6.97</v>
      </c>
      <c r="D228" s="27">
        <v>10.6</v>
      </c>
      <c r="E228" s="28">
        <v>64</v>
      </c>
      <c r="F228" s="16">
        <f t="shared" si="597"/>
        <v>4.7284479999999993</v>
      </c>
      <c r="G228" s="17"/>
      <c r="H228" s="18">
        <v>35</v>
      </c>
      <c r="I228" s="19">
        <f t="shared" si="598"/>
        <v>2.5858699999999999</v>
      </c>
      <c r="J228" s="16"/>
      <c r="K228" s="18">
        <v>29</v>
      </c>
      <c r="L228" s="19">
        <f t="shared" si="599"/>
        <v>2.1425779999999994</v>
      </c>
      <c r="M228" s="16"/>
      <c r="N228" s="18">
        <v>7</v>
      </c>
      <c r="O228" s="19">
        <f t="shared" si="600"/>
        <v>0.51717400000000002</v>
      </c>
      <c r="P228" s="16"/>
      <c r="Q228" s="18"/>
      <c r="R228" s="19">
        <f t="shared" si="601"/>
        <v>0</v>
      </c>
      <c r="S228" s="20">
        <f t="shared" si="602"/>
        <v>71</v>
      </c>
      <c r="T228" s="19">
        <f t="shared" si="603"/>
        <v>5.2456219999999991</v>
      </c>
      <c r="U228" s="21">
        <f t="shared" si="604"/>
        <v>-7</v>
      </c>
      <c r="V228" s="19">
        <f t="shared" si="605"/>
        <v>-0.5171739999999998</v>
      </c>
    </row>
    <row r="229" spans="1:22" hidden="1">
      <c r="A229" s="26" t="s">
        <v>13</v>
      </c>
      <c r="B229" s="26" t="s">
        <v>36</v>
      </c>
      <c r="C229" s="30">
        <v>6.97</v>
      </c>
      <c r="D229" s="27">
        <v>10.85</v>
      </c>
      <c r="E229" s="28">
        <v>58</v>
      </c>
      <c r="F229" s="16">
        <f t="shared" si="597"/>
        <v>4.3862209999999999</v>
      </c>
      <c r="G229" s="17"/>
      <c r="H229" s="18">
        <v>18</v>
      </c>
      <c r="I229" s="19">
        <f t="shared" si="598"/>
        <v>1.3612409999999999</v>
      </c>
      <c r="J229" s="16"/>
      <c r="K229" s="18">
        <v>19</v>
      </c>
      <c r="L229" s="19">
        <f t="shared" si="599"/>
        <v>1.4368654999999999</v>
      </c>
      <c r="M229" s="16"/>
      <c r="N229" s="18">
        <v>4</v>
      </c>
      <c r="O229" s="19">
        <f t="shared" si="600"/>
        <v>0.30249799999999999</v>
      </c>
      <c r="P229" s="16"/>
      <c r="Q229" s="18"/>
      <c r="R229" s="19">
        <f t="shared" si="601"/>
        <v>0</v>
      </c>
      <c r="S229" s="20">
        <f t="shared" si="602"/>
        <v>41</v>
      </c>
      <c r="T229" s="19">
        <f t="shared" si="603"/>
        <v>3.1006044999999998</v>
      </c>
      <c r="U229" s="21">
        <f t="shared" si="604"/>
        <v>17</v>
      </c>
      <c r="V229" s="19">
        <f t="shared" si="605"/>
        <v>1.2856165000000002</v>
      </c>
    </row>
    <row r="230" spans="1:22" hidden="1">
      <c r="A230" s="26" t="s">
        <v>13</v>
      </c>
      <c r="B230" s="26" t="s">
        <v>36</v>
      </c>
      <c r="C230" s="30">
        <v>6.97</v>
      </c>
      <c r="D230" s="27">
        <v>11</v>
      </c>
      <c r="E230" s="28">
        <v>37</v>
      </c>
      <c r="F230" s="16">
        <f t="shared" si="597"/>
        <v>2.8367900000000001</v>
      </c>
      <c r="G230" s="17"/>
      <c r="H230" s="18">
        <v>16</v>
      </c>
      <c r="I230" s="19">
        <f t="shared" si="598"/>
        <v>1.22672</v>
      </c>
      <c r="J230" s="16"/>
      <c r="K230" s="18">
        <v>24</v>
      </c>
      <c r="L230" s="19">
        <f t="shared" si="599"/>
        <v>1.8400799999999999</v>
      </c>
      <c r="M230" s="16"/>
      <c r="N230" s="18"/>
      <c r="O230" s="19">
        <f t="shared" si="600"/>
        <v>0</v>
      </c>
      <c r="P230" s="16"/>
      <c r="Q230" s="18"/>
      <c r="R230" s="19">
        <f t="shared" si="601"/>
        <v>0</v>
      </c>
      <c r="S230" s="20">
        <f t="shared" si="602"/>
        <v>40</v>
      </c>
      <c r="T230" s="19">
        <f t="shared" si="603"/>
        <v>3.0667999999999997</v>
      </c>
      <c r="U230" s="21">
        <f t="shared" si="604"/>
        <v>-3</v>
      </c>
      <c r="V230" s="19">
        <f t="shared" si="605"/>
        <v>-0.2300099999999996</v>
      </c>
    </row>
    <row r="231" spans="1:22" hidden="1">
      <c r="A231" s="26" t="s">
        <v>13</v>
      </c>
      <c r="B231" s="26" t="s">
        <v>36</v>
      </c>
      <c r="C231" s="30">
        <v>6.97</v>
      </c>
      <c r="D231" s="27">
        <v>11.2</v>
      </c>
      <c r="E231" s="28">
        <v>43</v>
      </c>
      <c r="F231" s="16">
        <f t="shared" si="597"/>
        <v>3.3567519999999993</v>
      </c>
      <c r="G231" s="17"/>
      <c r="H231" s="18">
        <v>2</v>
      </c>
      <c r="I231" s="19">
        <f t="shared" si="598"/>
        <v>0.15612799999999999</v>
      </c>
      <c r="J231" s="16"/>
      <c r="K231" s="18">
        <v>37</v>
      </c>
      <c r="L231" s="19">
        <f t="shared" si="599"/>
        <v>2.8883679999999998</v>
      </c>
      <c r="M231" s="16"/>
      <c r="N231" s="18"/>
      <c r="O231" s="19">
        <f t="shared" si="600"/>
        <v>0</v>
      </c>
      <c r="P231" s="16"/>
      <c r="Q231" s="18"/>
      <c r="R231" s="19">
        <f t="shared" si="601"/>
        <v>0</v>
      </c>
      <c r="S231" s="20">
        <f t="shared" si="602"/>
        <v>39</v>
      </c>
      <c r="T231" s="19">
        <f t="shared" si="603"/>
        <v>3.0444959999999996</v>
      </c>
      <c r="U231" s="21">
        <f t="shared" si="604"/>
        <v>4</v>
      </c>
      <c r="V231" s="19">
        <f t="shared" si="605"/>
        <v>0.31225599999999964</v>
      </c>
    </row>
    <row r="232" spans="1:22" hidden="1">
      <c r="A232" s="26" t="s">
        <v>13</v>
      </c>
      <c r="B232" s="26" t="s">
        <v>36</v>
      </c>
      <c r="C232" s="30">
        <v>6.97</v>
      </c>
      <c r="D232" s="27">
        <v>11.3</v>
      </c>
      <c r="E232" s="28">
        <v>15</v>
      </c>
      <c r="F232" s="16">
        <f t="shared" si="597"/>
        <v>1.1814149999999999</v>
      </c>
      <c r="G232" s="17"/>
      <c r="H232" s="18">
        <v>10</v>
      </c>
      <c r="I232" s="19">
        <f t="shared" si="598"/>
        <v>0.78760999999999992</v>
      </c>
      <c r="J232" s="16"/>
      <c r="K232" s="18">
        <v>5</v>
      </c>
      <c r="L232" s="19">
        <f t="shared" si="599"/>
        <v>0.39380499999999996</v>
      </c>
      <c r="M232" s="16"/>
      <c r="N232" s="18"/>
      <c r="O232" s="19">
        <f t="shared" si="600"/>
        <v>0</v>
      </c>
      <c r="P232" s="16"/>
      <c r="Q232" s="18"/>
      <c r="R232" s="19">
        <f t="shared" si="601"/>
        <v>0</v>
      </c>
      <c r="S232" s="20">
        <f t="shared" si="602"/>
        <v>15</v>
      </c>
      <c r="T232" s="19">
        <f t="shared" si="603"/>
        <v>1.1814149999999999</v>
      </c>
      <c r="U232" s="21">
        <f t="shared" si="604"/>
        <v>0</v>
      </c>
      <c r="V232" s="19">
        <f t="shared" si="605"/>
        <v>0</v>
      </c>
    </row>
    <row r="233" spans="1:22" hidden="1">
      <c r="A233" s="26" t="s">
        <v>13</v>
      </c>
      <c r="B233" s="26" t="s">
        <v>36</v>
      </c>
      <c r="C233" s="30">
        <v>6.97</v>
      </c>
      <c r="D233" s="27">
        <v>11.8</v>
      </c>
      <c r="E233" s="28">
        <v>71</v>
      </c>
      <c r="F233" s="16">
        <f t="shared" si="597"/>
        <v>5.8394659999999998</v>
      </c>
      <c r="G233" s="17"/>
      <c r="H233" s="18">
        <v>23</v>
      </c>
      <c r="I233" s="19">
        <f t="shared" si="598"/>
        <v>1.8916579999999998</v>
      </c>
      <c r="J233" s="16"/>
      <c r="K233" s="18">
        <f>4+19</f>
        <v>23</v>
      </c>
      <c r="L233" s="19">
        <f t="shared" si="599"/>
        <v>1.8916579999999998</v>
      </c>
      <c r="M233" s="16"/>
      <c r="N233" s="18">
        <v>2</v>
      </c>
      <c r="O233" s="19">
        <f t="shared" si="600"/>
        <v>0.164492</v>
      </c>
      <c r="P233" s="16"/>
      <c r="Q233" s="18"/>
      <c r="R233" s="19">
        <f t="shared" si="601"/>
        <v>0</v>
      </c>
      <c r="S233" s="20">
        <f t="shared" si="602"/>
        <v>48</v>
      </c>
      <c r="T233" s="19">
        <f t="shared" si="603"/>
        <v>3.9478079999999998</v>
      </c>
      <c r="U233" s="21">
        <f t="shared" si="604"/>
        <v>23</v>
      </c>
      <c r="V233" s="19">
        <f t="shared" si="605"/>
        <v>1.8916580000000001</v>
      </c>
    </row>
    <row r="234" spans="1:22" hidden="1">
      <c r="A234" s="26" t="s">
        <v>13</v>
      </c>
      <c r="B234" s="26" t="s">
        <v>36</v>
      </c>
      <c r="C234" s="30">
        <v>6.97</v>
      </c>
      <c r="D234" s="27">
        <v>12</v>
      </c>
      <c r="E234" s="28">
        <v>119</v>
      </c>
      <c r="F234" s="16">
        <f t="shared" ref="F234:F240" si="606">(C234*D234*E234/1000)</f>
        <v>9.9531600000000005</v>
      </c>
      <c r="G234" s="17"/>
      <c r="H234" s="18">
        <f t="shared" ref="H234" si="607">11+69</f>
        <v>80</v>
      </c>
      <c r="I234" s="19">
        <f t="shared" ref="I234:I240" si="608">(C234*D234*H234/1000)</f>
        <v>6.6912000000000003</v>
      </c>
      <c r="J234" s="16"/>
      <c r="K234" s="18">
        <v>46</v>
      </c>
      <c r="L234" s="19">
        <f t="shared" ref="L234:L240" si="609">(C234*D234*K234/1000)</f>
        <v>3.8474400000000002</v>
      </c>
      <c r="M234" s="16"/>
      <c r="N234" s="18">
        <v>39</v>
      </c>
      <c r="O234" s="19">
        <f t="shared" ref="O234:O240" si="610">(C234*D234*N234/1000)</f>
        <v>3.2619600000000002</v>
      </c>
      <c r="P234" s="16"/>
      <c r="Q234" s="18"/>
      <c r="R234" s="19">
        <f t="shared" ref="R234:R240" si="611">(C234*D234*Q234/1000)</f>
        <v>0</v>
      </c>
      <c r="S234" s="20">
        <f t="shared" ref="S234:S240" si="612">+H234+K234+Q234+N234</f>
        <v>165</v>
      </c>
      <c r="T234" s="19">
        <f t="shared" ref="T234:T240" si="613">+I234+L234+R234+O234</f>
        <v>13.800600000000001</v>
      </c>
      <c r="U234" s="21">
        <f t="shared" ref="U234:U240" si="614">E234-S234</f>
        <v>-46</v>
      </c>
      <c r="V234" s="19">
        <f t="shared" ref="V234:V240" si="615">F234-T234</f>
        <v>-3.8474400000000006</v>
      </c>
    </row>
    <row r="235" spans="1:22" hidden="1">
      <c r="A235" s="26" t="s">
        <v>13</v>
      </c>
      <c r="B235" s="26" t="s">
        <v>36</v>
      </c>
      <c r="C235" s="30">
        <v>6.97</v>
      </c>
      <c r="D235" s="27">
        <v>10</v>
      </c>
      <c r="E235" s="28"/>
      <c r="F235" s="16">
        <f t="shared" si="606"/>
        <v>0</v>
      </c>
      <c r="G235" s="17"/>
      <c r="H235" s="18"/>
      <c r="I235" s="19">
        <f t="shared" si="608"/>
        <v>0</v>
      </c>
      <c r="J235" s="16"/>
      <c r="K235" s="18"/>
      <c r="L235" s="19">
        <f t="shared" si="609"/>
        <v>0</v>
      </c>
      <c r="M235" s="16"/>
      <c r="N235" s="18"/>
      <c r="O235" s="19">
        <f t="shared" si="610"/>
        <v>0</v>
      </c>
      <c r="P235" s="16"/>
      <c r="Q235" s="18">
        <v>1</v>
      </c>
      <c r="R235" s="19">
        <f t="shared" si="611"/>
        <v>6.9699999999999998E-2</v>
      </c>
      <c r="S235" s="20">
        <f t="shared" si="612"/>
        <v>1</v>
      </c>
      <c r="T235" s="19">
        <f t="shared" si="613"/>
        <v>6.9699999999999998E-2</v>
      </c>
      <c r="U235" s="21">
        <f t="shared" si="614"/>
        <v>-1</v>
      </c>
      <c r="V235" s="19">
        <f t="shared" si="615"/>
        <v>-6.9699999999999998E-2</v>
      </c>
    </row>
    <row r="236" spans="1:22" hidden="1">
      <c r="A236" s="26" t="s">
        <v>13</v>
      </c>
      <c r="B236" s="26" t="s">
        <v>36</v>
      </c>
      <c r="C236" s="30">
        <v>6.97</v>
      </c>
      <c r="D236" s="27">
        <v>11.2</v>
      </c>
      <c r="E236" s="28"/>
      <c r="F236" s="16">
        <f t="shared" si="606"/>
        <v>0</v>
      </c>
      <c r="G236" s="17"/>
      <c r="H236" s="18"/>
      <c r="I236" s="19">
        <f t="shared" si="608"/>
        <v>0</v>
      </c>
      <c r="J236" s="16"/>
      <c r="K236" s="18"/>
      <c r="L236" s="19">
        <f t="shared" si="609"/>
        <v>0</v>
      </c>
      <c r="M236" s="16"/>
      <c r="N236" s="18"/>
      <c r="O236" s="19">
        <f t="shared" si="610"/>
        <v>0</v>
      </c>
      <c r="P236" s="16"/>
      <c r="Q236" s="18">
        <v>1</v>
      </c>
      <c r="R236" s="19">
        <f t="shared" si="611"/>
        <v>7.8063999999999995E-2</v>
      </c>
      <c r="S236" s="20">
        <f t="shared" si="612"/>
        <v>1</v>
      </c>
      <c r="T236" s="19">
        <f t="shared" si="613"/>
        <v>7.8063999999999995E-2</v>
      </c>
      <c r="U236" s="21">
        <f t="shared" si="614"/>
        <v>-1</v>
      </c>
      <c r="V236" s="19">
        <f t="shared" si="615"/>
        <v>-7.8063999999999995E-2</v>
      </c>
    </row>
    <row r="237" spans="1:22" hidden="1">
      <c r="A237" s="26" t="s">
        <v>13</v>
      </c>
      <c r="B237" s="26" t="s">
        <v>36</v>
      </c>
      <c r="C237" s="30">
        <v>6.97</v>
      </c>
      <c r="D237" s="27">
        <v>10.9</v>
      </c>
      <c r="E237" s="28"/>
      <c r="F237" s="16">
        <f t="shared" si="606"/>
        <v>0</v>
      </c>
      <c r="G237" s="17"/>
      <c r="H237" s="18"/>
      <c r="I237" s="19">
        <f t="shared" si="608"/>
        <v>0</v>
      </c>
      <c r="J237" s="16"/>
      <c r="K237" s="18"/>
      <c r="L237" s="19">
        <f t="shared" si="609"/>
        <v>0</v>
      </c>
      <c r="M237" s="16"/>
      <c r="N237" s="18"/>
      <c r="O237" s="19">
        <f t="shared" si="610"/>
        <v>0</v>
      </c>
      <c r="P237" s="16"/>
      <c r="Q237" s="18">
        <v>1</v>
      </c>
      <c r="R237" s="19">
        <f t="shared" si="611"/>
        <v>7.5972999999999999E-2</v>
      </c>
      <c r="S237" s="20">
        <f t="shared" si="612"/>
        <v>1</v>
      </c>
      <c r="T237" s="19">
        <f t="shared" si="613"/>
        <v>7.5972999999999999E-2</v>
      </c>
      <c r="U237" s="21">
        <f t="shared" si="614"/>
        <v>-1</v>
      </c>
      <c r="V237" s="19">
        <f t="shared" si="615"/>
        <v>-7.5972999999999999E-2</v>
      </c>
    </row>
    <row r="238" spans="1:22" hidden="1">
      <c r="A238" s="26" t="s">
        <v>13</v>
      </c>
      <c r="B238" s="26" t="s">
        <v>36</v>
      </c>
      <c r="C238" s="30">
        <v>6.97</v>
      </c>
      <c r="D238" s="27"/>
      <c r="E238" s="28"/>
      <c r="F238" s="16">
        <f t="shared" si="606"/>
        <v>0</v>
      </c>
      <c r="G238" s="17"/>
      <c r="H238" s="18"/>
      <c r="I238" s="19">
        <f t="shared" si="608"/>
        <v>0</v>
      </c>
      <c r="J238" s="16"/>
      <c r="K238" s="18"/>
      <c r="L238" s="19">
        <f t="shared" si="609"/>
        <v>0</v>
      </c>
      <c r="M238" s="16"/>
      <c r="N238" s="18"/>
      <c r="O238" s="19">
        <f t="shared" si="610"/>
        <v>0</v>
      </c>
      <c r="P238" s="16"/>
      <c r="Q238" s="18"/>
      <c r="R238" s="19">
        <f t="shared" si="611"/>
        <v>0</v>
      </c>
      <c r="S238" s="20">
        <f t="shared" si="612"/>
        <v>0</v>
      </c>
      <c r="T238" s="19">
        <f t="shared" si="613"/>
        <v>0</v>
      </c>
      <c r="U238" s="21">
        <f t="shared" si="614"/>
        <v>0</v>
      </c>
      <c r="V238" s="19">
        <f t="shared" si="615"/>
        <v>0</v>
      </c>
    </row>
    <row r="239" spans="1:22" hidden="1">
      <c r="A239" s="26" t="s">
        <v>13</v>
      </c>
      <c r="B239" s="26" t="s">
        <v>36</v>
      </c>
      <c r="C239" s="30">
        <v>6.97</v>
      </c>
      <c r="D239" s="27"/>
      <c r="E239" s="28"/>
      <c r="F239" s="16">
        <f t="shared" si="606"/>
        <v>0</v>
      </c>
      <c r="G239" s="17"/>
      <c r="H239" s="18"/>
      <c r="I239" s="19">
        <f t="shared" si="608"/>
        <v>0</v>
      </c>
      <c r="J239" s="16"/>
      <c r="K239" s="18"/>
      <c r="L239" s="19">
        <f t="shared" si="609"/>
        <v>0</v>
      </c>
      <c r="M239" s="16"/>
      <c r="N239" s="18"/>
      <c r="O239" s="19">
        <f t="shared" si="610"/>
        <v>0</v>
      </c>
      <c r="P239" s="16"/>
      <c r="Q239" s="18"/>
      <c r="R239" s="19">
        <f t="shared" si="611"/>
        <v>0</v>
      </c>
      <c r="S239" s="20">
        <f t="shared" si="612"/>
        <v>0</v>
      </c>
      <c r="T239" s="19">
        <f t="shared" si="613"/>
        <v>0</v>
      </c>
      <c r="U239" s="21">
        <f t="shared" si="614"/>
        <v>0</v>
      </c>
      <c r="V239" s="19">
        <f t="shared" si="615"/>
        <v>0</v>
      </c>
    </row>
    <row r="240" spans="1:22" hidden="1">
      <c r="A240" s="26" t="s">
        <v>13</v>
      </c>
      <c r="B240" s="26" t="s">
        <v>36</v>
      </c>
      <c r="C240" s="30">
        <v>6.97</v>
      </c>
      <c r="D240" s="27"/>
      <c r="E240" s="28"/>
      <c r="F240" s="16">
        <f t="shared" si="606"/>
        <v>0</v>
      </c>
      <c r="G240" s="17"/>
      <c r="H240" s="18"/>
      <c r="I240" s="19">
        <f t="shared" si="608"/>
        <v>0</v>
      </c>
      <c r="J240" s="16"/>
      <c r="K240" s="18"/>
      <c r="L240" s="19">
        <f t="shared" si="609"/>
        <v>0</v>
      </c>
      <c r="M240" s="16"/>
      <c r="N240" s="18"/>
      <c r="O240" s="19">
        <f t="shared" si="610"/>
        <v>0</v>
      </c>
      <c r="P240" s="16"/>
      <c r="Q240" s="18"/>
      <c r="R240" s="19">
        <f t="shared" si="611"/>
        <v>0</v>
      </c>
      <c r="S240" s="20">
        <f t="shared" si="612"/>
        <v>0</v>
      </c>
      <c r="T240" s="19">
        <f t="shared" si="613"/>
        <v>0</v>
      </c>
      <c r="U240" s="21">
        <f t="shared" si="614"/>
        <v>0</v>
      </c>
      <c r="V240" s="19">
        <f t="shared" si="615"/>
        <v>0</v>
      </c>
    </row>
    <row r="241" spans="1:22" hidden="1">
      <c r="A241" s="26" t="s">
        <v>13</v>
      </c>
      <c r="B241" s="26" t="s">
        <v>36</v>
      </c>
      <c r="C241" s="30">
        <v>6.97</v>
      </c>
      <c r="D241" s="27"/>
      <c r="E241" s="28"/>
      <c r="F241" s="16">
        <f t="shared" si="597"/>
        <v>0</v>
      </c>
      <c r="G241" s="17"/>
      <c r="H241" s="18"/>
      <c r="I241" s="19">
        <f t="shared" si="598"/>
        <v>0</v>
      </c>
      <c r="J241" s="16"/>
      <c r="K241" s="18"/>
      <c r="L241" s="19">
        <f t="shared" si="599"/>
        <v>0</v>
      </c>
      <c r="M241" s="16"/>
      <c r="N241" s="18"/>
      <c r="O241" s="19">
        <f t="shared" si="600"/>
        <v>0</v>
      </c>
      <c r="P241" s="16"/>
      <c r="Q241" s="18"/>
      <c r="R241" s="19">
        <f t="shared" si="601"/>
        <v>0</v>
      </c>
      <c r="S241" s="20">
        <f t="shared" si="602"/>
        <v>0</v>
      </c>
      <c r="T241" s="19">
        <f t="shared" si="603"/>
        <v>0</v>
      </c>
      <c r="U241" s="21">
        <f t="shared" si="604"/>
        <v>0</v>
      </c>
      <c r="V241" s="19">
        <f t="shared" si="605"/>
        <v>0</v>
      </c>
    </row>
    <row r="242" spans="1:22" hidden="1">
      <c r="A242" s="36"/>
      <c r="B242" s="36"/>
      <c r="C242" s="30"/>
      <c r="D242" s="38"/>
      <c r="E242" s="31">
        <f>SUM(E223:E241)</f>
        <v>576</v>
      </c>
      <c r="F242" s="38">
        <f>SUM(F223:F241)</f>
        <v>43.717931000000007</v>
      </c>
      <c r="H242" s="31">
        <f>SUM(H223:H241)</f>
        <v>238</v>
      </c>
      <c r="I242" s="38">
        <f>SUM(I223:I241)</f>
        <v>18.494895</v>
      </c>
      <c r="K242" s="31">
        <f>SUM(K223:K241)</f>
        <v>235</v>
      </c>
      <c r="L242" s="38">
        <f>SUM(L223:L241)</f>
        <v>17.9313705</v>
      </c>
      <c r="N242" s="31">
        <f>SUM(N223:N241)</f>
        <v>62</v>
      </c>
      <c r="O242" s="38">
        <f>SUM(O223:O241)</f>
        <v>4.9779739999999997</v>
      </c>
      <c r="Q242" s="31">
        <f t="shared" ref="Q242:V242" si="616">SUM(Q223:Q241)</f>
        <v>41</v>
      </c>
      <c r="R242" s="38">
        <f t="shared" si="616"/>
        <v>2.593537</v>
      </c>
      <c r="S242" s="31">
        <f t="shared" si="616"/>
        <v>576</v>
      </c>
      <c r="T242" s="38">
        <f t="shared" si="616"/>
        <v>43.997776499999993</v>
      </c>
      <c r="U242" s="31">
        <f t="shared" si="616"/>
        <v>0</v>
      </c>
      <c r="V242" s="38">
        <f t="shared" si="616"/>
        <v>-0.27984550000000052</v>
      </c>
    </row>
    <row r="243" spans="1:22">
      <c r="A243" s="26" t="s">
        <v>13</v>
      </c>
      <c r="B243" s="26" t="s">
        <v>26</v>
      </c>
      <c r="C243" s="30">
        <v>8.32</v>
      </c>
      <c r="D243" s="27">
        <v>6.6</v>
      </c>
      <c r="E243" s="28">
        <v>56</v>
      </c>
      <c r="F243" s="16">
        <f t="shared" ref="F243:F269" si="617">(C243*D243*E243/1000)</f>
        <v>3.075072</v>
      </c>
      <c r="G243" s="17" t="s">
        <v>88</v>
      </c>
      <c r="H243" s="18"/>
      <c r="I243" s="19">
        <f t="shared" ref="I243:I269" si="618">(C243*D243*H243/1000)</f>
        <v>0</v>
      </c>
      <c r="J243" s="16" t="s">
        <v>93</v>
      </c>
      <c r="K243" s="18">
        <v>43</v>
      </c>
      <c r="L243" s="19">
        <f t="shared" ref="L243:L269" si="619">(C243*D243*K243/1000)</f>
        <v>2.3612159999999998</v>
      </c>
      <c r="M243" s="16" t="s">
        <v>89</v>
      </c>
      <c r="N243" s="18">
        <v>1</v>
      </c>
      <c r="O243" s="19">
        <f t="shared" ref="O243:O269" si="620">(C243*D243*N243/1000)</f>
        <v>5.4912000000000002E-2</v>
      </c>
      <c r="P243" s="17" t="s">
        <v>107</v>
      </c>
      <c r="Q243" s="18">
        <f>7+5</f>
        <v>12</v>
      </c>
      <c r="R243" s="19">
        <f t="shared" ref="R243:R269" si="621">(C243*D243*Q243/1000)</f>
        <v>0.65894399999999997</v>
      </c>
      <c r="S243" s="20">
        <f t="shared" ref="S243:S269" si="622">+H243+K243+Q243+N243</f>
        <v>56</v>
      </c>
      <c r="T243" s="19">
        <f t="shared" ref="T243:T269" si="623">+I243+L243+R243+O243</f>
        <v>3.0750719999999996</v>
      </c>
      <c r="U243" s="21">
        <f t="shared" ref="U243:U269" si="624">E243-S243</f>
        <v>0</v>
      </c>
      <c r="V243" s="19">
        <f t="shared" ref="V243:V269" si="625">F243-T243</f>
        <v>0</v>
      </c>
    </row>
    <row r="244" spans="1:22">
      <c r="A244" s="26" t="s">
        <v>13</v>
      </c>
      <c r="B244" s="26" t="s">
        <v>26</v>
      </c>
      <c r="C244" s="30">
        <v>8.32</v>
      </c>
      <c r="D244" s="27">
        <v>6.75</v>
      </c>
      <c r="E244" s="28">
        <v>136</v>
      </c>
      <c r="F244" s="16">
        <f t="shared" si="617"/>
        <v>7.6377600000000001</v>
      </c>
      <c r="G244" s="17" t="s">
        <v>531</v>
      </c>
      <c r="H244" s="18"/>
      <c r="I244" s="19">
        <f t="shared" si="618"/>
        <v>0</v>
      </c>
      <c r="J244" s="16" t="s">
        <v>531</v>
      </c>
      <c r="K244" s="18">
        <v>62</v>
      </c>
      <c r="L244" s="19">
        <f t="shared" si="619"/>
        <v>3.4819200000000001</v>
      </c>
      <c r="M244" s="16" t="s">
        <v>539</v>
      </c>
      <c r="N244" s="18">
        <v>36</v>
      </c>
      <c r="O244" s="19">
        <f t="shared" si="620"/>
        <v>2.02176</v>
      </c>
      <c r="P244" s="17" t="s">
        <v>542</v>
      </c>
      <c r="Q244" s="18">
        <v>35</v>
      </c>
      <c r="R244" s="19">
        <f t="shared" si="621"/>
        <v>1.9656000000000002</v>
      </c>
      <c r="S244" s="20">
        <f t="shared" si="622"/>
        <v>133</v>
      </c>
      <c r="T244" s="19">
        <f t="shared" si="623"/>
        <v>7.4692800000000013</v>
      </c>
      <c r="U244" s="21">
        <f t="shared" si="624"/>
        <v>3</v>
      </c>
      <c r="V244" s="19">
        <f t="shared" si="625"/>
        <v>0.16847999999999885</v>
      </c>
    </row>
    <row r="245" spans="1:22">
      <c r="A245" s="26" t="s">
        <v>13</v>
      </c>
      <c r="B245" s="26" t="s">
        <v>26</v>
      </c>
      <c r="C245" s="30">
        <v>8.32</v>
      </c>
      <c r="D245" s="27">
        <v>7.1</v>
      </c>
      <c r="E245" s="28">
        <v>112</v>
      </c>
      <c r="F245" s="16">
        <f t="shared" si="617"/>
        <v>6.6160639999999997</v>
      </c>
      <c r="G245" s="17"/>
      <c r="H245" s="18"/>
      <c r="I245" s="19">
        <f t="shared" si="618"/>
        <v>0</v>
      </c>
      <c r="J245" s="16"/>
      <c r="K245" s="18">
        <v>64</v>
      </c>
      <c r="L245" s="19">
        <f t="shared" si="619"/>
        <v>3.7806079999999995</v>
      </c>
      <c r="M245" s="17" t="s">
        <v>88</v>
      </c>
      <c r="N245" s="18">
        <v>25</v>
      </c>
      <c r="O245" s="19">
        <f t="shared" si="620"/>
        <v>1.4767999999999999</v>
      </c>
      <c r="P245" s="16"/>
      <c r="Q245" s="18">
        <v>20</v>
      </c>
      <c r="R245" s="19">
        <f t="shared" si="621"/>
        <v>1.1814399999999998</v>
      </c>
      <c r="S245" s="20">
        <f t="shared" si="622"/>
        <v>109</v>
      </c>
      <c r="T245" s="19">
        <f t="shared" si="623"/>
        <v>6.4388479999999992</v>
      </c>
      <c r="U245" s="21">
        <f t="shared" si="624"/>
        <v>3</v>
      </c>
      <c r="V245" s="19">
        <f t="shared" si="625"/>
        <v>0.17721600000000048</v>
      </c>
    </row>
    <row r="246" spans="1:22">
      <c r="A246" s="26" t="s">
        <v>13</v>
      </c>
      <c r="B246" s="26" t="s">
        <v>26</v>
      </c>
      <c r="C246" s="30">
        <v>8.32</v>
      </c>
      <c r="D246" s="27">
        <v>7.7</v>
      </c>
      <c r="E246" s="28">
        <v>36</v>
      </c>
      <c r="F246" s="16">
        <f t="shared" si="617"/>
        <v>2.3063039999999999</v>
      </c>
      <c r="G246" s="17"/>
      <c r="H246" s="18"/>
      <c r="I246" s="19">
        <f t="shared" si="618"/>
        <v>0</v>
      </c>
      <c r="J246" s="16"/>
      <c r="K246" s="18"/>
      <c r="L246" s="19">
        <f t="shared" si="619"/>
        <v>0</v>
      </c>
      <c r="M246" s="17" t="s">
        <v>539</v>
      </c>
      <c r="N246" s="18">
        <f>14+2</f>
        <v>16</v>
      </c>
      <c r="O246" s="19">
        <f t="shared" si="620"/>
        <v>1.0250240000000002</v>
      </c>
      <c r="P246" s="17" t="s">
        <v>89</v>
      </c>
      <c r="Q246" s="18">
        <f>13+3</f>
        <v>16</v>
      </c>
      <c r="R246" s="19">
        <f t="shared" si="621"/>
        <v>1.0250240000000002</v>
      </c>
      <c r="S246" s="20">
        <f t="shared" si="622"/>
        <v>32</v>
      </c>
      <c r="T246" s="19">
        <f t="shared" si="623"/>
        <v>2.0500480000000003</v>
      </c>
      <c r="U246" s="21">
        <f t="shared" si="624"/>
        <v>4</v>
      </c>
      <c r="V246" s="19">
        <f t="shared" si="625"/>
        <v>0.2562559999999996</v>
      </c>
    </row>
    <row r="247" spans="1:22">
      <c r="A247" s="26" t="s">
        <v>13</v>
      </c>
      <c r="B247" s="26" t="s">
        <v>26</v>
      </c>
      <c r="C247" s="30">
        <v>8.32</v>
      </c>
      <c r="D247" s="27">
        <v>7.9</v>
      </c>
      <c r="E247" s="28">
        <v>160</v>
      </c>
      <c r="F247" s="16">
        <f t="shared" si="617"/>
        <v>10.516480000000001</v>
      </c>
      <c r="G247" s="17"/>
      <c r="H247" s="18"/>
      <c r="I247" s="19">
        <f t="shared" si="618"/>
        <v>0</v>
      </c>
      <c r="J247" s="16"/>
      <c r="K247" s="18">
        <v>19</v>
      </c>
      <c r="L247" s="19">
        <f t="shared" si="619"/>
        <v>1.2488320000000002</v>
      </c>
      <c r="M247" s="16"/>
      <c r="N247" s="18">
        <f>44+37</f>
        <v>81</v>
      </c>
      <c r="O247" s="19">
        <f t="shared" si="620"/>
        <v>5.3239680000000007</v>
      </c>
      <c r="P247" s="17" t="s">
        <v>548</v>
      </c>
      <c r="Q247" s="18">
        <v>74</v>
      </c>
      <c r="R247" s="19">
        <f t="shared" si="621"/>
        <v>4.8638720000000006</v>
      </c>
      <c r="S247" s="20">
        <f t="shared" si="622"/>
        <v>174</v>
      </c>
      <c r="T247" s="19">
        <f t="shared" si="623"/>
        <v>11.436672000000002</v>
      </c>
      <c r="U247" s="21">
        <f t="shared" si="624"/>
        <v>-14</v>
      </c>
      <c r="V247" s="19">
        <f t="shared" si="625"/>
        <v>-0.92019200000000012</v>
      </c>
    </row>
    <row r="248" spans="1:22">
      <c r="A248" s="26" t="s">
        <v>13</v>
      </c>
      <c r="B248" s="26" t="s">
        <v>26</v>
      </c>
      <c r="C248" s="30">
        <v>8.32</v>
      </c>
      <c r="D248" s="27">
        <v>8.4</v>
      </c>
      <c r="E248" s="28">
        <v>20</v>
      </c>
      <c r="F248" s="16">
        <f t="shared" si="617"/>
        <v>1.3977600000000001</v>
      </c>
      <c r="G248" s="17"/>
      <c r="H248" s="18"/>
      <c r="I248" s="19">
        <f t="shared" si="618"/>
        <v>0</v>
      </c>
      <c r="J248" s="16"/>
      <c r="K248" s="18"/>
      <c r="L248" s="19">
        <f t="shared" si="619"/>
        <v>0</v>
      </c>
      <c r="M248" s="16"/>
      <c r="N248" s="18">
        <v>10</v>
      </c>
      <c r="O248" s="19">
        <f t="shared" si="620"/>
        <v>0.69888000000000006</v>
      </c>
      <c r="P248" s="16" t="s">
        <v>205</v>
      </c>
      <c r="Q248" s="18">
        <v>10</v>
      </c>
      <c r="R248" s="19">
        <f t="shared" si="621"/>
        <v>0.69888000000000006</v>
      </c>
      <c r="S248" s="20">
        <f t="shared" si="622"/>
        <v>20</v>
      </c>
      <c r="T248" s="19">
        <f t="shared" si="623"/>
        <v>1.3977600000000001</v>
      </c>
      <c r="U248" s="21">
        <f t="shared" si="624"/>
        <v>0</v>
      </c>
      <c r="V248" s="19">
        <f t="shared" si="625"/>
        <v>0</v>
      </c>
    </row>
    <row r="249" spans="1:22">
      <c r="A249" s="26" t="s">
        <v>13</v>
      </c>
      <c r="B249" s="26" t="s">
        <v>26</v>
      </c>
      <c r="C249" s="30">
        <v>8.32</v>
      </c>
      <c r="D249" s="27">
        <v>9.5</v>
      </c>
      <c r="E249" s="28">
        <v>33</v>
      </c>
      <c r="F249" s="16">
        <f t="shared" si="617"/>
        <v>2.60832</v>
      </c>
      <c r="G249" s="17"/>
      <c r="H249" s="18"/>
      <c r="I249" s="19">
        <f t="shared" si="618"/>
        <v>0</v>
      </c>
      <c r="J249" s="16"/>
      <c r="K249" s="18">
        <v>11</v>
      </c>
      <c r="L249" s="19">
        <f t="shared" si="619"/>
        <v>0.8694400000000001</v>
      </c>
      <c r="M249" s="16"/>
      <c r="N249" s="18"/>
      <c r="O249" s="19">
        <f t="shared" si="620"/>
        <v>0</v>
      </c>
      <c r="P249" s="16" t="s">
        <v>550</v>
      </c>
      <c r="Q249" s="18">
        <f>2+5+6</f>
        <v>13</v>
      </c>
      <c r="R249" s="19">
        <f t="shared" si="621"/>
        <v>1.02752</v>
      </c>
      <c r="S249" s="20">
        <f t="shared" si="622"/>
        <v>24</v>
      </c>
      <c r="T249" s="19">
        <f t="shared" si="623"/>
        <v>1.89696</v>
      </c>
      <c r="U249" s="21">
        <f t="shared" si="624"/>
        <v>9</v>
      </c>
      <c r="V249" s="19">
        <f t="shared" si="625"/>
        <v>0.71135999999999999</v>
      </c>
    </row>
    <row r="250" spans="1:22">
      <c r="A250" s="26" t="s">
        <v>13</v>
      </c>
      <c r="B250" s="26" t="s">
        <v>26</v>
      </c>
      <c r="C250" s="30">
        <v>8.32</v>
      </c>
      <c r="D250" s="27">
        <v>10</v>
      </c>
      <c r="E250" s="28">
        <v>70</v>
      </c>
      <c r="F250" s="16">
        <f t="shared" si="617"/>
        <v>5.8239999999999998</v>
      </c>
      <c r="G250" s="17"/>
      <c r="H250" s="18"/>
      <c r="I250" s="19">
        <f t="shared" si="618"/>
        <v>0</v>
      </c>
      <c r="J250" s="16"/>
      <c r="K250" s="18">
        <v>30</v>
      </c>
      <c r="L250" s="19">
        <f t="shared" si="619"/>
        <v>2.496</v>
      </c>
      <c r="M250" s="16"/>
      <c r="N250" s="18">
        <v>28</v>
      </c>
      <c r="O250" s="19">
        <f t="shared" si="620"/>
        <v>2.3296000000000001</v>
      </c>
      <c r="P250" s="16" t="s">
        <v>455</v>
      </c>
      <c r="Q250" s="18">
        <v>15</v>
      </c>
      <c r="R250" s="19">
        <f t="shared" si="621"/>
        <v>1.248</v>
      </c>
      <c r="S250" s="20">
        <f t="shared" si="622"/>
        <v>73</v>
      </c>
      <c r="T250" s="19">
        <f t="shared" si="623"/>
        <v>6.0735999999999999</v>
      </c>
      <c r="U250" s="21">
        <f t="shared" si="624"/>
        <v>-3</v>
      </c>
      <c r="V250" s="19">
        <f t="shared" si="625"/>
        <v>-0.24960000000000004</v>
      </c>
    </row>
    <row r="251" spans="1:22">
      <c r="A251" s="26" t="s">
        <v>13</v>
      </c>
      <c r="B251" s="26" t="s">
        <v>26</v>
      </c>
      <c r="C251" s="30">
        <v>8.32</v>
      </c>
      <c r="D251" s="27">
        <v>10.199999999999999</v>
      </c>
      <c r="E251" s="28">
        <v>32</v>
      </c>
      <c r="F251" s="16">
        <f t="shared" si="617"/>
        <v>2.7156479999999998</v>
      </c>
      <c r="G251" s="17"/>
      <c r="H251" s="18"/>
      <c r="I251" s="19">
        <f t="shared" si="618"/>
        <v>0</v>
      </c>
      <c r="J251" s="16"/>
      <c r="K251" s="18">
        <v>18</v>
      </c>
      <c r="L251" s="19">
        <f t="shared" si="619"/>
        <v>1.5275519999999998</v>
      </c>
      <c r="M251" s="16"/>
      <c r="N251" s="18">
        <v>7</v>
      </c>
      <c r="O251" s="19">
        <f t="shared" si="620"/>
        <v>0.59404799999999991</v>
      </c>
      <c r="P251" s="16" t="s">
        <v>606</v>
      </c>
      <c r="Q251" s="18">
        <f>11+2</f>
        <v>13</v>
      </c>
      <c r="R251" s="19">
        <f t="shared" si="621"/>
        <v>1.103232</v>
      </c>
      <c r="S251" s="20">
        <f t="shared" si="622"/>
        <v>38</v>
      </c>
      <c r="T251" s="19">
        <f t="shared" si="623"/>
        <v>3.2248319999999997</v>
      </c>
      <c r="U251" s="21">
        <f t="shared" si="624"/>
        <v>-6</v>
      </c>
      <c r="V251" s="19">
        <f t="shared" si="625"/>
        <v>-0.50918399999999986</v>
      </c>
    </row>
    <row r="252" spans="1:22">
      <c r="A252" s="26" t="s">
        <v>13</v>
      </c>
      <c r="B252" s="26" t="s">
        <v>26</v>
      </c>
      <c r="C252" s="30">
        <v>8.32</v>
      </c>
      <c r="D252" s="27">
        <v>10.85</v>
      </c>
      <c r="E252" s="28">
        <v>37</v>
      </c>
      <c r="F252" s="16">
        <f t="shared" si="617"/>
        <v>3.3400640000000004</v>
      </c>
      <c r="G252" s="17"/>
      <c r="H252" s="18"/>
      <c r="I252" s="19">
        <f t="shared" si="618"/>
        <v>0</v>
      </c>
      <c r="J252" s="16"/>
      <c r="K252" s="18">
        <v>23</v>
      </c>
      <c r="L252" s="19">
        <f t="shared" si="619"/>
        <v>2.0762560000000003</v>
      </c>
      <c r="M252" s="16"/>
      <c r="N252" s="18">
        <v>12</v>
      </c>
      <c r="O252" s="19">
        <f t="shared" si="620"/>
        <v>1.0832640000000002</v>
      </c>
      <c r="P252" s="16"/>
      <c r="Q252" s="18"/>
      <c r="R252" s="19">
        <f t="shared" si="621"/>
        <v>0</v>
      </c>
      <c r="S252" s="20">
        <f t="shared" si="622"/>
        <v>35</v>
      </c>
      <c r="T252" s="19">
        <f t="shared" si="623"/>
        <v>3.1595200000000006</v>
      </c>
      <c r="U252" s="21">
        <f t="shared" si="624"/>
        <v>2</v>
      </c>
      <c r="V252" s="19">
        <f t="shared" si="625"/>
        <v>0.18054399999999982</v>
      </c>
    </row>
    <row r="253" spans="1:22">
      <c r="A253" s="26" t="s">
        <v>13</v>
      </c>
      <c r="B253" s="26" t="s">
        <v>26</v>
      </c>
      <c r="C253" s="30">
        <v>8.32</v>
      </c>
      <c r="D253" s="27">
        <v>11</v>
      </c>
      <c r="E253" s="28">
        <v>140</v>
      </c>
      <c r="F253" s="16">
        <f t="shared" si="617"/>
        <v>12.812800000000001</v>
      </c>
      <c r="G253" s="17"/>
      <c r="H253" s="18">
        <v>32</v>
      </c>
      <c r="I253" s="19">
        <f t="shared" si="618"/>
        <v>2.9286400000000001</v>
      </c>
      <c r="J253" s="16"/>
      <c r="K253" s="18">
        <v>32</v>
      </c>
      <c r="L253" s="19">
        <f t="shared" si="619"/>
        <v>2.9286400000000001</v>
      </c>
      <c r="M253" s="16"/>
      <c r="N253" s="18">
        <f>44+16</f>
        <v>60</v>
      </c>
      <c r="O253" s="19">
        <f t="shared" si="620"/>
        <v>5.491200000000001</v>
      </c>
      <c r="P253" s="16"/>
      <c r="Q253" s="18">
        <v>5</v>
      </c>
      <c r="R253" s="19">
        <f t="shared" si="621"/>
        <v>0.45760000000000001</v>
      </c>
      <c r="S253" s="20">
        <f t="shared" si="622"/>
        <v>129</v>
      </c>
      <c r="T253" s="19">
        <f t="shared" si="623"/>
        <v>11.806080000000001</v>
      </c>
      <c r="U253" s="21">
        <f t="shared" si="624"/>
        <v>11</v>
      </c>
      <c r="V253" s="19">
        <f t="shared" si="625"/>
        <v>1.0067199999999996</v>
      </c>
    </row>
    <row r="254" spans="1:22">
      <c r="A254" s="26" t="s">
        <v>13</v>
      </c>
      <c r="B254" s="26" t="s">
        <v>26</v>
      </c>
      <c r="C254" s="30">
        <v>8.32</v>
      </c>
      <c r="D254" s="27">
        <v>11.3</v>
      </c>
      <c r="E254" s="28">
        <v>56</v>
      </c>
      <c r="F254" s="16">
        <f t="shared" si="617"/>
        <v>5.2648960000000002</v>
      </c>
      <c r="G254" s="17"/>
      <c r="H254" s="18"/>
      <c r="I254" s="19">
        <f t="shared" si="618"/>
        <v>0</v>
      </c>
      <c r="J254" s="16"/>
      <c r="K254" s="18">
        <v>25</v>
      </c>
      <c r="L254" s="19">
        <f t="shared" si="619"/>
        <v>2.3504</v>
      </c>
      <c r="M254" s="16"/>
      <c r="N254" s="18">
        <v>24</v>
      </c>
      <c r="O254" s="19">
        <f t="shared" si="620"/>
        <v>2.2563840000000002</v>
      </c>
      <c r="P254" s="16"/>
      <c r="Q254" s="18">
        <v>4</v>
      </c>
      <c r="R254" s="19">
        <f t="shared" si="621"/>
        <v>0.37606400000000001</v>
      </c>
      <c r="S254" s="20">
        <f t="shared" si="622"/>
        <v>53</v>
      </c>
      <c r="T254" s="19">
        <f t="shared" si="623"/>
        <v>4.9828480000000006</v>
      </c>
      <c r="U254" s="21">
        <f t="shared" si="624"/>
        <v>3</v>
      </c>
      <c r="V254" s="19">
        <f t="shared" si="625"/>
        <v>0.28204799999999963</v>
      </c>
    </row>
    <row r="255" spans="1:22">
      <c r="A255" s="26" t="s">
        <v>13</v>
      </c>
      <c r="B255" s="26" t="s">
        <v>26</v>
      </c>
      <c r="C255" s="30">
        <v>8.32</v>
      </c>
      <c r="D255" s="27">
        <v>11.5</v>
      </c>
      <c r="E255" s="28">
        <v>74</v>
      </c>
      <c r="F255" s="16">
        <f t="shared" si="617"/>
        <v>7.0803200000000004</v>
      </c>
      <c r="G255" s="17"/>
      <c r="H255" s="18">
        <v>34</v>
      </c>
      <c r="I255" s="19">
        <f t="shared" si="618"/>
        <v>3.2531200000000005</v>
      </c>
      <c r="J255" s="16"/>
      <c r="K255" s="18">
        <v>16</v>
      </c>
      <c r="L255" s="19">
        <f t="shared" si="619"/>
        <v>1.53088</v>
      </c>
      <c r="M255" s="16"/>
      <c r="N255" s="18">
        <f>17+7</f>
        <v>24</v>
      </c>
      <c r="O255" s="19">
        <f t="shared" si="620"/>
        <v>2.2963200000000001</v>
      </c>
      <c r="P255" s="16"/>
      <c r="Q255" s="18"/>
      <c r="R255" s="19">
        <f t="shared" si="621"/>
        <v>0</v>
      </c>
      <c r="S255" s="20">
        <f t="shared" si="622"/>
        <v>74</v>
      </c>
      <c r="T255" s="19">
        <f t="shared" si="623"/>
        <v>7.0803200000000004</v>
      </c>
      <c r="U255" s="21">
        <f t="shared" si="624"/>
        <v>0</v>
      </c>
      <c r="V255" s="19">
        <f t="shared" si="625"/>
        <v>0</v>
      </c>
    </row>
    <row r="256" spans="1:22">
      <c r="A256" s="26" t="s">
        <v>13</v>
      </c>
      <c r="B256" s="26" t="s">
        <v>26</v>
      </c>
      <c r="C256" s="30">
        <v>8.32</v>
      </c>
      <c r="D256" s="27">
        <v>11.7</v>
      </c>
      <c r="E256" s="28">
        <v>56</v>
      </c>
      <c r="F256" s="16">
        <f t="shared" si="617"/>
        <v>5.4512639999999992</v>
      </c>
      <c r="G256" s="17"/>
      <c r="H256" s="18">
        <v>24</v>
      </c>
      <c r="I256" s="19">
        <f t="shared" si="618"/>
        <v>2.3362559999999997</v>
      </c>
      <c r="J256" s="16"/>
      <c r="K256" s="18">
        <v>11</v>
      </c>
      <c r="L256" s="19">
        <f t="shared" si="619"/>
        <v>1.070784</v>
      </c>
      <c r="M256" s="16"/>
      <c r="N256" s="18">
        <v>21</v>
      </c>
      <c r="O256" s="19">
        <f t="shared" si="620"/>
        <v>2.0442239999999998</v>
      </c>
      <c r="P256" s="16"/>
      <c r="Q256" s="18"/>
      <c r="R256" s="19">
        <f t="shared" si="621"/>
        <v>0</v>
      </c>
      <c r="S256" s="20">
        <f t="shared" si="622"/>
        <v>56</v>
      </c>
      <c r="T256" s="19">
        <f t="shared" si="623"/>
        <v>5.4512639999999992</v>
      </c>
      <c r="U256" s="21">
        <f t="shared" si="624"/>
        <v>0</v>
      </c>
      <c r="V256" s="19">
        <f t="shared" si="625"/>
        <v>0</v>
      </c>
    </row>
    <row r="257" spans="1:24">
      <c r="A257" s="26" t="s">
        <v>13</v>
      </c>
      <c r="B257" s="26" t="s">
        <v>26</v>
      </c>
      <c r="C257" s="30">
        <v>8.32</v>
      </c>
      <c r="D257" s="27">
        <v>11.9</v>
      </c>
      <c r="E257" s="28">
        <v>56</v>
      </c>
      <c r="F257" s="16">
        <f t="shared" si="617"/>
        <v>5.544448</v>
      </c>
      <c r="G257" s="17"/>
      <c r="H257" s="18"/>
      <c r="I257" s="19">
        <f t="shared" si="618"/>
        <v>0</v>
      </c>
      <c r="J257" s="16"/>
      <c r="K257" s="18">
        <v>26</v>
      </c>
      <c r="L257" s="19">
        <f t="shared" si="619"/>
        <v>2.5742080000000001</v>
      </c>
      <c r="M257" s="16"/>
      <c r="N257" s="18">
        <f>22+4</f>
        <v>26</v>
      </c>
      <c r="O257" s="19">
        <f t="shared" si="620"/>
        <v>2.5742080000000001</v>
      </c>
      <c r="P257" s="16"/>
      <c r="Q257" s="18">
        <v>1</v>
      </c>
      <c r="R257" s="19">
        <f t="shared" si="621"/>
        <v>9.9008000000000013E-2</v>
      </c>
      <c r="S257" s="20">
        <f t="shared" si="622"/>
        <v>53</v>
      </c>
      <c r="T257" s="19">
        <f t="shared" si="623"/>
        <v>5.2474240000000005</v>
      </c>
      <c r="U257" s="21">
        <f t="shared" si="624"/>
        <v>3</v>
      </c>
      <c r="V257" s="19">
        <f t="shared" si="625"/>
        <v>0.29702399999999951</v>
      </c>
    </row>
    <row r="258" spans="1:24">
      <c r="A258" s="26" t="s">
        <v>13</v>
      </c>
      <c r="B258" s="26" t="s">
        <v>26</v>
      </c>
      <c r="C258" s="30">
        <v>8.32</v>
      </c>
      <c r="D258" s="27">
        <v>12</v>
      </c>
      <c r="E258" s="28">
        <v>285</v>
      </c>
      <c r="F258" s="16">
        <f t="shared" ref="F258:F268" si="626">(C258*D258*E258/1000)</f>
        <v>28.4544</v>
      </c>
      <c r="G258" s="17"/>
      <c r="H258" s="18">
        <f>70+56</f>
        <v>126</v>
      </c>
      <c r="I258" s="19">
        <f t="shared" ref="I258:I268" si="627">(C258*D258*H258/1000)</f>
        <v>12.579840000000001</v>
      </c>
      <c r="J258" s="16"/>
      <c r="K258" s="18">
        <v>30</v>
      </c>
      <c r="L258" s="19">
        <f t="shared" ref="L258:L268" si="628">(C258*D258*K258/1000)</f>
        <v>2.9952000000000001</v>
      </c>
      <c r="M258" s="16"/>
      <c r="N258" s="18">
        <f>9+104</f>
        <v>113</v>
      </c>
      <c r="O258" s="19">
        <f t="shared" ref="O258:O268" si="629">(C258*D258*N258/1000)</f>
        <v>11.28192</v>
      </c>
      <c r="P258" s="16"/>
      <c r="Q258" s="18">
        <f>12+1</f>
        <v>13</v>
      </c>
      <c r="R258" s="19">
        <f t="shared" ref="R258:R268" si="630">(C258*D258*Q258/1000)</f>
        <v>1.29792</v>
      </c>
      <c r="S258" s="20">
        <f t="shared" ref="S258:S268" si="631">+H258+K258+Q258+N258</f>
        <v>282</v>
      </c>
      <c r="T258" s="19">
        <f t="shared" ref="T258:T268" si="632">+I258+L258+R258+O258</f>
        <v>28.154880000000002</v>
      </c>
      <c r="U258" s="21">
        <f t="shared" ref="U258:U268" si="633">E258-S258</f>
        <v>3</v>
      </c>
      <c r="V258" s="19">
        <f t="shared" ref="V258:V268" si="634">F258-T258</f>
        <v>0.29951999999999757</v>
      </c>
    </row>
    <row r="259" spans="1:24">
      <c r="A259" s="26" t="s">
        <v>13</v>
      </c>
      <c r="B259" s="26" t="s">
        <v>26</v>
      </c>
      <c r="C259" s="30">
        <v>8.32</v>
      </c>
      <c r="D259" s="27">
        <v>9.6</v>
      </c>
      <c r="E259" s="28"/>
      <c r="F259" s="16">
        <f t="shared" si="626"/>
        <v>0</v>
      </c>
      <c r="G259" s="17"/>
      <c r="H259" s="18"/>
      <c r="I259" s="19">
        <f t="shared" si="627"/>
        <v>0</v>
      </c>
      <c r="J259" s="16"/>
      <c r="K259" s="18"/>
      <c r="L259" s="19">
        <f t="shared" si="628"/>
        <v>0</v>
      </c>
      <c r="M259" s="16"/>
      <c r="N259" s="18"/>
      <c r="O259" s="19">
        <f t="shared" si="629"/>
        <v>0</v>
      </c>
      <c r="P259" s="16"/>
      <c r="Q259" s="18">
        <v>2</v>
      </c>
      <c r="R259" s="19">
        <f t="shared" si="630"/>
        <v>0.159744</v>
      </c>
      <c r="S259" s="20">
        <f t="shared" si="631"/>
        <v>2</v>
      </c>
      <c r="T259" s="19">
        <f t="shared" si="632"/>
        <v>0.159744</v>
      </c>
      <c r="U259" s="21">
        <f t="shared" si="633"/>
        <v>-2</v>
      </c>
      <c r="V259" s="19">
        <f t="shared" si="634"/>
        <v>-0.159744</v>
      </c>
    </row>
    <row r="260" spans="1:24">
      <c r="A260" s="26" t="s">
        <v>13</v>
      </c>
      <c r="B260" s="26" t="s">
        <v>26</v>
      </c>
      <c r="C260" s="30">
        <v>8.32</v>
      </c>
      <c r="D260" s="27">
        <v>11.3</v>
      </c>
      <c r="E260" s="28"/>
      <c r="F260" s="16">
        <f t="shared" si="626"/>
        <v>0</v>
      </c>
      <c r="G260" s="17"/>
      <c r="H260" s="18"/>
      <c r="I260" s="19">
        <f t="shared" si="627"/>
        <v>0</v>
      </c>
      <c r="J260" s="16"/>
      <c r="K260" s="18"/>
      <c r="L260" s="19">
        <f t="shared" si="628"/>
        <v>0</v>
      </c>
      <c r="M260" s="16"/>
      <c r="N260" s="18"/>
      <c r="O260" s="19">
        <f t="shared" si="629"/>
        <v>0</v>
      </c>
      <c r="P260" s="16"/>
      <c r="Q260" s="18">
        <v>4</v>
      </c>
      <c r="R260" s="19">
        <f t="shared" si="630"/>
        <v>0.37606400000000001</v>
      </c>
      <c r="S260" s="20">
        <f t="shared" si="631"/>
        <v>4</v>
      </c>
      <c r="T260" s="19">
        <f t="shared" si="632"/>
        <v>0.37606400000000001</v>
      </c>
      <c r="U260" s="21">
        <f t="shared" si="633"/>
        <v>-4</v>
      </c>
      <c r="V260" s="19">
        <f t="shared" si="634"/>
        <v>-0.37606400000000001</v>
      </c>
    </row>
    <row r="261" spans="1:24">
      <c r="A261" s="26" t="s">
        <v>13</v>
      </c>
      <c r="B261" s="26" t="s">
        <v>26</v>
      </c>
      <c r="C261" s="30">
        <v>8.32</v>
      </c>
      <c r="D261" s="27">
        <v>6</v>
      </c>
      <c r="E261" s="28"/>
      <c r="F261" s="16">
        <f t="shared" si="626"/>
        <v>0</v>
      </c>
      <c r="G261" s="17"/>
      <c r="H261" s="18"/>
      <c r="I261" s="19">
        <f t="shared" si="627"/>
        <v>0</v>
      </c>
      <c r="J261" s="16"/>
      <c r="K261" s="18"/>
      <c r="L261" s="19">
        <f t="shared" si="628"/>
        <v>0</v>
      </c>
      <c r="M261" s="16"/>
      <c r="N261" s="18"/>
      <c r="O261" s="19">
        <f t="shared" si="629"/>
        <v>0</v>
      </c>
      <c r="P261" s="16"/>
      <c r="Q261" s="18">
        <v>3</v>
      </c>
      <c r="R261" s="19">
        <f t="shared" si="630"/>
        <v>0.14976</v>
      </c>
      <c r="S261" s="20">
        <f t="shared" si="631"/>
        <v>3</v>
      </c>
      <c r="T261" s="19">
        <f t="shared" si="632"/>
        <v>0.14976</v>
      </c>
      <c r="U261" s="21">
        <f t="shared" si="633"/>
        <v>-3</v>
      </c>
      <c r="V261" s="19">
        <f t="shared" si="634"/>
        <v>-0.14976</v>
      </c>
    </row>
    <row r="262" spans="1:24">
      <c r="A262" s="26" t="s">
        <v>13</v>
      </c>
      <c r="B262" s="26" t="s">
        <v>26</v>
      </c>
      <c r="C262" s="30">
        <v>8.32</v>
      </c>
      <c r="D262" s="27">
        <v>8.3000000000000007</v>
      </c>
      <c r="E262" s="28"/>
      <c r="F262" s="16">
        <f t="shared" si="626"/>
        <v>0</v>
      </c>
      <c r="G262" s="17"/>
      <c r="H262" s="18"/>
      <c r="I262" s="19">
        <f t="shared" si="627"/>
        <v>0</v>
      </c>
      <c r="J262" s="16"/>
      <c r="K262" s="18"/>
      <c r="L262" s="19">
        <f t="shared" si="628"/>
        <v>0</v>
      </c>
      <c r="M262" s="16"/>
      <c r="N262" s="18"/>
      <c r="O262" s="19">
        <f t="shared" si="629"/>
        <v>0</v>
      </c>
      <c r="P262" s="16"/>
      <c r="Q262" s="18">
        <v>3</v>
      </c>
      <c r="R262" s="19">
        <f t="shared" si="630"/>
        <v>0.20716800000000005</v>
      </c>
      <c r="S262" s="20">
        <f t="shared" si="631"/>
        <v>3</v>
      </c>
      <c r="T262" s="19">
        <f t="shared" si="632"/>
        <v>0.20716800000000005</v>
      </c>
      <c r="U262" s="21">
        <f t="shared" si="633"/>
        <v>-3</v>
      </c>
      <c r="V262" s="19">
        <f t="shared" si="634"/>
        <v>-0.20716800000000005</v>
      </c>
    </row>
    <row r="263" spans="1:24">
      <c r="A263" s="26" t="s">
        <v>13</v>
      </c>
      <c r="B263" s="26" t="s">
        <v>26</v>
      </c>
      <c r="C263" s="30">
        <v>8.32</v>
      </c>
      <c r="D263" s="27">
        <v>9</v>
      </c>
      <c r="E263" s="28"/>
      <c r="F263" s="16">
        <f t="shared" si="626"/>
        <v>0</v>
      </c>
      <c r="G263" s="17"/>
      <c r="H263" s="18"/>
      <c r="I263" s="19">
        <f t="shared" si="627"/>
        <v>0</v>
      </c>
      <c r="J263" s="16"/>
      <c r="K263" s="18"/>
      <c r="L263" s="19">
        <f t="shared" si="628"/>
        <v>0</v>
      </c>
      <c r="M263" s="16"/>
      <c r="N263" s="18"/>
      <c r="O263" s="19">
        <f t="shared" si="629"/>
        <v>0</v>
      </c>
      <c r="P263" s="16"/>
      <c r="Q263" s="18">
        <v>3</v>
      </c>
      <c r="R263" s="19">
        <f t="shared" si="630"/>
        <v>0.22463999999999998</v>
      </c>
      <c r="S263" s="20">
        <f t="shared" si="631"/>
        <v>3</v>
      </c>
      <c r="T263" s="19">
        <f t="shared" si="632"/>
        <v>0.22463999999999998</v>
      </c>
      <c r="U263" s="21">
        <f t="shared" si="633"/>
        <v>-3</v>
      </c>
      <c r="V263" s="19">
        <f t="shared" si="634"/>
        <v>-0.22463999999999998</v>
      </c>
    </row>
    <row r="264" spans="1:24">
      <c r="A264" s="26" t="s">
        <v>13</v>
      </c>
      <c r="B264" s="26" t="s">
        <v>26</v>
      </c>
      <c r="C264" s="30">
        <v>8.32</v>
      </c>
      <c r="D264" s="27">
        <v>10.6</v>
      </c>
      <c r="E264" s="28"/>
      <c r="F264" s="16">
        <f t="shared" si="626"/>
        <v>0</v>
      </c>
      <c r="G264" s="17"/>
      <c r="H264" s="18"/>
      <c r="I264" s="19">
        <f t="shared" si="627"/>
        <v>0</v>
      </c>
      <c r="J264" s="16"/>
      <c r="K264" s="18"/>
      <c r="L264" s="19">
        <f t="shared" si="628"/>
        <v>0</v>
      </c>
      <c r="M264" s="16"/>
      <c r="N264" s="18"/>
      <c r="O264" s="19">
        <f t="shared" si="629"/>
        <v>0</v>
      </c>
      <c r="P264" s="16"/>
      <c r="Q264" s="18">
        <v>2</v>
      </c>
      <c r="R264" s="19">
        <f t="shared" si="630"/>
        <v>0.17638399999999999</v>
      </c>
      <c r="S264" s="20">
        <f t="shared" si="631"/>
        <v>2</v>
      </c>
      <c r="T264" s="19">
        <f t="shared" si="632"/>
        <v>0.17638399999999999</v>
      </c>
      <c r="U264" s="21">
        <f t="shared" si="633"/>
        <v>-2</v>
      </c>
      <c r="V264" s="19">
        <f t="shared" si="634"/>
        <v>-0.17638399999999999</v>
      </c>
    </row>
    <row r="265" spans="1:24">
      <c r="A265" s="26" t="s">
        <v>13</v>
      </c>
      <c r="B265" s="26" t="s">
        <v>26</v>
      </c>
      <c r="C265" s="30">
        <v>8.32</v>
      </c>
      <c r="D265" s="27">
        <v>10.5</v>
      </c>
      <c r="E265" s="28"/>
      <c r="F265" s="16">
        <f t="shared" si="626"/>
        <v>0</v>
      </c>
      <c r="G265" s="17"/>
      <c r="H265" s="18"/>
      <c r="I265" s="19">
        <f t="shared" si="627"/>
        <v>0</v>
      </c>
      <c r="J265" s="16"/>
      <c r="K265" s="18"/>
      <c r="L265" s="19">
        <f t="shared" si="628"/>
        <v>0</v>
      </c>
      <c r="M265" s="16"/>
      <c r="N265" s="18"/>
      <c r="O265" s="19">
        <f t="shared" si="629"/>
        <v>0</v>
      </c>
      <c r="P265" s="16"/>
      <c r="Q265" s="18">
        <v>2</v>
      </c>
      <c r="R265" s="19">
        <f t="shared" si="630"/>
        <v>0.17471999999999999</v>
      </c>
      <c r="S265" s="20">
        <f t="shared" si="631"/>
        <v>2</v>
      </c>
      <c r="T265" s="19">
        <f t="shared" si="632"/>
        <v>0.17471999999999999</v>
      </c>
      <c r="U265" s="21">
        <f t="shared" si="633"/>
        <v>-2</v>
      </c>
      <c r="V265" s="19">
        <f t="shared" si="634"/>
        <v>-0.17471999999999999</v>
      </c>
    </row>
    <row r="266" spans="1:24">
      <c r="A266" s="26" t="s">
        <v>13</v>
      </c>
      <c r="B266" s="26" t="s">
        <v>26</v>
      </c>
      <c r="C266" s="30">
        <v>8.32</v>
      </c>
      <c r="D266" s="27">
        <v>6.4</v>
      </c>
      <c r="E266" s="28"/>
      <c r="F266" s="16">
        <f t="shared" si="626"/>
        <v>0</v>
      </c>
      <c r="G266" s="17"/>
      <c r="H266" s="18"/>
      <c r="I266" s="19">
        <f t="shared" si="627"/>
        <v>0</v>
      </c>
      <c r="J266" s="16"/>
      <c r="K266" s="18"/>
      <c r="L266" s="19">
        <f t="shared" si="628"/>
        <v>0</v>
      </c>
      <c r="M266" s="16"/>
      <c r="N266" s="18"/>
      <c r="O266" s="19">
        <f t="shared" si="629"/>
        <v>0</v>
      </c>
      <c r="P266" s="16"/>
      <c r="Q266" s="18">
        <v>1</v>
      </c>
      <c r="R266" s="19">
        <f t="shared" si="630"/>
        <v>5.3248000000000004E-2</v>
      </c>
      <c r="S266" s="20">
        <f t="shared" si="631"/>
        <v>1</v>
      </c>
      <c r="T266" s="19">
        <f t="shared" si="632"/>
        <v>5.3248000000000004E-2</v>
      </c>
      <c r="U266" s="21">
        <f t="shared" si="633"/>
        <v>-1</v>
      </c>
      <c r="V266" s="19">
        <f t="shared" si="634"/>
        <v>-5.3248000000000004E-2</v>
      </c>
    </row>
    <row r="267" spans="1:24">
      <c r="A267" s="26" t="s">
        <v>13</v>
      </c>
      <c r="B267" s="26" t="s">
        <v>26</v>
      </c>
      <c r="C267" s="30">
        <v>8.32</v>
      </c>
      <c r="D267" s="27">
        <v>6.8</v>
      </c>
      <c r="E267" s="28"/>
      <c r="F267" s="16">
        <f t="shared" si="626"/>
        <v>0</v>
      </c>
      <c r="G267" s="17"/>
      <c r="H267" s="18"/>
      <c r="I267" s="19">
        <f t="shared" si="627"/>
        <v>0</v>
      </c>
      <c r="J267" s="16"/>
      <c r="K267" s="18"/>
      <c r="L267" s="19">
        <f t="shared" si="628"/>
        <v>0</v>
      </c>
      <c r="M267" s="16"/>
      <c r="N267" s="18"/>
      <c r="O267" s="19">
        <f t="shared" si="629"/>
        <v>0</v>
      </c>
      <c r="P267" s="16"/>
      <c r="Q267" s="18">
        <v>1</v>
      </c>
      <c r="R267" s="19">
        <f t="shared" si="630"/>
        <v>5.6576000000000001E-2</v>
      </c>
      <c r="S267" s="20">
        <f t="shared" si="631"/>
        <v>1</v>
      </c>
      <c r="T267" s="19">
        <f t="shared" si="632"/>
        <v>5.6576000000000001E-2</v>
      </c>
      <c r="U267" s="21">
        <f t="shared" si="633"/>
        <v>-1</v>
      </c>
      <c r="V267" s="19">
        <f t="shared" si="634"/>
        <v>-5.6576000000000001E-2</v>
      </c>
    </row>
    <row r="268" spans="1:24">
      <c r="A268" s="26" t="s">
        <v>13</v>
      </c>
      <c r="B268" s="26" t="s">
        <v>26</v>
      </c>
      <c r="C268" s="30">
        <v>8.32</v>
      </c>
      <c r="D268" s="27">
        <v>6</v>
      </c>
      <c r="E268" s="28"/>
      <c r="F268" s="16">
        <f t="shared" si="626"/>
        <v>0</v>
      </c>
      <c r="G268" s="17"/>
      <c r="H268" s="18"/>
      <c r="I268" s="19">
        <f t="shared" si="627"/>
        <v>0</v>
      </c>
      <c r="J268" s="16"/>
      <c r="K268" s="18"/>
      <c r="L268" s="19">
        <f t="shared" si="628"/>
        <v>0</v>
      </c>
      <c r="M268" s="16"/>
      <c r="N268" s="18"/>
      <c r="O268" s="19">
        <f t="shared" si="629"/>
        <v>0</v>
      </c>
      <c r="P268" s="16"/>
      <c r="Q268" s="18">
        <v>1</v>
      </c>
      <c r="R268" s="19">
        <f t="shared" si="630"/>
        <v>4.9919999999999999E-2</v>
      </c>
      <c r="S268" s="20">
        <f t="shared" si="631"/>
        <v>1</v>
      </c>
      <c r="T268" s="19">
        <f t="shared" si="632"/>
        <v>4.9919999999999999E-2</v>
      </c>
      <c r="U268" s="21">
        <f t="shared" si="633"/>
        <v>-1</v>
      </c>
      <c r="V268" s="19">
        <f t="shared" si="634"/>
        <v>-4.9919999999999999E-2</v>
      </c>
    </row>
    <row r="269" spans="1:24">
      <c r="A269" s="26" t="s">
        <v>13</v>
      </c>
      <c r="B269" s="26" t="s">
        <v>26</v>
      </c>
      <c r="C269" s="30">
        <v>8.32</v>
      </c>
      <c r="D269" s="27">
        <v>7.5</v>
      </c>
      <c r="E269" s="28"/>
      <c r="F269" s="16">
        <f t="shared" si="617"/>
        <v>0</v>
      </c>
      <c r="G269" s="17"/>
      <c r="H269" s="18"/>
      <c r="I269" s="19">
        <f t="shared" si="618"/>
        <v>0</v>
      </c>
      <c r="J269" s="16"/>
      <c r="K269" s="18"/>
      <c r="L269" s="19">
        <f t="shared" si="619"/>
        <v>0</v>
      </c>
      <c r="M269" s="16"/>
      <c r="N269" s="18"/>
      <c r="O269" s="19">
        <f t="shared" si="620"/>
        <v>0</v>
      </c>
      <c r="P269" s="16" t="s">
        <v>455</v>
      </c>
      <c r="Q269" s="18">
        <v>4</v>
      </c>
      <c r="R269" s="19">
        <f t="shared" si="621"/>
        <v>0.24960000000000002</v>
      </c>
      <c r="S269" s="20">
        <f t="shared" si="622"/>
        <v>4</v>
      </c>
      <c r="T269" s="19">
        <f t="shared" si="623"/>
        <v>0.24960000000000002</v>
      </c>
      <c r="U269" s="21">
        <f t="shared" si="624"/>
        <v>-4</v>
      </c>
      <c r="V269" s="19">
        <f t="shared" si="625"/>
        <v>-0.24960000000000002</v>
      </c>
    </row>
    <row r="270" spans="1:24">
      <c r="A270" s="36"/>
      <c r="B270" s="36"/>
      <c r="C270" s="30"/>
      <c r="D270" s="38"/>
      <c r="E270" s="31">
        <f>SUM(E243:E269)</f>
        <v>1359</v>
      </c>
      <c r="F270" s="38">
        <f>SUM(F243:F269)</f>
        <v>110.6456</v>
      </c>
      <c r="H270" s="31">
        <f>SUM(H243:H269)</f>
        <v>216</v>
      </c>
      <c r="I270" s="38">
        <f>SUM(I243:I269)</f>
        <v>21.097856</v>
      </c>
      <c r="K270" s="31">
        <f>SUM(K243:K269)</f>
        <v>410</v>
      </c>
      <c r="L270" s="38">
        <f>SUM(L243:L269)</f>
        <v>31.291936</v>
      </c>
      <c r="N270" s="31">
        <f>SUM(N243:N269)</f>
        <v>484</v>
      </c>
      <c r="O270" s="38">
        <f>SUM(O243:O269)</f>
        <v>40.552512000000007</v>
      </c>
      <c r="P270" s="16" t="s">
        <v>606</v>
      </c>
      <c r="Q270" s="31">
        <f t="shared" ref="Q270:V270" si="635">SUM(Q243:Q269)</f>
        <v>257</v>
      </c>
      <c r="R270" s="38">
        <f t="shared" si="635"/>
        <v>17.880928000000001</v>
      </c>
      <c r="S270" s="31">
        <f t="shared" si="635"/>
        <v>1367</v>
      </c>
      <c r="T270" s="38">
        <f t="shared" si="635"/>
        <v>110.82323199999999</v>
      </c>
      <c r="U270" s="31">
        <f t="shared" si="635"/>
        <v>-8</v>
      </c>
      <c r="V270" s="38">
        <f t="shared" si="635"/>
        <v>-0.1776320000000049</v>
      </c>
      <c r="W270">
        <v>3.3079999999999998</v>
      </c>
      <c r="X270" s="29">
        <f>V270-W270</f>
        <v>-3.4856320000000047</v>
      </c>
    </row>
    <row r="271" spans="1:24">
      <c r="A271" s="26" t="s">
        <v>13</v>
      </c>
      <c r="B271" s="26" t="s">
        <v>37</v>
      </c>
      <c r="C271" s="30">
        <v>9.61</v>
      </c>
      <c r="D271" s="27">
        <v>8.1</v>
      </c>
      <c r="E271" s="28">
        <v>32</v>
      </c>
      <c r="F271" s="16">
        <f t="shared" ref="F271:F277" si="636">(C271*D271*E271/1000)</f>
        <v>2.4909119999999998</v>
      </c>
      <c r="G271" s="17" t="s">
        <v>88</v>
      </c>
      <c r="H271" s="18">
        <v>19</v>
      </c>
      <c r="I271" s="19">
        <f t="shared" ref="I271:I277" si="637">(C271*D271*H271/1000)</f>
        <v>1.4789789999999998</v>
      </c>
      <c r="J271" s="16" t="s">
        <v>93</v>
      </c>
      <c r="K271" s="18"/>
      <c r="L271" s="19">
        <f t="shared" ref="L271:L277" si="638">(C271*D271*K271/1000)</f>
        <v>0</v>
      </c>
      <c r="M271" s="17" t="s">
        <v>107</v>
      </c>
      <c r="N271" s="18">
        <v>6</v>
      </c>
      <c r="O271" s="19">
        <f t="shared" ref="O271:O277" si="639">(C271*D271*N271/1000)</f>
        <v>0.46704599999999996</v>
      </c>
      <c r="P271" s="16" t="s">
        <v>89</v>
      </c>
      <c r="Q271" s="18">
        <v>7</v>
      </c>
      <c r="R271" s="19">
        <f t="shared" ref="R271:R277" si="640">(C271*D271*Q271/1000)</f>
        <v>0.5448869999999999</v>
      </c>
      <c r="S271" s="20">
        <f t="shared" ref="S271:S277" si="641">+H271+K271+Q271+N271</f>
        <v>32</v>
      </c>
      <c r="T271" s="19">
        <f t="shared" ref="T271:T277" si="642">+I271+L271+R271+O271</f>
        <v>2.4909119999999998</v>
      </c>
      <c r="U271" s="21">
        <f t="shared" ref="U271:U277" si="643">E271-S271</f>
        <v>0</v>
      </c>
      <c r="V271" s="19">
        <f t="shared" ref="V271:V277" si="644">F271-T271</f>
        <v>0</v>
      </c>
    </row>
    <row r="272" spans="1:24">
      <c r="A272" s="26" t="s">
        <v>13</v>
      </c>
      <c r="B272" s="26" t="s">
        <v>37</v>
      </c>
      <c r="C272" s="30">
        <v>9.61</v>
      </c>
      <c r="D272" s="27">
        <v>9.5</v>
      </c>
      <c r="E272" s="28">
        <v>27</v>
      </c>
      <c r="F272" s="16">
        <f t="shared" si="636"/>
        <v>2.4649649999999999</v>
      </c>
      <c r="G272" s="17" t="s">
        <v>539</v>
      </c>
      <c r="H272" s="18"/>
      <c r="I272" s="19">
        <f t="shared" si="637"/>
        <v>0</v>
      </c>
      <c r="J272" s="16" t="s">
        <v>541</v>
      </c>
      <c r="K272" s="18"/>
      <c r="L272" s="19">
        <f t="shared" si="638"/>
        <v>0</v>
      </c>
      <c r="M272" s="17" t="s">
        <v>542</v>
      </c>
      <c r="N272" s="18">
        <v>21</v>
      </c>
      <c r="O272" s="19">
        <f t="shared" si="639"/>
        <v>1.9171949999999998</v>
      </c>
      <c r="P272" s="16" t="s">
        <v>548</v>
      </c>
      <c r="Q272" s="18">
        <v>6</v>
      </c>
      <c r="R272" s="19">
        <f t="shared" si="640"/>
        <v>0.54776999999999998</v>
      </c>
      <c r="S272" s="20">
        <f t="shared" si="641"/>
        <v>27</v>
      </c>
      <c r="T272" s="19">
        <f t="shared" si="642"/>
        <v>2.4649649999999999</v>
      </c>
      <c r="U272" s="21">
        <f t="shared" si="643"/>
        <v>0</v>
      </c>
      <c r="V272" s="19">
        <f t="shared" si="644"/>
        <v>0</v>
      </c>
    </row>
    <row r="273" spans="1:22">
      <c r="A273" s="26" t="s">
        <v>13</v>
      </c>
      <c r="B273" s="26" t="s">
        <v>37</v>
      </c>
      <c r="C273" s="30">
        <v>9.61</v>
      </c>
      <c r="D273" s="27">
        <v>10.199999999999999</v>
      </c>
      <c r="E273" s="28">
        <v>29</v>
      </c>
      <c r="F273" s="16">
        <f t="shared" si="636"/>
        <v>2.842638</v>
      </c>
      <c r="G273" s="17"/>
      <c r="H273" s="18">
        <v>9</v>
      </c>
      <c r="I273" s="19">
        <f t="shared" si="637"/>
        <v>0.88219799999999982</v>
      </c>
      <c r="J273" s="16"/>
      <c r="K273" s="18">
        <v>20</v>
      </c>
      <c r="L273" s="19">
        <f t="shared" si="638"/>
        <v>1.9604399999999997</v>
      </c>
      <c r="M273" s="16"/>
      <c r="N273" s="18"/>
      <c r="O273" s="19">
        <f t="shared" si="639"/>
        <v>0</v>
      </c>
      <c r="P273" s="16"/>
      <c r="Q273" s="18"/>
      <c r="R273" s="19">
        <f t="shared" si="640"/>
        <v>0</v>
      </c>
      <c r="S273" s="20">
        <f t="shared" si="641"/>
        <v>29</v>
      </c>
      <c r="T273" s="19">
        <f t="shared" si="642"/>
        <v>2.8426379999999996</v>
      </c>
      <c r="U273" s="21">
        <f t="shared" si="643"/>
        <v>0</v>
      </c>
      <c r="V273" s="19">
        <f t="shared" si="644"/>
        <v>0</v>
      </c>
    </row>
    <row r="274" spans="1:22">
      <c r="A274" s="26" t="s">
        <v>13</v>
      </c>
      <c r="B274" s="26" t="s">
        <v>37</v>
      </c>
      <c r="C274" s="30">
        <v>9.61</v>
      </c>
      <c r="D274" s="27">
        <v>10.5</v>
      </c>
      <c r="E274" s="28">
        <v>33</v>
      </c>
      <c r="F274" s="16">
        <f t="shared" si="636"/>
        <v>3.3298650000000003</v>
      </c>
      <c r="G274" s="17"/>
      <c r="H274" s="18">
        <v>14</v>
      </c>
      <c r="I274" s="19">
        <f t="shared" si="637"/>
        <v>1.4126700000000001</v>
      </c>
      <c r="J274" s="16"/>
      <c r="K274" s="18"/>
      <c r="L274" s="19">
        <f t="shared" si="638"/>
        <v>0</v>
      </c>
      <c r="M274" s="16"/>
      <c r="N274" s="18">
        <v>19</v>
      </c>
      <c r="O274" s="19">
        <f t="shared" si="639"/>
        <v>1.917195</v>
      </c>
      <c r="P274" s="16"/>
      <c r="Q274" s="18"/>
      <c r="R274" s="19">
        <f t="shared" si="640"/>
        <v>0</v>
      </c>
      <c r="S274" s="20">
        <f t="shared" si="641"/>
        <v>33</v>
      </c>
      <c r="T274" s="19">
        <f t="shared" si="642"/>
        <v>3.3298649999999999</v>
      </c>
      <c r="U274" s="21">
        <f t="shared" si="643"/>
        <v>0</v>
      </c>
      <c r="V274" s="19">
        <f t="shared" si="644"/>
        <v>0</v>
      </c>
    </row>
    <row r="275" spans="1:22">
      <c r="A275" s="26" t="s">
        <v>13</v>
      </c>
      <c r="B275" s="26" t="s">
        <v>37</v>
      </c>
      <c r="C275" s="30">
        <v>9.61</v>
      </c>
      <c r="D275" s="27">
        <v>10.9</v>
      </c>
      <c r="E275" s="28">
        <v>68</v>
      </c>
      <c r="F275" s="16">
        <f t="shared" si="636"/>
        <v>7.1229319999999996</v>
      </c>
      <c r="G275" s="17"/>
      <c r="H275" s="18">
        <v>18</v>
      </c>
      <c r="I275" s="19">
        <f t="shared" si="637"/>
        <v>1.8854819999999999</v>
      </c>
      <c r="J275" s="16"/>
      <c r="K275" s="18">
        <v>23</v>
      </c>
      <c r="L275" s="19">
        <f t="shared" si="638"/>
        <v>2.409227</v>
      </c>
      <c r="M275" s="16"/>
      <c r="N275" s="18">
        <v>27</v>
      </c>
      <c r="O275" s="19">
        <f t="shared" si="639"/>
        <v>2.8282229999999999</v>
      </c>
      <c r="P275" s="16"/>
      <c r="Q275" s="18"/>
      <c r="R275" s="19">
        <f t="shared" si="640"/>
        <v>0</v>
      </c>
      <c r="S275" s="20">
        <f t="shared" si="641"/>
        <v>68</v>
      </c>
      <c r="T275" s="19">
        <f t="shared" si="642"/>
        <v>7.1229320000000005</v>
      </c>
      <c r="U275" s="21">
        <f t="shared" si="643"/>
        <v>0</v>
      </c>
      <c r="V275" s="19">
        <f t="shared" si="644"/>
        <v>0</v>
      </c>
    </row>
    <row r="276" spans="1:22">
      <c r="A276" s="26" t="s">
        <v>13</v>
      </c>
      <c r="B276" s="26" t="s">
        <v>37</v>
      </c>
      <c r="C276" s="30">
        <v>9.61</v>
      </c>
      <c r="D276" s="27">
        <v>11.6</v>
      </c>
      <c r="E276" s="28">
        <v>16</v>
      </c>
      <c r="F276" s="16">
        <f t="shared" si="636"/>
        <v>1.7836159999999999</v>
      </c>
      <c r="G276" s="17"/>
      <c r="H276" s="18"/>
      <c r="I276" s="19">
        <f t="shared" si="637"/>
        <v>0</v>
      </c>
      <c r="J276" s="16"/>
      <c r="K276" s="18">
        <v>13</v>
      </c>
      <c r="L276" s="19">
        <f t="shared" si="638"/>
        <v>1.4491879999999999</v>
      </c>
      <c r="M276" s="16"/>
      <c r="N276" s="18">
        <v>3</v>
      </c>
      <c r="O276" s="19">
        <f t="shared" si="639"/>
        <v>0.33442799999999995</v>
      </c>
      <c r="P276" s="16"/>
      <c r="Q276" s="18"/>
      <c r="R276" s="19">
        <f t="shared" si="640"/>
        <v>0</v>
      </c>
      <c r="S276" s="20">
        <f t="shared" si="641"/>
        <v>16</v>
      </c>
      <c r="T276" s="19">
        <f t="shared" si="642"/>
        <v>1.7836159999999999</v>
      </c>
      <c r="U276" s="21">
        <f t="shared" si="643"/>
        <v>0</v>
      </c>
      <c r="V276" s="19">
        <f t="shared" si="644"/>
        <v>0</v>
      </c>
    </row>
    <row r="277" spans="1:22">
      <c r="A277" s="26" t="s">
        <v>13</v>
      </c>
      <c r="B277" s="26" t="s">
        <v>37</v>
      </c>
      <c r="C277" s="30">
        <v>9.61</v>
      </c>
      <c r="D277" s="27">
        <v>12</v>
      </c>
      <c r="E277" s="28">
        <v>17</v>
      </c>
      <c r="F277" s="16">
        <f t="shared" si="636"/>
        <v>1.9604399999999997</v>
      </c>
      <c r="G277" s="17"/>
      <c r="H277" s="18"/>
      <c r="I277" s="19">
        <f t="shared" si="637"/>
        <v>0</v>
      </c>
      <c r="J277" s="16"/>
      <c r="K277" s="18">
        <v>16</v>
      </c>
      <c r="L277" s="19">
        <f t="shared" si="638"/>
        <v>1.8451199999999999</v>
      </c>
      <c r="M277" s="16"/>
      <c r="N277" s="18">
        <v>1</v>
      </c>
      <c r="O277" s="19">
        <f t="shared" si="639"/>
        <v>0.11531999999999999</v>
      </c>
      <c r="P277" s="16"/>
      <c r="Q277" s="18"/>
      <c r="R277" s="19">
        <f t="shared" si="640"/>
        <v>0</v>
      </c>
      <c r="S277" s="20">
        <f t="shared" si="641"/>
        <v>17</v>
      </c>
      <c r="T277" s="19">
        <f t="shared" si="642"/>
        <v>1.96044</v>
      </c>
      <c r="U277" s="21">
        <f t="shared" si="643"/>
        <v>0</v>
      </c>
      <c r="V277" s="19">
        <f t="shared" si="644"/>
        <v>0</v>
      </c>
    </row>
    <row r="278" spans="1:22">
      <c r="A278" s="36"/>
      <c r="B278" s="36"/>
      <c r="C278" s="30"/>
      <c r="D278" s="38"/>
      <c r="E278" s="31">
        <f t="shared" ref="E278" si="645">SUM(E271:E277)</f>
        <v>222</v>
      </c>
      <c r="F278" s="38">
        <f t="shared" ref="F278" si="646">SUM(F271:F277)</f>
        <v>21.995367999999996</v>
      </c>
      <c r="H278" s="31">
        <f t="shared" ref="H278" si="647">SUM(H271:H277)</f>
        <v>60</v>
      </c>
      <c r="I278" s="38">
        <f t="shared" ref="I278" si="648">SUM(I271:I277)</f>
        <v>5.6593289999999996</v>
      </c>
      <c r="K278" s="31">
        <f t="shared" ref="K278" si="649">SUM(K271:K277)</f>
        <v>72</v>
      </c>
      <c r="L278" s="38">
        <f t="shared" ref="L278" si="650">SUM(L271:L277)</f>
        <v>7.6639749999999989</v>
      </c>
      <c r="N278" s="31">
        <f t="shared" ref="N278" si="651">SUM(N271:N277)</f>
        <v>77</v>
      </c>
      <c r="O278" s="38">
        <f t="shared" ref="O278" si="652">SUM(O271:O277)</f>
        <v>7.5794069999999998</v>
      </c>
      <c r="Q278" s="31">
        <f t="shared" ref="Q278" si="653">SUM(Q271:Q277)</f>
        <v>13</v>
      </c>
      <c r="R278" s="38">
        <f t="shared" ref="R278" si="654">SUM(R271:R277)</f>
        <v>1.092657</v>
      </c>
      <c r="S278" s="31">
        <f t="shared" ref="S278" si="655">SUM(S271:S277)</f>
        <v>222</v>
      </c>
      <c r="T278" s="38">
        <f t="shared" ref="T278" si="656">SUM(T271:T277)</f>
        <v>21.995367999999996</v>
      </c>
      <c r="U278" s="31">
        <f t="shared" ref="U278" si="657">SUM(U271:U277)</f>
        <v>0</v>
      </c>
      <c r="V278" s="38">
        <f t="shared" ref="V278" si="658">SUM(V271:V277)</f>
        <v>0</v>
      </c>
    </row>
    <row r="279" spans="1:22" hidden="1">
      <c r="A279" s="26" t="s">
        <v>14</v>
      </c>
      <c r="B279" s="26" t="s">
        <v>45</v>
      </c>
      <c r="C279" s="30">
        <v>9.26</v>
      </c>
      <c r="D279" s="27">
        <v>12</v>
      </c>
      <c r="E279" s="28">
        <v>13</v>
      </c>
      <c r="F279" s="16">
        <f>(C279*D279*E279/1000)</f>
        <v>1.4445599999999998</v>
      </c>
      <c r="G279" s="16" t="s">
        <v>88</v>
      </c>
      <c r="H279" s="18">
        <v>13</v>
      </c>
      <c r="I279" s="19">
        <f>(C279*D279*H279/1000)</f>
        <v>1.4445599999999998</v>
      </c>
      <c r="J279" s="16"/>
      <c r="K279" s="18"/>
      <c r="L279" s="19">
        <f>(C279*D279*K279/1000)</f>
        <v>0</v>
      </c>
      <c r="M279" s="16"/>
      <c r="N279" s="18"/>
      <c r="O279" s="19">
        <f>(C279*D279*N279/1000)</f>
        <v>0</v>
      </c>
      <c r="P279" s="16"/>
      <c r="Q279" s="18"/>
      <c r="R279" s="19">
        <f>(C279*D279*Q279/1000)</f>
        <v>0</v>
      </c>
      <c r="S279" s="20">
        <f>+H279+K279+Q279+N279</f>
        <v>13</v>
      </c>
      <c r="T279" s="19">
        <f>+I279+L279+R279+O279</f>
        <v>1.4445599999999998</v>
      </c>
      <c r="U279" s="21">
        <f>E279-S279</f>
        <v>0</v>
      </c>
      <c r="V279" s="19">
        <f>F279-T279</f>
        <v>0</v>
      </c>
    </row>
    <row r="280" spans="1:22" hidden="1">
      <c r="A280" s="36"/>
      <c r="B280" s="36"/>
      <c r="C280" s="30"/>
      <c r="D280" s="38"/>
      <c r="E280" s="31">
        <f t="shared" ref="E280" si="659">SUM(E279)</f>
        <v>13</v>
      </c>
      <c r="F280" s="38">
        <f t="shared" ref="F280" si="660">SUM(F279)</f>
        <v>1.4445599999999998</v>
      </c>
      <c r="G280" s="16" t="s">
        <v>528</v>
      </c>
      <c r="H280" s="31">
        <f t="shared" ref="H280" si="661">SUM(H279)</f>
        <v>13</v>
      </c>
      <c r="I280" s="38">
        <f t="shared" ref="I280" si="662">SUM(I279)</f>
        <v>1.4445599999999998</v>
      </c>
      <c r="K280" s="31">
        <f t="shared" ref="K280" si="663">SUM(K279)</f>
        <v>0</v>
      </c>
      <c r="L280" s="38">
        <f t="shared" ref="L280" si="664">SUM(L279)</f>
        <v>0</v>
      </c>
      <c r="N280" s="31">
        <f t="shared" ref="N280" si="665">SUM(N279)</f>
        <v>0</v>
      </c>
      <c r="O280" s="38">
        <f t="shared" ref="O280" si="666">SUM(O279)</f>
        <v>0</v>
      </c>
      <c r="Q280" s="31">
        <f t="shared" ref="Q280" si="667">SUM(Q279)</f>
        <v>0</v>
      </c>
      <c r="R280" s="38">
        <f t="shared" ref="R280" si="668">SUM(R279)</f>
        <v>0</v>
      </c>
      <c r="S280" s="31">
        <f t="shared" ref="S280" si="669">SUM(S279)</f>
        <v>13</v>
      </c>
      <c r="T280" s="38">
        <f t="shared" ref="T280" si="670">SUM(T279)</f>
        <v>1.4445599999999998</v>
      </c>
      <c r="U280" s="31">
        <f t="shared" ref="U280" si="671">SUM(U279)</f>
        <v>0</v>
      </c>
      <c r="V280" s="38">
        <f t="shared" ref="V280" si="672">SUM(V279)</f>
        <v>0</v>
      </c>
    </row>
    <row r="281" spans="1:22">
      <c r="A281" s="26" t="s">
        <v>14</v>
      </c>
      <c r="B281" s="26" t="s">
        <v>34</v>
      </c>
      <c r="C281" s="30">
        <v>5.77</v>
      </c>
      <c r="D281" s="27">
        <v>9.1999999999999993</v>
      </c>
      <c r="E281" s="28">
        <v>16</v>
      </c>
      <c r="F281" s="16">
        <f t="shared" ref="F281:F284" si="673">(C281*D281*E281/1000)</f>
        <v>0.84934399999999988</v>
      </c>
      <c r="G281" s="17"/>
      <c r="H281" s="18"/>
      <c r="I281" s="19">
        <f t="shared" ref="I281:I284" si="674">(C281*D281*H281/1000)</f>
        <v>0</v>
      </c>
      <c r="J281" s="17" t="s">
        <v>560</v>
      </c>
      <c r="K281" s="18">
        <v>8</v>
      </c>
      <c r="L281" s="19">
        <f t="shared" ref="L281:L284" si="675">(C281*D281*K281/1000)</f>
        <v>0.42467199999999994</v>
      </c>
      <c r="M281" s="16"/>
      <c r="N281" s="18"/>
      <c r="O281" s="19">
        <f t="shared" ref="O281:O284" si="676">(C281*D281*N281/1000)</f>
        <v>0</v>
      </c>
      <c r="P281" s="16"/>
      <c r="Q281" s="18"/>
      <c r="R281" s="19">
        <f t="shared" ref="R281:R284" si="677">(C281*D281*Q281/1000)</f>
        <v>0</v>
      </c>
      <c r="S281" s="20">
        <f t="shared" ref="S281:S284" si="678">+H281+K281+Q281+N281</f>
        <v>8</v>
      </c>
      <c r="T281" s="19">
        <f t="shared" ref="T281:T284" si="679">+I281+L281+R281+O281</f>
        <v>0.42467199999999994</v>
      </c>
      <c r="U281" s="21">
        <f t="shared" ref="U281:U284" si="680">E281-S281</f>
        <v>8</v>
      </c>
      <c r="V281" s="19">
        <f t="shared" ref="V281:V284" si="681">F281-T281</f>
        <v>0.42467199999999994</v>
      </c>
    </row>
    <row r="282" spans="1:22">
      <c r="A282" s="26" t="s">
        <v>14</v>
      </c>
      <c r="B282" s="26" t="s">
        <v>34</v>
      </c>
      <c r="C282" s="30">
        <v>5.77</v>
      </c>
      <c r="D282" s="27">
        <v>10</v>
      </c>
      <c r="E282" s="28">
        <v>8</v>
      </c>
      <c r="F282" s="16">
        <f t="shared" ref="F282:F283" si="682">(C282*D282*E282/1000)</f>
        <v>0.46159999999999995</v>
      </c>
      <c r="G282" s="17"/>
      <c r="H282" s="18"/>
      <c r="I282" s="19">
        <f t="shared" ref="I282:I283" si="683">(C282*D282*H282/1000)</f>
        <v>0</v>
      </c>
      <c r="J282" s="17" t="s">
        <v>561</v>
      </c>
      <c r="K282" s="18">
        <v>8</v>
      </c>
      <c r="L282" s="19">
        <f t="shared" ref="L282:L283" si="684">(C282*D282*K282/1000)</f>
        <v>0.46159999999999995</v>
      </c>
      <c r="M282" s="16"/>
      <c r="N282" s="18"/>
      <c r="O282" s="19">
        <f t="shared" ref="O282:O283" si="685">(C282*D282*N282/1000)</f>
        <v>0</v>
      </c>
      <c r="P282" s="16"/>
      <c r="Q282" s="18"/>
      <c r="R282" s="19">
        <f t="shared" ref="R282:R283" si="686">(C282*D282*Q282/1000)</f>
        <v>0</v>
      </c>
      <c r="S282" s="20">
        <f t="shared" ref="S282:S283" si="687">+H282+K282+Q282+N282</f>
        <v>8</v>
      </c>
      <c r="T282" s="19">
        <f t="shared" ref="T282:T283" si="688">+I282+L282+R282+O282</f>
        <v>0.46159999999999995</v>
      </c>
      <c r="U282" s="21">
        <f t="shared" ref="U282:U283" si="689">E282-S282</f>
        <v>0</v>
      </c>
      <c r="V282" s="19">
        <f t="shared" ref="V282:V283" si="690">F282-T282</f>
        <v>0</v>
      </c>
    </row>
    <row r="283" spans="1:22">
      <c r="A283" s="26" t="s">
        <v>14</v>
      </c>
      <c r="B283" s="26" t="s">
        <v>34</v>
      </c>
      <c r="C283" s="30">
        <v>5.77</v>
      </c>
      <c r="D283" s="27">
        <v>11</v>
      </c>
      <c r="E283" s="28">
        <v>8</v>
      </c>
      <c r="F283" s="16">
        <f t="shared" si="682"/>
        <v>0.50775999999999999</v>
      </c>
      <c r="G283" s="17" t="s">
        <v>473</v>
      </c>
      <c r="H283" s="18"/>
      <c r="I283" s="19">
        <f t="shared" si="683"/>
        <v>0</v>
      </c>
      <c r="J283" s="16"/>
      <c r="K283" s="18">
        <v>8</v>
      </c>
      <c r="L283" s="19">
        <f t="shared" si="684"/>
        <v>0.50775999999999999</v>
      </c>
      <c r="M283" s="16"/>
      <c r="N283" s="18"/>
      <c r="O283" s="19">
        <f t="shared" si="685"/>
        <v>0</v>
      </c>
      <c r="P283" s="16"/>
      <c r="Q283" s="18"/>
      <c r="R283" s="19">
        <f t="shared" si="686"/>
        <v>0</v>
      </c>
      <c r="S283" s="20">
        <f t="shared" si="687"/>
        <v>8</v>
      </c>
      <c r="T283" s="19">
        <f t="shared" si="688"/>
        <v>0.50775999999999999</v>
      </c>
      <c r="U283" s="21">
        <f t="shared" si="689"/>
        <v>0</v>
      </c>
      <c r="V283" s="19">
        <f t="shared" si="690"/>
        <v>0</v>
      </c>
    </row>
    <row r="284" spans="1:22">
      <c r="A284" s="26" t="s">
        <v>14</v>
      </c>
      <c r="B284" s="26" t="s">
        <v>34</v>
      </c>
      <c r="C284" s="30">
        <v>5.77</v>
      </c>
      <c r="D284" s="27">
        <v>9.6999999999999993</v>
      </c>
      <c r="E284" s="28"/>
      <c r="F284" s="16">
        <f t="shared" si="673"/>
        <v>0</v>
      </c>
      <c r="G284" s="17"/>
      <c r="H284" s="18"/>
      <c r="I284" s="19">
        <f t="shared" si="674"/>
        <v>0</v>
      </c>
      <c r="J284" s="16"/>
      <c r="K284" s="18">
        <v>8</v>
      </c>
      <c r="L284" s="19">
        <f t="shared" si="675"/>
        <v>0.44775199999999993</v>
      </c>
      <c r="M284" s="16"/>
      <c r="N284" s="18"/>
      <c r="O284" s="19">
        <f t="shared" si="676"/>
        <v>0</v>
      </c>
      <c r="P284" s="16"/>
      <c r="Q284" s="18"/>
      <c r="R284" s="19">
        <f t="shared" si="677"/>
        <v>0</v>
      </c>
      <c r="S284" s="20">
        <f t="shared" si="678"/>
        <v>8</v>
      </c>
      <c r="T284" s="19">
        <f t="shared" si="679"/>
        <v>0.44775199999999993</v>
      </c>
      <c r="U284" s="21">
        <f t="shared" si="680"/>
        <v>-8</v>
      </c>
      <c r="V284" s="19">
        <f t="shared" si="681"/>
        <v>-0.44775199999999993</v>
      </c>
    </row>
    <row r="285" spans="1:22">
      <c r="A285" s="36"/>
      <c r="B285" s="36"/>
      <c r="C285" s="30"/>
      <c r="D285" s="38"/>
      <c r="E285" s="31">
        <f t="shared" ref="E285" si="691">SUM(E281:E284)</f>
        <v>32</v>
      </c>
      <c r="F285" s="38">
        <f>SUM(F281:F284)</f>
        <v>1.8187039999999999</v>
      </c>
      <c r="H285" s="31">
        <f t="shared" ref="H285" si="692">SUM(H281:H284)</f>
        <v>0</v>
      </c>
      <c r="I285" s="38">
        <f t="shared" ref="I285" si="693">SUM(I281:I284)</f>
        <v>0</v>
      </c>
      <c r="K285" s="31">
        <f t="shared" ref="K285" si="694">SUM(K281:K284)</f>
        <v>32</v>
      </c>
      <c r="L285" s="38">
        <f t="shared" ref="L285" si="695">SUM(L281:L284)</f>
        <v>1.8417839999999999</v>
      </c>
      <c r="N285" s="31">
        <f t="shared" ref="N285" si="696">SUM(N281:N284)</f>
        <v>0</v>
      </c>
      <c r="O285" s="38">
        <f t="shared" ref="O285" si="697">SUM(O281:O284)</f>
        <v>0</v>
      </c>
      <c r="Q285" s="31">
        <f t="shared" ref="Q285" si="698">SUM(Q281:Q284)</f>
        <v>0</v>
      </c>
      <c r="R285" s="38">
        <f t="shared" ref="R285" si="699">SUM(R281:R284)</f>
        <v>0</v>
      </c>
      <c r="S285" s="31">
        <f t="shared" ref="S285" si="700">SUM(S281:S284)</f>
        <v>32</v>
      </c>
      <c r="T285" s="38">
        <f t="shared" ref="T285" si="701">SUM(T281:T284)</f>
        <v>1.8417839999999999</v>
      </c>
      <c r="U285" s="31">
        <f t="shared" ref="U285" si="702">SUM(U281:U284)</f>
        <v>0</v>
      </c>
      <c r="V285" s="38">
        <f t="shared" ref="V285" si="703">SUM(V281:V284)</f>
        <v>-2.3079999999999989E-2</v>
      </c>
    </row>
    <row r="286" spans="1:22">
      <c r="A286" s="26" t="s">
        <v>14</v>
      </c>
      <c r="B286" s="26" t="s">
        <v>57</v>
      </c>
      <c r="C286" s="30">
        <v>6.17</v>
      </c>
      <c r="D286" s="27">
        <v>7</v>
      </c>
      <c r="E286" s="28">
        <v>4</v>
      </c>
      <c r="F286" s="16">
        <f t="shared" ref="F286:F288" si="704">(C286*D286*E286/1000)</f>
        <v>0.17276</v>
      </c>
      <c r="G286" s="16" t="s">
        <v>64</v>
      </c>
      <c r="H286" s="18">
        <v>4</v>
      </c>
      <c r="I286" s="19">
        <f t="shared" ref="I286:I288" si="705">(C286*D286*H286/1000)</f>
        <v>0.17276</v>
      </c>
      <c r="J286" s="16"/>
      <c r="K286" s="18"/>
      <c r="L286" s="19">
        <f t="shared" ref="L286:L288" si="706">(C286*D286*K286/1000)</f>
        <v>0</v>
      </c>
      <c r="M286" s="16"/>
      <c r="N286" s="18"/>
      <c r="O286" s="19">
        <f t="shared" ref="O286:O288" si="707">(C286*D286*N286/1000)</f>
        <v>0</v>
      </c>
      <c r="P286" s="16"/>
      <c r="Q286" s="18"/>
      <c r="R286" s="19">
        <f t="shared" ref="R286:R288" si="708">(C286*D286*Q286/1000)</f>
        <v>0</v>
      </c>
      <c r="S286" s="20">
        <f t="shared" ref="S286:S288" si="709">+H286+K286+Q286+N286</f>
        <v>4</v>
      </c>
      <c r="T286" s="19">
        <f t="shared" ref="T286:T288" si="710">+I286+L286+R286+O286</f>
        <v>0.17276</v>
      </c>
      <c r="U286" s="21">
        <f t="shared" ref="U286:U288" si="711">E286-S286</f>
        <v>0</v>
      </c>
      <c r="V286" s="19">
        <f t="shared" ref="V286:V288" si="712">F286-T286</f>
        <v>0</v>
      </c>
    </row>
    <row r="287" spans="1:22">
      <c r="A287" s="26" t="s">
        <v>14</v>
      </c>
      <c r="B287" s="26" t="s">
        <v>57</v>
      </c>
      <c r="C287" s="30">
        <v>6.17</v>
      </c>
      <c r="D287" s="27">
        <v>10.25</v>
      </c>
      <c r="E287" s="28">
        <v>10</v>
      </c>
      <c r="F287" s="16">
        <f t="shared" si="704"/>
        <v>0.6324249999999999</v>
      </c>
      <c r="G287" s="16" t="s">
        <v>559</v>
      </c>
      <c r="H287" s="18">
        <v>10</v>
      </c>
      <c r="I287" s="19">
        <f t="shared" si="705"/>
        <v>0.6324249999999999</v>
      </c>
      <c r="J287" s="16"/>
      <c r="K287" s="18"/>
      <c r="L287" s="19">
        <f t="shared" si="706"/>
        <v>0</v>
      </c>
      <c r="M287" s="16"/>
      <c r="N287" s="18"/>
      <c r="O287" s="19">
        <f t="shared" si="707"/>
        <v>0</v>
      </c>
      <c r="P287" s="16"/>
      <c r="Q287" s="18"/>
      <c r="R287" s="19">
        <f t="shared" si="708"/>
        <v>0</v>
      </c>
      <c r="S287" s="20">
        <f t="shared" si="709"/>
        <v>10</v>
      </c>
      <c r="T287" s="19">
        <f t="shared" si="710"/>
        <v>0.6324249999999999</v>
      </c>
      <c r="U287" s="21">
        <f t="shared" si="711"/>
        <v>0</v>
      </c>
      <c r="V287" s="19">
        <f t="shared" si="712"/>
        <v>0</v>
      </c>
    </row>
    <row r="288" spans="1:22">
      <c r="A288" s="26" t="s">
        <v>14</v>
      </c>
      <c r="B288" s="26" t="s">
        <v>57</v>
      </c>
      <c r="C288" s="30">
        <v>6.17</v>
      </c>
      <c r="D288" s="27">
        <v>10.5</v>
      </c>
      <c r="E288" s="28">
        <v>4</v>
      </c>
      <c r="F288" s="16">
        <f t="shared" si="704"/>
        <v>0.25913999999999998</v>
      </c>
      <c r="G288" s="17"/>
      <c r="H288" s="18">
        <v>4</v>
      </c>
      <c r="I288" s="19">
        <f t="shared" si="705"/>
        <v>0.25913999999999998</v>
      </c>
      <c r="J288" s="16"/>
      <c r="K288" s="18"/>
      <c r="L288" s="19">
        <f t="shared" si="706"/>
        <v>0</v>
      </c>
      <c r="M288" s="16"/>
      <c r="N288" s="18"/>
      <c r="O288" s="19">
        <f t="shared" si="707"/>
        <v>0</v>
      </c>
      <c r="P288" s="16"/>
      <c r="Q288" s="18"/>
      <c r="R288" s="19">
        <f t="shared" si="708"/>
        <v>0</v>
      </c>
      <c r="S288" s="20">
        <f t="shared" si="709"/>
        <v>4</v>
      </c>
      <c r="T288" s="19">
        <f t="shared" si="710"/>
        <v>0.25913999999999998</v>
      </c>
      <c r="U288" s="21">
        <f t="shared" si="711"/>
        <v>0</v>
      </c>
      <c r="V288" s="19">
        <f t="shared" si="712"/>
        <v>0</v>
      </c>
    </row>
    <row r="289" spans="1:22">
      <c r="A289" s="36"/>
      <c r="B289" s="36"/>
      <c r="C289" s="30"/>
      <c r="D289" s="38"/>
      <c r="E289" s="31">
        <f t="shared" ref="E289" si="713">SUM(E286:E288)</f>
        <v>18</v>
      </c>
      <c r="F289" s="38">
        <f t="shared" ref="F289" si="714">SUM(F286:F288)</f>
        <v>1.064325</v>
      </c>
      <c r="H289" s="31">
        <f t="shared" ref="H289" si="715">SUM(H286:H288)</f>
        <v>18</v>
      </c>
      <c r="I289" s="38">
        <f t="shared" ref="I289" si="716">SUM(I286:I288)</f>
        <v>1.064325</v>
      </c>
      <c r="K289" s="31">
        <f t="shared" ref="K289" si="717">SUM(K286:K288)</f>
        <v>0</v>
      </c>
      <c r="L289" s="38">
        <f t="shared" ref="L289" si="718">SUM(L286:L288)</f>
        <v>0</v>
      </c>
      <c r="N289" s="31">
        <f t="shared" ref="N289" si="719">SUM(N286:N288)</f>
        <v>0</v>
      </c>
      <c r="O289" s="38">
        <f t="shared" ref="O289" si="720">SUM(O286:O288)</f>
        <v>0</v>
      </c>
      <c r="Q289" s="31">
        <f t="shared" ref="Q289" si="721">SUM(Q286:Q288)</f>
        <v>0</v>
      </c>
      <c r="R289" s="38">
        <f t="shared" ref="R289" si="722">SUM(R286:R288)</f>
        <v>0</v>
      </c>
      <c r="S289" s="31">
        <f t="shared" ref="S289" si="723">SUM(S286:S288)</f>
        <v>18</v>
      </c>
      <c r="T289" s="38">
        <f t="shared" ref="T289" si="724">SUM(T286:T288)</f>
        <v>1.064325</v>
      </c>
      <c r="U289" s="31">
        <f t="shared" ref="U289" si="725">SUM(U286:U288)</f>
        <v>0</v>
      </c>
      <c r="V289" s="38">
        <f t="shared" ref="V289" si="726">SUM(V286:V288)</f>
        <v>0</v>
      </c>
    </row>
    <row r="290" spans="1:22">
      <c r="A290" s="26" t="s">
        <v>14</v>
      </c>
      <c r="B290" s="26" t="s">
        <v>58</v>
      </c>
      <c r="C290" s="30">
        <v>7.34</v>
      </c>
      <c r="D290" s="27">
        <v>6.25</v>
      </c>
      <c r="E290" s="28">
        <v>8</v>
      </c>
      <c r="F290" s="16">
        <f>(C290*D290*E290/1000)</f>
        <v>0.36699999999999999</v>
      </c>
      <c r="G290" s="16" t="s">
        <v>64</v>
      </c>
      <c r="H290" s="18">
        <v>8</v>
      </c>
      <c r="I290" s="19">
        <f>(C290*D290*H290/1000)</f>
        <v>0.36699999999999999</v>
      </c>
      <c r="J290" s="16"/>
      <c r="K290" s="18"/>
      <c r="L290" s="19">
        <f>(C290*D290*K290/1000)</f>
        <v>0</v>
      </c>
      <c r="M290" s="16"/>
      <c r="N290" s="18"/>
      <c r="O290" s="19">
        <f>(C290*D290*N290/1000)</f>
        <v>0</v>
      </c>
      <c r="P290" s="16"/>
      <c r="Q290" s="18"/>
      <c r="R290" s="19">
        <f>(C290*D290*Q290/1000)</f>
        <v>0</v>
      </c>
      <c r="S290" s="20">
        <f>+H290+K290+Q290+N290</f>
        <v>8</v>
      </c>
      <c r="T290" s="19">
        <f>+I290+L290+R290+O290</f>
        <v>0.36699999999999999</v>
      </c>
      <c r="U290" s="21">
        <f>E290-S290</f>
        <v>0</v>
      </c>
      <c r="V290" s="19">
        <f>F290-T290</f>
        <v>0</v>
      </c>
    </row>
    <row r="291" spans="1:22">
      <c r="A291" s="36"/>
      <c r="B291" s="36"/>
      <c r="C291" s="30"/>
      <c r="D291" s="38"/>
      <c r="E291" s="31">
        <f t="shared" ref="E291" si="727">SUM(E290)</f>
        <v>8</v>
      </c>
      <c r="F291" s="38">
        <f t="shared" ref="F291" si="728">SUM(F290)</f>
        <v>0.36699999999999999</v>
      </c>
      <c r="G291" s="16" t="s">
        <v>559</v>
      </c>
      <c r="H291" s="31">
        <f t="shared" ref="H291" si="729">SUM(H290)</f>
        <v>8</v>
      </c>
      <c r="I291" s="38">
        <f t="shared" ref="I291" si="730">SUM(I290)</f>
        <v>0.36699999999999999</v>
      </c>
      <c r="K291" s="31">
        <f t="shared" ref="K291" si="731">SUM(K290)</f>
        <v>0</v>
      </c>
      <c r="L291" s="38">
        <f t="shared" ref="L291" si="732">SUM(L290)</f>
        <v>0</v>
      </c>
      <c r="N291" s="31">
        <f t="shared" ref="N291" si="733">SUM(N290)</f>
        <v>0</v>
      </c>
      <c r="O291" s="38">
        <f t="shared" ref="O291" si="734">SUM(O290)</f>
        <v>0</v>
      </c>
      <c r="Q291" s="31">
        <f t="shared" ref="Q291" si="735">SUM(Q290)</f>
        <v>0</v>
      </c>
      <c r="R291" s="38">
        <f t="shared" ref="R291" si="736">SUM(R290)</f>
        <v>0</v>
      </c>
      <c r="S291" s="31">
        <f t="shared" ref="S291" si="737">SUM(S290)</f>
        <v>8</v>
      </c>
      <c r="T291" s="38">
        <f t="shared" ref="T291" si="738">SUM(T290)</f>
        <v>0.36699999999999999</v>
      </c>
      <c r="U291" s="31">
        <f t="shared" ref="U291" si="739">SUM(U290)</f>
        <v>0</v>
      </c>
      <c r="V291" s="38">
        <f t="shared" ref="V291" si="740">SUM(V290)</f>
        <v>0</v>
      </c>
    </row>
    <row r="292" spans="1:22">
      <c r="A292" s="26" t="s">
        <v>14</v>
      </c>
      <c r="B292" s="26" t="s">
        <v>36</v>
      </c>
      <c r="C292" s="30">
        <v>6.97</v>
      </c>
      <c r="D292" s="27">
        <v>11</v>
      </c>
      <c r="E292" s="28">
        <v>6</v>
      </c>
      <c r="F292" s="16">
        <f t="shared" ref="F292:F295" si="741">(C292*D292*E292/1000)</f>
        <v>0.46001999999999998</v>
      </c>
      <c r="G292" s="16" t="s">
        <v>89</v>
      </c>
      <c r="H292" s="18"/>
      <c r="I292" s="19">
        <f t="shared" ref="I292:I295" si="742">(C292*D292*H292/1000)</f>
        <v>0</v>
      </c>
      <c r="J292" s="16"/>
      <c r="K292" s="18"/>
      <c r="L292" s="19">
        <f t="shared" ref="L292:L295" si="743">(C292*D292*K292/1000)</f>
        <v>0</v>
      </c>
      <c r="M292" s="16"/>
      <c r="N292" s="18"/>
      <c r="O292" s="19">
        <f t="shared" ref="O292:O295" si="744">(C292*D292*N292/1000)</f>
        <v>0</v>
      </c>
      <c r="P292" s="16"/>
      <c r="Q292" s="18"/>
      <c r="R292" s="19">
        <f t="shared" ref="R292:R295" si="745">(C292*D292*Q292/1000)</f>
        <v>0</v>
      </c>
      <c r="S292" s="20">
        <f t="shared" ref="S292:S295" si="746">+H292+K292+Q292+N292</f>
        <v>0</v>
      </c>
      <c r="T292" s="19">
        <f t="shared" ref="T292:T295" si="747">+I292+L292+R292+O292</f>
        <v>0</v>
      </c>
      <c r="U292" s="21">
        <f t="shared" ref="U292:U295" si="748">E292-S292</f>
        <v>6</v>
      </c>
      <c r="V292" s="19">
        <f t="shared" ref="V292:V295" si="749">F292-T292</f>
        <v>0.46001999999999998</v>
      </c>
    </row>
    <row r="293" spans="1:22">
      <c r="A293" s="26" t="s">
        <v>14</v>
      </c>
      <c r="B293" s="26" t="s">
        <v>36</v>
      </c>
      <c r="C293" s="30">
        <v>6.97</v>
      </c>
      <c r="D293" s="27">
        <v>9.8000000000000007</v>
      </c>
      <c r="E293" s="28"/>
      <c r="F293" s="16">
        <f t="shared" si="741"/>
        <v>0</v>
      </c>
      <c r="G293" s="16" t="s">
        <v>548</v>
      </c>
      <c r="H293" s="18">
        <v>5</v>
      </c>
      <c r="I293" s="19">
        <f t="shared" si="742"/>
        <v>0.34153</v>
      </c>
      <c r="J293" s="16"/>
      <c r="K293" s="18"/>
      <c r="L293" s="19">
        <f t="shared" si="743"/>
        <v>0</v>
      </c>
      <c r="M293" s="16"/>
      <c r="N293" s="18"/>
      <c r="O293" s="19">
        <f t="shared" si="744"/>
        <v>0</v>
      </c>
      <c r="P293" s="16"/>
      <c r="Q293" s="18"/>
      <c r="R293" s="19">
        <f t="shared" si="745"/>
        <v>0</v>
      </c>
      <c r="S293" s="20">
        <f t="shared" si="746"/>
        <v>5</v>
      </c>
      <c r="T293" s="19">
        <f t="shared" si="747"/>
        <v>0.34153</v>
      </c>
      <c r="U293" s="21">
        <f t="shared" si="748"/>
        <v>-5</v>
      </c>
      <c r="V293" s="19">
        <f t="shared" si="749"/>
        <v>-0.34153</v>
      </c>
    </row>
    <row r="294" spans="1:22">
      <c r="A294" s="26" t="s">
        <v>14</v>
      </c>
      <c r="B294" s="26" t="s">
        <v>36</v>
      </c>
      <c r="C294" s="30">
        <v>6.97</v>
      </c>
      <c r="D294" s="27">
        <v>9.3000000000000007</v>
      </c>
      <c r="E294" s="28"/>
      <c r="F294" s="16">
        <f t="shared" si="741"/>
        <v>0</v>
      </c>
      <c r="G294" s="17"/>
      <c r="H294" s="18">
        <v>1</v>
      </c>
      <c r="I294" s="19">
        <f t="shared" si="742"/>
        <v>6.4821000000000004E-2</v>
      </c>
      <c r="J294" s="16"/>
      <c r="K294" s="18"/>
      <c r="L294" s="19">
        <f t="shared" si="743"/>
        <v>0</v>
      </c>
      <c r="M294" s="16"/>
      <c r="N294" s="18"/>
      <c r="O294" s="19">
        <f t="shared" si="744"/>
        <v>0</v>
      </c>
      <c r="P294" s="16"/>
      <c r="Q294" s="18"/>
      <c r="R294" s="19">
        <f t="shared" si="745"/>
        <v>0</v>
      </c>
      <c r="S294" s="20">
        <f t="shared" si="746"/>
        <v>1</v>
      </c>
      <c r="T294" s="19">
        <f t="shared" si="747"/>
        <v>6.4821000000000004E-2</v>
      </c>
      <c r="U294" s="21">
        <f t="shared" si="748"/>
        <v>-1</v>
      </c>
      <c r="V294" s="19">
        <f t="shared" si="749"/>
        <v>-6.4821000000000004E-2</v>
      </c>
    </row>
    <row r="295" spans="1:22">
      <c r="A295" s="26" t="s">
        <v>14</v>
      </c>
      <c r="B295" s="26" t="s">
        <v>36</v>
      </c>
      <c r="C295" s="30">
        <v>6.97</v>
      </c>
      <c r="D295" s="27">
        <v>8.9</v>
      </c>
      <c r="E295" s="28"/>
      <c r="F295" s="16">
        <f t="shared" si="741"/>
        <v>0</v>
      </c>
      <c r="G295" s="17"/>
      <c r="H295" s="18">
        <v>1</v>
      </c>
      <c r="I295" s="19">
        <f t="shared" si="742"/>
        <v>6.2032999999999998E-2</v>
      </c>
      <c r="J295" s="16"/>
      <c r="K295" s="18"/>
      <c r="L295" s="19">
        <f t="shared" si="743"/>
        <v>0</v>
      </c>
      <c r="M295" s="16"/>
      <c r="N295" s="18"/>
      <c r="O295" s="19">
        <f t="shared" si="744"/>
        <v>0</v>
      </c>
      <c r="P295" s="16"/>
      <c r="Q295" s="18"/>
      <c r="R295" s="19">
        <f t="shared" si="745"/>
        <v>0</v>
      </c>
      <c r="S295" s="20">
        <f t="shared" si="746"/>
        <v>1</v>
      </c>
      <c r="T295" s="19">
        <f t="shared" si="747"/>
        <v>6.2032999999999998E-2</v>
      </c>
      <c r="U295" s="21">
        <f t="shared" si="748"/>
        <v>-1</v>
      </c>
      <c r="V295" s="19">
        <f t="shared" si="749"/>
        <v>-6.2032999999999998E-2</v>
      </c>
    </row>
    <row r="296" spans="1:22">
      <c r="A296" s="26" t="s">
        <v>14</v>
      </c>
      <c r="B296" s="26" t="s">
        <v>36</v>
      </c>
      <c r="C296" s="30">
        <v>6.97</v>
      </c>
      <c r="D296" s="27">
        <v>6.7</v>
      </c>
      <c r="E296" s="28"/>
      <c r="F296" s="16">
        <f>(C296*D296*E296/1000)</f>
        <v>0</v>
      </c>
      <c r="G296" s="17"/>
      <c r="H296" s="18">
        <v>2</v>
      </c>
      <c r="I296" s="19">
        <f>(C296*D296*H296/1000)</f>
        <v>9.3397999999999995E-2</v>
      </c>
      <c r="J296" s="16"/>
      <c r="K296" s="18"/>
      <c r="L296" s="19">
        <f>(C296*D296*K296/1000)</f>
        <v>0</v>
      </c>
      <c r="M296" s="16"/>
      <c r="N296" s="18"/>
      <c r="O296" s="19">
        <f>(C296*D296*N296/1000)</f>
        <v>0</v>
      </c>
      <c r="P296" s="16"/>
      <c r="Q296" s="18"/>
      <c r="R296" s="19">
        <f>(C296*D296*Q296/1000)</f>
        <v>0</v>
      </c>
      <c r="S296" s="20">
        <f>+H296+K296+Q296+N296</f>
        <v>2</v>
      </c>
      <c r="T296" s="19">
        <f>+I296+L296+R296+O296</f>
        <v>9.3397999999999995E-2</v>
      </c>
      <c r="U296" s="21">
        <f>E296-S296</f>
        <v>-2</v>
      </c>
      <c r="V296" s="19">
        <f>F296-T296</f>
        <v>-9.3397999999999995E-2</v>
      </c>
    </row>
    <row r="297" spans="1:22">
      <c r="A297" s="36"/>
      <c r="B297" s="36"/>
      <c r="C297" s="30"/>
      <c r="D297" s="38"/>
      <c r="E297" s="31">
        <f t="shared" ref="E297:F297" si="750">SUM(E292:E296)</f>
        <v>6</v>
      </c>
      <c r="F297" s="38">
        <f t="shared" si="750"/>
        <v>0.46001999999999998</v>
      </c>
      <c r="H297" s="31">
        <f t="shared" ref="H297" si="751">SUM(H292:H296)</f>
        <v>9</v>
      </c>
      <c r="I297" s="38">
        <f t="shared" ref="I297" si="752">SUM(I292:I296)</f>
        <v>0.561782</v>
      </c>
      <c r="K297" s="31">
        <f t="shared" ref="K297" si="753">SUM(K292:K296)</f>
        <v>0</v>
      </c>
      <c r="L297" s="38">
        <f t="shared" ref="L297" si="754">SUM(L292:L296)</f>
        <v>0</v>
      </c>
      <c r="N297" s="31">
        <f t="shared" ref="N297" si="755">SUM(N292:N296)</f>
        <v>0</v>
      </c>
      <c r="O297" s="38">
        <f t="shared" ref="O297" si="756">SUM(O292:O296)</f>
        <v>0</v>
      </c>
      <c r="Q297" s="31">
        <f t="shared" ref="Q297" si="757">SUM(Q292:Q296)</f>
        <v>0</v>
      </c>
      <c r="R297" s="38">
        <f t="shared" ref="R297" si="758">SUM(R292:R296)</f>
        <v>0</v>
      </c>
      <c r="S297" s="31">
        <f t="shared" ref="S297" si="759">SUM(S292:S296)</f>
        <v>9</v>
      </c>
      <c r="T297" s="38">
        <f t="shared" ref="T297" si="760">SUM(T292:T296)</f>
        <v>0.561782</v>
      </c>
      <c r="U297" s="31">
        <f t="shared" ref="U297" si="761">SUM(U292:U296)</f>
        <v>-3</v>
      </c>
      <c r="V297" s="38">
        <f t="shared" ref="V297" si="762">SUM(V292:V296)</f>
        <v>-0.10176200000000002</v>
      </c>
    </row>
    <row r="298" spans="1:22">
      <c r="A298" s="26" t="s">
        <v>14</v>
      </c>
      <c r="B298" s="26" t="s">
        <v>26</v>
      </c>
      <c r="C298" s="30">
        <v>8.32</v>
      </c>
      <c r="D298" s="27">
        <v>10</v>
      </c>
      <c r="E298" s="28">
        <v>6</v>
      </c>
      <c r="F298" s="16">
        <f>(C298*D298*E298/1000)</f>
        <v>0.49920000000000003</v>
      </c>
      <c r="G298" s="16" t="s">
        <v>89</v>
      </c>
      <c r="H298" s="18">
        <v>6</v>
      </c>
      <c r="I298" s="19">
        <f>(C298*D298*H298/1000)</f>
        <v>0.49920000000000003</v>
      </c>
      <c r="J298" s="16"/>
      <c r="K298" s="18"/>
      <c r="L298" s="19">
        <f>(C298*D298*K298/1000)</f>
        <v>0</v>
      </c>
      <c r="M298" s="16"/>
      <c r="N298" s="18"/>
      <c r="O298" s="19">
        <f>(C298*D298*N298/1000)</f>
        <v>0</v>
      </c>
      <c r="P298" s="16"/>
      <c r="Q298" s="18"/>
      <c r="R298" s="19">
        <f>(C298*D298*Q298/1000)</f>
        <v>0</v>
      </c>
      <c r="S298" s="20">
        <f>+H298+K298+Q298+N298</f>
        <v>6</v>
      </c>
      <c r="T298" s="19">
        <f>+I298+L298+R298+O298</f>
        <v>0.49920000000000003</v>
      </c>
      <c r="U298" s="21">
        <f>E298-S298</f>
        <v>0</v>
      </c>
      <c r="V298" s="19">
        <f>F298-T298</f>
        <v>0</v>
      </c>
    </row>
    <row r="299" spans="1:22">
      <c r="A299" s="36"/>
      <c r="B299" s="36"/>
      <c r="C299" s="30"/>
      <c r="D299" s="38"/>
      <c r="E299" s="31">
        <f t="shared" ref="E299" si="763">SUM(E298)</f>
        <v>6</v>
      </c>
      <c r="F299" s="38">
        <f t="shared" ref="F299" si="764">SUM(F298)</f>
        <v>0.49920000000000003</v>
      </c>
      <c r="G299" s="16" t="s">
        <v>548</v>
      </c>
      <c r="H299" s="31">
        <f t="shared" ref="H299" si="765">SUM(H298)</f>
        <v>6</v>
      </c>
      <c r="I299" s="38">
        <f t="shared" ref="I299" si="766">SUM(I298)</f>
        <v>0.49920000000000003</v>
      </c>
      <c r="K299" s="31">
        <f t="shared" ref="K299" si="767">SUM(K298)</f>
        <v>0</v>
      </c>
      <c r="L299" s="38">
        <f t="shared" ref="L299" si="768">SUM(L298)</f>
        <v>0</v>
      </c>
      <c r="N299" s="31">
        <f t="shared" ref="N299" si="769">SUM(N298)</f>
        <v>0</v>
      </c>
      <c r="O299" s="38">
        <f t="shared" ref="O299" si="770">SUM(O298)</f>
        <v>0</v>
      </c>
      <c r="Q299" s="31">
        <f t="shared" ref="Q299" si="771">SUM(Q298)</f>
        <v>0</v>
      </c>
      <c r="R299" s="38">
        <f t="shared" ref="R299" si="772">SUM(R298)</f>
        <v>0</v>
      </c>
      <c r="S299" s="31">
        <f t="shared" ref="S299" si="773">SUM(S298)</f>
        <v>6</v>
      </c>
      <c r="T299" s="38">
        <f t="shared" ref="T299" si="774">SUM(T298)</f>
        <v>0.49920000000000003</v>
      </c>
      <c r="U299" s="31">
        <f t="shared" ref="U299" si="775">SUM(U298)</f>
        <v>0</v>
      </c>
      <c r="V299" s="38">
        <f t="shared" ref="V299" si="776">SUM(V298)</f>
        <v>0</v>
      </c>
    </row>
    <row r="300" spans="1:22" hidden="1">
      <c r="A300" s="26" t="s">
        <v>14</v>
      </c>
      <c r="B300" s="26" t="s">
        <v>37</v>
      </c>
      <c r="C300" s="30">
        <v>9.61</v>
      </c>
      <c r="D300" s="27">
        <v>9</v>
      </c>
      <c r="E300" s="28">
        <v>6</v>
      </c>
      <c r="F300" s="16">
        <f>(C300*D300*E300/1000)</f>
        <v>0.51893999999999996</v>
      </c>
      <c r="G300" s="17" t="s">
        <v>107</v>
      </c>
      <c r="H300" s="18">
        <v>6</v>
      </c>
      <c r="I300" s="19">
        <f>(C300*D300*H300/1000)</f>
        <v>0.51893999999999996</v>
      </c>
      <c r="J300" s="16"/>
      <c r="K300" s="18"/>
      <c r="L300" s="19">
        <f>(C300*D300*K300/1000)</f>
        <v>0</v>
      </c>
      <c r="M300" s="16"/>
      <c r="N300" s="18"/>
      <c r="O300" s="19">
        <f>(C300*D300*N300/1000)</f>
        <v>0</v>
      </c>
      <c r="P300" s="16"/>
      <c r="Q300" s="18"/>
      <c r="R300" s="19">
        <f>(C300*D300*Q300/1000)</f>
        <v>0</v>
      </c>
      <c r="S300" s="20">
        <f>+H300+K300+Q300+N300</f>
        <v>6</v>
      </c>
      <c r="T300" s="19">
        <f>+I300+L300+R300+O300</f>
        <v>0.51893999999999996</v>
      </c>
      <c r="U300" s="21">
        <f>E300-S300</f>
        <v>0</v>
      </c>
      <c r="V300" s="19">
        <f>F300-T300</f>
        <v>0</v>
      </c>
    </row>
    <row r="301" spans="1:22" hidden="1">
      <c r="A301" s="36"/>
      <c r="B301" s="36"/>
      <c r="C301" s="30"/>
      <c r="D301" s="38"/>
      <c r="E301" s="31">
        <f t="shared" ref="E301" si="777">SUM(E300)</f>
        <v>6</v>
      </c>
      <c r="F301" s="38">
        <f t="shared" ref="F301" si="778">SUM(F300)</f>
        <v>0.51893999999999996</v>
      </c>
      <c r="G301" s="17" t="s">
        <v>542</v>
      </c>
      <c r="H301" s="31">
        <f t="shared" ref="H301" si="779">SUM(H300)</f>
        <v>6</v>
      </c>
      <c r="I301" s="38">
        <f t="shared" ref="I301" si="780">SUM(I300)</f>
        <v>0.51893999999999996</v>
      </c>
      <c r="K301" s="31">
        <f t="shared" ref="K301" si="781">SUM(K300)</f>
        <v>0</v>
      </c>
      <c r="L301" s="38">
        <f t="shared" ref="L301" si="782">SUM(L300)</f>
        <v>0</v>
      </c>
      <c r="N301" s="31">
        <f t="shared" ref="N301" si="783">SUM(N300)</f>
        <v>0</v>
      </c>
      <c r="O301" s="38">
        <f t="shared" ref="O301" si="784">SUM(O300)</f>
        <v>0</v>
      </c>
      <c r="Q301" s="31">
        <f t="shared" ref="Q301" si="785">SUM(Q300)</f>
        <v>0</v>
      </c>
      <c r="R301" s="38">
        <f t="shared" ref="R301" si="786">SUM(R300)</f>
        <v>0</v>
      </c>
      <c r="S301" s="31">
        <f t="shared" ref="S301" si="787">SUM(S300)</f>
        <v>6</v>
      </c>
      <c r="T301" s="38">
        <f t="shared" ref="T301" si="788">SUM(T300)</f>
        <v>0.51893999999999996</v>
      </c>
      <c r="U301" s="31">
        <f t="shared" ref="U301" si="789">SUM(U300)</f>
        <v>0</v>
      </c>
      <c r="V301" s="38">
        <f t="shared" ref="V301" si="790">SUM(V300)</f>
        <v>0</v>
      </c>
    </row>
    <row r="302" spans="1:22">
      <c r="A302" s="33"/>
      <c r="B302" s="33"/>
      <c r="C302" s="34"/>
      <c r="D302" s="34"/>
      <c r="E302" s="34">
        <f>SUM(E6:E301)/2</f>
        <v>8012</v>
      </c>
      <c r="F302" s="35">
        <f>SUM(F6:F301)/2</f>
        <v>782.59640499999966</v>
      </c>
      <c r="H302" s="34">
        <f>SUM(H6:H301)/2</f>
        <v>3394</v>
      </c>
      <c r="I302" s="35">
        <f>SUM(I6:I301)/2</f>
        <v>354.54155249999997</v>
      </c>
      <c r="K302" s="34">
        <f>SUM(K6:K301)/2</f>
        <v>2726</v>
      </c>
      <c r="L302" s="35">
        <f>SUM(L6:L301)/2</f>
        <v>240.24299199999996</v>
      </c>
      <c r="N302" s="34">
        <f>SUM(N6:N301)/2</f>
        <v>1418</v>
      </c>
      <c r="O302" s="35">
        <f>SUM(O6:O301)/2</f>
        <v>138.09938699999995</v>
      </c>
      <c r="Q302" s="34">
        <f t="shared" ref="Q302:U302" si="791">SUM(Q6:Q301)/2</f>
        <v>553</v>
      </c>
      <c r="R302" s="35">
        <f t="shared" si="791"/>
        <v>54.589791999999989</v>
      </c>
      <c r="S302" s="34">
        <f t="shared" si="791"/>
        <v>8091</v>
      </c>
      <c r="T302" s="35">
        <f t="shared" si="791"/>
        <v>787.47372349999978</v>
      </c>
      <c r="U302" s="34">
        <f t="shared" si="791"/>
        <v>-26</v>
      </c>
      <c r="V302" s="35">
        <f>SUM(V6:V301)/2</f>
        <v>-4.8773185000000003</v>
      </c>
    </row>
    <row r="318" spans="17:17">
      <c r="Q318" s="29"/>
    </row>
    <row r="319" spans="17:17">
      <c r="Q319" s="29"/>
    </row>
    <row r="320" spans="17:17">
      <c r="Q320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V9"/>
  <sheetViews>
    <sheetView zoomScale="75" zoomScaleNormal="75" workbookViewId="0">
      <pane ySplit="5" topLeftCell="A6" activePane="bottomLeft" state="frozen"/>
      <selection pane="bottomLeft" activeCell="N19" sqref="N1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LOI-1044  02.11.23</v>
      </c>
      <c r="D1" s="1"/>
      <c r="E1" s="2"/>
      <c r="F1" s="2"/>
      <c r="G1" s="143" t="s">
        <v>495</v>
      </c>
      <c r="H1" s="144"/>
      <c r="I1" s="145" t="s">
        <v>493</v>
      </c>
      <c r="J1" s="144"/>
      <c r="K1" s="3"/>
      <c r="L1" s="4"/>
      <c r="M1" s="4"/>
      <c r="N1" s="3"/>
      <c r="O1" s="4"/>
      <c r="P1" s="146" t="str">
        <f>+F2</f>
        <v>LOI-1044  02.11.23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463</v>
      </c>
      <c r="B2" s="8"/>
      <c r="C2" s="9"/>
      <c r="D2" s="9"/>
      <c r="E2" s="10"/>
      <c r="F2" s="146" t="s">
        <v>494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LOI-1044  02.11.23</v>
      </c>
      <c r="V2" s="146"/>
    </row>
    <row r="3" spans="1:22">
      <c r="A3" s="12" t="s">
        <v>464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439</v>
      </c>
      <c r="C6" s="26">
        <v>8.99</v>
      </c>
      <c r="D6" s="74">
        <v>12</v>
      </c>
      <c r="E6" s="28">
        <v>5</v>
      </c>
      <c r="F6" s="16">
        <f>(C6*D6*E6/1000)</f>
        <v>0.53939999999999999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5</v>
      </c>
      <c r="V6" s="19">
        <f>F6-T6</f>
        <v>0.53939999999999999</v>
      </c>
    </row>
    <row r="7" spans="1:22">
      <c r="A7" s="26" t="s">
        <v>13</v>
      </c>
      <c r="B7" s="26" t="s">
        <v>439</v>
      </c>
      <c r="C7" s="26"/>
      <c r="D7" s="74"/>
      <c r="E7" s="28"/>
      <c r="F7" s="16">
        <f>(C7*D7*E7/1000)</f>
        <v>0</v>
      </c>
      <c r="G7" s="17"/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496</v>
      </c>
      <c r="C8" s="26"/>
      <c r="D8" s="74"/>
      <c r="E8" s="31">
        <f>SUM(E6:E7)</f>
        <v>5</v>
      </c>
      <c r="F8" s="77">
        <f>SUM(F6:F7)</f>
        <v>0.53939999999999999</v>
      </c>
      <c r="G8" s="17"/>
      <c r="H8" s="31">
        <f>SUM(H6:H7)</f>
        <v>0</v>
      </c>
      <c r="I8" s="77">
        <f>SUM(I6:I7)</f>
        <v>0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0</v>
      </c>
      <c r="T8" s="77">
        <f t="shared" si="6"/>
        <v>0</v>
      </c>
      <c r="U8" s="31">
        <f t="shared" si="6"/>
        <v>5</v>
      </c>
      <c r="V8" s="77">
        <f t="shared" si="6"/>
        <v>0.53939999999999999</v>
      </c>
    </row>
    <row r="9" spans="1:22">
      <c r="A9" s="33"/>
      <c r="B9" s="33"/>
      <c r="C9" s="34"/>
      <c r="D9" s="34"/>
      <c r="E9" s="34">
        <f>+E8</f>
        <v>5</v>
      </c>
      <c r="F9" s="35">
        <f>+F8</f>
        <v>0.53939999999999999</v>
      </c>
      <c r="G9" s="26"/>
      <c r="H9" s="34">
        <f>+H8</f>
        <v>0</v>
      </c>
      <c r="I9" s="35">
        <f>+I8</f>
        <v>0</v>
      </c>
      <c r="J9" s="26"/>
      <c r="K9" s="34">
        <f>+K8</f>
        <v>0</v>
      </c>
      <c r="L9" s="35">
        <f>+L8</f>
        <v>0</v>
      </c>
      <c r="M9" s="26"/>
      <c r="N9" s="34">
        <f>+N8</f>
        <v>0</v>
      </c>
      <c r="O9" s="35">
        <f>+O8</f>
        <v>0</v>
      </c>
      <c r="P9" s="26"/>
      <c r="Q9" s="34">
        <f t="shared" ref="Q9:V9" si="7">+Q8</f>
        <v>0</v>
      </c>
      <c r="R9" s="35">
        <f t="shared" si="7"/>
        <v>0</v>
      </c>
      <c r="S9" s="34">
        <f t="shared" si="7"/>
        <v>0</v>
      </c>
      <c r="T9" s="35">
        <f t="shared" si="7"/>
        <v>0</v>
      </c>
      <c r="U9" s="34">
        <f t="shared" si="7"/>
        <v>5</v>
      </c>
      <c r="V9" s="35">
        <f t="shared" si="7"/>
        <v>0.53939999999999999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V21"/>
  <sheetViews>
    <sheetView zoomScale="75" zoomScaleNormal="75" workbookViewId="0">
      <pane ySplit="5" topLeftCell="A6" activePane="bottomLeft" state="frozen"/>
      <selection pane="bottomLeft" activeCell="G15" sqref="G15:G16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LOI-1045  02.11.23</v>
      </c>
      <c r="D1" s="1"/>
      <c r="E1" s="2"/>
      <c r="F1" s="2"/>
      <c r="G1" s="143" t="s">
        <v>498</v>
      </c>
      <c r="H1" s="144"/>
      <c r="I1" s="145" t="s">
        <v>493</v>
      </c>
      <c r="J1" s="144"/>
      <c r="K1" s="3"/>
      <c r="L1" s="4"/>
      <c r="M1" s="4"/>
      <c r="N1" s="3"/>
      <c r="O1" s="4"/>
      <c r="P1" s="146" t="str">
        <f>+F2</f>
        <v>LOI-1045  02.11.23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497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LOI-1045  02.11.23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26">
        <v>12.2</v>
      </c>
      <c r="D6" s="74">
        <v>12</v>
      </c>
      <c r="E6" s="28">
        <v>12</v>
      </c>
      <c r="F6" s="16">
        <f>(C6*D6*E6/1000)</f>
        <v>1.7567999999999997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12</v>
      </c>
      <c r="V6" s="19">
        <f>F6-T6</f>
        <v>1.7567999999999997</v>
      </c>
    </row>
    <row r="7" spans="1:22">
      <c r="A7" s="26" t="s">
        <v>13</v>
      </c>
      <c r="B7" s="26" t="s">
        <v>61</v>
      </c>
      <c r="C7" s="26">
        <v>12.2</v>
      </c>
      <c r="D7" s="74"/>
      <c r="E7" s="28"/>
      <c r="F7" s="16">
        <f>(C7*D7*E7/1000)</f>
        <v>0</v>
      </c>
      <c r="G7" s="17"/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139</v>
      </c>
      <c r="C8" s="26"/>
      <c r="D8" s="74"/>
      <c r="E8" s="31">
        <f>SUM(E6:E7)</f>
        <v>12</v>
      </c>
      <c r="F8" s="77">
        <f>SUM(F6:F7)</f>
        <v>1.7567999999999997</v>
      </c>
      <c r="G8" s="17"/>
      <c r="H8" s="31">
        <f>SUM(H6:H7)</f>
        <v>0</v>
      </c>
      <c r="I8" s="77">
        <f>SUM(I6:I7)</f>
        <v>0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0</v>
      </c>
      <c r="T8" s="77">
        <f t="shared" si="6"/>
        <v>0</v>
      </c>
      <c r="U8" s="31">
        <f t="shared" si="6"/>
        <v>12</v>
      </c>
      <c r="V8" s="77">
        <f t="shared" si="6"/>
        <v>1.7567999999999997</v>
      </c>
    </row>
    <row r="9" spans="1:22">
      <c r="A9" s="26" t="s">
        <v>13</v>
      </c>
      <c r="B9" s="26" t="s">
        <v>49</v>
      </c>
      <c r="C9" s="26">
        <v>14.7</v>
      </c>
      <c r="D9" s="74">
        <v>12</v>
      </c>
      <c r="E9" s="28">
        <v>9</v>
      </c>
      <c r="F9" s="16">
        <f>(C9*D9*E9/1000)</f>
        <v>1.5875999999999999</v>
      </c>
      <c r="G9" s="16"/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9</v>
      </c>
      <c r="V9" s="19">
        <f>F9-T9</f>
        <v>1.5875999999999999</v>
      </c>
    </row>
    <row r="10" spans="1:22">
      <c r="A10" s="26" t="s">
        <v>13</v>
      </c>
      <c r="B10" s="26" t="s">
        <v>49</v>
      </c>
      <c r="C10" s="26">
        <v>14.7</v>
      </c>
      <c r="D10" s="74"/>
      <c r="E10" s="28"/>
      <c r="F10" s="16">
        <f>(C10*D10*E10/1000)</f>
        <v>0</v>
      </c>
      <c r="G10" s="17"/>
      <c r="H10" s="18"/>
      <c r="I10" s="19">
        <f t="shared" ref="I10" si="7">(C10*D10*H10/1000)</f>
        <v>0</v>
      </c>
      <c r="J10" s="16"/>
      <c r="K10" s="18"/>
      <c r="L10" s="19">
        <f t="shared" ref="L10" si="8">(C10*D10*K10/1000)</f>
        <v>0</v>
      </c>
      <c r="M10" s="16"/>
      <c r="N10" s="18"/>
      <c r="O10" s="19">
        <f t="shared" ref="O10" si="9">(C10*D10*N10/1000)</f>
        <v>0</v>
      </c>
      <c r="P10" s="16"/>
      <c r="Q10" s="18"/>
      <c r="R10" s="19">
        <f t="shared" ref="R10" si="10">(C10*D10*Q10/1000)</f>
        <v>0</v>
      </c>
      <c r="S10" s="20">
        <f t="shared" ref="S10" si="11">+H10+K10+Q10+N10</f>
        <v>0</v>
      </c>
      <c r="T10" s="19">
        <f t="shared" ref="T10" si="12">+I10+L10+R10+O10</f>
        <v>0</v>
      </c>
      <c r="U10" s="21">
        <f t="shared" ref="U10" si="13">E10-S10</f>
        <v>0</v>
      </c>
      <c r="V10" s="19">
        <f t="shared" ref="V10" si="14">F10-T10</f>
        <v>0</v>
      </c>
    </row>
    <row r="11" spans="1:22">
      <c r="A11" s="26"/>
      <c r="B11" s="41" t="s">
        <v>139</v>
      </c>
      <c r="C11" s="26"/>
      <c r="D11" s="74"/>
      <c r="E11" s="31">
        <f>SUM(E9:E10)</f>
        <v>9</v>
      </c>
      <c r="F11" s="77">
        <f>SUM(F9:F10)</f>
        <v>1.5875999999999999</v>
      </c>
      <c r="G11" s="17"/>
      <c r="H11" s="31">
        <f>SUM(H9:H10)</f>
        <v>0</v>
      </c>
      <c r="I11" s="77">
        <f>SUM(I9:I10)</f>
        <v>0</v>
      </c>
      <c r="J11" s="16"/>
      <c r="K11" s="31">
        <f>SUM(K9:K10)</f>
        <v>0</v>
      </c>
      <c r="L11" s="77">
        <f>SUM(L9:L10)</f>
        <v>0</v>
      </c>
      <c r="M11" s="16"/>
      <c r="N11" s="31">
        <f>SUM(N9:N10)</f>
        <v>0</v>
      </c>
      <c r="O11" s="77">
        <f>SUM(O9:O10)</f>
        <v>0</v>
      </c>
      <c r="P11" s="16"/>
      <c r="Q11" s="31">
        <f t="shared" ref="Q11:V11" si="15">SUM(Q9:Q10)</f>
        <v>0</v>
      </c>
      <c r="R11" s="77">
        <f t="shared" si="15"/>
        <v>0</v>
      </c>
      <c r="S11" s="31">
        <f t="shared" si="15"/>
        <v>0</v>
      </c>
      <c r="T11" s="77">
        <f t="shared" si="15"/>
        <v>0</v>
      </c>
      <c r="U11" s="31">
        <f t="shared" si="15"/>
        <v>9</v>
      </c>
      <c r="V11" s="77">
        <f t="shared" si="15"/>
        <v>1.5875999999999999</v>
      </c>
    </row>
    <row r="12" spans="1:22">
      <c r="A12" s="26" t="s">
        <v>13</v>
      </c>
      <c r="B12" s="26" t="s">
        <v>57</v>
      </c>
      <c r="C12" s="26">
        <v>6.17</v>
      </c>
      <c r="D12" s="74">
        <v>12</v>
      </c>
      <c r="E12" s="28">
        <v>5</v>
      </c>
      <c r="F12" s="16">
        <f>(C12*D12*E12/1000)</f>
        <v>0.37019999999999992</v>
      </c>
      <c r="G12" s="16"/>
      <c r="H12" s="18"/>
      <c r="I12" s="19">
        <f>(C12*D12*H12/1000)</f>
        <v>0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0</v>
      </c>
      <c r="T12" s="19">
        <f>+I12+L12+R12+O12</f>
        <v>0</v>
      </c>
      <c r="U12" s="21">
        <f>E12-S12</f>
        <v>5</v>
      </c>
      <c r="V12" s="19">
        <f>F12-T12</f>
        <v>0.37019999999999992</v>
      </c>
    </row>
    <row r="13" spans="1:22">
      <c r="A13" s="26" t="s">
        <v>13</v>
      </c>
      <c r="B13" s="26" t="s">
        <v>57</v>
      </c>
      <c r="C13" s="26">
        <v>6.17</v>
      </c>
      <c r="D13" s="74"/>
      <c r="E13" s="28"/>
      <c r="F13" s="16">
        <f>(C13*D13*E13/1000)</f>
        <v>0</v>
      </c>
      <c r="G13" s="17"/>
      <c r="H13" s="18"/>
      <c r="I13" s="19">
        <f t="shared" ref="I13" si="16">(C13*D13*H13/1000)</f>
        <v>0</v>
      </c>
      <c r="J13" s="16"/>
      <c r="K13" s="18"/>
      <c r="L13" s="19">
        <f t="shared" ref="L13" si="17">(C13*D13*K13/1000)</f>
        <v>0</v>
      </c>
      <c r="M13" s="16"/>
      <c r="N13" s="18"/>
      <c r="O13" s="19">
        <f t="shared" ref="O13" si="18">(C13*D13*N13/1000)</f>
        <v>0</v>
      </c>
      <c r="P13" s="16"/>
      <c r="Q13" s="18"/>
      <c r="R13" s="19">
        <f t="shared" ref="R13" si="19">(C13*D13*Q13/1000)</f>
        <v>0</v>
      </c>
      <c r="S13" s="20">
        <f t="shared" ref="S13" si="20">+H13+K13+Q13+N13</f>
        <v>0</v>
      </c>
      <c r="T13" s="19">
        <f t="shared" ref="T13" si="21">+I13+L13+R13+O13</f>
        <v>0</v>
      </c>
      <c r="U13" s="21">
        <f t="shared" ref="U13" si="22">E13-S13</f>
        <v>0</v>
      </c>
      <c r="V13" s="19">
        <f t="shared" ref="V13" si="23">F13-T13</f>
        <v>0</v>
      </c>
    </row>
    <row r="14" spans="1:22">
      <c r="A14" s="26"/>
      <c r="B14" s="41" t="s">
        <v>139</v>
      </c>
      <c r="C14" s="26"/>
      <c r="D14" s="74"/>
      <c r="E14" s="31">
        <f>SUM(E12:E13)</f>
        <v>5</v>
      </c>
      <c r="F14" s="77">
        <f>SUM(F12:F13)</f>
        <v>0.37019999999999992</v>
      </c>
      <c r="G14" s="17"/>
      <c r="H14" s="31">
        <f>SUM(H12:H13)</f>
        <v>0</v>
      </c>
      <c r="I14" s="77">
        <f>SUM(I12:I13)</f>
        <v>0</v>
      </c>
      <c r="J14" s="16"/>
      <c r="K14" s="31">
        <f>SUM(K12:K13)</f>
        <v>0</v>
      </c>
      <c r="L14" s="77">
        <f>SUM(L12:L13)</f>
        <v>0</v>
      </c>
      <c r="M14" s="16"/>
      <c r="N14" s="31">
        <f>SUM(N12:N13)</f>
        <v>0</v>
      </c>
      <c r="O14" s="77">
        <f>SUM(O12:O13)</f>
        <v>0</v>
      </c>
      <c r="P14" s="16"/>
      <c r="Q14" s="31">
        <f t="shared" ref="Q14:V14" si="24">SUM(Q12:Q13)</f>
        <v>0</v>
      </c>
      <c r="R14" s="77">
        <f t="shared" si="24"/>
        <v>0</v>
      </c>
      <c r="S14" s="31">
        <f t="shared" si="24"/>
        <v>0</v>
      </c>
      <c r="T14" s="77">
        <f t="shared" si="24"/>
        <v>0</v>
      </c>
      <c r="U14" s="31">
        <f t="shared" si="24"/>
        <v>5</v>
      </c>
      <c r="V14" s="77">
        <f t="shared" si="24"/>
        <v>0.37019999999999992</v>
      </c>
    </row>
    <row r="15" spans="1:22">
      <c r="A15" s="26" t="s">
        <v>13</v>
      </c>
      <c r="B15" s="26" t="s">
        <v>58</v>
      </c>
      <c r="C15" s="26">
        <v>7.34</v>
      </c>
      <c r="D15" s="74">
        <v>12</v>
      </c>
      <c r="E15" s="28">
        <v>26</v>
      </c>
      <c r="F15" s="16">
        <f>(C15*D15*E15/1000)</f>
        <v>2.2900800000000001</v>
      </c>
      <c r="G15" s="16" t="s">
        <v>389</v>
      </c>
      <c r="H15" s="18">
        <v>26</v>
      </c>
      <c r="I15" s="19">
        <f>(C15*D15*H15/1000)</f>
        <v>2.2900800000000001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26</v>
      </c>
      <c r="T15" s="19">
        <f>+I15+L15+R15+O15</f>
        <v>2.2900800000000001</v>
      </c>
      <c r="U15" s="21">
        <f>E15-S15</f>
        <v>0</v>
      </c>
      <c r="V15" s="19">
        <f>F15-T15</f>
        <v>0</v>
      </c>
    </row>
    <row r="16" spans="1:22">
      <c r="A16" s="26" t="s">
        <v>13</v>
      </c>
      <c r="B16" s="26" t="s">
        <v>58</v>
      </c>
      <c r="C16" s="26">
        <v>7.34</v>
      </c>
      <c r="D16" s="74"/>
      <c r="E16" s="28"/>
      <c r="F16" s="16">
        <f>(C16*D16*E16/1000)</f>
        <v>0</v>
      </c>
      <c r="G16" s="16" t="s">
        <v>615</v>
      </c>
      <c r="H16" s="18"/>
      <c r="I16" s="19">
        <f t="shared" ref="I16" si="25">(C16*D16*H16/1000)</f>
        <v>0</v>
      </c>
      <c r="J16" s="16"/>
      <c r="K16" s="18"/>
      <c r="L16" s="19">
        <f t="shared" ref="L16" si="26">(C16*D16*K16/1000)</f>
        <v>0</v>
      </c>
      <c r="M16" s="16"/>
      <c r="N16" s="18"/>
      <c r="O16" s="19">
        <f t="shared" ref="O16" si="27">(C16*D16*N16/1000)</f>
        <v>0</v>
      </c>
      <c r="P16" s="16"/>
      <c r="Q16" s="18"/>
      <c r="R16" s="19">
        <f t="shared" ref="R16" si="28">(C16*D16*Q16/1000)</f>
        <v>0</v>
      </c>
      <c r="S16" s="20">
        <f t="shared" ref="S16:T16" si="29">+H16+K16+Q16+N16</f>
        <v>0</v>
      </c>
      <c r="T16" s="19">
        <f t="shared" si="29"/>
        <v>0</v>
      </c>
      <c r="U16" s="21">
        <f t="shared" ref="U16:V16" si="30">E16-S16</f>
        <v>0</v>
      </c>
      <c r="V16" s="19">
        <f t="shared" si="30"/>
        <v>0</v>
      </c>
    </row>
    <row r="17" spans="1:22">
      <c r="A17" s="26"/>
      <c r="B17" s="41" t="s">
        <v>139</v>
      </c>
      <c r="C17" s="26"/>
      <c r="D17" s="74"/>
      <c r="E17" s="31">
        <f>SUM(E15:E16)</f>
        <v>26</v>
      </c>
      <c r="F17" s="77">
        <f>SUM(F15:F16)</f>
        <v>2.2900800000000001</v>
      </c>
      <c r="G17" s="17"/>
      <c r="H17" s="31">
        <f>SUM(H15:H16)</f>
        <v>26</v>
      </c>
      <c r="I17" s="77">
        <f>SUM(I15:I16)</f>
        <v>2.2900800000000001</v>
      </c>
      <c r="J17" s="16"/>
      <c r="K17" s="31">
        <f>SUM(K15:K16)</f>
        <v>0</v>
      </c>
      <c r="L17" s="77">
        <f>SUM(L15:L16)</f>
        <v>0</v>
      </c>
      <c r="M17" s="16"/>
      <c r="N17" s="31">
        <f>SUM(N15:N16)</f>
        <v>0</v>
      </c>
      <c r="O17" s="77">
        <f>SUM(O15:O16)</f>
        <v>0</v>
      </c>
      <c r="P17" s="16"/>
      <c r="Q17" s="31">
        <f t="shared" ref="Q17:V17" si="31">SUM(Q15:Q16)</f>
        <v>0</v>
      </c>
      <c r="R17" s="77">
        <f t="shared" si="31"/>
        <v>0</v>
      </c>
      <c r="S17" s="31">
        <f t="shared" si="31"/>
        <v>26</v>
      </c>
      <c r="T17" s="77">
        <f t="shared" si="31"/>
        <v>2.2900800000000001</v>
      </c>
      <c r="U17" s="31">
        <f t="shared" si="31"/>
        <v>0</v>
      </c>
      <c r="V17" s="77">
        <f t="shared" si="31"/>
        <v>0</v>
      </c>
    </row>
    <row r="18" spans="1:22">
      <c r="A18" s="26" t="s">
        <v>13</v>
      </c>
      <c r="B18" s="26" t="s">
        <v>26</v>
      </c>
      <c r="C18" s="26">
        <v>8.3000000000000007</v>
      </c>
      <c r="D18" s="74">
        <v>12</v>
      </c>
      <c r="E18" s="28">
        <v>9</v>
      </c>
      <c r="F18" s="16">
        <f>(C18*D18*E18/1000)</f>
        <v>0.89640000000000009</v>
      </c>
      <c r="G18" s="16"/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9</v>
      </c>
      <c r="V18" s="19">
        <f>F18-T18</f>
        <v>0.89640000000000009</v>
      </c>
    </row>
    <row r="19" spans="1:22">
      <c r="A19" s="26" t="s">
        <v>13</v>
      </c>
      <c r="B19" s="26" t="s">
        <v>26</v>
      </c>
      <c r="C19" s="26">
        <v>8.3000000000000007</v>
      </c>
      <c r="D19" s="74"/>
      <c r="E19" s="28"/>
      <c r="F19" s="16">
        <f>(C19*D19*E19/1000)</f>
        <v>0</v>
      </c>
      <c r="G19" s="17"/>
      <c r="H19" s="18"/>
      <c r="I19" s="19">
        <f t="shared" ref="I19" si="32">(C19*D19*H19/1000)</f>
        <v>0</v>
      </c>
      <c r="J19" s="16"/>
      <c r="K19" s="18"/>
      <c r="L19" s="19">
        <f t="shared" ref="L19" si="33">(C19*D19*K19/1000)</f>
        <v>0</v>
      </c>
      <c r="M19" s="16"/>
      <c r="N19" s="18"/>
      <c r="O19" s="19">
        <f t="shared" ref="O19" si="34">(C19*D19*N19/1000)</f>
        <v>0</v>
      </c>
      <c r="P19" s="16"/>
      <c r="Q19" s="18"/>
      <c r="R19" s="19">
        <f t="shared" ref="R19" si="35">(C19*D19*Q19/1000)</f>
        <v>0</v>
      </c>
      <c r="S19" s="20">
        <f t="shared" ref="S19:T19" si="36">+H19+K19+Q19+N19</f>
        <v>0</v>
      </c>
      <c r="T19" s="19">
        <f t="shared" si="36"/>
        <v>0</v>
      </c>
      <c r="U19" s="21">
        <f t="shared" ref="U19:V19" si="37">E19-S19</f>
        <v>0</v>
      </c>
      <c r="V19" s="19">
        <f t="shared" si="37"/>
        <v>0</v>
      </c>
    </row>
    <row r="20" spans="1:22">
      <c r="A20" s="26"/>
      <c r="B20" s="41" t="s">
        <v>139</v>
      </c>
      <c r="C20" s="26"/>
      <c r="D20" s="74"/>
      <c r="E20" s="31">
        <f>SUM(E18:E19)</f>
        <v>9</v>
      </c>
      <c r="F20" s="77">
        <f>SUM(F18:F19)</f>
        <v>0.89640000000000009</v>
      </c>
      <c r="G20" s="17"/>
      <c r="H20" s="31">
        <f>SUM(H18:H19)</f>
        <v>0</v>
      </c>
      <c r="I20" s="77">
        <f>SUM(I18:I19)</f>
        <v>0</v>
      </c>
      <c r="J20" s="16"/>
      <c r="K20" s="31">
        <f>SUM(K18:K19)</f>
        <v>0</v>
      </c>
      <c r="L20" s="77">
        <f>SUM(L18:L19)</f>
        <v>0</v>
      </c>
      <c r="M20" s="16"/>
      <c r="N20" s="31">
        <f>SUM(N18:N19)</f>
        <v>0</v>
      </c>
      <c r="O20" s="77">
        <f>SUM(O18:O19)</f>
        <v>0</v>
      </c>
      <c r="P20" s="16"/>
      <c r="Q20" s="31">
        <f t="shared" ref="Q20:V20" si="38">SUM(Q18:Q19)</f>
        <v>0</v>
      </c>
      <c r="R20" s="77">
        <f t="shared" si="38"/>
        <v>0</v>
      </c>
      <c r="S20" s="31">
        <f t="shared" si="38"/>
        <v>0</v>
      </c>
      <c r="T20" s="77">
        <f t="shared" si="38"/>
        <v>0</v>
      </c>
      <c r="U20" s="31">
        <f t="shared" si="38"/>
        <v>9</v>
      </c>
      <c r="V20" s="77">
        <f t="shared" si="38"/>
        <v>0.89640000000000009</v>
      </c>
    </row>
    <row r="21" spans="1:22">
      <c r="A21" s="33"/>
      <c r="B21" s="33"/>
      <c r="C21" s="34"/>
      <c r="D21" s="34"/>
      <c r="E21" s="34">
        <f>SUM(E6:E20)/2</f>
        <v>61</v>
      </c>
      <c r="F21" s="35">
        <f>SUM(F6:F20)/2</f>
        <v>6.9010799999999994</v>
      </c>
      <c r="G21" s="26"/>
      <c r="H21" s="34">
        <f>SUM(H6:H20)/2</f>
        <v>26</v>
      </c>
      <c r="I21" s="35">
        <f>SUM(I6:I20)/2</f>
        <v>2.2900800000000001</v>
      </c>
      <c r="J21" s="26"/>
      <c r="K21" s="34">
        <f>SUM(K6:K20)/2</f>
        <v>0</v>
      </c>
      <c r="L21" s="35">
        <f>SUM(L6:L20)/2</f>
        <v>0</v>
      </c>
      <c r="M21" s="26"/>
      <c r="N21" s="34">
        <f>SUM(N6:N20)/2</f>
        <v>0</v>
      </c>
      <c r="O21" s="35">
        <f>SUM(O6:O20)/2</f>
        <v>0</v>
      </c>
      <c r="P21" s="26"/>
      <c r="Q21" s="34">
        <f t="shared" ref="Q21:V21" si="39">SUM(Q6:Q20)/2</f>
        <v>0</v>
      </c>
      <c r="R21" s="35">
        <f t="shared" si="39"/>
        <v>0</v>
      </c>
      <c r="S21" s="34">
        <f t="shared" si="39"/>
        <v>26</v>
      </c>
      <c r="T21" s="35">
        <f t="shared" si="39"/>
        <v>2.2900800000000001</v>
      </c>
      <c r="U21" s="34">
        <f t="shared" si="39"/>
        <v>35</v>
      </c>
      <c r="V21" s="35">
        <f t="shared" si="39"/>
        <v>4.6109999999999998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V178"/>
  <sheetViews>
    <sheetView zoomScale="75" zoomScaleNormal="75" workbookViewId="0">
      <pane ySplit="5" topLeftCell="A66" activePane="bottomLeft" state="frozen"/>
      <selection pane="bottomLeft" activeCell="I11" sqref="I1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LOI-1046  02.11.23</v>
      </c>
      <c r="D1" s="1"/>
      <c r="E1" s="2"/>
      <c r="F1" s="2"/>
      <c r="G1" s="143" t="s">
        <v>500</v>
      </c>
      <c r="H1" s="144"/>
      <c r="I1" s="145" t="s">
        <v>501</v>
      </c>
      <c r="J1" s="144"/>
      <c r="K1" s="3"/>
      <c r="L1" s="4"/>
      <c r="M1" s="4"/>
      <c r="N1" s="3"/>
      <c r="O1" s="4"/>
      <c r="P1" s="146" t="str">
        <f>+F2</f>
        <v>LOI-1046  02.11.23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502</v>
      </c>
      <c r="B2" s="8"/>
      <c r="C2" s="9"/>
      <c r="D2" s="9"/>
      <c r="E2" s="10"/>
      <c r="F2" s="146" t="s">
        <v>499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LOI-1046  02.11.23</v>
      </c>
      <c r="V2" s="146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30">
        <v>9.26</v>
      </c>
      <c r="D6" s="27">
        <v>11.3</v>
      </c>
      <c r="E6" s="28">
        <v>11</v>
      </c>
      <c r="F6" s="16">
        <f>(C6*D6*E6/1000)</f>
        <v>1.1510180000000001</v>
      </c>
      <c r="G6" s="16" t="s">
        <v>93</v>
      </c>
      <c r="H6" s="18">
        <v>11</v>
      </c>
      <c r="I6" s="19">
        <f>(C6*D6*H6/1000)</f>
        <v>1.1510180000000001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11</v>
      </c>
      <c r="T6" s="19">
        <f>+I6+L6+R6+O6</f>
        <v>1.1510180000000001</v>
      </c>
      <c r="U6" s="21">
        <f>E6-S6</f>
        <v>0</v>
      </c>
      <c r="V6" s="19">
        <f>F6-T6</f>
        <v>0</v>
      </c>
    </row>
    <row r="7" spans="1:22">
      <c r="A7" s="36"/>
      <c r="B7" s="36"/>
      <c r="C7" s="37"/>
      <c r="D7" s="38"/>
      <c r="E7" s="31">
        <f t="shared" ref="E7:F7" si="0">SUM(E6)</f>
        <v>11</v>
      </c>
      <c r="F7" s="38">
        <f t="shared" si="0"/>
        <v>1.1510180000000001</v>
      </c>
      <c r="G7" s="17" t="s">
        <v>512</v>
      </c>
      <c r="H7" s="31">
        <f t="shared" ref="H7" si="1">SUM(H6)</f>
        <v>11</v>
      </c>
      <c r="I7" s="38">
        <f t="shared" ref="I7" si="2">SUM(I6)</f>
        <v>1.1510180000000001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11</v>
      </c>
      <c r="T7" s="38">
        <f t="shared" ref="T7" si="10">SUM(T6)</f>
        <v>1.1510180000000001</v>
      </c>
      <c r="U7" s="31">
        <f t="shared" ref="U7" si="11">SUM(U6)</f>
        <v>0</v>
      </c>
      <c r="V7" s="38">
        <f t="shared" ref="V7" si="12">SUM(V6)</f>
        <v>0</v>
      </c>
    </row>
    <row r="8" spans="1:22">
      <c r="A8" s="26" t="s">
        <v>13</v>
      </c>
      <c r="B8" s="26" t="s">
        <v>46</v>
      </c>
      <c r="C8" s="30">
        <v>10.7</v>
      </c>
      <c r="D8" s="27">
        <v>9.4</v>
      </c>
      <c r="E8" s="28">
        <v>10</v>
      </c>
      <c r="F8" s="16">
        <f t="shared" ref="F8:F10" si="13">(C8*D8*E8/1000)</f>
        <v>1.0058</v>
      </c>
      <c r="G8" s="16" t="s">
        <v>93</v>
      </c>
      <c r="H8" s="18">
        <v>10</v>
      </c>
      <c r="I8" s="19">
        <f t="shared" ref="I8:I10" si="14">(C8*D8*H8/1000)</f>
        <v>1.0058</v>
      </c>
      <c r="J8" s="16"/>
      <c r="K8" s="18"/>
      <c r="L8" s="19">
        <f t="shared" ref="L8:L10" si="15">(C8*D8*K8/1000)</f>
        <v>0</v>
      </c>
      <c r="M8" s="16"/>
      <c r="N8" s="18"/>
      <c r="O8" s="19">
        <f t="shared" ref="O8:O10" si="16">(C8*D8*N8/1000)</f>
        <v>0</v>
      </c>
      <c r="P8" s="16"/>
      <c r="Q8" s="18"/>
      <c r="R8" s="19">
        <f t="shared" ref="R8:R10" si="17">(C8*D8*Q8/1000)</f>
        <v>0</v>
      </c>
      <c r="S8" s="20">
        <f t="shared" ref="S8:S10" si="18">+H8+K8+Q8+N8</f>
        <v>10</v>
      </c>
      <c r="T8" s="19">
        <f t="shared" ref="T8:T10" si="19">+I8+L8+R8+O8</f>
        <v>1.0058</v>
      </c>
      <c r="U8" s="21">
        <f t="shared" ref="U8:U10" si="20">E8-S8</f>
        <v>0</v>
      </c>
      <c r="V8" s="19">
        <f t="shared" ref="V8:V10" si="21">F8-T8</f>
        <v>0</v>
      </c>
    </row>
    <row r="9" spans="1:22">
      <c r="A9" s="26" t="s">
        <v>13</v>
      </c>
      <c r="B9" s="26" t="s">
        <v>46</v>
      </c>
      <c r="C9" s="30">
        <v>10.7</v>
      </c>
      <c r="D9" s="27">
        <v>11.6</v>
      </c>
      <c r="E9" s="28">
        <v>20</v>
      </c>
      <c r="F9" s="16">
        <f t="shared" si="13"/>
        <v>2.4823999999999997</v>
      </c>
      <c r="G9" s="17" t="s">
        <v>512</v>
      </c>
      <c r="H9" s="18">
        <v>20</v>
      </c>
      <c r="I9" s="19">
        <f t="shared" si="14"/>
        <v>2.4823999999999997</v>
      </c>
      <c r="J9" s="16"/>
      <c r="K9" s="18"/>
      <c r="L9" s="19">
        <f t="shared" si="15"/>
        <v>0</v>
      </c>
      <c r="M9" s="16"/>
      <c r="N9" s="18"/>
      <c r="O9" s="19">
        <f t="shared" si="16"/>
        <v>0</v>
      </c>
      <c r="P9" s="16"/>
      <c r="Q9" s="18"/>
      <c r="R9" s="19">
        <f t="shared" si="17"/>
        <v>0</v>
      </c>
      <c r="S9" s="20">
        <f t="shared" si="18"/>
        <v>20</v>
      </c>
      <c r="T9" s="19">
        <f t="shared" si="19"/>
        <v>2.4823999999999997</v>
      </c>
      <c r="U9" s="21">
        <f t="shared" si="20"/>
        <v>0</v>
      </c>
      <c r="V9" s="19">
        <f t="shared" si="21"/>
        <v>0</v>
      </c>
    </row>
    <row r="10" spans="1:22">
      <c r="A10" s="26" t="s">
        <v>13</v>
      </c>
      <c r="B10" s="26" t="s">
        <v>46</v>
      </c>
      <c r="C10" s="30">
        <v>10.7</v>
      </c>
      <c r="D10" s="27">
        <v>12</v>
      </c>
      <c r="E10" s="28">
        <v>2</v>
      </c>
      <c r="F10" s="16">
        <f t="shared" si="13"/>
        <v>0.25679999999999997</v>
      </c>
      <c r="G10" s="17"/>
      <c r="H10" s="18">
        <v>2</v>
      </c>
      <c r="I10" s="19">
        <f t="shared" si="14"/>
        <v>0.25679999999999997</v>
      </c>
      <c r="J10" s="16"/>
      <c r="K10" s="18"/>
      <c r="L10" s="19">
        <f t="shared" si="15"/>
        <v>0</v>
      </c>
      <c r="M10" s="16"/>
      <c r="N10" s="18"/>
      <c r="O10" s="19">
        <f t="shared" si="16"/>
        <v>0</v>
      </c>
      <c r="P10" s="16"/>
      <c r="Q10" s="18"/>
      <c r="R10" s="19">
        <f t="shared" si="17"/>
        <v>0</v>
      </c>
      <c r="S10" s="20">
        <f t="shared" si="18"/>
        <v>2</v>
      </c>
      <c r="T10" s="19">
        <f t="shared" si="19"/>
        <v>0.25679999999999997</v>
      </c>
      <c r="U10" s="21">
        <f t="shared" si="20"/>
        <v>0</v>
      </c>
      <c r="V10" s="19">
        <f t="shared" si="21"/>
        <v>0</v>
      </c>
    </row>
    <row r="11" spans="1:22">
      <c r="A11" s="36"/>
      <c r="B11" s="36"/>
      <c r="C11" s="37"/>
      <c r="D11" s="38"/>
      <c r="E11" s="31">
        <f t="shared" ref="E11:F11" si="22">SUM(E8:E10)</f>
        <v>32</v>
      </c>
      <c r="F11" s="38">
        <f t="shared" si="22"/>
        <v>3.7450000000000001</v>
      </c>
      <c r="G11" s="17"/>
      <c r="H11" s="31">
        <f t="shared" ref="H11" si="23">SUM(H8:H10)</f>
        <v>32</v>
      </c>
      <c r="I11" s="38">
        <f t="shared" ref="I11" si="24">SUM(I8:I10)</f>
        <v>3.7450000000000001</v>
      </c>
      <c r="J11" s="16"/>
      <c r="K11" s="31">
        <f t="shared" ref="K11" si="25">SUM(K8:K10)</f>
        <v>0</v>
      </c>
      <c r="L11" s="38">
        <f t="shared" ref="L11" si="26">SUM(L8:L10)</f>
        <v>0</v>
      </c>
      <c r="M11" s="16"/>
      <c r="N11" s="31">
        <f t="shared" ref="N11" si="27">SUM(N8:N10)</f>
        <v>0</v>
      </c>
      <c r="O11" s="38">
        <f t="shared" ref="O11" si="28">SUM(O8:O10)</f>
        <v>0</v>
      </c>
      <c r="P11" s="16"/>
      <c r="Q11" s="31">
        <f t="shared" ref="Q11" si="29">SUM(Q8:Q10)</f>
        <v>0</v>
      </c>
      <c r="R11" s="38">
        <f t="shared" ref="R11" si="30">SUM(R8:R10)</f>
        <v>0</v>
      </c>
      <c r="S11" s="31">
        <f t="shared" ref="S11" si="31">SUM(S8:S10)</f>
        <v>32</v>
      </c>
      <c r="T11" s="38">
        <f t="shared" ref="T11" si="32">SUM(T8:T10)</f>
        <v>3.7450000000000001</v>
      </c>
      <c r="U11" s="31">
        <f t="shared" ref="U11" si="33">SUM(U8:U10)</f>
        <v>0</v>
      </c>
      <c r="V11" s="38">
        <f t="shared" ref="V11" si="34">SUM(V8:V10)</f>
        <v>0</v>
      </c>
    </row>
    <row r="12" spans="1:22">
      <c r="A12" s="26" t="s">
        <v>13</v>
      </c>
      <c r="B12" s="26" t="s">
        <v>61</v>
      </c>
      <c r="C12" s="30">
        <v>12.2</v>
      </c>
      <c r="D12" s="27">
        <v>10.5</v>
      </c>
      <c r="E12" s="28">
        <v>13</v>
      </c>
      <c r="F12" s="16">
        <f t="shared" ref="F12:F14" si="35">(C12*D12*E12/1000)</f>
        <v>1.6653</v>
      </c>
      <c r="G12" s="17" t="s">
        <v>89</v>
      </c>
      <c r="H12" s="18">
        <v>10</v>
      </c>
      <c r="I12" s="19">
        <f t="shared" ref="I12:I14" si="36">(C12*D12*H12/1000)</f>
        <v>1.2809999999999999</v>
      </c>
      <c r="J12" s="16"/>
      <c r="K12" s="18"/>
      <c r="L12" s="19">
        <f t="shared" ref="L12:L14" si="37">(C12*D12*K12/1000)</f>
        <v>0</v>
      </c>
      <c r="M12" s="16"/>
      <c r="N12" s="18"/>
      <c r="O12" s="19">
        <f t="shared" ref="O12:O14" si="38">(C12*D12*N12/1000)</f>
        <v>0</v>
      </c>
      <c r="P12" s="16"/>
      <c r="Q12" s="18"/>
      <c r="R12" s="19">
        <f t="shared" ref="R12:R14" si="39">(C12*D12*Q12/1000)</f>
        <v>0</v>
      </c>
      <c r="S12" s="20">
        <f t="shared" ref="S12:S14" si="40">+H12+K12+Q12+N12</f>
        <v>10</v>
      </c>
      <c r="T12" s="19">
        <f t="shared" ref="T12:T14" si="41">+I12+L12+R12+O12</f>
        <v>1.2809999999999999</v>
      </c>
      <c r="U12" s="21">
        <f t="shared" ref="U12:U14" si="42">E12-S12</f>
        <v>3</v>
      </c>
      <c r="V12" s="19">
        <f t="shared" ref="V12:V14" si="43">F12-T12</f>
        <v>0.38430000000000009</v>
      </c>
    </row>
    <row r="13" spans="1:22">
      <c r="A13" s="26" t="s">
        <v>13</v>
      </c>
      <c r="B13" s="26" t="s">
        <v>61</v>
      </c>
      <c r="C13" s="30">
        <v>12.2</v>
      </c>
      <c r="D13" s="27">
        <v>11.5</v>
      </c>
      <c r="E13" s="28">
        <v>8</v>
      </c>
      <c r="F13" s="16">
        <f t="shared" si="35"/>
        <v>1.1223999999999998</v>
      </c>
      <c r="G13" s="26" t="s">
        <v>516</v>
      </c>
      <c r="H13" s="18">
        <v>6</v>
      </c>
      <c r="I13" s="19">
        <f t="shared" si="36"/>
        <v>0.84179999999999999</v>
      </c>
      <c r="J13" s="16"/>
      <c r="K13" s="18"/>
      <c r="L13" s="19">
        <f t="shared" si="37"/>
        <v>0</v>
      </c>
      <c r="M13" s="16"/>
      <c r="N13" s="18"/>
      <c r="O13" s="19">
        <f t="shared" si="38"/>
        <v>0</v>
      </c>
      <c r="P13" s="16"/>
      <c r="Q13" s="18"/>
      <c r="R13" s="19">
        <f t="shared" si="39"/>
        <v>0</v>
      </c>
      <c r="S13" s="20">
        <f t="shared" si="40"/>
        <v>6</v>
      </c>
      <c r="T13" s="19">
        <f t="shared" si="41"/>
        <v>0.84179999999999999</v>
      </c>
      <c r="U13" s="21">
        <f t="shared" si="42"/>
        <v>2</v>
      </c>
      <c r="V13" s="19">
        <f t="shared" si="43"/>
        <v>0.28059999999999985</v>
      </c>
    </row>
    <row r="14" spans="1:22">
      <c r="A14" s="26" t="s">
        <v>13</v>
      </c>
      <c r="B14" s="26" t="s">
        <v>61</v>
      </c>
      <c r="C14" s="30">
        <v>12.2</v>
      </c>
      <c r="D14" s="27">
        <v>12</v>
      </c>
      <c r="E14" s="28">
        <v>2</v>
      </c>
      <c r="F14" s="16">
        <f t="shared" si="35"/>
        <v>0.29279999999999995</v>
      </c>
      <c r="G14" s="17"/>
      <c r="H14" s="18">
        <v>7</v>
      </c>
      <c r="I14" s="19">
        <f t="shared" si="36"/>
        <v>1.0247999999999997</v>
      </c>
      <c r="J14" s="16"/>
      <c r="K14" s="18"/>
      <c r="L14" s="19">
        <f t="shared" si="37"/>
        <v>0</v>
      </c>
      <c r="M14" s="16"/>
      <c r="N14" s="18"/>
      <c r="O14" s="19">
        <f t="shared" si="38"/>
        <v>0</v>
      </c>
      <c r="P14" s="16"/>
      <c r="Q14" s="18"/>
      <c r="R14" s="19">
        <f t="shared" si="39"/>
        <v>0</v>
      </c>
      <c r="S14" s="20">
        <f t="shared" si="40"/>
        <v>7</v>
      </c>
      <c r="T14" s="19">
        <f t="shared" si="41"/>
        <v>1.0247999999999997</v>
      </c>
      <c r="U14" s="21">
        <f t="shared" si="42"/>
        <v>-5</v>
      </c>
      <c r="V14" s="19">
        <f t="shared" si="43"/>
        <v>-0.73199999999999976</v>
      </c>
    </row>
    <row r="15" spans="1:22">
      <c r="A15" s="36"/>
      <c r="B15" s="36"/>
      <c r="C15" s="37"/>
      <c r="D15" s="38"/>
      <c r="E15" s="31">
        <f t="shared" ref="E15:F15" si="44">SUM(E12:E14)</f>
        <v>23</v>
      </c>
      <c r="F15" s="38">
        <f t="shared" si="44"/>
        <v>3.0804999999999998</v>
      </c>
      <c r="G15" s="16"/>
      <c r="H15" s="31">
        <f t="shared" ref="H15" si="45">SUM(H12:H14)</f>
        <v>23</v>
      </c>
      <c r="I15" s="38">
        <f t="shared" ref="I15" si="46">SUM(I12:I14)</f>
        <v>3.1475999999999997</v>
      </c>
      <c r="J15" s="16"/>
      <c r="K15" s="31">
        <f t="shared" ref="K15" si="47">SUM(K12:K14)</f>
        <v>0</v>
      </c>
      <c r="L15" s="38">
        <f t="shared" ref="L15" si="48">SUM(L12:L14)</f>
        <v>0</v>
      </c>
      <c r="M15" s="16"/>
      <c r="N15" s="31">
        <f t="shared" ref="N15" si="49">SUM(N12:N14)</f>
        <v>0</v>
      </c>
      <c r="O15" s="38">
        <f t="shared" ref="O15" si="50">SUM(O12:O14)</f>
        <v>0</v>
      </c>
      <c r="P15" s="16"/>
      <c r="Q15" s="31">
        <f t="shared" ref="Q15" si="51">SUM(Q12:Q14)</f>
        <v>0</v>
      </c>
      <c r="R15" s="38">
        <f t="shared" ref="R15" si="52">SUM(R12:R14)</f>
        <v>0</v>
      </c>
      <c r="S15" s="31">
        <f t="shared" ref="S15" si="53">SUM(S12:S14)</f>
        <v>23</v>
      </c>
      <c r="T15" s="38">
        <f t="shared" ref="T15" si="54">SUM(T12:T14)</f>
        <v>3.1475999999999997</v>
      </c>
      <c r="U15" s="31">
        <f t="shared" ref="U15" si="55">SUM(U12:U14)</f>
        <v>0</v>
      </c>
      <c r="V15" s="38">
        <f t="shared" ref="V15" si="56">SUM(V12:V14)</f>
        <v>-6.7099999999999826E-2</v>
      </c>
    </row>
    <row r="16" spans="1:22">
      <c r="A16" s="26" t="s">
        <v>13</v>
      </c>
      <c r="B16" s="26" t="s">
        <v>180</v>
      </c>
      <c r="C16" s="30">
        <v>13.6</v>
      </c>
      <c r="D16" s="27">
        <v>6.6</v>
      </c>
      <c r="E16" s="28">
        <v>8</v>
      </c>
      <c r="F16" s="16">
        <f>(C16*D16*E16/1000)</f>
        <v>0.71807999999999994</v>
      </c>
      <c r="G16" s="17" t="s">
        <v>93</v>
      </c>
      <c r="H16" s="18">
        <v>8</v>
      </c>
      <c r="I16" s="19">
        <f>(C16*D16*H16/1000)</f>
        <v>0.71807999999999994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8</v>
      </c>
      <c r="T16" s="19">
        <f>+I16+L16+R16+O16</f>
        <v>0.71807999999999994</v>
      </c>
      <c r="U16" s="21">
        <f>E16-S16</f>
        <v>0</v>
      </c>
      <c r="V16" s="19">
        <f>F16-T16</f>
        <v>0</v>
      </c>
    </row>
    <row r="17" spans="1:22">
      <c r="A17" s="36"/>
      <c r="B17" s="36"/>
      <c r="C17" s="37"/>
      <c r="D17" s="38"/>
      <c r="E17" s="31">
        <f t="shared" ref="E17:F17" si="57">SUM(E16)</f>
        <v>8</v>
      </c>
      <c r="F17" s="38">
        <f t="shared" si="57"/>
        <v>0.71807999999999994</v>
      </c>
      <c r="G17" s="26" t="s">
        <v>517</v>
      </c>
      <c r="H17" s="31">
        <f t="shared" ref="H17" si="58">SUM(H16)</f>
        <v>8</v>
      </c>
      <c r="I17" s="38">
        <f t="shared" ref="I17" si="59">SUM(I16)</f>
        <v>0.71807999999999994</v>
      </c>
      <c r="J17" s="16"/>
      <c r="K17" s="31">
        <f t="shared" ref="K17" si="60">SUM(K16)</f>
        <v>0</v>
      </c>
      <c r="L17" s="38">
        <f t="shared" ref="L17" si="61">SUM(L16)</f>
        <v>0</v>
      </c>
      <c r="M17" s="16"/>
      <c r="N17" s="31">
        <f t="shared" ref="N17" si="62">SUM(N16)</f>
        <v>0</v>
      </c>
      <c r="O17" s="38">
        <f t="shared" ref="O17" si="63">SUM(O16)</f>
        <v>0</v>
      </c>
      <c r="P17" s="16"/>
      <c r="Q17" s="31">
        <f t="shared" ref="Q17" si="64">SUM(Q16)</f>
        <v>0</v>
      </c>
      <c r="R17" s="38">
        <f t="shared" ref="R17" si="65">SUM(R16)</f>
        <v>0</v>
      </c>
      <c r="S17" s="31">
        <f t="shared" ref="S17" si="66">SUM(S16)</f>
        <v>8</v>
      </c>
      <c r="T17" s="38">
        <f t="shared" ref="T17" si="67">SUM(T16)</f>
        <v>0.71807999999999994</v>
      </c>
      <c r="U17" s="31">
        <f t="shared" ref="U17" si="68">SUM(U16)</f>
        <v>0</v>
      </c>
      <c r="V17" s="38">
        <f t="shared" ref="V17" si="69">SUM(V16)</f>
        <v>0</v>
      </c>
    </row>
    <row r="18" spans="1:22">
      <c r="A18" s="26" t="s">
        <v>13</v>
      </c>
      <c r="B18" s="26" t="s">
        <v>25</v>
      </c>
      <c r="C18" s="30">
        <v>13.4</v>
      </c>
      <c r="D18" s="27">
        <v>11.4</v>
      </c>
      <c r="E18" s="28">
        <v>4</v>
      </c>
      <c r="F18" s="16">
        <f>(C18*D18*E18/1000)</f>
        <v>0.61104000000000003</v>
      </c>
      <c r="G18" s="17" t="s">
        <v>93</v>
      </c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4</v>
      </c>
      <c r="V18" s="19">
        <f>F18-T18</f>
        <v>0.61104000000000003</v>
      </c>
    </row>
    <row r="19" spans="1:22">
      <c r="A19" s="26" t="s">
        <v>13</v>
      </c>
      <c r="B19" s="26" t="s">
        <v>25</v>
      </c>
      <c r="C19" s="30">
        <v>13.4</v>
      </c>
      <c r="D19" s="27">
        <v>12</v>
      </c>
      <c r="E19" s="28"/>
      <c r="F19" s="16">
        <f t="shared" ref="F19" si="70">(C19*D19*E19/1000)</f>
        <v>0</v>
      </c>
      <c r="G19" s="17" t="s">
        <v>515</v>
      </c>
      <c r="H19" s="18">
        <v>3</v>
      </c>
      <c r="I19" s="19">
        <f t="shared" ref="I19" si="71">(C19*D19*H19/1000)</f>
        <v>0.48240000000000005</v>
      </c>
      <c r="J19" s="16"/>
      <c r="K19" s="18"/>
      <c r="L19" s="19">
        <f t="shared" ref="L19" si="72">(C19*D19*K19/1000)</f>
        <v>0</v>
      </c>
      <c r="M19" s="16"/>
      <c r="N19" s="18"/>
      <c r="O19" s="19">
        <f t="shared" ref="O19" si="73">(C19*D19*N19/1000)</f>
        <v>0</v>
      </c>
      <c r="P19" s="16"/>
      <c r="Q19" s="18"/>
      <c r="R19" s="19">
        <f t="shared" ref="R19" si="74">(C19*D19*Q19/1000)</f>
        <v>0</v>
      </c>
      <c r="S19" s="20">
        <f t="shared" ref="S19" si="75">+H19+K19+Q19+N19</f>
        <v>3</v>
      </c>
      <c r="T19" s="19">
        <f t="shared" ref="T19" si="76">+I19+L19+R19+O19</f>
        <v>0.48240000000000005</v>
      </c>
      <c r="U19" s="21">
        <f t="shared" ref="U19" si="77">E19-S19</f>
        <v>-3</v>
      </c>
      <c r="V19" s="19">
        <f t="shared" ref="V19" si="78">F19-T19</f>
        <v>-0.48240000000000005</v>
      </c>
    </row>
    <row r="20" spans="1:22">
      <c r="A20" s="26" t="s">
        <v>13</v>
      </c>
      <c r="B20" s="26" t="s">
        <v>25</v>
      </c>
      <c r="C20" s="30">
        <v>13.4</v>
      </c>
      <c r="D20" s="27">
        <v>6.5</v>
      </c>
      <c r="E20" s="28"/>
      <c r="F20" s="16">
        <f t="shared" ref="F20:F21" si="79">(C20*D20*E20/1000)</f>
        <v>0</v>
      </c>
      <c r="G20" s="17"/>
      <c r="H20" s="18">
        <v>1</v>
      </c>
      <c r="I20" s="19">
        <f t="shared" ref="I20:I21" si="80">(C20*D20*H20/1000)</f>
        <v>8.7100000000000011E-2</v>
      </c>
      <c r="J20" s="16"/>
      <c r="K20" s="18"/>
      <c r="L20" s="19">
        <f t="shared" ref="L20:L21" si="81">(C20*D20*K20/1000)</f>
        <v>0</v>
      </c>
      <c r="M20" s="16"/>
      <c r="N20" s="18"/>
      <c r="O20" s="19">
        <f t="shared" ref="O20:O21" si="82">(C20*D20*N20/1000)</f>
        <v>0</v>
      </c>
      <c r="P20" s="16"/>
      <c r="Q20" s="18"/>
      <c r="R20" s="19">
        <f t="shared" ref="R20:R21" si="83">(C20*D20*Q20/1000)</f>
        <v>0</v>
      </c>
      <c r="S20" s="20">
        <f t="shared" ref="S20:S21" si="84">+H20+K20+Q20+N20</f>
        <v>1</v>
      </c>
      <c r="T20" s="19">
        <f t="shared" ref="T20:T21" si="85">+I20+L20+R20+O20</f>
        <v>8.7100000000000011E-2</v>
      </c>
      <c r="U20" s="21">
        <f t="shared" ref="U20:U21" si="86">E20-S20</f>
        <v>-1</v>
      </c>
      <c r="V20" s="19">
        <f t="shared" ref="V20:V21" si="87">F20-T20</f>
        <v>-8.7100000000000011E-2</v>
      </c>
    </row>
    <row r="21" spans="1:22">
      <c r="A21" s="26" t="s">
        <v>13</v>
      </c>
      <c r="B21" s="26" t="s">
        <v>25</v>
      </c>
      <c r="C21" s="30">
        <v>13.4</v>
      </c>
      <c r="D21" s="27">
        <v>6.4</v>
      </c>
      <c r="E21" s="28"/>
      <c r="F21" s="16">
        <f t="shared" si="79"/>
        <v>0</v>
      </c>
      <c r="G21" s="17"/>
      <c r="H21" s="18">
        <v>1</v>
      </c>
      <c r="I21" s="19">
        <f t="shared" si="80"/>
        <v>8.5760000000000003E-2</v>
      </c>
      <c r="J21" s="16"/>
      <c r="K21" s="18"/>
      <c r="L21" s="19">
        <f t="shared" si="81"/>
        <v>0</v>
      </c>
      <c r="M21" s="16"/>
      <c r="N21" s="18"/>
      <c r="O21" s="19">
        <f t="shared" si="82"/>
        <v>0</v>
      </c>
      <c r="P21" s="16"/>
      <c r="Q21" s="18"/>
      <c r="R21" s="19">
        <f t="shared" si="83"/>
        <v>0</v>
      </c>
      <c r="S21" s="20">
        <f t="shared" si="84"/>
        <v>1</v>
      </c>
      <c r="T21" s="19">
        <f t="shared" si="85"/>
        <v>8.5760000000000003E-2</v>
      </c>
      <c r="U21" s="21">
        <f t="shared" si="86"/>
        <v>-1</v>
      </c>
      <c r="V21" s="19">
        <f t="shared" si="87"/>
        <v>-8.5760000000000003E-2</v>
      </c>
    </row>
    <row r="22" spans="1:22">
      <c r="A22" s="36"/>
      <c r="B22" s="36"/>
      <c r="C22" s="37"/>
      <c r="D22" s="38"/>
      <c r="E22" s="31">
        <f t="shared" ref="E22:F22" si="88">SUM(E18:E21)</f>
        <v>4</v>
      </c>
      <c r="F22" s="38">
        <f t="shared" si="88"/>
        <v>0.61104000000000003</v>
      </c>
      <c r="G22" s="17"/>
      <c r="H22" s="31">
        <f t="shared" ref="H22" si="89">SUM(H18:H21)</f>
        <v>5</v>
      </c>
      <c r="I22" s="38">
        <f t="shared" ref="I22" si="90">SUM(I18:I21)</f>
        <v>0.65526000000000018</v>
      </c>
      <c r="J22" s="16"/>
      <c r="K22" s="31">
        <f t="shared" ref="K22" si="91">SUM(K18:K21)</f>
        <v>0</v>
      </c>
      <c r="L22" s="38">
        <f t="shared" ref="L22" si="92">SUM(L18:L21)</f>
        <v>0</v>
      </c>
      <c r="M22" s="16"/>
      <c r="N22" s="31">
        <f t="shared" ref="N22" si="93">SUM(N18:N21)</f>
        <v>0</v>
      </c>
      <c r="O22" s="38">
        <f t="shared" ref="O22" si="94">SUM(O18:O21)</f>
        <v>0</v>
      </c>
      <c r="P22" s="16"/>
      <c r="Q22" s="31">
        <f t="shared" ref="Q22" si="95">SUM(Q18:Q21)</f>
        <v>0</v>
      </c>
      <c r="R22" s="38">
        <f t="shared" ref="R22" si="96">SUM(R18:R21)</f>
        <v>0</v>
      </c>
      <c r="S22" s="31">
        <f t="shared" ref="S22" si="97">SUM(S18:S21)</f>
        <v>5</v>
      </c>
      <c r="T22" s="38">
        <f t="shared" ref="T22" si="98">SUM(T18:T21)</f>
        <v>0.65526000000000018</v>
      </c>
      <c r="U22" s="31">
        <f t="shared" ref="U22" si="99">SUM(U18:U21)</f>
        <v>-1</v>
      </c>
      <c r="V22" s="38">
        <f t="shared" ref="V22" si="100">SUM(V18:V21)</f>
        <v>-4.4220000000000037E-2</v>
      </c>
    </row>
    <row r="23" spans="1:22">
      <c r="A23" s="26" t="s">
        <v>13</v>
      </c>
      <c r="B23" s="26" t="s">
        <v>47</v>
      </c>
      <c r="C23" s="30">
        <v>18.2</v>
      </c>
      <c r="D23" s="27">
        <v>12</v>
      </c>
      <c r="E23" s="28">
        <v>2</v>
      </c>
      <c r="F23" s="16">
        <f>(C23*D23*E23/1000)</f>
        <v>0.43679999999999997</v>
      </c>
      <c r="G23" s="17" t="s">
        <v>111</v>
      </c>
      <c r="H23" s="18"/>
      <c r="I23" s="19">
        <f>(C23*D23*H23/1000)</f>
        <v>0</v>
      </c>
      <c r="J23" s="16"/>
      <c r="K23" s="18"/>
      <c r="L23" s="19">
        <f>(C23*D23*K23/1000)</f>
        <v>0</v>
      </c>
      <c r="M23" s="16"/>
      <c r="N23" s="18"/>
      <c r="O23" s="19">
        <f>(C23*D23*N23/1000)</f>
        <v>0</v>
      </c>
      <c r="P23" s="16"/>
      <c r="Q23" s="18"/>
      <c r="R23" s="19">
        <f>(C23*D23*Q23/1000)</f>
        <v>0</v>
      </c>
      <c r="S23" s="20">
        <f>+H23+K23+Q23+N23</f>
        <v>0</v>
      </c>
      <c r="T23" s="19">
        <f>+I23+L23+R23+O23</f>
        <v>0</v>
      </c>
      <c r="U23" s="21">
        <f>E23-S23</f>
        <v>2</v>
      </c>
      <c r="V23" s="19">
        <f>F23-T23</f>
        <v>0.43679999999999997</v>
      </c>
    </row>
    <row r="24" spans="1:22">
      <c r="A24" s="26" t="s">
        <v>13</v>
      </c>
      <c r="B24" s="26" t="s">
        <v>47</v>
      </c>
      <c r="C24" s="30">
        <v>18.2</v>
      </c>
      <c r="D24" s="27">
        <v>11.5</v>
      </c>
      <c r="E24" s="28"/>
      <c r="F24" s="16">
        <f t="shared" ref="F24:F25" si="101">(C24*D24*E24/1000)</f>
        <v>0</v>
      </c>
      <c r="G24" s="17" t="s">
        <v>515</v>
      </c>
      <c r="H24" s="18">
        <v>2</v>
      </c>
      <c r="I24" s="19">
        <f t="shared" ref="I24:I25" si="102">(C24*D24*H24/1000)</f>
        <v>0.41859999999999997</v>
      </c>
      <c r="J24" s="16"/>
      <c r="K24" s="18"/>
      <c r="L24" s="19">
        <f t="shared" ref="L24:L25" si="103">(C24*D24*K24/1000)</f>
        <v>0</v>
      </c>
      <c r="M24" s="16"/>
      <c r="N24" s="18"/>
      <c r="O24" s="19">
        <f t="shared" ref="O24:O25" si="104">(C24*D24*N24/1000)</f>
        <v>0</v>
      </c>
      <c r="P24" s="16"/>
      <c r="Q24" s="18"/>
      <c r="R24" s="19">
        <f t="shared" ref="R24:R25" si="105">(C24*D24*Q24/1000)</f>
        <v>0</v>
      </c>
      <c r="S24" s="20">
        <f t="shared" ref="S24:S25" si="106">+H24+K24+Q24+N24</f>
        <v>2</v>
      </c>
      <c r="T24" s="19">
        <f t="shared" ref="T24:T25" si="107">+I24+L24+R24+O24</f>
        <v>0.41859999999999997</v>
      </c>
      <c r="U24" s="21">
        <f t="shared" ref="U24:U25" si="108">E24-S24</f>
        <v>-2</v>
      </c>
      <c r="V24" s="19">
        <f t="shared" ref="V24:V25" si="109">F24-T24</f>
        <v>-0.41859999999999997</v>
      </c>
    </row>
    <row r="25" spans="1:22">
      <c r="A25" s="26" t="s">
        <v>13</v>
      </c>
      <c r="B25" s="26" t="s">
        <v>47</v>
      </c>
      <c r="C25" s="30">
        <v>18.2</v>
      </c>
      <c r="D25" s="27">
        <v>6.1</v>
      </c>
      <c r="E25" s="28"/>
      <c r="F25" s="16">
        <f t="shared" si="101"/>
        <v>0</v>
      </c>
      <c r="G25" s="17"/>
      <c r="H25" s="18">
        <v>1</v>
      </c>
      <c r="I25" s="19">
        <f t="shared" si="102"/>
        <v>0.11101999999999999</v>
      </c>
      <c r="J25" s="16"/>
      <c r="K25" s="18"/>
      <c r="L25" s="19">
        <f t="shared" si="103"/>
        <v>0</v>
      </c>
      <c r="M25" s="16"/>
      <c r="N25" s="18"/>
      <c r="O25" s="19">
        <f t="shared" si="104"/>
        <v>0</v>
      </c>
      <c r="P25" s="16"/>
      <c r="Q25" s="18"/>
      <c r="R25" s="19">
        <f t="shared" si="105"/>
        <v>0</v>
      </c>
      <c r="S25" s="20">
        <f t="shared" si="106"/>
        <v>1</v>
      </c>
      <c r="T25" s="19">
        <f t="shared" si="107"/>
        <v>0.11101999999999999</v>
      </c>
      <c r="U25" s="21">
        <f t="shared" si="108"/>
        <v>-1</v>
      </c>
      <c r="V25" s="19">
        <f t="shared" si="109"/>
        <v>-0.11101999999999999</v>
      </c>
    </row>
    <row r="26" spans="1:22">
      <c r="A26" s="36"/>
      <c r="B26" s="36"/>
      <c r="C26" s="37"/>
      <c r="D26" s="38"/>
      <c r="E26" s="31">
        <f t="shared" ref="E26:F26" si="110">SUM(E23:E25)</f>
        <v>2</v>
      </c>
      <c r="F26" s="38">
        <f t="shared" si="110"/>
        <v>0.43679999999999997</v>
      </c>
      <c r="G26" s="26"/>
      <c r="H26" s="31">
        <f t="shared" ref="H26" si="111">SUM(H23:H25)</f>
        <v>3</v>
      </c>
      <c r="I26" s="38">
        <f t="shared" ref="I26" si="112">SUM(I23:I25)</f>
        <v>0.52961999999999998</v>
      </c>
      <c r="J26" s="26"/>
      <c r="K26" s="31">
        <f t="shared" ref="K26" si="113">SUM(K23:K25)</f>
        <v>0</v>
      </c>
      <c r="L26" s="38">
        <f t="shared" ref="L26" si="114">SUM(L23:L25)</f>
        <v>0</v>
      </c>
      <c r="M26" s="26"/>
      <c r="N26" s="31">
        <f t="shared" ref="N26" si="115">SUM(N23:N25)</f>
        <v>0</v>
      </c>
      <c r="O26" s="38">
        <f t="shared" ref="O26" si="116">SUM(O23:O25)</f>
        <v>0</v>
      </c>
      <c r="P26" s="26"/>
      <c r="Q26" s="31">
        <f t="shared" ref="Q26" si="117">SUM(Q23:Q25)</f>
        <v>0</v>
      </c>
      <c r="R26" s="38">
        <f t="shared" ref="R26" si="118">SUM(R23:R25)</f>
        <v>0</v>
      </c>
      <c r="S26" s="31">
        <f t="shared" ref="S26" si="119">SUM(S23:S25)</f>
        <v>3</v>
      </c>
      <c r="T26" s="38">
        <f t="shared" ref="T26" si="120">SUM(T23:T25)</f>
        <v>0.52961999999999998</v>
      </c>
      <c r="U26" s="31">
        <f t="shared" ref="U26" si="121">SUM(U23:U25)</f>
        <v>-1</v>
      </c>
      <c r="V26" s="38">
        <f t="shared" ref="V26" si="122">SUM(V23:V25)</f>
        <v>-9.282E-2</v>
      </c>
    </row>
    <row r="27" spans="1:22">
      <c r="A27" s="26" t="s">
        <v>13</v>
      </c>
      <c r="B27" s="26" t="s">
        <v>504</v>
      </c>
      <c r="C27" s="30">
        <v>19.899999999999999</v>
      </c>
      <c r="D27" s="27">
        <v>11.6</v>
      </c>
      <c r="E27" s="28">
        <v>1</v>
      </c>
      <c r="F27" s="16">
        <f>(C27*D27*E27/1000)</f>
        <v>0.23083999999999996</v>
      </c>
      <c r="G27" s="17" t="s">
        <v>111</v>
      </c>
      <c r="H27" s="18"/>
      <c r="I27" s="19">
        <f>(C27*D27*H27/1000)</f>
        <v>0</v>
      </c>
      <c r="J27" s="16"/>
      <c r="K27" s="18"/>
      <c r="L27" s="19">
        <f>(C27*D27*K27/1000)</f>
        <v>0</v>
      </c>
      <c r="M27" s="16"/>
      <c r="N27" s="18"/>
      <c r="O27" s="19">
        <f>(C27*D27*N27/1000)</f>
        <v>0</v>
      </c>
      <c r="P27" s="16"/>
      <c r="Q27" s="18"/>
      <c r="R27" s="19">
        <f>(C27*D27*Q27/1000)</f>
        <v>0</v>
      </c>
      <c r="S27" s="20">
        <f>+H27+K27+Q27+N27</f>
        <v>0</v>
      </c>
      <c r="T27" s="19">
        <f>+I27+L27+R27+O27</f>
        <v>0</v>
      </c>
      <c r="U27" s="21">
        <f>E27-S27</f>
        <v>1</v>
      </c>
      <c r="V27" s="19">
        <f>F27-T27</f>
        <v>0.23083999999999996</v>
      </c>
    </row>
    <row r="28" spans="1:22">
      <c r="A28" s="26" t="s">
        <v>13</v>
      </c>
      <c r="B28" s="26" t="s">
        <v>504</v>
      </c>
      <c r="C28" s="30">
        <v>19.899999999999999</v>
      </c>
      <c r="D28" s="27">
        <v>12</v>
      </c>
      <c r="E28" s="28"/>
      <c r="F28" s="16">
        <f>(C28*D28*E28/1000)</f>
        <v>0</v>
      </c>
      <c r="G28" s="17" t="s">
        <v>515</v>
      </c>
      <c r="H28" s="18">
        <v>1</v>
      </c>
      <c r="I28" s="19">
        <f>(C28*D28*H28/1000)</f>
        <v>0.23879999999999998</v>
      </c>
      <c r="J28" s="16"/>
      <c r="K28" s="18"/>
      <c r="L28" s="19">
        <f>(C28*D28*K28/1000)</f>
        <v>0</v>
      </c>
      <c r="M28" s="16"/>
      <c r="N28" s="18"/>
      <c r="O28" s="19">
        <f>(C28*D28*N28/1000)</f>
        <v>0</v>
      </c>
      <c r="P28" s="16"/>
      <c r="Q28" s="18"/>
      <c r="R28" s="19">
        <f>(C28*D28*Q28/1000)</f>
        <v>0</v>
      </c>
      <c r="S28" s="20">
        <f>+H28+K28+Q28+N28</f>
        <v>1</v>
      </c>
      <c r="T28" s="19">
        <f>+I28+L28+R28+O28</f>
        <v>0.23879999999999998</v>
      </c>
      <c r="U28" s="21">
        <f>E28-S28</f>
        <v>-1</v>
      </c>
      <c r="V28" s="19">
        <f>F28-T28</f>
        <v>-0.23879999999999998</v>
      </c>
    </row>
    <row r="29" spans="1:22">
      <c r="A29" s="36"/>
      <c r="B29" s="36"/>
      <c r="C29" s="37"/>
      <c r="D29" s="38"/>
      <c r="E29" s="31">
        <f t="shared" ref="E29:F29" si="123">SUM(E27:E28)</f>
        <v>1</v>
      </c>
      <c r="F29" s="38">
        <f t="shared" si="123"/>
        <v>0.23083999999999996</v>
      </c>
      <c r="G29" s="26"/>
      <c r="H29" s="31">
        <f t="shared" ref="H29" si="124">SUM(H27:H28)</f>
        <v>1</v>
      </c>
      <c r="I29" s="38">
        <f t="shared" ref="I29" si="125">SUM(I27:I28)</f>
        <v>0.23879999999999998</v>
      </c>
      <c r="J29" s="26"/>
      <c r="K29" s="31">
        <f t="shared" ref="K29" si="126">SUM(K27:K28)</f>
        <v>0</v>
      </c>
      <c r="L29" s="38">
        <f t="shared" ref="L29" si="127">SUM(L27:L28)</f>
        <v>0</v>
      </c>
      <c r="M29" s="26"/>
      <c r="N29" s="31">
        <f t="shared" ref="N29" si="128">SUM(N27:N28)</f>
        <v>0</v>
      </c>
      <c r="O29" s="38">
        <f t="shared" ref="O29" si="129">SUM(O27:O28)</f>
        <v>0</v>
      </c>
      <c r="P29" s="26"/>
      <c r="Q29" s="31">
        <f t="shared" ref="Q29" si="130">SUM(Q27:Q28)</f>
        <v>0</v>
      </c>
      <c r="R29" s="38">
        <f t="shared" ref="R29" si="131">SUM(R27:R28)</f>
        <v>0</v>
      </c>
      <c r="S29" s="31">
        <f t="shared" ref="S29" si="132">SUM(S27:S28)</f>
        <v>1</v>
      </c>
      <c r="T29" s="38">
        <f t="shared" ref="T29" si="133">SUM(T27:T28)</f>
        <v>0.23879999999999998</v>
      </c>
      <c r="U29" s="31">
        <f t="shared" ref="U29" si="134">SUM(U27:U28)</f>
        <v>0</v>
      </c>
      <c r="V29" s="38">
        <f t="shared" ref="V29" si="135">SUM(V27:V28)</f>
        <v>-7.9600000000000226E-3</v>
      </c>
    </row>
    <row r="30" spans="1:22">
      <c r="A30" s="26" t="s">
        <v>13</v>
      </c>
      <c r="B30" s="26" t="s">
        <v>49</v>
      </c>
      <c r="C30" s="30">
        <v>14.7</v>
      </c>
      <c r="D30" s="27">
        <v>8.6</v>
      </c>
      <c r="E30" s="28">
        <v>1</v>
      </c>
      <c r="F30" s="16">
        <f>(C30*D30*E30/1000)</f>
        <v>0.12641999999999998</v>
      </c>
      <c r="G30" s="16" t="s">
        <v>93</v>
      </c>
      <c r="H30" s="18"/>
      <c r="I30" s="19">
        <f>(C30*D30*H30/1000)</f>
        <v>0</v>
      </c>
      <c r="J30" s="16"/>
      <c r="K30" s="18"/>
      <c r="L30" s="19">
        <f>(C30*D30*K30/1000)</f>
        <v>0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0</v>
      </c>
      <c r="T30" s="19">
        <f>+I30+L30+R30+O30</f>
        <v>0</v>
      </c>
      <c r="U30" s="21">
        <f>E30-S30</f>
        <v>1</v>
      </c>
      <c r="V30" s="19">
        <f>F30-T30</f>
        <v>0.12641999999999998</v>
      </c>
    </row>
    <row r="31" spans="1:22">
      <c r="A31" s="26" t="s">
        <v>13</v>
      </c>
      <c r="B31" s="26" t="s">
        <v>49</v>
      </c>
      <c r="C31" s="30">
        <v>14.7</v>
      </c>
      <c r="D31" s="27">
        <v>10</v>
      </c>
      <c r="E31" s="28"/>
      <c r="F31" s="16">
        <f>(C31*D31*E31/1000)</f>
        <v>0</v>
      </c>
      <c r="G31" s="16" t="s">
        <v>513</v>
      </c>
      <c r="H31" s="18">
        <v>1</v>
      </c>
      <c r="I31" s="19">
        <f>(C31*D31*H31/1000)</f>
        <v>0.14699999999999999</v>
      </c>
      <c r="J31" s="16"/>
      <c r="K31" s="18"/>
      <c r="L31" s="19">
        <f>(C31*D31*K31/1000)</f>
        <v>0</v>
      </c>
      <c r="M31" s="16"/>
      <c r="N31" s="18"/>
      <c r="O31" s="19">
        <f>(C31*D31*N31/1000)</f>
        <v>0</v>
      </c>
      <c r="P31" s="16"/>
      <c r="Q31" s="18"/>
      <c r="R31" s="19">
        <f>(C31*D31*Q31/1000)</f>
        <v>0</v>
      </c>
      <c r="S31" s="20">
        <f>+H31+K31+Q31+N31</f>
        <v>1</v>
      </c>
      <c r="T31" s="19">
        <f>+I31+L31+R31+O31</f>
        <v>0.14699999999999999</v>
      </c>
      <c r="U31" s="21">
        <f>E31-S31</f>
        <v>-1</v>
      </c>
      <c r="V31" s="19">
        <f>F31-T31</f>
        <v>-0.14699999999999999</v>
      </c>
    </row>
    <row r="32" spans="1:22">
      <c r="A32" s="36"/>
      <c r="B32" s="36"/>
      <c r="C32" s="37"/>
      <c r="D32" s="38"/>
      <c r="E32" s="31">
        <f t="shared" ref="E32:F32" si="136">SUM(E30:E31)</f>
        <v>1</v>
      </c>
      <c r="F32" s="38">
        <f t="shared" si="136"/>
        <v>0.12641999999999998</v>
      </c>
      <c r="G32" s="16"/>
      <c r="H32" s="31">
        <f t="shared" ref="H32" si="137">SUM(H30:H31)</f>
        <v>1</v>
      </c>
      <c r="I32" s="38">
        <f t="shared" ref="I32" si="138">SUM(I30:I31)</f>
        <v>0.14699999999999999</v>
      </c>
      <c r="J32" s="26"/>
      <c r="K32" s="31">
        <f t="shared" ref="K32" si="139">SUM(K30:K31)</f>
        <v>0</v>
      </c>
      <c r="L32" s="38">
        <f t="shared" ref="L32" si="140">SUM(L30:L31)</f>
        <v>0</v>
      </c>
      <c r="M32" s="26"/>
      <c r="N32" s="31">
        <f t="shared" ref="N32" si="141">SUM(N30:N31)</f>
        <v>0</v>
      </c>
      <c r="O32" s="38">
        <f t="shared" ref="O32" si="142">SUM(O30:O31)</f>
        <v>0</v>
      </c>
      <c r="P32" s="26"/>
      <c r="Q32" s="31">
        <f t="shared" ref="Q32" si="143">SUM(Q30:Q31)</f>
        <v>0</v>
      </c>
      <c r="R32" s="38">
        <f t="shared" ref="R32" si="144">SUM(R30:R31)</f>
        <v>0</v>
      </c>
      <c r="S32" s="31">
        <f t="shared" ref="S32" si="145">SUM(S30:S31)</f>
        <v>1</v>
      </c>
      <c r="T32" s="38">
        <f t="shared" ref="T32" si="146">SUM(T30:T31)</f>
        <v>0.14699999999999999</v>
      </c>
      <c r="U32" s="31">
        <f t="shared" ref="U32" si="147">SUM(U30:U31)</f>
        <v>0</v>
      </c>
      <c r="V32" s="38">
        <f t="shared" ref="V32" si="148">SUM(V30:V31)</f>
        <v>-2.0580000000000015E-2</v>
      </c>
    </row>
    <row r="33" spans="1:22">
      <c r="A33" s="26" t="s">
        <v>13</v>
      </c>
      <c r="B33" s="26" t="s">
        <v>50</v>
      </c>
      <c r="C33" s="30">
        <v>16.5</v>
      </c>
      <c r="D33" s="27">
        <v>7.4</v>
      </c>
      <c r="E33" s="28">
        <v>12</v>
      </c>
      <c r="F33" s="16">
        <f t="shared" ref="F33:F40" si="149">(C33*D33*E33/1000)</f>
        <v>1.4652000000000001</v>
      </c>
      <c r="G33" s="17" t="s">
        <v>111</v>
      </c>
      <c r="H33" s="18"/>
      <c r="I33" s="19">
        <f t="shared" ref="I33:I40" si="150">(C33*D33*H33/1000)</f>
        <v>0</v>
      </c>
      <c r="J33" s="16" t="s">
        <v>88</v>
      </c>
      <c r="K33" s="18">
        <v>1</v>
      </c>
      <c r="L33" s="19">
        <f t="shared" ref="L33:L40" si="151">(C33*D33*K33/1000)</f>
        <v>0.12210000000000001</v>
      </c>
      <c r="M33" s="16"/>
      <c r="N33" s="18"/>
      <c r="O33" s="19">
        <f t="shared" ref="O33:O40" si="152">(C33*D33*N33/1000)</f>
        <v>0</v>
      </c>
      <c r="P33" s="16"/>
      <c r="Q33" s="18"/>
      <c r="R33" s="19">
        <f t="shared" ref="R33:R40" si="153">(C33*D33*Q33/1000)</f>
        <v>0</v>
      </c>
      <c r="S33" s="20">
        <f t="shared" ref="S33:S40" si="154">+H33+K33+Q33+N33</f>
        <v>1</v>
      </c>
      <c r="T33" s="19">
        <f t="shared" ref="T33:T40" si="155">+I33+L33+R33+O33</f>
        <v>0.12210000000000001</v>
      </c>
      <c r="U33" s="21">
        <f t="shared" ref="U33:U40" si="156">E33-S33</f>
        <v>11</v>
      </c>
      <c r="V33" s="19">
        <f t="shared" ref="V33:V40" si="157">F33-T33</f>
        <v>1.3431</v>
      </c>
    </row>
    <row r="34" spans="1:22">
      <c r="A34" s="26" t="s">
        <v>13</v>
      </c>
      <c r="B34" s="26" t="s">
        <v>50</v>
      </c>
      <c r="C34" s="30">
        <v>16.5</v>
      </c>
      <c r="D34" s="27">
        <v>11.2</v>
      </c>
      <c r="E34" s="28">
        <v>6</v>
      </c>
      <c r="F34" s="16">
        <f t="shared" ref="F34:F39" si="158">(C34*D34*E34/1000)</f>
        <v>1.1088</v>
      </c>
      <c r="G34" s="17" t="s">
        <v>515</v>
      </c>
      <c r="H34" s="18"/>
      <c r="I34" s="19">
        <f t="shared" ref="I34:I39" si="159">(C34*D34*H34/1000)</f>
        <v>0</v>
      </c>
      <c r="J34" s="16" t="s">
        <v>522</v>
      </c>
      <c r="K34" s="18">
        <v>4</v>
      </c>
      <c r="L34" s="19">
        <f t="shared" ref="L34:L39" si="160">(C34*D34*K34/1000)</f>
        <v>0.73919999999999997</v>
      </c>
      <c r="M34" s="16"/>
      <c r="N34" s="18"/>
      <c r="O34" s="19">
        <f t="shared" ref="O34:O39" si="161">(C34*D34*N34/1000)</f>
        <v>0</v>
      </c>
      <c r="P34" s="16"/>
      <c r="Q34" s="18"/>
      <c r="R34" s="19">
        <f t="shared" ref="R34:R39" si="162">(C34*D34*Q34/1000)</f>
        <v>0</v>
      </c>
      <c r="S34" s="20">
        <f t="shared" ref="S34:S39" si="163">+H34+K34+Q34+N34</f>
        <v>4</v>
      </c>
      <c r="T34" s="19">
        <f t="shared" ref="T34:T39" si="164">+I34+L34+R34+O34</f>
        <v>0.73919999999999997</v>
      </c>
      <c r="U34" s="21">
        <f t="shared" ref="U34:U39" si="165">E34-S34</f>
        <v>2</v>
      </c>
      <c r="V34" s="19">
        <f t="shared" ref="V34:V39" si="166">F34-T34</f>
        <v>0.36960000000000004</v>
      </c>
    </row>
    <row r="35" spans="1:22">
      <c r="A35" s="26" t="s">
        <v>13</v>
      </c>
      <c r="B35" s="26" t="s">
        <v>50</v>
      </c>
      <c r="C35" s="30">
        <v>16.5</v>
      </c>
      <c r="D35" s="27">
        <v>8.5</v>
      </c>
      <c r="E35" s="28"/>
      <c r="F35" s="16">
        <f t="shared" si="158"/>
        <v>0</v>
      </c>
      <c r="G35" s="17"/>
      <c r="H35" s="18">
        <v>2</v>
      </c>
      <c r="I35" s="19">
        <f t="shared" si="159"/>
        <v>0.28050000000000003</v>
      </c>
      <c r="J35" s="16"/>
      <c r="K35" s="18"/>
      <c r="L35" s="19">
        <f t="shared" si="160"/>
        <v>0</v>
      </c>
      <c r="M35" s="16"/>
      <c r="N35" s="18"/>
      <c r="O35" s="19">
        <f t="shared" si="161"/>
        <v>0</v>
      </c>
      <c r="P35" s="16"/>
      <c r="Q35" s="18"/>
      <c r="R35" s="19">
        <f t="shared" si="162"/>
        <v>0</v>
      </c>
      <c r="S35" s="20">
        <f t="shared" si="163"/>
        <v>2</v>
      </c>
      <c r="T35" s="19">
        <f t="shared" si="164"/>
        <v>0.28050000000000003</v>
      </c>
      <c r="U35" s="21">
        <f t="shared" si="165"/>
        <v>-2</v>
      </c>
      <c r="V35" s="19">
        <f t="shared" si="166"/>
        <v>-0.28050000000000003</v>
      </c>
    </row>
    <row r="36" spans="1:22">
      <c r="A36" s="26" t="s">
        <v>13</v>
      </c>
      <c r="B36" s="26" t="s">
        <v>50</v>
      </c>
      <c r="C36" s="30">
        <v>16.5</v>
      </c>
      <c r="D36" s="27">
        <v>8.3000000000000007</v>
      </c>
      <c r="E36" s="28"/>
      <c r="F36" s="16">
        <f t="shared" si="158"/>
        <v>0</v>
      </c>
      <c r="G36" s="17"/>
      <c r="H36" s="18">
        <v>2</v>
      </c>
      <c r="I36" s="19">
        <f t="shared" si="159"/>
        <v>0.27390000000000003</v>
      </c>
      <c r="J36" s="16"/>
      <c r="K36" s="18"/>
      <c r="L36" s="19">
        <f t="shared" si="160"/>
        <v>0</v>
      </c>
      <c r="M36" s="16"/>
      <c r="N36" s="18"/>
      <c r="O36" s="19">
        <f t="shared" si="161"/>
        <v>0</v>
      </c>
      <c r="P36" s="16"/>
      <c r="Q36" s="18"/>
      <c r="R36" s="19">
        <f t="shared" si="162"/>
        <v>0</v>
      </c>
      <c r="S36" s="20">
        <f t="shared" si="163"/>
        <v>2</v>
      </c>
      <c r="T36" s="19">
        <f t="shared" si="164"/>
        <v>0.27390000000000003</v>
      </c>
      <c r="U36" s="21">
        <f t="shared" si="165"/>
        <v>-2</v>
      </c>
      <c r="V36" s="19">
        <f t="shared" si="166"/>
        <v>-0.27390000000000003</v>
      </c>
    </row>
    <row r="37" spans="1:22">
      <c r="A37" s="26" t="s">
        <v>13</v>
      </c>
      <c r="B37" s="26" t="s">
        <v>50</v>
      </c>
      <c r="C37" s="30">
        <v>16.5</v>
      </c>
      <c r="D37" s="27">
        <v>8</v>
      </c>
      <c r="E37" s="28"/>
      <c r="F37" s="16">
        <f t="shared" si="158"/>
        <v>0</v>
      </c>
      <c r="G37" s="17"/>
      <c r="H37" s="18">
        <v>2</v>
      </c>
      <c r="I37" s="19">
        <f t="shared" si="159"/>
        <v>0.26400000000000001</v>
      </c>
      <c r="J37" s="16"/>
      <c r="K37" s="18"/>
      <c r="L37" s="19">
        <f t="shared" si="160"/>
        <v>0</v>
      </c>
      <c r="M37" s="16"/>
      <c r="N37" s="18"/>
      <c r="O37" s="19">
        <f t="shared" si="161"/>
        <v>0</v>
      </c>
      <c r="P37" s="16"/>
      <c r="Q37" s="18"/>
      <c r="R37" s="19">
        <f t="shared" si="162"/>
        <v>0</v>
      </c>
      <c r="S37" s="20">
        <f t="shared" si="163"/>
        <v>2</v>
      </c>
      <c r="T37" s="19">
        <f t="shared" si="164"/>
        <v>0.26400000000000001</v>
      </c>
      <c r="U37" s="21">
        <f t="shared" si="165"/>
        <v>-2</v>
      </c>
      <c r="V37" s="19">
        <f t="shared" si="166"/>
        <v>-0.26400000000000001</v>
      </c>
    </row>
    <row r="38" spans="1:22">
      <c r="A38" s="26" t="s">
        <v>13</v>
      </c>
      <c r="B38" s="26" t="s">
        <v>50</v>
      </c>
      <c r="C38" s="30">
        <v>16.5</v>
      </c>
      <c r="D38" s="27">
        <v>7.5</v>
      </c>
      <c r="E38" s="28"/>
      <c r="F38" s="16">
        <f t="shared" si="158"/>
        <v>0</v>
      </c>
      <c r="G38" s="17"/>
      <c r="H38" s="18">
        <v>1</v>
      </c>
      <c r="I38" s="19">
        <f t="shared" si="159"/>
        <v>0.12375</v>
      </c>
      <c r="J38" s="16"/>
      <c r="K38" s="18"/>
      <c r="L38" s="19">
        <f t="shared" si="160"/>
        <v>0</v>
      </c>
      <c r="M38" s="16"/>
      <c r="N38" s="18"/>
      <c r="O38" s="19">
        <f t="shared" si="161"/>
        <v>0</v>
      </c>
      <c r="P38" s="16"/>
      <c r="Q38" s="18"/>
      <c r="R38" s="19">
        <f t="shared" si="162"/>
        <v>0</v>
      </c>
      <c r="S38" s="20">
        <f t="shared" si="163"/>
        <v>1</v>
      </c>
      <c r="T38" s="19">
        <f t="shared" si="164"/>
        <v>0.12375</v>
      </c>
      <c r="U38" s="21">
        <f t="shared" si="165"/>
        <v>-1</v>
      </c>
      <c r="V38" s="19">
        <f t="shared" si="166"/>
        <v>-0.12375</v>
      </c>
    </row>
    <row r="39" spans="1:22">
      <c r="A39" s="26" t="s">
        <v>13</v>
      </c>
      <c r="B39" s="26" t="s">
        <v>50</v>
      </c>
      <c r="C39" s="30">
        <v>16.5</v>
      </c>
      <c r="D39" s="27">
        <v>9.8000000000000007</v>
      </c>
      <c r="E39" s="28"/>
      <c r="F39" s="16">
        <f t="shared" si="158"/>
        <v>0</v>
      </c>
      <c r="G39" s="17"/>
      <c r="H39" s="18">
        <v>1</v>
      </c>
      <c r="I39" s="19">
        <f t="shared" si="159"/>
        <v>0.16170000000000001</v>
      </c>
      <c r="J39" s="16"/>
      <c r="K39" s="18"/>
      <c r="L39" s="19">
        <f t="shared" si="160"/>
        <v>0</v>
      </c>
      <c r="M39" s="16"/>
      <c r="N39" s="18"/>
      <c r="O39" s="19">
        <f t="shared" si="161"/>
        <v>0</v>
      </c>
      <c r="P39" s="16"/>
      <c r="Q39" s="18"/>
      <c r="R39" s="19">
        <f t="shared" si="162"/>
        <v>0</v>
      </c>
      <c r="S39" s="20">
        <f t="shared" si="163"/>
        <v>1</v>
      </c>
      <c r="T39" s="19">
        <f t="shared" si="164"/>
        <v>0.16170000000000001</v>
      </c>
      <c r="U39" s="21">
        <f t="shared" si="165"/>
        <v>-1</v>
      </c>
      <c r="V39" s="19">
        <f t="shared" si="166"/>
        <v>-0.16170000000000001</v>
      </c>
    </row>
    <row r="40" spans="1:22">
      <c r="A40" s="26" t="s">
        <v>13</v>
      </c>
      <c r="B40" s="26" t="s">
        <v>50</v>
      </c>
      <c r="C40" s="30">
        <v>16.5</v>
      </c>
      <c r="D40" s="27">
        <v>7.1</v>
      </c>
      <c r="E40" s="28"/>
      <c r="F40" s="16">
        <f t="shared" si="149"/>
        <v>0</v>
      </c>
      <c r="G40" s="17"/>
      <c r="H40" s="18"/>
      <c r="I40" s="19">
        <f t="shared" si="150"/>
        <v>0</v>
      </c>
      <c r="J40" s="16"/>
      <c r="K40" s="18">
        <v>8</v>
      </c>
      <c r="L40" s="19">
        <f t="shared" si="151"/>
        <v>0.93719999999999992</v>
      </c>
      <c r="M40" s="16"/>
      <c r="N40" s="18"/>
      <c r="O40" s="19">
        <f t="shared" si="152"/>
        <v>0</v>
      </c>
      <c r="P40" s="16"/>
      <c r="Q40" s="18"/>
      <c r="R40" s="19">
        <f t="shared" si="153"/>
        <v>0</v>
      </c>
      <c r="S40" s="20">
        <f t="shared" si="154"/>
        <v>8</v>
      </c>
      <c r="T40" s="19">
        <f t="shared" si="155"/>
        <v>0.93719999999999992</v>
      </c>
      <c r="U40" s="21">
        <f t="shared" si="156"/>
        <v>-8</v>
      </c>
      <c r="V40" s="19">
        <f t="shared" si="157"/>
        <v>-0.93719999999999992</v>
      </c>
    </row>
    <row r="41" spans="1:22">
      <c r="A41" s="36"/>
      <c r="B41" s="36"/>
      <c r="C41" s="37"/>
      <c r="D41" s="38"/>
      <c r="E41" s="31">
        <f t="shared" ref="E41:F41" si="167">SUM(E33:E40)</f>
        <v>18</v>
      </c>
      <c r="F41" s="38">
        <f t="shared" si="167"/>
        <v>2.5739999999999998</v>
      </c>
      <c r="G41" s="26"/>
      <c r="H41" s="31">
        <f t="shared" ref="H41" si="168">SUM(H33:H40)</f>
        <v>8</v>
      </c>
      <c r="I41" s="38">
        <f t="shared" ref="I41" si="169">SUM(I33:I40)</f>
        <v>1.10385</v>
      </c>
      <c r="J41" s="26"/>
      <c r="K41" s="31">
        <f t="shared" ref="K41" si="170">SUM(K33:K40)</f>
        <v>13</v>
      </c>
      <c r="L41" s="38">
        <f t="shared" ref="L41" si="171">SUM(L33:L40)</f>
        <v>1.7984999999999998</v>
      </c>
      <c r="M41" s="26"/>
      <c r="N41" s="31">
        <f t="shared" ref="N41" si="172">SUM(N33:N40)</f>
        <v>0</v>
      </c>
      <c r="O41" s="38">
        <f t="shared" ref="O41" si="173">SUM(O33:O40)</f>
        <v>0</v>
      </c>
      <c r="P41" s="26"/>
      <c r="Q41" s="31">
        <f t="shared" ref="Q41" si="174">SUM(Q33:Q40)</f>
        <v>0</v>
      </c>
      <c r="R41" s="38">
        <f t="shared" ref="R41" si="175">SUM(R33:R40)</f>
        <v>0</v>
      </c>
      <c r="S41" s="31">
        <f t="shared" ref="S41" si="176">SUM(S33:S40)</f>
        <v>21</v>
      </c>
      <c r="T41" s="38">
        <f t="shared" ref="T41" si="177">SUM(T33:T40)</f>
        <v>2.9023499999999998</v>
      </c>
      <c r="U41" s="31">
        <f t="shared" ref="U41" si="178">SUM(U33:U40)</f>
        <v>-3</v>
      </c>
      <c r="V41" s="38">
        <f t="shared" ref="V41" si="179">SUM(V33:V40)</f>
        <v>-0.32835000000000003</v>
      </c>
    </row>
    <row r="42" spans="1:22">
      <c r="A42" s="26" t="s">
        <v>13</v>
      </c>
      <c r="B42" s="26" t="s">
        <v>53</v>
      </c>
      <c r="C42" s="30">
        <v>23.6</v>
      </c>
      <c r="D42" s="27">
        <v>11.5</v>
      </c>
      <c r="E42" s="28">
        <v>2</v>
      </c>
      <c r="F42" s="16">
        <f>(C42*D42*E42/1000)</f>
        <v>0.54280000000000006</v>
      </c>
      <c r="G42" s="17" t="s">
        <v>93</v>
      </c>
      <c r="H42" s="18"/>
      <c r="I42" s="19">
        <f>(C42*D42*H42/1000)</f>
        <v>0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>+H42+K42+Q42+N42</f>
        <v>0</v>
      </c>
      <c r="T42" s="19">
        <f>+I42+L42+R42+O42</f>
        <v>0</v>
      </c>
      <c r="U42" s="21">
        <f>E42-S42</f>
        <v>2</v>
      </c>
      <c r="V42" s="19">
        <f>F42-T42</f>
        <v>0.54280000000000006</v>
      </c>
    </row>
    <row r="43" spans="1:22">
      <c r="A43" s="26" t="s">
        <v>13</v>
      </c>
      <c r="B43" s="26" t="s">
        <v>53</v>
      </c>
      <c r="C43" s="30">
        <v>23.6</v>
      </c>
      <c r="D43" s="27">
        <v>11.65</v>
      </c>
      <c r="E43" s="28"/>
      <c r="F43" s="16">
        <f>(C43*D43*E43/1000)</f>
        <v>0</v>
      </c>
      <c r="G43" s="17" t="s">
        <v>515</v>
      </c>
      <c r="H43" s="18">
        <v>5</v>
      </c>
      <c r="I43" s="19">
        <f>(C43*D43*H43/1000)</f>
        <v>1.3747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>+H43+K43+Q43+N43</f>
        <v>5</v>
      </c>
      <c r="T43" s="19">
        <f>+I43+L43+R43+O43</f>
        <v>1.3747</v>
      </c>
      <c r="U43" s="21">
        <f>E43-S43</f>
        <v>-5</v>
      </c>
      <c r="V43" s="19">
        <f>F43-T43</f>
        <v>-1.3747</v>
      </c>
    </row>
    <row r="44" spans="1:22">
      <c r="A44" s="36"/>
      <c r="B44" s="36"/>
      <c r="C44" s="37"/>
      <c r="D44" s="38"/>
      <c r="E44" s="31">
        <f t="shared" ref="E44:F44" si="180">SUM(E42:E43)</f>
        <v>2</v>
      </c>
      <c r="F44" s="38">
        <f t="shared" si="180"/>
        <v>0.54280000000000006</v>
      </c>
      <c r="G44" s="26"/>
      <c r="H44" s="31">
        <f t="shared" ref="H44" si="181">SUM(H42:H43)</f>
        <v>5</v>
      </c>
      <c r="I44" s="38">
        <f t="shared" ref="I44" si="182">SUM(I42:I43)</f>
        <v>1.3747</v>
      </c>
      <c r="J44" s="26"/>
      <c r="K44" s="31">
        <f t="shared" ref="K44" si="183">SUM(K42:K43)</f>
        <v>0</v>
      </c>
      <c r="L44" s="38">
        <f t="shared" ref="L44" si="184">SUM(L42:L43)</f>
        <v>0</v>
      </c>
      <c r="M44" s="26"/>
      <c r="N44" s="31">
        <f t="shared" ref="N44" si="185">SUM(N42:N43)</f>
        <v>0</v>
      </c>
      <c r="O44" s="38">
        <f t="shared" ref="O44" si="186">SUM(O42:O43)</f>
        <v>0</v>
      </c>
      <c r="P44" s="26"/>
      <c r="Q44" s="31">
        <f t="shared" ref="Q44" si="187">SUM(Q42:Q43)</f>
        <v>0</v>
      </c>
      <c r="R44" s="38">
        <f t="shared" ref="R44" si="188">SUM(R42:R43)</f>
        <v>0</v>
      </c>
      <c r="S44" s="31">
        <f t="shared" ref="S44" si="189">SUM(S42:S43)</f>
        <v>5</v>
      </c>
      <c r="T44" s="38">
        <f t="shared" ref="T44" si="190">SUM(T42:T43)</f>
        <v>1.3747</v>
      </c>
      <c r="U44" s="31">
        <f t="shared" ref="U44" si="191">SUM(U42:U43)</f>
        <v>-3</v>
      </c>
      <c r="V44" s="38">
        <f t="shared" ref="V44" si="192">SUM(V42:V43)</f>
        <v>-0.83189999999999997</v>
      </c>
    </row>
    <row r="45" spans="1:22">
      <c r="A45" s="26" t="s">
        <v>13</v>
      </c>
      <c r="B45" s="26" t="s">
        <v>212</v>
      </c>
      <c r="C45" s="30">
        <v>29.5</v>
      </c>
      <c r="D45" s="27">
        <v>6.1</v>
      </c>
      <c r="E45" s="28">
        <v>4</v>
      </c>
      <c r="F45" s="16">
        <f>(C45*D45*E45/1000)</f>
        <v>0.7198</v>
      </c>
      <c r="G45" s="17" t="s">
        <v>288</v>
      </c>
      <c r="H45" s="18"/>
      <c r="I45" s="19">
        <f>(C45*D45*H45/1000)</f>
        <v>0</v>
      </c>
      <c r="J45" s="16"/>
      <c r="K45" s="18"/>
      <c r="L45" s="19">
        <f>(C45*D45*K45/1000)</f>
        <v>0</v>
      </c>
      <c r="M45" s="16"/>
      <c r="N45" s="18"/>
      <c r="O45" s="19">
        <f>(C45*D45*N45/1000)</f>
        <v>0</v>
      </c>
      <c r="P45" s="16"/>
      <c r="Q45" s="18"/>
      <c r="R45" s="19">
        <f>(C45*D45*Q45/1000)</f>
        <v>0</v>
      </c>
      <c r="S45" s="20">
        <f>+H45+K45+Q45+N45</f>
        <v>0</v>
      </c>
      <c r="T45" s="19">
        <f>+I45+L45+R45+O45</f>
        <v>0</v>
      </c>
      <c r="U45" s="21">
        <f>E45-S45</f>
        <v>4</v>
      </c>
      <c r="V45" s="19">
        <f>F45-T45</f>
        <v>0.7198</v>
      </c>
    </row>
    <row r="46" spans="1:22">
      <c r="A46" s="26" t="s">
        <v>13</v>
      </c>
      <c r="B46" s="26" t="s">
        <v>212</v>
      </c>
      <c r="C46" s="30">
        <v>29.5</v>
      </c>
      <c r="D46" s="27">
        <v>8</v>
      </c>
      <c r="E46" s="28"/>
      <c r="F46" s="16">
        <f t="shared" ref="F46:F47" si="193">(C46*D46*E46/1000)</f>
        <v>0</v>
      </c>
      <c r="G46" s="17" t="s">
        <v>513</v>
      </c>
      <c r="H46" s="18">
        <v>3</v>
      </c>
      <c r="I46" s="19">
        <f t="shared" ref="I46:I47" si="194">(C46*D46*H46/1000)</f>
        <v>0.70799999999999996</v>
      </c>
      <c r="J46" s="16"/>
      <c r="K46" s="18"/>
      <c r="L46" s="19">
        <f t="shared" ref="L46:L47" si="195">(C46*D46*K46/1000)</f>
        <v>0</v>
      </c>
      <c r="M46" s="16"/>
      <c r="N46" s="18"/>
      <c r="O46" s="19">
        <f t="shared" ref="O46:O47" si="196">(C46*D46*N46/1000)</f>
        <v>0</v>
      </c>
      <c r="P46" s="16"/>
      <c r="Q46" s="18"/>
      <c r="R46" s="19">
        <f t="shared" ref="R46:R47" si="197">(C46*D46*Q46/1000)</f>
        <v>0</v>
      </c>
      <c r="S46" s="20">
        <f t="shared" ref="S46:S47" si="198">+H46+K46+Q46+N46</f>
        <v>3</v>
      </c>
      <c r="T46" s="19">
        <f t="shared" ref="T46:T47" si="199">+I46+L46+R46+O46</f>
        <v>0.70799999999999996</v>
      </c>
      <c r="U46" s="21">
        <f t="shared" ref="U46:U47" si="200">E46-S46</f>
        <v>-3</v>
      </c>
      <c r="V46" s="19">
        <f t="shared" ref="V46:V47" si="201">F46-T46</f>
        <v>-0.70799999999999996</v>
      </c>
    </row>
    <row r="47" spans="1:22">
      <c r="A47" s="26" t="s">
        <v>13</v>
      </c>
      <c r="B47" s="26" t="s">
        <v>212</v>
      </c>
      <c r="C47" s="30">
        <v>29.5</v>
      </c>
      <c r="D47" s="27">
        <v>7.9</v>
      </c>
      <c r="E47" s="28"/>
      <c r="F47" s="16">
        <f t="shared" si="193"/>
        <v>0</v>
      </c>
      <c r="G47" s="17"/>
      <c r="H47" s="18">
        <v>1</v>
      </c>
      <c r="I47" s="19">
        <f t="shared" si="194"/>
        <v>0.23305000000000001</v>
      </c>
      <c r="J47" s="16"/>
      <c r="K47" s="18"/>
      <c r="L47" s="19">
        <f t="shared" si="195"/>
        <v>0</v>
      </c>
      <c r="M47" s="16"/>
      <c r="N47" s="18"/>
      <c r="O47" s="19">
        <f t="shared" si="196"/>
        <v>0</v>
      </c>
      <c r="P47" s="16"/>
      <c r="Q47" s="18"/>
      <c r="R47" s="19">
        <f t="shared" si="197"/>
        <v>0</v>
      </c>
      <c r="S47" s="20">
        <f t="shared" si="198"/>
        <v>1</v>
      </c>
      <c r="T47" s="19">
        <f t="shared" si="199"/>
        <v>0.23305000000000001</v>
      </c>
      <c r="U47" s="21">
        <f t="shared" si="200"/>
        <v>-1</v>
      </c>
      <c r="V47" s="19">
        <f t="shared" si="201"/>
        <v>-0.23305000000000001</v>
      </c>
    </row>
    <row r="48" spans="1:22">
      <c r="A48" s="36"/>
      <c r="B48" s="36"/>
      <c r="C48" s="37"/>
      <c r="D48" s="38"/>
      <c r="E48" s="31">
        <f>SUM(E45:E47)</f>
        <v>4</v>
      </c>
      <c r="F48" s="38">
        <f>SUM(F45:F47)</f>
        <v>0.7198</v>
      </c>
      <c r="G48" s="26"/>
      <c r="H48" s="31">
        <f>SUM(H45:H47)</f>
        <v>4</v>
      </c>
      <c r="I48" s="38">
        <f>SUM(I45:I47)</f>
        <v>0.94104999999999994</v>
      </c>
      <c r="J48" s="26"/>
      <c r="K48" s="31">
        <f t="shared" ref="K48" si="202">SUM(K45:K47)</f>
        <v>0</v>
      </c>
      <c r="L48" s="38">
        <f t="shared" ref="L48" si="203">SUM(L45:L47)</f>
        <v>0</v>
      </c>
      <c r="M48" s="26"/>
      <c r="N48" s="31">
        <f t="shared" ref="N48" si="204">SUM(N45:N47)</f>
        <v>0</v>
      </c>
      <c r="O48" s="38">
        <f t="shared" ref="O48" si="205">SUM(O45:O47)</f>
        <v>0</v>
      </c>
      <c r="P48" s="26"/>
      <c r="Q48" s="31">
        <f t="shared" ref="Q48" si="206">SUM(Q45:Q47)</f>
        <v>0</v>
      </c>
      <c r="R48" s="38">
        <f t="shared" ref="R48" si="207">SUM(R45:R47)</f>
        <v>0</v>
      </c>
      <c r="S48" s="31">
        <f t="shared" ref="S48" si="208">SUM(S45:S47)</f>
        <v>4</v>
      </c>
      <c r="T48" s="38">
        <f t="shared" ref="T48" si="209">SUM(T45:T47)</f>
        <v>0.94104999999999994</v>
      </c>
      <c r="U48" s="31">
        <f t="shared" ref="U48" si="210">SUM(U45:U47)</f>
        <v>0</v>
      </c>
      <c r="V48" s="38">
        <f t="shared" ref="V48" si="211">SUM(V45:V47)</f>
        <v>-0.22124999999999997</v>
      </c>
    </row>
    <row r="49" spans="1:22">
      <c r="A49" s="26" t="s">
        <v>13</v>
      </c>
      <c r="B49" s="26" t="s">
        <v>75</v>
      </c>
      <c r="C49" s="30">
        <v>31.6</v>
      </c>
      <c r="D49" s="27">
        <v>11.9</v>
      </c>
      <c r="E49" s="28">
        <v>4</v>
      </c>
      <c r="F49" s="16">
        <f>(C49*D49*E49/1000)</f>
        <v>1.5041600000000002</v>
      </c>
      <c r="G49" s="17" t="s">
        <v>93</v>
      </c>
      <c r="H49" s="18"/>
      <c r="I49" s="19">
        <f>(C49*D49*H49/1000)</f>
        <v>0</v>
      </c>
      <c r="J49" s="16"/>
      <c r="K49" s="18"/>
      <c r="L49" s="19">
        <f>(C49*D49*K49/1000)</f>
        <v>0</v>
      </c>
      <c r="M49" s="16"/>
      <c r="N49" s="18"/>
      <c r="O49" s="19">
        <f>(C49*D49*N49/1000)</f>
        <v>0</v>
      </c>
      <c r="P49" s="16"/>
      <c r="Q49" s="18"/>
      <c r="R49" s="19">
        <f>(C49*D49*Q49/1000)</f>
        <v>0</v>
      </c>
      <c r="S49" s="20">
        <f>+H49+K49+Q49+N49</f>
        <v>0</v>
      </c>
      <c r="T49" s="19">
        <f>+I49+L49+R49+O49</f>
        <v>0</v>
      </c>
      <c r="U49" s="21">
        <f>E49-S49</f>
        <v>4</v>
      </c>
      <c r="V49" s="19">
        <f>F49-T49</f>
        <v>1.5041600000000002</v>
      </c>
    </row>
    <row r="50" spans="1:22">
      <c r="A50" s="26" t="s">
        <v>13</v>
      </c>
      <c r="B50" s="26" t="s">
        <v>75</v>
      </c>
      <c r="C50" s="30">
        <v>31.6</v>
      </c>
      <c r="D50" s="27">
        <v>12</v>
      </c>
      <c r="E50" s="28"/>
      <c r="F50" s="16">
        <f t="shared" ref="F50:F57" si="212">(C50*D50*E50/1000)</f>
        <v>0</v>
      </c>
      <c r="G50" s="17" t="s">
        <v>517</v>
      </c>
      <c r="H50" s="18">
        <v>1</v>
      </c>
      <c r="I50" s="19">
        <f t="shared" ref="I50:I57" si="213">(C50*D50*H50/1000)</f>
        <v>0.37920000000000004</v>
      </c>
      <c r="J50" s="16"/>
      <c r="K50" s="18"/>
      <c r="L50" s="19">
        <f t="shared" ref="L50:L57" si="214">(C50*D50*K50/1000)</f>
        <v>0</v>
      </c>
      <c r="M50" s="16"/>
      <c r="N50" s="18"/>
      <c r="O50" s="19">
        <f t="shared" ref="O50:O57" si="215">(C50*D50*N50/1000)</f>
        <v>0</v>
      </c>
      <c r="P50" s="16"/>
      <c r="Q50" s="18"/>
      <c r="R50" s="19">
        <f t="shared" ref="R50:R57" si="216">(C50*D50*Q50/1000)</f>
        <v>0</v>
      </c>
      <c r="S50" s="20">
        <f t="shared" ref="S50:S57" si="217">+H50+K50+Q50+N50</f>
        <v>1</v>
      </c>
      <c r="T50" s="19">
        <f t="shared" ref="T50:T57" si="218">+I50+L50+R50+O50</f>
        <v>0.37920000000000004</v>
      </c>
      <c r="U50" s="21">
        <f t="shared" ref="U50:U57" si="219">E50-S50</f>
        <v>-1</v>
      </c>
      <c r="V50" s="19">
        <f t="shared" ref="V50:V57" si="220">F50-T50</f>
        <v>-0.37920000000000004</v>
      </c>
    </row>
    <row r="51" spans="1:22">
      <c r="A51" s="26" t="s">
        <v>13</v>
      </c>
      <c r="B51" s="26" t="s">
        <v>75</v>
      </c>
      <c r="C51" s="30">
        <v>31.6</v>
      </c>
      <c r="D51" s="27">
        <v>6.4</v>
      </c>
      <c r="E51" s="28"/>
      <c r="F51" s="16">
        <f t="shared" si="212"/>
        <v>0</v>
      </c>
      <c r="G51" s="17"/>
      <c r="H51" s="18">
        <v>2</v>
      </c>
      <c r="I51" s="19">
        <f t="shared" si="213"/>
        <v>0.40448000000000001</v>
      </c>
      <c r="J51" s="16"/>
      <c r="K51" s="18"/>
      <c r="L51" s="19">
        <f t="shared" si="214"/>
        <v>0</v>
      </c>
      <c r="M51" s="16"/>
      <c r="N51" s="18"/>
      <c r="O51" s="19">
        <f t="shared" si="215"/>
        <v>0</v>
      </c>
      <c r="P51" s="16"/>
      <c r="Q51" s="18"/>
      <c r="R51" s="19">
        <f t="shared" si="216"/>
        <v>0</v>
      </c>
      <c r="S51" s="20">
        <f t="shared" si="217"/>
        <v>2</v>
      </c>
      <c r="T51" s="19">
        <f t="shared" si="218"/>
        <v>0.40448000000000001</v>
      </c>
      <c r="U51" s="21">
        <f t="shared" si="219"/>
        <v>-2</v>
      </c>
      <c r="V51" s="19">
        <f t="shared" si="220"/>
        <v>-0.40448000000000001</v>
      </c>
    </row>
    <row r="52" spans="1:22">
      <c r="A52" s="26" t="s">
        <v>13</v>
      </c>
      <c r="B52" s="26" t="s">
        <v>75</v>
      </c>
      <c r="C52" s="30">
        <v>31.6</v>
      </c>
      <c r="D52" s="27">
        <v>7.15</v>
      </c>
      <c r="E52" s="28"/>
      <c r="F52" s="16">
        <f t="shared" si="212"/>
        <v>0</v>
      </c>
      <c r="G52" s="17"/>
      <c r="H52" s="18">
        <v>1</v>
      </c>
      <c r="I52" s="19">
        <f t="shared" si="213"/>
        <v>0.22594000000000003</v>
      </c>
      <c r="J52" s="16"/>
      <c r="K52" s="18"/>
      <c r="L52" s="19">
        <f t="shared" si="214"/>
        <v>0</v>
      </c>
      <c r="M52" s="16"/>
      <c r="N52" s="18"/>
      <c r="O52" s="19">
        <f t="shared" si="215"/>
        <v>0</v>
      </c>
      <c r="P52" s="16"/>
      <c r="Q52" s="18"/>
      <c r="R52" s="19">
        <f t="shared" si="216"/>
        <v>0</v>
      </c>
      <c r="S52" s="20">
        <f t="shared" si="217"/>
        <v>1</v>
      </c>
      <c r="T52" s="19">
        <f t="shared" si="218"/>
        <v>0.22594000000000003</v>
      </c>
      <c r="U52" s="21">
        <f t="shared" si="219"/>
        <v>-1</v>
      </c>
      <c r="V52" s="19">
        <f t="shared" si="220"/>
        <v>-0.22594000000000003</v>
      </c>
    </row>
    <row r="53" spans="1:22">
      <c r="A53" s="26" t="s">
        <v>13</v>
      </c>
      <c r="B53" s="26" t="s">
        <v>75</v>
      </c>
      <c r="C53" s="30">
        <v>31.6</v>
      </c>
      <c r="D53" s="27">
        <v>6.6</v>
      </c>
      <c r="E53" s="28"/>
      <c r="F53" s="16">
        <f t="shared" si="212"/>
        <v>0</v>
      </c>
      <c r="G53" s="17"/>
      <c r="H53" s="18">
        <v>1</v>
      </c>
      <c r="I53" s="19">
        <f t="shared" si="213"/>
        <v>0.20856</v>
      </c>
      <c r="J53" s="16"/>
      <c r="K53" s="18"/>
      <c r="L53" s="19">
        <f t="shared" si="214"/>
        <v>0</v>
      </c>
      <c r="M53" s="16"/>
      <c r="N53" s="18"/>
      <c r="O53" s="19">
        <f t="shared" si="215"/>
        <v>0</v>
      </c>
      <c r="P53" s="16"/>
      <c r="Q53" s="18"/>
      <c r="R53" s="19">
        <f t="shared" si="216"/>
        <v>0</v>
      </c>
      <c r="S53" s="20">
        <f t="shared" si="217"/>
        <v>1</v>
      </c>
      <c r="T53" s="19">
        <f t="shared" si="218"/>
        <v>0.20856</v>
      </c>
      <c r="U53" s="21">
        <f t="shared" si="219"/>
        <v>-1</v>
      </c>
      <c r="V53" s="19">
        <f t="shared" si="220"/>
        <v>-0.20856</v>
      </c>
    </row>
    <row r="54" spans="1:22">
      <c r="A54" s="26" t="s">
        <v>13</v>
      </c>
      <c r="B54" s="26" t="s">
        <v>75</v>
      </c>
      <c r="C54" s="30">
        <v>31.6</v>
      </c>
      <c r="D54" s="27">
        <v>6.5</v>
      </c>
      <c r="E54" s="28"/>
      <c r="F54" s="16">
        <f t="shared" si="212"/>
        <v>0</v>
      </c>
      <c r="G54" s="17"/>
      <c r="H54" s="18">
        <v>1</v>
      </c>
      <c r="I54" s="19">
        <f t="shared" si="213"/>
        <v>0.2054</v>
      </c>
      <c r="J54" s="16"/>
      <c r="K54" s="18"/>
      <c r="L54" s="19">
        <f t="shared" si="214"/>
        <v>0</v>
      </c>
      <c r="M54" s="16"/>
      <c r="N54" s="18"/>
      <c r="O54" s="19">
        <f t="shared" si="215"/>
        <v>0</v>
      </c>
      <c r="P54" s="16"/>
      <c r="Q54" s="18"/>
      <c r="R54" s="19">
        <f t="shared" si="216"/>
        <v>0</v>
      </c>
      <c r="S54" s="20">
        <f t="shared" si="217"/>
        <v>1</v>
      </c>
      <c r="T54" s="19">
        <f t="shared" si="218"/>
        <v>0.2054</v>
      </c>
      <c r="U54" s="21">
        <f t="shared" si="219"/>
        <v>-1</v>
      </c>
      <c r="V54" s="19">
        <f t="shared" si="220"/>
        <v>-0.2054</v>
      </c>
    </row>
    <row r="55" spans="1:22">
      <c r="A55" s="26" t="s">
        <v>13</v>
      </c>
      <c r="B55" s="26" t="s">
        <v>75</v>
      </c>
      <c r="C55" s="30">
        <v>31.6</v>
      </c>
      <c r="D55" s="27">
        <v>7.8</v>
      </c>
      <c r="E55" s="28"/>
      <c r="F55" s="16">
        <f t="shared" si="212"/>
        <v>0</v>
      </c>
      <c r="G55" s="17"/>
      <c r="H55" s="18">
        <v>1</v>
      </c>
      <c r="I55" s="19">
        <f t="shared" si="213"/>
        <v>0.24648</v>
      </c>
      <c r="J55" s="16"/>
      <c r="K55" s="18"/>
      <c r="L55" s="19">
        <f t="shared" si="214"/>
        <v>0</v>
      </c>
      <c r="M55" s="16"/>
      <c r="N55" s="18"/>
      <c r="O55" s="19">
        <f t="shared" si="215"/>
        <v>0</v>
      </c>
      <c r="P55" s="16"/>
      <c r="Q55" s="18"/>
      <c r="R55" s="19">
        <f t="shared" si="216"/>
        <v>0</v>
      </c>
      <c r="S55" s="20">
        <f t="shared" si="217"/>
        <v>1</v>
      </c>
      <c r="T55" s="19">
        <f t="shared" si="218"/>
        <v>0.24648</v>
      </c>
      <c r="U55" s="21">
        <f t="shared" si="219"/>
        <v>-1</v>
      </c>
      <c r="V55" s="19">
        <f t="shared" si="220"/>
        <v>-0.24648</v>
      </c>
    </row>
    <row r="56" spans="1:22">
      <c r="A56" s="26" t="s">
        <v>13</v>
      </c>
      <c r="B56" s="26" t="s">
        <v>75</v>
      </c>
      <c r="C56" s="30">
        <v>31.6</v>
      </c>
      <c r="D56" s="27"/>
      <c r="E56" s="28"/>
      <c r="F56" s="16">
        <f t="shared" si="212"/>
        <v>0</v>
      </c>
      <c r="G56" s="17"/>
      <c r="H56" s="18"/>
      <c r="I56" s="19">
        <f t="shared" si="213"/>
        <v>0</v>
      </c>
      <c r="J56" s="16"/>
      <c r="K56" s="18"/>
      <c r="L56" s="19">
        <f t="shared" si="214"/>
        <v>0</v>
      </c>
      <c r="M56" s="16"/>
      <c r="N56" s="18"/>
      <c r="O56" s="19">
        <f t="shared" si="215"/>
        <v>0</v>
      </c>
      <c r="P56" s="16"/>
      <c r="Q56" s="18"/>
      <c r="R56" s="19">
        <f t="shared" si="216"/>
        <v>0</v>
      </c>
      <c r="S56" s="20">
        <f t="shared" si="217"/>
        <v>0</v>
      </c>
      <c r="T56" s="19">
        <f t="shared" si="218"/>
        <v>0</v>
      </c>
      <c r="U56" s="21">
        <f t="shared" si="219"/>
        <v>0</v>
      </c>
      <c r="V56" s="19">
        <f t="shared" si="220"/>
        <v>0</v>
      </c>
    </row>
    <row r="57" spans="1:22">
      <c r="A57" s="26" t="s">
        <v>13</v>
      </c>
      <c r="B57" s="26" t="s">
        <v>75</v>
      </c>
      <c r="C57" s="30">
        <v>31.6</v>
      </c>
      <c r="D57" s="27"/>
      <c r="E57" s="28"/>
      <c r="F57" s="16">
        <f t="shared" si="212"/>
        <v>0</v>
      </c>
      <c r="G57" s="17"/>
      <c r="H57" s="18"/>
      <c r="I57" s="19">
        <f t="shared" si="213"/>
        <v>0</v>
      </c>
      <c r="J57" s="16"/>
      <c r="K57" s="18"/>
      <c r="L57" s="19">
        <f t="shared" si="214"/>
        <v>0</v>
      </c>
      <c r="M57" s="16"/>
      <c r="N57" s="18"/>
      <c r="O57" s="19">
        <f t="shared" si="215"/>
        <v>0</v>
      </c>
      <c r="P57" s="16"/>
      <c r="Q57" s="18"/>
      <c r="R57" s="19">
        <f t="shared" si="216"/>
        <v>0</v>
      </c>
      <c r="S57" s="20">
        <f t="shared" si="217"/>
        <v>0</v>
      </c>
      <c r="T57" s="19">
        <f t="shared" si="218"/>
        <v>0</v>
      </c>
      <c r="U57" s="21">
        <f t="shared" si="219"/>
        <v>0</v>
      </c>
      <c r="V57" s="19">
        <f t="shared" si="220"/>
        <v>0</v>
      </c>
    </row>
    <row r="58" spans="1:22">
      <c r="A58" s="36"/>
      <c r="B58" s="36"/>
      <c r="C58" s="37"/>
      <c r="D58" s="38"/>
      <c r="E58" s="31">
        <f t="shared" ref="E58:F58" si="221">SUM(E49:E57)</f>
        <v>4</v>
      </c>
      <c r="F58" s="38">
        <f t="shared" si="221"/>
        <v>1.5041600000000002</v>
      </c>
      <c r="G58" s="26"/>
      <c r="H58" s="31">
        <f t="shared" ref="H58" si="222">SUM(H49:H57)</f>
        <v>7</v>
      </c>
      <c r="I58" s="38">
        <f t="shared" ref="I58" si="223">SUM(I49:I57)</f>
        <v>1.6700600000000001</v>
      </c>
      <c r="J58" s="26"/>
      <c r="K58" s="31">
        <f t="shared" ref="K58" si="224">SUM(K49:K57)</f>
        <v>0</v>
      </c>
      <c r="L58" s="38">
        <f t="shared" ref="L58" si="225">SUM(L49:L57)</f>
        <v>0</v>
      </c>
      <c r="M58" s="26"/>
      <c r="N58" s="31">
        <f t="shared" ref="N58" si="226">SUM(N49:N57)</f>
        <v>0</v>
      </c>
      <c r="O58" s="38">
        <f t="shared" ref="O58" si="227">SUM(O49:O57)</f>
        <v>0</v>
      </c>
      <c r="P58" s="26"/>
      <c r="Q58" s="31">
        <f t="shared" ref="Q58" si="228">SUM(Q49:Q57)</f>
        <v>0</v>
      </c>
      <c r="R58" s="38">
        <f t="shared" ref="R58" si="229">SUM(R49:R57)</f>
        <v>0</v>
      </c>
      <c r="S58" s="31">
        <f t="shared" ref="S58" si="230">SUM(S49:S57)</f>
        <v>7</v>
      </c>
      <c r="T58" s="38">
        <f t="shared" ref="T58" si="231">SUM(T49:T57)</f>
        <v>1.6700600000000001</v>
      </c>
      <c r="U58" s="31">
        <f t="shared" ref="U58" si="232">SUM(U49:U57)</f>
        <v>-3</v>
      </c>
      <c r="V58" s="38">
        <f t="shared" ref="V58" si="233">SUM(V49:V57)</f>
        <v>-0.16589999999999977</v>
      </c>
    </row>
    <row r="59" spans="1:22">
      <c r="A59" s="26" t="s">
        <v>13</v>
      </c>
      <c r="B59" s="26" t="s">
        <v>126</v>
      </c>
      <c r="C59" s="30">
        <v>33.799999999999997</v>
      </c>
      <c r="D59" s="27">
        <v>9.3000000000000007</v>
      </c>
      <c r="E59" s="28">
        <v>4</v>
      </c>
      <c r="F59" s="16">
        <f>(C59*D59*E59/1000)</f>
        <v>1.2573599999999998</v>
      </c>
      <c r="G59" s="16" t="s">
        <v>93</v>
      </c>
      <c r="H59" s="18"/>
      <c r="I59" s="19">
        <f>(C59*D59*H59/1000)</f>
        <v>0</v>
      </c>
      <c r="J59" s="16"/>
      <c r="K59" s="18"/>
      <c r="L59" s="19">
        <f>(C59*D59*K59/1000)</f>
        <v>0</v>
      </c>
      <c r="M59" s="16"/>
      <c r="N59" s="18"/>
      <c r="O59" s="19">
        <f>(C59*D59*N59/1000)</f>
        <v>0</v>
      </c>
      <c r="P59" s="16"/>
      <c r="Q59" s="18"/>
      <c r="R59" s="19">
        <f>(C59*D59*Q59/1000)</f>
        <v>0</v>
      </c>
      <c r="S59" s="20">
        <f>+H59+K59+Q59+N59</f>
        <v>0</v>
      </c>
      <c r="T59" s="19">
        <f>+I59+L59+R59+O59</f>
        <v>0</v>
      </c>
      <c r="U59" s="21">
        <f>E59-S59</f>
        <v>4</v>
      </c>
      <c r="V59" s="19">
        <f>F59-T59</f>
        <v>1.2573599999999998</v>
      </c>
    </row>
    <row r="60" spans="1:22">
      <c r="A60" s="26" t="s">
        <v>13</v>
      </c>
      <c r="B60" s="26" t="s">
        <v>126</v>
      </c>
      <c r="C60" s="30">
        <v>33.799999999999997</v>
      </c>
      <c r="D60" s="27">
        <v>11.9</v>
      </c>
      <c r="E60" s="28">
        <v>4</v>
      </c>
      <c r="F60" s="16">
        <f t="shared" ref="F60:F68" si="234">(C60*D60*E60/1000)</f>
        <v>1.6088799999999999</v>
      </c>
      <c r="G60" s="16" t="s">
        <v>516</v>
      </c>
      <c r="H60" s="18"/>
      <c r="I60" s="19">
        <f t="shared" ref="I60:I68" si="235">(C60*D60*H60/1000)</f>
        <v>0</v>
      </c>
      <c r="J60" s="16"/>
      <c r="K60" s="18"/>
      <c r="L60" s="19">
        <f t="shared" ref="L60:L68" si="236">(C60*D60*K60/1000)</f>
        <v>0</v>
      </c>
      <c r="M60" s="16"/>
      <c r="N60" s="18"/>
      <c r="O60" s="19">
        <f t="shared" ref="O60:O68" si="237">(C60*D60*N60/1000)</f>
        <v>0</v>
      </c>
      <c r="P60" s="16"/>
      <c r="Q60" s="18"/>
      <c r="R60" s="19">
        <f t="shared" ref="R60:R68" si="238">(C60*D60*Q60/1000)</f>
        <v>0</v>
      </c>
      <c r="S60" s="20">
        <f t="shared" ref="S60:S68" si="239">+H60+K60+Q60+N60</f>
        <v>0</v>
      </c>
      <c r="T60" s="19">
        <f t="shared" ref="T60:T68" si="240">+I60+L60+R60+O60</f>
        <v>0</v>
      </c>
      <c r="U60" s="21">
        <f t="shared" ref="U60:U68" si="241">E60-S60</f>
        <v>4</v>
      </c>
      <c r="V60" s="19">
        <f t="shared" ref="V60:V68" si="242">F60-T60</f>
        <v>1.6088799999999999</v>
      </c>
    </row>
    <row r="61" spans="1:22">
      <c r="A61" s="26" t="s">
        <v>13</v>
      </c>
      <c r="B61" s="26" t="s">
        <v>126</v>
      </c>
      <c r="C61" s="30">
        <v>33.799999999999997</v>
      </c>
      <c r="D61" s="27">
        <v>6.9</v>
      </c>
      <c r="E61" s="28"/>
      <c r="F61" s="16">
        <f t="shared" si="234"/>
        <v>0</v>
      </c>
      <c r="G61" s="16"/>
      <c r="H61" s="18">
        <v>1</v>
      </c>
      <c r="I61" s="19">
        <f t="shared" si="235"/>
        <v>0.23322000000000001</v>
      </c>
      <c r="J61" s="16"/>
      <c r="K61" s="18"/>
      <c r="L61" s="19">
        <f t="shared" si="236"/>
        <v>0</v>
      </c>
      <c r="M61" s="16"/>
      <c r="N61" s="18"/>
      <c r="O61" s="19">
        <f t="shared" si="237"/>
        <v>0</v>
      </c>
      <c r="P61" s="16"/>
      <c r="Q61" s="18"/>
      <c r="R61" s="19">
        <f t="shared" si="238"/>
        <v>0</v>
      </c>
      <c r="S61" s="20">
        <f t="shared" si="239"/>
        <v>1</v>
      </c>
      <c r="T61" s="19">
        <f t="shared" si="240"/>
        <v>0.23322000000000001</v>
      </c>
      <c r="U61" s="21">
        <f t="shared" si="241"/>
        <v>-1</v>
      </c>
      <c r="V61" s="19">
        <f t="shared" si="242"/>
        <v>-0.23322000000000001</v>
      </c>
    </row>
    <row r="62" spans="1:22">
      <c r="A62" s="26" t="s">
        <v>13</v>
      </c>
      <c r="B62" s="26" t="s">
        <v>126</v>
      </c>
      <c r="C62" s="30">
        <v>33.799999999999997</v>
      </c>
      <c r="D62" s="27">
        <v>8.3000000000000007</v>
      </c>
      <c r="E62" s="28"/>
      <c r="F62" s="16">
        <f t="shared" si="234"/>
        <v>0</v>
      </c>
      <c r="G62" s="16"/>
      <c r="H62" s="18">
        <v>1</v>
      </c>
      <c r="I62" s="19">
        <f t="shared" si="235"/>
        <v>0.28054000000000001</v>
      </c>
      <c r="J62" s="16"/>
      <c r="K62" s="18"/>
      <c r="L62" s="19">
        <f t="shared" si="236"/>
        <v>0</v>
      </c>
      <c r="M62" s="16"/>
      <c r="N62" s="18"/>
      <c r="O62" s="19">
        <f t="shared" si="237"/>
        <v>0</v>
      </c>
      <c r="P62" s="16"/>
      <c r="Q62" s="18"/>
      <c r="R62" s="19">
        <f t="shared" si="238"/>
        <v>0</v>
      </c>
      <c r="S62" s="20">
        <f t="shared" si="239"/>
        <v>1</v>
      </c>
      <c r="T62" s="19">
        <f t="shared" si="240"/>
        <v>0.28054000000000001</v>
      </c>
      <c r="U62" s="21">
        <f t="shared" si="241"/>
        <v>-1</v>
      </c>
      <c r="V62" s="19">
        <f t="shared" si="242"/>
        <v>-0.28054000000000001</v>
      </c>
    </row>
    <row r="63" spans="1:22">
      <c r="A63" s="26" t="s">
        <v>13</v>
      </c>
      <c r="B63" s="26" t="s">
        <v>126</v>
      </c>
      <c r="C63" s="30">
        <v>33.799999999999997</v>
      </c>
      <c r="D63" s="27">
        <v>7.5</v>
      </c>
      <c r="E63" s="28"/>
      <c r="F63" s="16">
        <f t="shared" si="234"/>
        <v>0</v>
      </c>
      <c r="G63" s="16"/>
      <c r="H63" s="18">
        <v>1</v>
      </c>
      <c r="I63" s="19">
        <f t="shared" si="235"/>
        <v>0.25349999999999995</v>
      </c>
      <c r="J63" s="16"/>
      <c r="K63" s="18"/>
      <c r="L63" s="19">
        <f t="shared" si="236"/>
        <v>0</v>
      </c>
      <c r="M63" s="16"/>
      <c r="N63" s="18"/>
      <c r="O63" s="19">
        <f t="shared" si="237"/>
        <v>0</v>
      </c>
      <c r="P63" s="16"/>
      <c r="Q63" s="18"/>
      <c r="R63" s="19">
        <f t="shared" si="238"/>
        <v>0</v>
      </c>
      <c r="S63" s="20">
        <f t="shared" si="239"/>
        <v>1</v>
      </c>
      <c r="T63" s="19">
        <f t="shared" si="240"/>
        <v>0.25349999999999995</v>
      </c>
      <c r="U63" s="21">
        <f t="shared" si="241"/>
        <v>-1</v>
      </c>
      <c r="V63" s="19">
        <f t="shared" si="242"/>
        <v>-0.25349999999999995</v>
      </c>
    </row>
    <row r="64" spans="1:22">
      <c r="A64" s="26" t="s">
        <v>13</v>
      </c>
      <c r="B64" s="26" t="s">
        <v>126</v>
      </c>
      <c r="C64" s="30">
        <v>33.799999999999997</v>
      </c>
      <c r="D64" s="27">
        <v>6.3</v>
      </c>
      <c r="E64" s="28"/>
      <c r="F64" s="16">
        <f t="shared" si="234"/>
        <v>0</v>
      </c>
      <c r="G64" s="16"/>
      <c r="H64" s="18">
        <v>2</v>
      </c>
      <c r="I64" s="19">
        <f t="shared" si="235"/>
        <v>0.42587999999999993</v>
      </c>
      <c r="J64" s="16"/>
      <c r="K64" s="18"/>
      <c r="L64" s="19">
        <f t="shared" si="236"/>
        <v>0</v>
      </c>
      <c r="M64" s="16"/>
      <c r="N64" s="18"/>
      <c r="O64" s="19">
        <f t="shared" si="237"/>
        <v>0</v>
      </c>
      <c r="P64" s="16"/>
      <c r="Q64" s="18"/>
      <c r="R64" s="19">
        <f t="shared" si="238"/>
        <v>0</v>
      </c>
      <c r="S64" s="20">
        <f t="shared" si="239"/>
        <v>2</v>
      </c>
      <c r="T64" s="19">
        <f t="shared" si="240"/>
        <v>0.42587999999999993</v>
      </c>
      <c r="U64" s="21">
        <f t="shared" si="241"/>
        <v>-2</v>
      </c>
      <c r="V64" s="19">
        <f t="shared" si="242"/>
        <v>-0.42587999999999993</v>
      </c>
    </row>
    <row r="65" spans="1:22">
      <c r="A65" s="26" t="s">
        <v>13</v>
      </c>
      <c r="B65" s="26" t="s">
        <v>126</v>
      </c>
      <c r="C65" s="30">
        <v>33.799999999999997</v>
      </c>
      <c r="D65" s="27">
        <v>8.1999999999999993</v>
      </c>
      <c r="E65" s="28"/>
      <c r="F65" s="16">
        <f t="shared" si="234"/>
        <v>0</v>
      </c>
      <c r="G65" s="16"/>
      <c r="H65" s="18">
        <v>1</v>
      </c>
      <c r="I65" s="19">
        <f t="shared" si="235"/>
        <v>0.27715999999999996</v>
      </c>
      <c r="J65" s="16"/>
      <c r="K65" s="18"/>
      <c r="L65" s="19">
        <f t="shared" si="236"/>
        <v>0</v>
      </c>
      <c r="M65" s="16"/>
      <c r="N65" s="18"/>
      <c r="O65" s="19">
        <f t="shared" si="237"/>
        <v>0</v>
      </c>
      <c r="P65" s="16"/>
      <c r="Q65" s="18"/>
      <c r="R65" s="19">
        <f t="shared" si="238"/>
        <v>0</v>
      </c>
      <c r="S65" s="20">
        <f t="shared" si="239"/>
        <v>1</v>
      </c>
      <c r="T65" s="19">
        <f t="shared" si="240"/>
        <v>0.27715999999999996</v>
      </c>
      <c r="U65" s="21">
        <f t="shared" si="241"/>
        <v>-1</v>
      </c>
      <c r="V65" s="19">
        <f t="shared" si="242"/>
        <v>-0.27715999999999996</v>
      </c>
    </row>
    <row r="66" spans="1:22">
      <c r="A66" s="26" t="s">
        <v>13</v>
      </c>
      <c r="B66" s="26" t="s">
        <v>126</v>
      </c>
      <c r="C66" s="30">
        <v>33.799999999999997</v>
      </c>
      <c r="D66" s="27">
        <v>6.1</v>
      </c>
      <c r="E66" s="28"/>
      <c r="F66" s="16">
        <f t="shared" si="234"/>
        <v>0</v>
      </c>
      <c r="G66" s="16"/>
      <c r="H66" s="18">
        <v>2</v>
      </c>
      <c r="I66" s="19">
        <f t="shared" si="235"/>
        <v>0.41235999999999995</v>
      </c>
      <c r="J66" s="16"/>
      <c r="K66" s="18"/>
      <c r="L66" s="19">
        <f t="shared" si="236"/>
        <v>0</v>
      </c>
      <c r="M66" s="16"/>
      <c r="N66" s="18"/>
      <c r="O66" s="19">
        <f t="shared" si="237"/>
        <v>0</v>
      </c>
      <c r="P66" s="16"/>
      <c r="Q66" s="18"/>
      <c r="R66" s="19">
        <f t="shared" si="238"/>
        <v>0</v>
      </c>
      <c r="S66" s="20">
        <f t="shared" si="239"/>
        <v>2</v>
      </c>
      <c r="T66" s="19">
        <f t="shared" si="240"/>
        <v>0.41235999999999995</v>
      </c>
      <c r="U66" s="21">
        <f t="shared" si="241"/>
        <v>-2</v>
      </c>
      <c r="V66" s="19">
        <f t="shared" si="242"/>
        <v>-0.41235999999999995</v>
      </c>
    </row>
    <row r="67" spans="1:22">
      <c r="A67" s="26" t="s">
        <v>13</v>
      </c>
      <c r="B67" s="26" t="s">
        <v>126</v>
      </c>
      <c r="C67" s="30">
        <v>33.799999999999997</v>
      </c>
      <c r="D67" s="27">
        <v>7</v>
      </c>
      <c r="E67" s="28"/>
      <c r="F67" s="16">
        <f t="shared" si="234"/>
        <v>0</v>
      </c>
      <c r="G67" s="16"/>
      <c r="H67" s="18">
        <v>5</v>
      </c>
      <c r="I67" s="19">
        <f t="shared" si="235"/>
        <v>1.1829999999999998</v>
      </c>
      <c r="J67" s="16"/>
      <c r="K67" s="18"/>
      <c r="L67" s="19">
        <f t="shared" si="236"/>
        <v>0</v>
      </c>
      <c r="M67" s="16"/>
      <c r="N67" s="18"/>
      <c r="O67" s="19">
        <f t="shared" si="237"/>
        <v>0</v>
      </c>
      <c r="P67" s="16"/>
      <c r="Q67" s="18"/>
      <c r="R67" s="19">
        <f t="shared" si="238"/>
        <v>0</v>
      </c>
      <c r="S67" s="20">
        <f t="shared" si="239"/>
        <v>5</v>
      </c>
      <c r="T67" s="19">
        <f t="shared" si="240"/>
        <v>1.1829999999999998</v>
      </c>
      <c r="U67" s="21">
        <f t="shared" si="241"/>
        <v>-5</v>
      </c>
      <c r="V67" s="19">
        <f t="shared" si="242"/>
        <v>-1.1829999999999998</v>
      </c>
    </row>
    <row r="68" spans="1:22">
      <c r="A68" s="26" t="s">
        <v>13</v>
      </c>
      <c r="B68" s="26" t="s">
        <v>126</v>
      </c>
      <c r="C68" s="30">
        <v>33.799999999999997</v>
      </c>
      <c r="D68" s="27">
        <v>9</v>
      </c>
      <c r="E68" s="28"/>
      <c r="F68" s="16">
        <f t="shared" si="234"/>
        <v>0</v>
      </c>
      <c r="G68" s="16"/>
      <c r="H68" s="18">
        <v>1</v>
      </c>
      <c r="I68" s="19">
        <f t="shared" si="235"/>
        <v>0.30419999999999997</v>
      </c>
      <c r="J68" s="16"/>
      <c r="K68" s="18"/>
      <c r="L68" s="19">
        <f t="shared" si="236"/>
        <v>0</v>
      </c>
      <c r="M68" s="16"/>
      <c r="N68" s="18"/>
      <c r="O68" s="19">
        <f t="shared" si="237"/>
        <v>0</v>
      </c>
      <c r="P68" s="16"/>
      <c r="Q68" s="18"/>
      <c r="R68" s="19">
        <f t="shared" si="238"/>
        <v>0</v>
      </c>
      <c r="S68" s="20">
        <f t="shared" si="239"/>
        <v>1</v>
      </c>
      <c r="T68" s="19">
        <f t="shared" si="240"/>
        <v>0.30419999999999997</v>
      </c>
      <c r="U68" s="21">
        <f t="shared" si="241"/>
        <v>-1</v>
      </c>
      <c r="V68" s="19">
        <f t="shared" si="242"/>
        <v>-0.30419999999999997</v>
      </c>
    </row>
    <row r="69" spans="1:22">
      <c r="A69" s="26" t="s">
        <v>13</v>
      </c>
      <c r="B69" s="26" t="s">
        <v>126</v>
      </c>
      <c r="C69" s="30">
        <v>33.799999999999997</v>
      </c>
      <c r="D69" s="27"/>
      <c r="E69" s="28"/>
      <c r="F69" s="16">
        <f>(C69*D69*E69/1000)</f>
        <v>0</v>
      </c>
      <c r="G69" s="16"/>
      <c r="H69" s="18"/>
      <c r="I69" s="19">
        <f>(C69*D69*H69/1000)</f>
        <v>0</v>
      </c>
      <c r="J69" s="16"/>
      <c r="K69" s="18"/>
      <c r="L69" s="19">
        <f>(C69*D69*K69/1000)</f>
        <v>0</v>
      </c>
      <c r="M69" s="16"/>
      <c r="N69" s="18"/>
      <c r="O69" s="19">
        <f>(C69*D69*N69/1000)</f>
        <v>0</v>
      </c>
      <c r="P69" s="16"/>
      <c r="Q69" s="18"/>
      <c r="R69" s="19">
        <f>(C69*D69*Q69/1000)</f>
        <v>0</v>
      </c>
      <c r="S69" s="20">
        <f>+H69+K69+Q69+N69</f>
        <v>0</v>
      </c>
      <c r="T69" s="19">
        <f>+I69+L69+R69+O69</f>
        <v>0</v>
      </c>
      <c r="U69" s="21">
        <f>E69-S69</f>
        <v>0</v>
      </c>
      <c r="V69" s="19">
        <f>F69-T69</f>
        <v>0</v>
      </c>
    </row>
    <row r="70" spans="1:22">
      <c r="A70" s="36"/>
      <c r="B70" s="36"/>
      <c r="C70" s="37"/>
      <c r="D70" s="38"/>
      <c r="E70" s="31">
        <f t="shared" ref="E70:F70" si="243">SUM(E59:E69)</f>
        <v>8</v>
      </c>
      <c r="F70" s="38">
        <f t="shared" si="243"/>
        <v>2.8662399999999995</v>
      </c>
      <c r="G70" s="26"/>
      <c r="H70" s="31">
        <f t="shared" ref="H70" si="244">SUM(H59:H69)</f>
        <v>14</v>
      </c>
      <c r="I70" s="38">
        <f t="shared" ref="I70" si="245">SUM(I59:I69)</f>
        <v>3.3698599999999996</v>
      </c>
      <c r="J70" s="26"/>
      <c r="K70" s="31">
        <f t="shared" ref="K70" si="246">SUM(K59:K69)</f>
        <v>0</v>
      </c>
      <c r="L70" s="38">
        <f t="shared" ref="L70" si="247">SUM(L59:L69)</f>
        <v>0</v>
      </c>
      <c r="M70" s="26"/>
      <c r="N70" s="31">
        <f t="shared" ref="N70" si="248">SUM(N59:N69)</f>
        <v>0</v>
      </c>
      <c r="O70" s="38">
        <f t="shared" ref="O70" si="249">SUM(O59:O69)</f>
        <v>0</v>
      </c>
      <c r="P70" s="26"/>
      <c r="Q70" s="31">
        <f t="shared" ref="Q70" si="250">SUM(Q59:Q69)</f>
        <v>0</v>
      </c>
      <c r="R70" s="38">
        <f t="shared" ref="R70" si="251">SUM(R59:R69)</f>
        <v>0</v>
      </c>
      <c r="S70" s="31">
        <f t="shared" ref="S70" si="252">SUM(S59:S69)</f>
        <v>14</v>
      </c>
      <c r="T70" s="38">
        <f t="shared" ref="T70" si="253">SUM(T59:T69)</f>
        <v>3.3698599999999996</v>
      </c>
      <c r="U70" s="31">
        <f t="shared" ref="U70" si="254">SUM(U59:U69)</f>
        <v>-6</v>
      </c>
      <c r="V70" s="38">
        <f t="shared" ref="V70" si="255">SUM(V59:V69)</f>
        <v>-0.50362000000000018</v>
      </c>
    </row>
    <row r="71" spans="1:22">
      <c r="A71" s="26" t="s">
        <v>13</v>
      </c>
      <c r="B71" s="26" t="s">
        <v>127</v>
      </c>
      <c r="C71" s="30">
        <v>35.9</v>
      </c>
      <c r="D71" s="27">
        <v>11.3</v>
      </c>
      <c r="E71" s="28">
        <v>8</v>
      </c>
      <c r="F71" s="16">
        <f>(C71*D71*E71/1000)</f>
        <v>3.2453600000000002</v>
      </c>
      <c r="G71" s="16" t="s">
        <v>93</v>
      </c>
      <c r="H71" s="18">
        <v>8</v>
      </c>
      <c r="I71" s="19">
        <f>(C71*D71*H71/1000)</f>
        <v>3.2453600000000002</v>
      </c>
      <c r="J71" s="16"/>
      <c r="K71" s="18"/>
      <c r="L71" s="19">
        <f>(C71*D71*K71/1000)</f>
        <v>0</v>
      </c>
      <c r="M71" s="16"/>
      <c r="N71" s="18"/>
      <c r="O71" s="19">
        <f>(C71*D71*N71/1000)</f>
        <v>0</v>
      </c>
      <c r="P71" s="16"/>
      <c r="Q71" s="18"/>
      <c r="R71" s="19">
        <f>(C71*D71*Q71/1000)</f>
        <v>0</v>
      </c>
      <c r="S71" s="20">
        <f>+H71+K71+Q71+N71</f>
        <v>8</v>
      </c>
      <c r="T71" s="19">
        <f>+I71+L71+R71+O71</f>
        <v>3.2453600000000002</v>
      </c>
      <c r="U71" s="21">
        <f>E71-S71</f>
        <v>0</v>
      </c>
      <c r="V71" s="19">
        <f>F71-T71</f>
        <v>0</v>
      </c>
    </row>
    <row r="72" spans="1:22">
      <c r="A72" s="36"/>
      <c r="B72" s="36"/>
      <c r="C72" s="37"/>
      <c r="D72" s="38"/>
      <c r="E72" s="31">
        <f t="shared" ref="E72:F72" si="256">SUM(E71)</f>
        <v>8</v>
      </c>
      <c r="F72" s="38">
        <f t="shared" si="256"/>
        <v>3.2453600000000002</v>
      </c>
      <c r="G72" s="16" t="s">
        <v>516</v>
      </c>
      <c r="H72" s="31">
        <f t="shared" ref="H72" si="257">SUM(H71)</f>
        <v>8</v>
      </c>
      <c r="I72" s="38">
        <f t="shared" ref="I72" si="258">SUM(I71)</f>
        <v>3.2453600000000002</v>
      </c>
      <c r="J72" s="26"/>
      <c r="K72" s="31">
        <f t="shared" ref="K72" si="259">SUM(K71)</f>
        <v>0</v>
      </c>
      <c r="L72" s="38">
        <f t="shared" ref="L72" si="260">SUM(L71)</f>
        <v>0</v>
      </c>
      <c r="M72" s="26"/>
      <c r="N72" s="31">
        <f t="shared" ref="N72" si="261">SUM(N71)</f>
        <v>0</v>
      </c>
      <c r="O72" s="38">
        <f t="shared" ref="O72" si="262">SUM(O71)</f>
        <v>0</v>
      </c>
      <c r="P72" s="26"/>
      <c r="Q72" s="31">
        <f t="shared" ref="Q72" si="263">SUM(Q71)</f>
        <v>0</v>
      </c>
      <c r="R72" s="38">
        <f t="shared" ref="R72" si="264">SUM(R71)</f>
        <v>0</v>
      </c>
      <c r="S72" s="31">
        <f t="shared" ref="S72" si="265">SUM(S71)</f>
        <v>8</v>
      </c>
      <c r="T72" s="38">
        <f t="shared" ref="T72" si="266">SUM(T71)</f>
        <v>3.2453600000000002</v>
      </c>
      <c r="U72" s="31">
        <f t="shared" ref="U72" si="267">SUM(U71)</f>
        <v>0</v>
      </c>
      <c r="V72" s="38">
        <f t="shared" ref="V72" si="268">SUM(V71)</f>
        <v>0</v>
      </c>
    </row>
    <row r="73" spans="1:22">
      <c r="A73" s="26" t="s">
        <v>13</v>
      </c>
      <c r="B73" s="26" t="s">
        <v>35</v>
      </c>
      <c r="C73" s="30">
        <v>6.85</v>
      </c>
      <c r="D73" s="27">
        <v>11.65</v>
      </c>
      <c r="E73" s="28">
        <v>2</v>
      </c>
      <c r="F73" s="16">
        <f>(C73*D73*E73/1000)</f>
        <v>0.159605</v>
      </c>
      <c r="G73" s="17" t="s">
        <v>111</v>
      </c>
      <c r="H73" s="18"/>
      <c r="I73" s="19">
        <f>(C73*D73*H73/1000)</f>
        <v>0</v>
      </c>
      <c r="J73" s="16"/>
      <c r="K73" s="18"/>
      <c r="L73" s="19">
        <f>(C73*D73*K73/1000)</f>
        <v>0</v>
      </c>
      <c r="M73" s="16"/>
      <c r="N73" s="18"/>
      <c r="O73" s="19">
        <f>(C73*D73*N73/1000)</f>
        <v>0</v>
      </c>
      <c r="P73" s="16"/>
      <c r="Q73" s="18"/>
      <c r="R73" s="19">
        <f>(C73*D73*Q73/1000)</f>
        <v>0</v>
      </c>
      <c r="S73" s="20">
        <f>+H73+K73+Q73+N73</f>
        <v>0</v>
      </c>
      <c r="T73" s="19">
        <f>+I73+L73+R73+O73</f>
        <v>0</v>
      </c>
      <c r="U73" s="21">
        <f>E73-S73</f>
        <v>2</v>
      </c>
      <c r="V73" s="19">
        <f>F73-T73</f>
        <v>0.159605</v>
      </c>
    </row>
    <row r="74" spans="1:22">
      <c r="A74" s="26" t="s">
        <v>13</v>
      </c>
      <c r="B74" s="26" t="s">
        <v>35</v>
      </c>
      <c r="C74" s="30">
        <v>6.85</v>
      </c>
      <c r="D74" s="27">
        <v>10.5</v>
      </c>
      <c r="E74" s="28"/>
      <c r="F74" s="16">
        <f>(C74*D74*E74/1000)</f>
        <v>0</v>
      </c>
      <c r="G74" s="17" t="s">
        <v>515</v>
      </c>
      <c r="H74" s="18">
        <v>3</v>
      </c>
      <c r="I74" s="19">
        <f>(C74*D74*H74/1000)</f>
        <v>0.21577499999999997</v>
      </c>
      <c r="J74" s="16"/>
      <c r="K74" s="18"/>
      <c r="L74" s="19">
        <f>(C74*D74*K74/1000)</f>
        <v>0</v>
      </c>
      <c r="M74" s="16"/>
      <c r="N74" s="18"/>
      <c r="O74" s="19">
        <f>(C74*D74*N74/1000)</f>
        <v>0</v>
      </c>
      <c r="P74" s="16"/>
      <c r="Q74" s="18"/>
      <c r="R74" s="19">
        <f>(C74*D74*Q74/1000)</f>
        <v>0</v>
      </c>
      <c r="S74" s="20">
        <f>+H74+K74+Q74+N74</f>
        <v>3</v>
      </c>
      <c r="T74" s="19">
        <f>+I74+L74+R74+O74</f>
        <v>0.21577499999999997</v>
      </c>
      <c r="U74" s="21">
        <f>E74-S74</f>
        <v>-3</v>
      </c>
      <c r="V74" s="19">
        <f>F74-T74</f>
        <v>-0.21577499999999997</v>
      </c>
    </row>
    <row r="75" spans="1:22">
      <c r="A75" s="36"/>
      <c r="B75" s="36"/>
      <c r="C75" s="37"/>
      <c r="D75" s="38"/>
      <c r="E75" s="31">
        <f t="shared" ref="E75:F75" si="269">SUM(E73:E74)</f>
        <v>2</v>
      </c>
      <c r="F75" s="38">
        <f t="shared" si="269"/>
        <v>0.159605</v>
      </c>
      <c r="G75" s="26"/>
      <c r="H75" s="31">
        <f t="shared" ref="H75" si="270">SUM(H73:H74)</f>
        <v>3</v>
      </c>
      <c r="I75" s="38">
        <f t="shared" ref="I75" si="271">SUM(I73:I74)</f>
        <v>0.21577499999999997</v>
      </c>
      <c r="J75" s="26"/>
      <c r="K75" s="31">
        <f t="shared" ref="K75" si="272">SUM(K73:K74)</f>
        <v>0</v>
      </c>
      <c r="L75" s="38">
        <f t="shared" ref="L75" si="273">SUM(L73:L74)</f>
        <v>0</v>
      </c>
      <c r="M75" s="26"/>
      <c r="N75" s="31">
        <f t="shared" ref="N75" si="274">SUM(N73:N74)</f>
        <v>0</v>
      </c>
      <c r="O75" s="38">
        <f t="shared" ref="O75" si="275">SUM(O73:O74)</f>
        <v>0</v>
      </c>
      <c r="P75" s="26"/>
      <c r="Q75" s="31">
        <f t="shared" ref="Q75" si="276">SUM(Q73:Q74)</f>
        <v>0</v>
      </c>
      <c r="R75" s="38">
        <f t="shared" ref="R75" si="277">SUM(R73:R74)</f>
        <v>0</v>
      </c>
      <c r="S75" s="31">
        <f t="shared" ref="S75" si="278">SUM(S73:S74)</f>
        <v>3</v>
      </c>
      <c r="T75" s="38">
        <f t="shared" ref="T75" si="279">SUM(T73:T74)</f>
        <v>0.21577499999999997</v>
      </c>
      <c r="U75" s="31">
        <f t="shared" ref="U75" si="280">SUM(U73:U74)</f>
        <v>-1</v>
      </c>
      <c r="V75" s="38">
        <f t="shared" ref="V75" si="281">SUM(V73:V74)</f>
        <v>-5.616999999999997E-2</v>
      </c>
    </row>
    <row r="76" spans="1:22">
      <c r="A76" s="26" t="s">
        <v>13</v>
      </c>
      <c r="B76" s="26" t="s">
        <v>58</v>
      </c>
      <c r="C76" s="30">
        <v>7.34</v>
      </c>
      <c r="D76" s="27">
        <v>10</v>
      </c>
      <c r="E76" s="28">
        <v>2</v>
      </c>
      <c r="F76" s="16">
        <f>(C76*D76*E76/1000)</f>
        <v>0.14680000000000001</v>
      </c>
      <c r="G76" s="16" t="s">
        <v>93</v>
      </c>
      <c r="H76" s="18"/>
      <c r="I76" s="19">
        <f>(C76*D76*H76/1000)</f>
        <v>0</v>
      </c>
      <c r="J76" s="16"/>
      <c r="K76" s="18"/>
      <c r="L76" s="19">
        <f>(C76*D76*K76/1000)</f>
        <v>0</v>
      </c>
      <c r="M76" s="16"/>
      <c r="N76" s="18"/>
      <c r="O76" s="19">
        <f>(C76*D76*N76/1000)</f>
        <v>0</v>
      </c>
      <c r="P76" s="16"/>
      <c r="Q76" s="18"/>
      <c r="R76" s="19">
        <f>(C76*D76*Q76/1000)</f>
        <v>0</v>
      </c>
      <c r="S76" s="20">
        <f>+H76+K76+Q76+N76</f>
        <v>0</v>
      </c>
      <c r="T76" s="19">
        <f>+I76+L76+R76+O76</f>
        <v>0</v>
      </c>
      <c r="U76" s="21">
        <f>E76-S76</f>
        <v>2</v>
      </c>
      <c r="V76" s="19">
        <f>F76-T76</f>
        <v>0.14680000000000001</v>
      </c>
    </row>
    <row r="77" spans="1:22">
      <c r="A77" s="26" t="s">
        <v>13</v>
      </c>
      <c r="B77" s="26" t="s">
        <v>58</v>
      </c>
      <c r="C77" s="30">
        <v>7.34</v>
      </c>
      <c r="D77" s="27">
        <v>12</v>
      </c>
      <c r="E77" s="28">
        <v>4</v>
      </c>
      <c r="F77" s="16">
        <f t="shared" ref="F77:F80" si="282">(C77*D77*E77/1000)</f>
        <v>0.35231999999999997</v>
      </c>
      <c r="G77" s="16" t="s">
        <v>513</v>
      </c>
      <c r="H77" s="18"/>
      <c r="I77" s="19">
        <f t="shared" ref="I77:I80" si="283">(C77*D77*H77/1000)</f>
        <v>0</v>
      </c>
      <c r="J77" s="16"/>
      <c r="K77" s="18"/>
      <c r="L77" s="19">
        <f t="shared" ref="L77:L80" si="284">(C77*D77*K77/1000)</f>
        <v>0</v>
      </c>
      <c r="M77" s="16"/>
      <c r="N77" s="18"/>
      <c r="O77" s="19">
        <f t="shared" ref="O77:O80" si="285">(C77*D77*N77/1000)</f>
        <v>0</v>
      </c>
      <c r="P77" s="16"/>
      <c r="Q77" s="18"/>
      <c r="R77" s="19">
        <f t="shared" ref="R77:R80" si="286">(C77*D77*Q77/1000)</f>
        <v>0</v>
      </c>
      <c r="S77" s="20">
        <f t="shared" ref="S77:S80" si="287">+H77+K77+Q77+N77</f>
        <v>0</v>
      </c>
      <c r="T77" s="19">
        <f t="shared" ref="T77:T80" si="288">+I77+L77+R77+O77</f>
        <v>0</v>
      </c>
      <c r="U77" s="21">
        <f t="shared" ref="U77:U80" si="289">E77-S77</f>
        <v>4</v>
      </c>
      <c r="V77" s="19">
        <f t="shared" ref="V77:V80" si="290">F77-T77</f>
        <v>0.35231999999999997</v>
      </c>
    </row>
    <row r="78" spans="1:22">
      <c r="A78" s="26" t="s">
        <v>13</v>
      </c>
      <c r="B78" s="26" t="s">
        <v>58</v>
      </c>
      <c r="C78" s="30">
        <v>7.34</v>
      </c>
      <c r="D78" s="27">
        <v>7</v>
      </c>
      <c r="E78" s="28"/>
      <c r="F78" s="16">
        <f t="shared" si="282"/>
        <v>0</v>
      </c>
      <c r="G78" s="16"/>
      <c r="H78" s="18">
        <v>1</v>
      </c>
      <c r="I78" s="19">
        <f t="shared" si="283"/>
        <v>5.1379999999999995E-2</v>
      </c>
      <c r="J78" s="16"/>
      <c r="K78" s="18"/>
      <c r="L78" s="19">
        <f t="shared" si="284"/>
        <v>0</v>
      </c>
      <c r="M78" s="16"/>
      <c r="N78" s="18"/>
      <c r="O78" s="19">
        <f t="shared" si="285"/>
        <v>0</v>
      </c>
      <c r="P78" s="16"/>
      <c r="Q78" s="18"/>
      <c r="R78" s="19">
        <f t="shared" si="286"/>
        <v>0</v>
      </c>
      <c r="S78" s="20">
        <f t="shared" si="287"/>
        <v>1</v>
      </c>
      <c r="T78" s="19">
        <f t="shared" si="288"/>
        <v>5.1379999999999995E-2</v>
      </c>
      <c r="U78" s="21">
        <f t="shared" si="289"/>
        <v>-1</v>
      </c>
      <c r="V78" s="19">
        <f t="shared" si="290"/>
        <v>-5.1379999999999995E-2</v>
      </c>
    </row>
    <row r="79" spans="1:22">
      <c r="A79" s="26" t="s">
        <v>13</v>
      </c>
      <c r="B79" s="26" t="s">
        <v>58</v>
      </c>
      <c r="C79" s="30">
        <v>7.34</v>
      </c>
      <c r="D79" s="27">
        <v>7.3</v>
      </c>
      <c r="E79" s="28"/>
      <c r="F79" s="16">
        <f t="shared" si="282"/>
        <v>0</v>
      </c>
      <c r="G79" s="16"/>
      <c r="H79" s="18">
        <v>1</v>
      </c>
      <c r="I79" s="19">
        <f t="shared" si="283"/>
        <v>5.3581999999999998E-2</v>
      </c>
      <c r="J79" s="16"/>
      <c r="K79" s="18"/>
      <c r="L79" s="19">
        <f t="shared" si="284"/>
        <v>0</v>
      </c>
      <c r="M79" s="16"/>
      <c r="N79" s="18"/>
      <c r="O79" s="19">
        <f t="shared" si="285"/>
        <v>0</v>
      </c>
      <c r="P79" s="16"/>
      <c r="Q79" s="18"/>
      <c r="R79" s="19">
        <f t="shared" si="286"/>
        <v>0</v>
      </c>
      <c r="S79" s="20">
        <f t="shared" si="287"/>
        <v>1</v>
      </c>
      <c r="T79" s="19">
        <f t="shared" si="288"/>
        <v>5.3581999999999998E-2</v>
      </c>
      <c r="U79" s="21">
        <f t="shared" si="289"/>
        <v>-1</v>
      </c>
      <c r="V79" s="19">
        <f t="shared" si="290"/>
        <v>-5.3581999999999998E-2</v>
      </c>
    </row>
    <row r="80" spans="1:22">
      <c r="A80" s="26" t="s">
        <v>13</v>
      </c>
      <c r="B80" s="26" t="s">
        <v>58</v>
      </c>
      <c r="C80" s="30">
        <v>7.34</v>
      </c>
      <c r="D80" s="27">
        <v>9.15</v>
      </c>
      <c r="E80" s="28"/>
      <c r="F80" s="16">
        <f t="shared" si="282"/>
        <v>0</v>
      </c>
      <c r="G80" s="16"/>
      <c r="H80" s="18">
        <v>1</v>
      </c>
      <c r="I80" s="19">
        <f t="shared" si="283"/>
        <v>6.7160999999999998E-2</v>
      </c>
      <c r="J80" s="16"/>
      <c r="K80" s="18"/>
      <c r="L80" s="19">
        <f t="shared" si="284"/>
        <v>0</v>
      </c>
      <c r="M80" s="16"/>
      <c r="N80" s="18"/>
      <c r="O80" s="19">
        <f t="shared" si="285"/>
        <v>0</v>
      </c>
      <c r="P80" s="16"/>
      <c r="Q80" s="18"/>
      <c r="R80" s="19">
        <f t="shared" si="286"/>
        <v>0</v>
      </c>
      <c r="S80" s="20">
        <f t="shared" si="287"/>
        <v>1</v>
      </c>
      <c r="T80" s="19">
        <f t="shared" si="288"/>
        <v>6.7160999999999998E-2</v>
      </c>
      <c r="U80" s="21">
        <f t="shared" si="289"/>
        <v>-1</v>
      </c>
      <c r="V80" s="19">
        <f t="shared" si="290"/>
        <v>-6.7160999999999998E-2</v>
      </c>
    </row>
    <row r="81" spans="1:22">
      <c r="A81" s="26" t="s">
        <v>13</v>
      </c>
      <c r="B81" s="26" t="s">
        <v>58</v>
      </c>
      <c r="C81" s="30">
        <v>7.34</v>
      </c>
      <c r="D81" s="27">
        <v>11.5</v>
      </c>
      <c r="E81" s="28"/>
      <c r="F81" s="16">
        <f>(C81*D81*E81/1000)</f>
        <v>0</v>
      </c>
      <c r="G81" s="16"/>
      <c r="H81" s="18">
        <v>4</v>
      </c>
      <c r="I81" s="19">
        <f>(C81*D81*H81/1000)</f>
        <v>0.33764</v>
      </c>
      <c r="J81" s="16"/>
      <c r="K81" s="18"/>
      <c r="L81" s="19">
        <f>(C81*D81*K81/1000)</f>
        <v>0</v>
      </c>
      <c r="M81" s="16"/>
      <c r="N81" s="18"/>
      <c r="O81" s="19">
        <f>(C81*D81*N81/1000)</f>
        <v>0</v>
      </c>
      <c r="P81" s="16"/>
      <c r="Q81" s="18"/>
      <c r="R81" s="19">
        <f>(C81*D81*Q81/1000)</f>
        <v>0</v>
      </c>
      <c r="S81" s="20">
        <f>+H81+K81+Q81+N81</f>
        <v>4</v>
      </c>
      <c r="T81" s="19">
        <f>+I81+L81+R81+O81</f>
        <v>0.33764</v>
      </c>
      <c r="U81" s="21">
        <f>E81-S81</f>
        <v>-4</v>
      </c>
      <c r="V81" s="19">
        <f>F81-T81</f>
        <v>-0.33764</v>
      </c>
    </row>
    <row r="82" spans="1:22">
      <c r="A82" s="36"/>
      <c r="B82" s="36"/>
      <c r="C82" s="37"/>
      <c r="D82" s="38"/>
      <c r="E82" s="31">
        <f t="shared" ref="E82:F82" si="291">SUM(E76:E81)</f>
        <v>6</v>
      </c>
      <c r="F82" s="38">
        <f t="shared" si="291"/>
        <v>0.49912000000000001</v>
      </c>
      <c r="G82" s="26"/>
      <c r="H82" s="31">
        <f>SUM(H76:H81)</f>
        <v>7</v>
      </c>
      <c r="I82" s="38">
        <f>SUM(I76:I81)</f>
        <v>0.50976299999999997</v>
      </c>
      <c r="J82" s="26"/>
      <c r="K82" s="31">
        <f t="shared" ref="K82" si="292">SUM(K76:K81)</f>
        <v>0</v>
      </c>
      <c r="L82" s="38">
        <f t="shared" ref="L82" si="293">SUM(L76:L81)</f>
        <v>0</v>
      </c>
      <c r="M82" s="26"/>
      <c r="N82" s="31">
        <f t="shared" ref="N82" si="294">SUM(N76:N81)</f>
        <v>0</v>
      </c>
      <c r="O82" s="38">
        <f t="shared" ref="O82" si="295">SUM(O76:O81)</f>
        <v>0</v>
      </c>
      <c r="P82" s="26"/>
      <c r="Q82" s="31">
        <f t="shared" ref="Q82" si="296">SUM(Q76:Q81)</f>
        <v>0</v>
      </c>
      <c r="R82" s="38">
        <f t="shared" ref="R82" si="297">SUM(R76:R81)</f>
        <v>0</v>
      </c>
      <c r="S82" s="31">
        <f t="shared" ref="S82" si="298">SUM(S76:S81)</f>
        <v>7</v>
      </c>
      <c r="T82" s="38">
        <f t="shared" ref="T82" si="299">SUM(T76:T81)</f>
        <v>0.50976299999999997</v>
      </c>
      <c r="U82" s="31">
        <f t="shared" ref="U82" si="300">SUM(U76:U81)</f>
        <v>-1</v>
      </c>
      <c r="V82" s="38">
        <f t="shared" ref="V82" si="301">SUM(V76:V81)</f>
        <v>-1.0643000000000014E-2</v>
      </c>
    </row>
    <row r="83" spans="1:22">
      <c r="A83" s="26" t="s">
        <v>13</v>
      </c>
      <c r="B83" s="26" t="s">
        <v>505</v>
      </c>
      <c r="C83" s="30">
        <v>8.49</v>
      </c>
      <c r="D83" s="27">
        <v>10</v>
      </c>
      <c r="E83" s="28">
        <v>1</v>
      </c>
      <c r="F83" s="16">
        <f>(C83*D83*E83/1000)</f>
        <v>8.4900000000000003E-2</v>
      </c>
      <c r="G83" s="17" t="s">
        <v>111</v>
      </c>
      <c r="H83" s="18">
        <v>1</v>
      </c>
      <c r="I83" s="19">
        <f>(C83*D83*H83/1000)</f>
        <v>8.4900000000000003E-2</v>
      </c>
      <c r="J83" s="16"/>
      <c r="K83" s="18"/>
      <c r="L83" s="19">
        <f>(C83*D83*K83/1000)</f>
        <v>0</v>
      </c>
      <c r="M83" s="16"/>
      <c r="N83" s="18"/>
      <c r="O83" s="19">
        <f>(C83*D83*N83/1000)</f>
        <v>0</v>
      </c>
      <c r="P83" s="16"/>
      <c r="Q83" s="18"/>
      <c r="R83" s="19">
        <f>(C83*D83*Q83/1000)</f>
        <v>0</v>
      </c>
      <c r="S83" s="20">
        <f>+H83+K83+Q83+N83</f>
        <v>1</v>
      </c>
      <c r="T83" s="19">
        <f>+I83+L83+R83+O83</f>
        <v>8.4900000000000003E-2</v>
      </c>
      <c r="U83" s="21">
        <f>E83-S83</f>
        <v>0</v>
      </c>
      <c r="V83" s="19">
        <f>F83-T83</f>
        <v>0</v>
      </c>
    </row>
    <row r="84" spans="1:22">
      <c r="A84" s="36"/>
      <c r="B84" s="36"/>
      <c r="C84" s="37"/>
      <c r="D84" s="38"/>
      <c r="E84" s="31">
        <f t="shared" ref="E84:F84" si="302">SUM(E83)</f>
        <v>1</v>
      </c>
      <c r="F84" s="38">
        <f t="shared" si="302"/>
        <v>8.4900000000000003E-2</v>
      </c>
      <c r="G84" s="17" t="s">
        <v>515</v>
      </c>
      <c r="H84" s="31">
        <f t="shared" ref="H84" si="303">SUM(H83)</f>
        <v>1</v>
      </c>
      <c r="I84" s="38">
        <f t="shared" ref="I84" si="304">SUM(I83)</f>
        <v>8.4900000000000003E-2</v>
      </c>
      <c r="J84" s="26"/>
      <c r="K84" s="31">
        <f t="shared" ref="K84" si="305">SUM(K83)</f>
        <v>0</v>
      </c>
      <c r="L84" s="38">
        <f t="shared" ref="L84" si="306">SUM(L83)</f>
        <v>0</v>
      </c>
      <c r="M84" s="26"/>
      <c r="N84" s="31">
        <f t="shared" ref="N84" si="307">SUM(N83)</f>
        <v>0</v>
      </c>
      <c r="O84" s="38">
        <f t="shared" ref="O84" si="308">SUM(O83)</f>
        <v>0</v>
      </c>
      <c r="P84" s="26"/>
      <c r="Q84" s="31">
        <f t="shared" ref="Q84" si="309">SUM(Q83)</f>
        <v>0</v>
      </c>
      <c r="R84" s="38">
        <f t="shared" ref="R84" si="310">SUM(R83)</f>
        <v>0</v>
      </c>
      <c r="S84" s="31">
        <f t="shared" ref="S84" si="311">SUM(S83)</f>
        <v>1</v>
      </c>
      <c r="T84" s="38">
        <f t="shared" ref="T84" si="312">SUM(T83)</f>
        <v>8.4900000000000003E-2</v>
      </c>
      <c r="U84" s="31">
        <f t="shared" ref="U84" si="313">SUM(U83)</f>
        <v>0</v>
      </c>
      <c r="V84" s="38">
        <f t="shared" ref="V84" si="314">SUM(V83)</f>
        <v>0</v>
      </c>
    </row>
    <row r="85" spans="1:22">
      <c r="A85" s="26" t="s">
        <v>13</v>
      </c>
      <c r="B85" s="26" t="s">
        <v>26</v>
      </c>
      <c r="C85" s="30">
        <v>8.3000000000000007</v>
      </c>
      <c r="D85" s="27">
        <v>12</v>
      </c>
      <c r="E85" s="28">
        <v>7</v>
      </c>
      <c r="F85" s="16">
        <f>(C85*D85*E85/1000)</f>
        <v>0.69720000000000004</v>
      </c>
      <c r="G85" s="16" t="s">
        <v>88</v>
      </c>
      <c r="H85" s="18">
        <v>7</v>
      </c>
      <c r="I85" s="19">
        <f>(C85*D85*H85/1000)</f>
        <v>0.69720000000000004</v>
      </c>
      <c r="J85" s="16"/>
      <c r="K85" s="18"/>
      <c r="L85" s="19">
        <f>(C85*D85*K85/1000)</f>
        <v>0</v>
      </c>
      <c r="M85" s="16"/>
      <c r="N85" s="18"/>
      <c r="O85" s="19">
        <f>(C85*D85*N85/1000)</f>
        <v>0</v>
      </c>
      <c r="P85" s="16"/>
      <c r="Q85" s="18"/>
      <c r="R85" s="19">
        <f>(C85*D85*Q85/1000)</f>
        <v>0</v>
      </c>
      <c r="S85" s="20">
        <f>+H85+K85+Q85+N85</f>
        <v>7</v>
      </c>
      <c r="T85" s="19">
        <f>+I85+L85+R85+O85</f>
        <v>0.69720000000000004</v>
      </c>
      <c r="U85" s="21">
        <f>E85-S85</f>
        <v>0</v>
      </c>
      <c r="V85" s="19">
        <f>F85-T85</f>
        <v>0</v>
      </c>
    </row>
    <row r="86" spans="1:22">
      <c r="A86" s="36"/>
      <c r="B86" s="36"/>
      <c r="C86" s="37"/>
      <c r="D86" s="38"/>
      <c r="E86" s="31">
        <f t="shared" ref="E86:F86" si="315">SUM(E85)</f>
        <v>7</v>
      </c>
      <c r="F86" s="38">
        <f t="shared" si="315"/>
        <v>0.69720000000000004</v>
      </c>
      <c r="G86" s="17" t="s">
        <v>513</v>
      </c>
      <c r="H86" s="31">
        <f t="shared" ref="H86" si="316">SUM(H85)</f>
        <v>7</v>
      </c>
      <c r="I86" s="38">
        <f t="shared" ref="I86" si="317">SUM(I85)</f>
        <v>0.69720000000000004</v>
      </c>
      <c r="J86" s="26"/>
      <c r="K86" s="31">
        <f t="shared" ref="K86" si="318">SUM(K85)</f>
        <v>0</v>
      </c>
      <c r="L86" s="38">
        <f t="shared" ref="L86" si="319">SUM(L85)</f>
        <v>0</v>
      </c>
      <c r="M86" s="26"/>
      <c r="N86" s="31">
        <f t="shared" ref="N86" si="320">SUM(N85)</f>
        <v>0</v>
      </c>
      <c r="O86" s="38">
        <f t="shared" ref="O86" si="321">SUM(O85)</f>
        <v>0</v>
      </c>
      <c r="P86" s="26"/>
      <c r="Q86" s="31">
        <f t="shared" ref="Q86" si="322">SUM(Q85)</f>
        <v>0</v>
      </c>
      <c r="R86" s="38">
        <f t="shared" ref="R86" si="323">SUM(R85)</f>
        <v>0</v>
      </c>
      <c r="S86" s="31">
        <f t="shared" ref="S86" si="324">SUM(S85)</f>
        <v>7</v>
      </c>
      <c r="T86" s="38">
        <f t="shared" ref="T86" si="325">SUM(T85)</f>
        <v>0.69720000000000004</v>
      </c>
      <c r="U86" s="31">
        <f t="shared" ref="U86" si="326">SUM(U85)</f>
        <v>0</v>
      </c>
      <c r="V86" s="38">
        <f t="shared" ref="V86" si="327">SUM(V85)</f>
        <v>0</v>
      </c>
    </row>
    <row r="87" spans="1:22">
      <c r="A87" s="26" t="s">
        <v>13</v>
      </c>
      <c r="B87" s="26" t="s">
        <v>37</v>
      </c>
      <c r="C87" s="30">
        <v>9.61</v>
      </c>
      <c r="D87" s="27">
        <v>11</v>
      </c>
      <c r="E87" s="28">
        <v>6</v>
      </c>
      <c r="F87" s="16">
        <f>(C87*D87*E87/1000)</f>
        <v>0.63426000000000005</v>
      </c>
      <c r="G87" s="17"/>
      <c r="H87" s="18"/>
      <c r="I87" s="19">
        <f>(C87*D87*H87/1000)</f>
        <v>0</v>
      </c>
      <c r="J87" s="16"/>
      <c r="K87" s="18"/>
      <c r="L87" s="19">
        <f>(C87*D87*K87/1000)</f>
        <v>0</v>
      </c>
      <c r="M87" s="16"/>
      <c r="N87" s="18"/>
      <c r="O87" s="19">
        <f>(C87*D87*N87/1000)</f>
        <v>0</v>
      </c>
      <c r="P87" s="16"/>
      <c r="Q87" s="18"/>
      <c r="R87" s="19">
        <f>(C87*D87*Q87/1000)</f>
        <v>0</v>
      </c>
      <c r="S87" s="20">
        <f>+H87+K87+Q87+N87</f>
        <v>0</v>
      </c>
      <c r="T87" s="19">
        <f>+I87+L87+R87+O87</f>
        <v>0</v>
      </c>
      <c r="U87" s="21">
        <f>E87-S87</f>
        <v>6</v>
      </c>
      <c r="V87" s="19">
        <f>F87-T87</f>
        <v>0.63426000000000005</v>
      </c>
    </row>
    <row r="88" spans="1:22">
      <c r="A88" s="26" t="s">
        <v>13</v>
      </c>
      <c r="B88" s="26" t="s">
        <v>37</v>
      </c>
      <c r="C88" s="30">
        <v>9.61</v>
      </c>
      <c r="D88" s="27">
        <v>9.6999999999999993</v>
      </c>
      <c r="E88" s="28"/>
      <c r="F88" s="16">
        <f t="shared" ref="F88:F94" si="328">(C88*D88*E88/1000)</f>
        <v>0</v>
      </c>
      <c r="G88" s="17" t="s">
        <v>93</v>
      </c>
      <c r="H88" s="18">
        <v>1</v>
      </c>
      <c r="I88" s="19">
        <f t="shared" ref="I88:I94" si="329">(C88*D88*H88/1000)</f>
        <v>9.321699999999998E-2</v>
      </c>
      <c r="J88" s="16"/>
      <c r="K88" s="18"/>
      <c r="L88" s="19">
        <f t="shared" ref="L88:L94" si="330">(C88*D88*K88/1000)</f>
        <v>0</v>
      </c>
      <c r="M88" s="16"/>
      <c r="N88" s="18"/>
      <c r="O88" s="19">
        <f t="shared" ref="O88:O94" si="331">(C88*D88*N88/1000)</f>
        <v>0</v>
      </c>
      <c r="P88" s="16"/>
      <c r="Q88" s="18"/>
      <c r="R88" s="19">
        <f t="shared" ref="R88:R94" si="332">(C88*D88*Q88/1000)</f>
        <v>0</v>
      </c>
      <c r="S88" s="20">
        <f t="shared" ref="S88:S94" si="333">+H88+K88+Q88+N88</f>
        <v>1</v>
      </c>
      <c r="T88" s="19">
        <f t="shared" ref="T88:T94" si="334">+I88+L88+R88+O88</f>
        <v>9.321699999999998E-2</v>
      </c>
      <c r="U88" s="21">
        <f t="shared" ref="U88:U94" si="335">E88-S88</f>
        <v>-1</v>
      </c>
      <c r="V88" s="19">
        <f t="shared" ref="V88:V94" si="336">F88-T88</f>
        <v>-9.321699999999998E-2</v>
      </c>
    </row>
    <row r="89" spans="1:22">
      <c r="A89" s="26" t="s">
        <v>13</v>
      </c>
      <c r="B89" s="26" t="s">
        <v>37</v>
      </c>
      <c r="C89" s="30">
        <v>9.61</v>
      </c>
      <c r="D89" s="27">
        <v>8.8000000000000007</v>
      </c>
      <c r="E89" s="28"/>
      <c r="F89" s="16">
        <f t="shared" si="328"/>
        <v>0</v>
      </c>
      <c r="G89" s="17" t="s">
        <v>517</v>
      </c>
      <c r="H89" s="18">
        <v>1</v>
      </c>
      <c r="I89" s="19">
        <f t="shared" si="329"/>
        <v>8.4568000000000004E-2</v>
      </c>
      <c r="J89" s="16"/>
      <c r="K89" s="18"/>
      <c r="L89" s="19">
        <f t="shared" si="330"/>
        <v>0</v>
      </c>
      <c r="M89" s="16"/>
      <c r="N89" s="18"/>
      <c r="O89" s="19">
        <f t="shared" si="331"/>
        <v>0</v>
      </c>
      <c r="P89" s="16"/>
      <c r="Q89" s="18"/>
      <c r="R89" s="19">
        <f t="shared" si="332"/>
        <v>0</v>
      </c>
      <c r="S89" s="20">
        <f t="shared" si="333"/>
        <v>1</v>
      </c>
      <c r="T89" s="19">
        <f t="shared" si="334"/>
        <v>8.4568000000000004E-2</v>
      </c>
      <c r="U89" s="21">
        <f t="shared" si="335"/>
        <v>-1</v>
      </c>
      <c r="V89" s="19">
        <f t="shared" si="336"/>
        <v>-8.4568000000000004E-2</v>
      </c>
    </row>
    <row r="90" spans="1:22">
      <c r="A90" s="26" t="s">
        <v>13</v>
      </c>
      <c r="B90" s="26" t="s">
        <v>37</v>
      </c>
      <c r="C90" s="30">
        <v>9.61</v>
      </c>
      <c r="D90" s="27">
        <v>8.5</v>
      </c>
      <c r="E90" s="28"/>
      <c r="F90" s="16">
        <f t="shared" si="328"/>
        <v>0</v>
      </c>
      <c r="G90" s="17"/>
      <c r="H90" s="18">
        <v>1</v>
      </c>
      <c r="I90" s="19">
        <f t="shared" si="329"/>
        <v>8.1685000000000008E-2</v>
      </c>
      <c r="J90" s="16"/>
      <c r="K90" s="18"/>
      <c r="L90" s="19">
        <f t="shared" si="330"/>
        <v>0</v>
      </c>
      <c r="M90" s="16"/>
      <c r="N90" s="18"/>
      <c r="O90" s="19">
        <f t="shared" si="331"/>
        <v>0</v>
      </c>
      <c r="P90" s="16"/>
      <c r="Q90" s="18"/>
      <c r="R90" s="19">
        <f t="shared" si="332"/>
        <v>0</v>
      </c>
      <c r="S90" s="20">
        <f t="shared" si="333"/>
        <v>1</v>
      </c>
      <c r="T90" s="19">
        <f t="shared" si="334"/>
        <v>8.1685000000000008E-2</v>
      </c>
      <c r="U90" s="21">
        <f t="shared" si="335"/>
        <v>-1</v>
      </c>
      <c r="V90" s="19">
        <f t="shared" si="336"/>
        <v>-8.1685000000000008E-2</v>
      </c>
    </row>
    <row r="91" spans="1:22">
      <c r="A91" s="26" t="s">
        <v>13</v>
      </c>
      <c r="B91" s="26" t="s">
        <v>37</v>
      </c>
      <c r="C91" s="30">
        <v>9.61</v>
      </c>
      <c r="D91" s="27">
        <v>7.2</v>
      </c>
      <c r="E91" s="28"/>
      <c r="F91" s="16">
        <f t="shared" si="328"/>
        <v>0</v>
      </c>
      <c r="G91" s="17"/>
      <c r="H91" s="18">
        <v>3</v>
      </c>
      <c r="I91" s="19">
        <f t="shared" si="329"/>
        <v>0.20757599999999995</v>
      </c>
      <c r="J91" s="16"/>
      <c r="K91" s="18"/>
      <c r="L91" s="19">
        <f t="shared" si="330"/>
        <v>0</v>
      </c>
      <c r="M91" s="16"/>
      <c r="N91" s="18"/>
      <c r="O91" s="19">
        <f t="shared" si="331"/>
        <v>0</v>
      </c>
      <c r="P91" s="16"/>
      <c r="Q91" s="18"/>
      <c r="R91" s="19">
        <f t="shared" si="332"/>
        <v>0</v>
      </c>
      <c r="S91" s="20">
        <f t="shared" si="333"/>
        <v>3</v>
      </c>
      <c r="T91" s="19">
        <f t="shared" si="334"/>
        <v>0.20757599999999995</v>
      </c>
      <c r="U91" s="21">
        <f t="shared" si="335"/>
        <v>-3</v>
      </c>
      <c r="V91" s="19">
        <f t="shared" si="336"/>
        <v>-0.20757599999999995</v>
      </c>
    </row>
    <row r="92" spans="1:22">
      <c r="A92" s="26" t="s">
        <v>13</v>
      </c>
      <c r="B92" s="26" t="s">
        <v>37</v>
      </c>
      <c r="C92" s="30">
        <v>9.61</v>
      </c>
      <c r="D92" s="27">
        <v>8.3000000000000007</v>
      </c>
      <c r="E92" s="28"/>
      <c r="F92" s="16">
        <f t="shared" si="328"/>
        <v>0</v>
      </c>
      <c r="G92" s="17"/>
      <c r="H92" s="18">
        <v>1</v>
      </c>
      <c r="I92" s="19">
        <f t="shared" si="329"/>
        <v>7.9763000000000001E-2</v>
      </c>
      <c r="J92" s="16"/>
      <c r="K92" s="18"/>
      <c r="L92" s="19">
        <f t="shared" si="330"/>
        <v>0</v>
      </c>
      <c r="M92" s="16"/>
      <c r="N92" s="18"/>
      <c r="O92" s="19">
        <f t="shared" si="331"/>
        <v>0</v>
      </c>
      <c r="P92" s="16"/>
      <c r="Q92" s="18"/>
      <c r="R92" s="19">
        <f t="shared" si="332"/>
        <v>0</v>
      </c>
      <c r="S92" s="20">
        <f t="shared" si="333"/>
        <v>1</v>
      </c>
      <c r="T92" s="19">
        <f t="shared" si="334"/>
        <v>7.9763000000000001E-2</v>
      </c>
      <c r="U92" s="21">
        <f t="shared" si="335"/>
        <v>-1</v>
      </c>
      <c r="V92" s="19">
        <f t="shared" si="336"/>
        <v>-7.9763000000000001E-2</v>
      </c>
    </row>
    <row r="93" spans="1:22">
      <c r="A93" s="26" t="s">
        <v>13</v>
      </c>
      <c r="B93" s="26" t="s">
        <v>37</v>
      </c>
      <c r="C93" s="30">
        <v>9.61</v>
      </c>
      <c r="D93" s="27">
        <v>8.4</v>
      </c>
      <c r="E93" s="28"/>
      <c r="F93" s="16">
        <f t="shared" ref="F93" si="337">(C93*D93*E93/1000)</f>
        <v>0</v>
      </c>
      <c r="G93" s="17"/>
      <c r="H93" s="18">
        <v>1</v>
      </c>
      <c r="I93" s="19">
        <f t="shared" ref="I93" si="338">(C93*D93*H93/1000)</f>
        <v>8.0724000000000004E-2</v>
      </c>
      <c r="J93" s="16"/>
      <c r="K93" s="18"/>
      <c r="L93" s="19">
        <f t="shared" ref="L93" si="339">(C93*D93*K93/1000)</f>
        <v>0</v>
      </c>
      <c r="M93" s="16"/>
      <c r="N93" s="18"/>
      <c r="O93" s="19">
        <f t="shared" ref="O93" si="340">(C93*D93*N93/1000)</f>
        <v>0</v>
      </c>
      <c r="P93" s="16"/>
      <c r="Q93" s="18"/>
      <c r="R93" s="19">
        <f t="shared" ref="R93" si="341">(C93*D93*Q93/1000)</f>
        <v>0</v>
      </c>
      <c r="S93" s="20">
        <f t="shared" ref="S93" si="342">+H93+K93+Q93+N93</f>
        <v>1</v>
      </c>
      <c r="T93" s="19">
        <f t="shared" ref="T93" si="343">+I93+L93+R93+O93</f>
        <v>8.0724000000000004E-2</v>
      </c>
      <c r="U93" s="21">
        <f t="shared" ref="U93" si="344">E93-S93</f>
        <v>-1</v>
      </c>
      <c r="V93" s="19">
        <f t="shared" ref="V93" si="345">F93-T93</f>
        <v>-8.0724000000000004E-2</v>
      </c>
    </row>
    <row r="94" spans="1:22">
      <c r="A94" s="26" t="s">
        <v>13</v>
      </c>
      <c r="B94" s="26" t="s">
        <v>37</v>
      </c>
      <c r="C94" s="30">
        <v>9.61</v>
      </c>
      <c r="D94" s="27">
        <v>7</v>
      </c>
      <c r="E94" s="28"/>
      <c r="F94" s="16">
        <f t="shared" si="328"/>
        <v>0</v>
      </c>
      <c r="G94" s="17"/>
      <c r="H94" s="18">
        <v>1</v>
      </c>
      <c r="I94" s="19">
        <f t="shared" si="329"/>
        <v>6.7269999999999996E-2</v>
      </c>
      <c r="J94" s="16"/>
      <c r="K94" s="18"/>
      <c r="L94" s="19">
        <f t="shared" si="330"/>
        <v>0</v>
      </c>
      <c r="M94" s="16"/>
      <c r="N94" s="18"/>
      <c r="O94" s="19">
        <f t="shared" si="331"/>
        <v>0</v>
      </c>
      <c r="P94" s="16"/>
      <c r="Q94" s="18"/>
      <c r="R94" s="19">
        <f t="shared" si="332"/>
        <v>0</v>
      </c>
      <c r="S94" s="20">
        <f t="shared" si="333"/>
        <v>1</v>
      </c>
      <c r="T94" s="19">
        <f t="shared" si="334"/>
        <v>6.7269999999999996E-2</v>
      </c>
      <c r="U94" s="21">
        <f t="shared" si="335"/>
        <v>-1</v>
      </c>
      <c r="V94" s="19">
        <f t="shared" si="336"/>
        <v>-6.7269999999999996E-2</v>
      </c>
    </row>
    <row r="95" spans="1:22">
      <c r="A95" s="36"/>
      <c r="B95" s="36"/>
      <c r="C95" s="37"/>
      <c r="D95" s="38"/>
      <c r="E95" s="31">
        <f t="shared" ref="E95:F95" si="346">SUM(E87:E94)</f>
        <v>6</v>
      </c>
      <c r="F95" s="38">
        <f t="shared" si="346"/>
        <v>0.63426000000000005</v>
      </c>
      <c r="G95" s="26"/>
      <c r="H95" s="31">
        <f t="shared" ref="H95" si="347">SUM(H87:H94)</f>
        <v>9</v>
      </c>
      <c r="I95" s="38">
        <f t="shared" ref="I95" si="348">SUM(I87:I94)</f>
        <v>0.69480300000000006</v>
      </c>
      <c r="J95" s="26"/>
      <c r="K95" s="31">
        <f t="shared" ref="K95" si="349">SUM(K87:K94)</f>
        <v>0</v>
      </c>
      <c r="L95" s="38">
        <f t="shared" ref="L95" si="350">SUM(L87:L94)</f>
        <v>0</v>
      </c>
      <c r="M95" s="26"/>
      <c r="N95" s="31">
        <f t="shared" ref="N95" si="351">SUM(N87:N94)</f>
        <v>0</v>
      </c>
      <c r="O95" s="38">
        <f t="shared" ref="O95" si="352">SUM(O87:O94)</f>
        <v>0</v>
      </c>
      <c r="P95" s="26"/>
      <c r="Q95" s="31">
        <f t="shared" ref="Q95" si="353">SUM(Q87:Q94)</f>
        <v>0</v>
      </c>
      <c r="R95" s="38">
        <f t="shared" ref="R95" si="354">SUM(R87:R94)</f>
        <v>0</v>
      </c>
      <c r="S95" s="31">
        <f t="shared" ref="S95" si="355">SUM(S87:S94)</f>
        <v>9</v>
      </c>
      <c r="T95" s="38">
        <f t="shared" ref="T95" si="356">SUM(T87:T94)</f>
        <v>0.69480300000000006</v>
      </c>
      <c r="U95" s="31">
        <f t="shared" ref="U95" si="357">SUM(U87:U94)</f>
        <v>-3</v>
      </c>
      <c r="V95" s="38">
        <f t="shared" ref="V95" si="358">SUM(V87:V94)</f>
        <v>-6.0542999999999889E-2</v>
      </c>
    </row>
    <row r="96" spans="1:22">
      <c r="A96" s="26" t="s">
        <v>14</v>
      </c>
      <c r="B96" s="26" t="s">
        <v>45</v>
      </c>
      <c r="C96" s="30">
        <v>9.26</v>
      </c>
      <c r="D96" s="27">
        <v>6.35</v>
      </c>
      <c r="E96" s="28">
        <v>4</v>
      </c>
      <c r="F96" s="16">
        <f>(C96*D96*E96/1000)</f>
        <v>0.23520399999999997</v>
      </c>
      <c r="G96" s="17" t="s">
        <v>93</v>
      </c>
      <c r="H96" s="18">
        <v>4</v>
      </c>
      <c r="I96" s="19">
        <f>(C96*D96*H96/1000)</f>
        <v>0.23520399999999997</v>
      </c>
      <c r="J96" s="16"/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>+H96+K96+Q96+N96</f>
        <v>4</v>
      </c>
      <c r="T96" s="19">
        <f>+I96+L96+R96+O96</f>
        <v>0.23520399999999997</v>
      </c>
      <c r="U96" s="21">
        <f>E96-S96</f>
        <v>0</v>
      </c>
      <c r="V96" s="19">
        <f>F96-T96</f>
        <v>0</v>
      </c>
    </row>
    <row r="97" spans="1:22">
      <c r="A97" s="26" t="s">
        <v>14</v>
      </c>
      <c r="B97" s="26" t="s">
        <v>45</v>
      </c>
      <c r="C97" s="30">
        <v>9.26</v>
      </c>
      <c r="D97" s="27">
        <v>9.1999999999999993</v>
      </c>
      <c r="E97" s="28">
        <v>16</v>
      </c>
      <c r="F97" s="16">
        <f t="shared" ref="F97:F98" si="359">(C97*D97*E97/1000)</f>
        <v>1.3630719999999998</v>
      </c>
      <c r="G97" s="17" t="s">
        <v>515</v>
      </c>
      <c r="H97" s="18"/>
      <c r="I97" s="19">
        <f t="shared" ref="I97:I98" si="360">(C97*D97*H97/1000)</f>
        <v>0</v>
      </c>
      <c r="J97" s="16"/>
      <c r="K97" s="18"/>
      <c r="L97" s="19">
        <f t="shared" ref="L97:L98" si="361">(C97*D97*K97/1000)</f>
        <v>0</v>
      </c>
      <c r="M97" s="16"/>
      <c r="N97" s="18"/>
      <c r="O97" s="19">
        <f t="shared" ref="O97:O98" si="362">(C97*D97*N97/1000)</f>
        <v>0</v>
      </c>
      <c r="P97" s="16"/>
      <c r="Q97" s="18"/>
      <c r="R97" s="19">
        <f t="shared" ref="R97:R98" si="363">(C97*D97*Q97/1000)</f>
        <v>0</v>
      </c>
      <c r="S97" s="20">
        <f t="shared" ref="S97:S98" si="364">+H97+K97+Q97+N97</f>
        <v>0</v>
      </c>
      <c r="T97" s="19">
        <f t="shared" ref="T97:T98" si="365">+I97+L97+R97+O97</f>
        <v>0</v>
      </c>
      <c r="U97" s="21">
        <f t="shared" ref="U97:U98" si="366">E97-S97</f>
        <v>16</v>
      </c>
      <c r="V97" s="19">
        <f t="shared" ref="V97:V98" si="367">F97-T97</f>
        <v>1.3630719999999998</v>
      </c>
    </row>
    <row r="98" spans="1:22">
      <c r="A98" s="26" t="s">
        <v>14</v>
      </c>
      <c r="B98" s="26" t="s">
        <v>45</v>
      </c>
      <c r="C98" s="30">
        <v>9.26</v>
      </c>
      <c r="D98" s="27">
        <v>9.15</v>
      </c>
      <c r="E98" s="28"/>
      <c r="F98" s="16">
        <f t="shared" si="359"/>
        <v>0</v>
      </c>
      <c r="G98" s="17"/>
      <c r="H98" s="18">
        <v>16</v>
      </c>
      <c r="I98" s="19">
        <f t="shared" si="360"/>
        <v>1.355664</v>
      </c>
      <c r="J98" s="16"/>
      <c r="K98" s="18"/>
      <c r="L98" s="19">
        <f t="shared" si="361"/>
        <v>0</v>
      </c>
      <c r="M98" s="16"/>
      <c r="N98" s="18"/>
      <c r="O98" s="19">
        <f t="shared" si="362"/>
        <v>0</v>
      </c>
      <c r="P98" s="16"/>
      <c r="Q98" s="18"/>
      <c r="R98" s="19">
        <f t="shared" si="363"/>
        <v>0</v>
      </c>
      <c r="S98" s="20">
        <f t="shared" si="364"/>
        <v>16</v>
      </c>
      <c r="T98" s="19">
        <f t="shared" si="365"/>
        <v>1.355664</v>
      </c>
      <c r="U98" s="21">
        <f t="shared" si="366"/>
        <v>-16</v>
      </c>
      <c r="V98" s="19">
        <f t="shared" si="367"/>
        <v>-1.355664</v>
      </c>
    </row>
    <row r="99" spans="1:22">
      <c r="A99" s="26" t="s">
        <v>14</v>
      </c>
      <c r="B99" s="26" t="s">
        <v>45</v>
      </c>
      <c r="C99" s="30">
        <v>9.26</v>
      </c>
      <c r="D99" s="27"/>
      <c r="E99" s="28"/>
      <c r="F99" s="16">
        <f>(C99*D99*E99/1000)</f>
        <v>0</v>
      </c>
      <c r="G99" s="17"/>
      <c r="H99" s="18"/>
      <c r="I99" s="19">
        <f>(C99*D99*H99/1000)</f>
        <v>0</v>
      </c>
      <c r="J99" s="16"/>
      <c r="K99" s="18"/>
      <c r="L99" s="19">
        <f>(C99*D99*K99/1000)</f>
        <v>0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>+H99+K99+Q99+N99</f>
        <v>0</v>
      </c>
      <c r="T99" s="19">
        <f>+I99+L99+R99+O99</f>
        <v>0</v>
      </c>
      <c r="U99" s="21">
        <f>E99-S99</f>
        <v>0</v>
      </c>
      <c r="V99" s="19">
        <f>F99-T99</f>
        <v>0</v>
      </c>
    </row>
    <row r="100" spans="1:22">
      <c r="A100" s="36"/>
      <c r="B100" s="36"/>
      <c r="C100" s="37"/>
      <c r="D100" s="38"/>
      <c r="E100" s="31">
        <f t="shared" ref="E100:F100" si="368">SUM(E96:E99)</f>
        <v>20</v>
      </c>
      <c r="F100" s="38">
        <f t="shared" si="368"/>
        <v>1.5982759999999998</v>
      </c>
      <c r="G100" s="26"/>
      <c r="H100" s="31">
        <f t="shared" ref="H100" si="369">SUM(H96:H99)</f>
        <v>20</v>
      </c>
      <c r="I100" s="38">
        <f t="shared" ref="I100" si="370">SUM(I96:I99)</f>
        <v>1.5908679999999999</v>
      </c>
      <c r="J100" s="26"/>
      <c r="K100" s="31">
        <f t="shared" ref="K100" si="371">SUM(K96:K99)</f>
        <v>0</v>
      </c>
      <c r="L100" s="38">
        <f t="shared" ref="L100" si="372">SUM(L96:L99)</f>
        <v>0</v>
      </c>
      <c r="M100" s="26"/>
      <c r="N100" s="31">
        <f t="shared" ref="N100" si="373">SUM(N96:N99)</f>
        <v>0</v>
      </c>
      <c r="O100" s="38">
        <f t="shared" ref="O100" si="374">SUM(O96:O99)</f>
        <v>0</v>
      </c>
      <c r="P100" s="26"/>
      <c r="Q100" s="31">
        <f t="shared" ref="Q100" si="375">SUM(Q96:Q99)</f>
        <v>0</v>
      </c>
      <c r="R100" s="38">
        <f t="shared" ref="R100" si="376">SUM(R96:R99)</f>
        <v>0</v>
      </c>
      <c r="S100" s="31">
        <f t="shared" ref="S100" si="377">SUM(S96:S99)</f>
        <v>20</v>
      </c>
      <c r="T100" s="38">
        <f t="shared" ref="T100" si="378">SUM(T96:T99)</f>
        <v>1.5908679999999999</v>
      </c>
      <c r="U100" s="31">
        <f t="shared" ref="U100" si="379">SUM(U96:U99)</f>
        <v>0</v>
      </c>
      <c r="V100" s="38">
        <f t="shared" ref="V100" si="380">SUM(V96:V99)</f>
        <v>7.4079999999998591E-3</v>
      </c>
    </row>
    <row r="101" spans="1:22">
      <c r="A101" s="26" t="s">
        <v>14</v>
      </c>
      <c r="B101" s="26" t="s">
        <v>46</v>
      </c>
      <c r="C101" s="30">
        <v>10.7</v>
      </c>
      <c r="D101" s="27">
        <v>6.5</v>
      </c>
      <c r="E101" s="28">
        <v>4</v>
      </c>
      <c r="F101" s="16">
        <f>(C101*D101*E101/1000)</f>
        <v>0.2782</v>
      </c>
      <c r="G101" s="17"/>
      <c r="H101" s="18"/>
      <c r="I101" s="19">
        <f>(C101*D101*H101/1000)</f>
        <v>0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>+H101+K101+Q101+N101</f>
        <v>0</v>
      </c>
      <c r="T101" s="19">
        <f>+I101+L101+R101+O101</f>
        <v>0</v>
      </c>
      <c r="U101" s="21">
        <f>E101-S101</f>
        <v>4</v>
      </c>
      <c r="V101" s="19">
        <f>F101-T101</f>
        <v>0.2782</v>
      </c>
    </row>
    <row r="102" spans="1:22">
      <c r="A102" s="36"/>
      <c r="B102" s="36"/>
      <c r="C102" s="37"/>
      <c r="D102" s="38"/>
      <c r="E102" s="31">
        <f t="shared" ref="E102:F102" si="381">SUM(E101)</f>
        <v>4</v>
      </c>
      <c r="F102" s="38">
        <f t="shared" si="381"/>
        <v>0.2782</v>
      </c>
      <c r="G102" s="26"/>
      <c r="H102" s="31">
        <f t="shared" ref="H102" si="382">SUM(H101)</f>
        <v>0</v>
      </c>
      <c r="I102" s="38">
        <f t="shared" ref="I102" si="383">SUM(I101)</f>
        <v>0</v>
      </c>
      <c r="J102" s="26"/>
      <c r="K102" s="31">
        <f t="shared" ref="K102" si="384">SUM(K101)</f>
        <v>0</v>
      </c>
      <c r="L102" s="38">
        <f t="shared" ref="L102" si="385">SUM(L101)</f>
        <v>0</v>
      </c>
      <c r="M102" s="26"/>
      <c r="N102" s="31">
        <f t="shared" ref="N102" si="386">SUM(N101)</f>
        <v>0</v>
      </c>
      <c r="O102" s="38">
        <f t="shared" ref="O102" si="387">SUM(O101)</f>
        <v>0</v>
      </c>
      <c r="P102" s="26"/>
      <c r="Q102" s="31">
        <f t="shared" ref="Q102" si="388">SUM(Q101)</f>
        <v>0</v>
      </c>
      <c r="R102" s="38">
        <f t="shared" ref="R102" si="389">SUM(R101)</f>
        <v>0</v>
      </c>
      <c r="S102" s="31">
        <f t="shared" ref="S102" si="390">SUM(S101)</f>
        <v>0</v>
      </c>
      <c r="T102" s="38">
        <f t="shared" ref="T102" si="391">SUM(T101)</f>
        <v>0</v>
      </c>
      <c r="U102" s="31">
        <f t="shared" ref="U102" si="392">SUM(U101)</f>
        <v>4</v>
      </c>
      <c r="V102" s="38">
        <f t="shared" ref="V102" si="393">SUM(V101)</f>
        <v>0.2782</v>
      </c>
    </row>
    <row r="103" spans="1:22">
      <c r="A103" s="26" t="s">
        <v>14</v>
      </c>
      <c r="B103" s="26" t="s">
        <v>61</v>
      </c>
      <c r="C103" s="30">
        <v>12.2</v>
      </c>
      <c r="D103" s="27">
        <v>8</v>
      </c>
      <c r="E103" s="28">
        <v>2</v>
      </c>
      <c r="F103" s="16">
        <f>(C103*D103*E103/1000)</f>
        <v>0.19519999999999998</v>
      </c>
      <c r="G103" s="17" t="s">
        <v>89</v>
      </c>
      <c r="H103" s="18">
        <v>2</v>
      </c>
      <c r="I103" s="19">
        <f>(C103*D103*H103/1000)</f>
        <v>0.19519999999999998</v>
      </c>
      <c r="J103" s="16"/>
      <c r="K103" s="18"/>
      <c r="L103" s="19">
        <f>(C103*D103*K103/1000)</f>
        <v>0</v>
      </c>
      <c r="M103" s="16"/>
      <c r="N103" s="18"/>
      <c r="O103" s="19">
        <f>(C103*D103*N103/1000)</f>
        <v>0</v>
      </c>
      <c r="P103" s="16"/>
      <c r="Q103" s="18"/>
      <c r="R103" s="19">
        <f>(C103*D103*Q103/1000)</f>
        <v>0</v>
      </c>
      <c r="S103" s="20">
        <f>+H103+K103+Q103+N103</f>
        <v>2</v>
      </c>
      <c r="T103" s="19">
        <f>+I103+L103+R103+O103</f>
        <v>0.19519999999999998</v>
      </c>
      <c r="U103" s="21">
        <f>E103-S103</f>
        <v>0</v>
      </c>
      <c r="V103" s="19">
        <f>F103-T103</f>
        <v>0</v>
      </c>
    </row>
    <row r="104" spans="1:22">
      <c r="A104" s="36"/>
      <c r="B104" s="36"/>
      <c r="C104" s="37"/>
      <c r="D104" s="38"/>
      <c r="E104" s="31">
        <f t="shared" ref="E104:F104" si="394">SUM(E103)</f>
        <v>2</v>
      </c>
      <c r="F104" s="38">
        <f t="shared" si="394"/>
        <v>0.19519999999999998</v>
      </c>
      <c r="G104" s="26" t="s">
        <v>516</v>
      </c>
      <c r="H104" s="31">
        <f t="shared" ref="H104" si="395">SUM(H103)</f>
        <v>2</v>
      </c>
      <c r="I104" s="38">
        <f t="shared" ref="I104" si="396">SUM(I103)</f>
        <v>0.19519999999999998</v>
      </c>
      <c r="J104" s="26"/>
      <c r="K104" s="31">
        <f t="shared" ref="K104" si="397">SUM(K103)</f>
        <v>0</v>
      </c>
      <c r="L104" s="38">
        <f t="shared" ref="L104" si="398">SUM(L103)</f>
        <v>0</v>
      </c>
      <c r="M104" s="26"/>
      <c r="N104" s="31">
        <f t="shared" ref="N104" si="399">SUM(N103)</f>
        <v>0</v>
      </c>
      <c r="O104" s="38">
        <f t="shared" ref="O104" si="400">SUM(O103)</f>
        <v>0</v>
      </c>
      <c r="P104" s="26"/>
      <c r="Q104" s="31">
        <f t="shared" ref="Q104" si="401">SUM(Q103)</f>
        <v>0</v>
      </c>
      <c r="R104" s="38">
        <f t="shared" ref="R104" si="402">SUM(R103)</f>
        <v>0</v>
      </c>
      <c r="S104" s="31">
        <f t="shared" ref="S104" si="403">SUM(S103)</f>
        <v>2</v>
      </c>
      <c r="T104" s="38">
        <f t="shared" ref="T104" si="404">SUM(T103)</f>
        <v>0.19519999999999998</v>
      </c>
      <c r="U104" s="31">
        <f t="shared" ref="U104" si="405">SUM(U103)</f>
        <v>0</v>
      </c>
      <c r="V104" s="38">
        <f t="shared" ref="V104" si="406">SUM(V103)</f>
        <v>0</v>
      </c>
    </row>
    <row r="105" spans="1:22">
      <c r="A105" s="26" t="s">
        <v>14</v>
      </c>
      <c r="B105" s="26" t="s">
        <v>25</v>
      </c>
      <c r="C105" s="30">
        <v>13.4</v>
      </c>
      <c r="D105" s="27">
        <v>7.8</v>
      </c>
      <c r="E105" s="28">
        <v>4</v>
      </c>
      <c r="F105" s="16">
        <f>(C105*D105*E105/1000)</f>
        <v>0.41808000000000001</v>
      </c>
      <c r="G105" s="26" t="s">
        <v>111</v>
      </c>
      <c r="H105" s="18"/>
      <c r="I105" s="19">
        <f>(C105*D105*H105/1000)</f>
        <v>0</v>
      </c>
      <c r="J105" s="16"/>
      <c r="K105" s="18"/>
      <c r="L105" s="19">
        <f>(C105*D105*K105/1000)</f>
        <v>0</v>
      </c>
      <c r="M105" s="16"/>
      <c r="N105" s="18"/>
      <c r="O105" s="19">
        <f>(C105*D105*N105/1000)</f>
        <v>0</v>
      </c>
      <c r="P105" s="16"/>
      <c r="Q105" s="18"/>
      <c r="R105" s="19">
        <f>(C105*D105*Q105/1000)</f>
        <v>0</v>
      </c>
      <c r="S105" s="20">
        <f>+H105+K105+Q105+N105</f>
        <v>0</v>
      </c>
      <c r="T105" s="19">
        <f>+I105+L105+R105+O105</f>
        <v>0</v>
      </c>
      <c r="U105" s="21">
        <f>E105-S105</f>
        <v>4</v>
      </c>
      <c r="V105" s="19">
        <f>F105-T105</f>
        <v>0.41808000000000001</v>
      </c>
    </row>
    <row r="106" spans="1:22">
      <c r="A106" s="26" t="s">
        <v>14</v>
      </c>
      <c r="B106" s="26" t="s">
        <v>25</v>
      </c>
      <c r="C106" s="30">
        <v>13.4</v>
      </c>
      <c r="D106" s="27">
        <v>10.4</v>
      </c>
      <c r="E106" s="28"/>
      <c r="F106" s="16">
        <f t="shared" ref="F106:F109" si="407">(C106*D106*E106/1000)</f>
        <v>0</v>
      </c>
      <c r="G106" s="17" t="s">
        <v>515</v>
      </c>
      <c r="H106" s="18">
        <v>2</v>
      </c>
      <c r="I106" s="19">
        <f t="shared" ref="I106:I109" si="408">(C106*D106*H106/1000)</f>
        <v>0.27872000000000002</v>
      </c>
      <c r="J106" s="16"/>
      <c r="K106" s="18"/>
      <c r="L106" s="19">
        <f t="shared" ref="L106:L109" si="409">(C106*D106*K106/1000)</f>
        <v>0</v>
      </c>
      <c r="M106" s="16"/>
      <c r="N106" s="18"/>
      <c r="O106" s="19">
        <f t="shared" ref="O106:O109" si="410">(C106*D106*N106/1000)</f>
        <v>0</v>
      </c>
      <c r="P106" s="16"/>
      <c r="Q106" s="18"/>
      <c r="R106" s="19">
        <f t="shared" ref="R106:R109" si="411">(C106*D106*Q106/1000)</f>
        <v>0</v>
      </c>
      <c r="S106" s="20">
        <f t="shared" ref="S106:S109" si="412">+H106+K106+Q106+N106</f>
        <v>2</v>
      </c>
      <c r="T106" s="19">
        <f t="shared" ref="T106:T109" si="413">+I106+L106+R106+O106</f>
        <v>0.27872000000000002</v>
      </c>
      <c r="U106" s="21">
        <f t="shared" ref="U106:U109" si="414">E106-S106</f>
        <v>-2</v>
      </c>
      <c r="V106" s="19">
        <f t="shared" ref="V106:V109" si="415">F106-T106</f>
        <v>-0.27872000000000002</v>
      </c>
    </row>
    <row r="107" spans="1:22">
      <c r="A107" s="26" t="s">
        <v>14</v>
      </c>
      <c r="B107" s="26" t="s">
        <v>25</v>
      </c>
      <c r="C107" s="30">
        <v>13.4</v>
      </c>
      <c r="D107" s="27">
        <v>11</v>
      </c>
      <c r="E107" s="28"/>
      <c r="F107" s="16">
        <f t="shared" si="407"/>
        <v>0</v>
      </c>
      <c r="G107" s="17"/>
      <c r="H107" s="18">
        <v>2</v>
      </c>
      <c r="I107" s="19">
        <f t="shared" si="408"/>
        <v>0.29480000000000001</v>
      </c>
      <c r="J107" s="16"/>
      <c r="K107" s="18"/>
      <c r="L107" s="19">
        <f t="shared" si="409"/>
        <v>0</v>
      </c>
      <c r="M107" s="16"/>
      <c r="N107" s="18"/>
      <c r="O107" s="19">
        <f t="shared" si="410"/>
        <v>0</v>
      </c>
      <c r="P107" s="16"/>
      <c r="Q107" s="18"/>
      <c r="R107" s="19">
        <f t="shared" si="411"/>
        <v>0</v>
      </c>
      <c r="S107" s="20">
        <f t="shared" si="412"/>
        <v>2</v>
      </c>
      <c r="T107" s="19">
        <f t="shared" si="413"/>
        <v>0.29480000000000001</v>
      </c>
      <c r="U107" s="21">
        <f t="shared" si="414"/>
        <v>-2</v>
      </c>
      <c r="V107" s="19">
        <f t="shared" si="415"/>
        <v>-0.29480000000000001</v>
      </c>
    </row>
    <row r="108" spans="1:22">
      <c r="A108" s="26" t="s">
        <v>14</v>
      </c>
      <c r="B108" s="26" t="s">
        <v>25</v>
      </c>
      <c r="C108" s="30">
        <v>13.4</v>
      </c>
      <c r="D108" s="27"/>
      <c r="E108" s="28"/>
      <c r="F108" s="16">
        <f t="shared" si="407"/>
        <v>0</v>
      </c>
      <c r="G108" s="17"/>
      <c r="H108" s="18"/>
      <c r="I108" s="19">
        <f t="shared" si="408"/>
        <v>0</v>
      </c>
      <c r="J108" s="16"/>
      <c r="K108" s="18"/>
      <c r="L108" s="19">
        <f t="shared" si="409"/>
        <v>0</v>
      </c>
      <c r="M108" s="16"/>
      <c r="N108" s="18"/>
      <c r="O108" s="19">
        <f t="shared" si="410"/>
        <v>0</v>
      </c>
      <c r="P108" s="16"/>
      <c r="Q108" s="18"/>
      <c r="R108" s="19">
        <f t="shared" si="411"/>
        <v>0</v>
      </c>
      <c r="S108" s="20">
        <f t="shared" si="412"/>
        <v>0</v>
      </c>
      <c r="T108" s="19">
        <f t="shared" si="413"/>
        <v>0</v>
      </c>
      <c r="U108" s="21">
        <f t="shared" si="414"/>
        <v>0</v>
      </c>
      <c r="V108" s="19">
        <f t="shared" si="415"/>
        <v>0</v>
      </c>
    </row>
    <row r="109" spans="1:22">
      <c r="A109" s="26" t="s">
        <v>14</v>
      </c>
      <c r="B109" s="26" t="s">
        <v>25</v>
      </c>
      <c r="C109" s="30">
        <v>13.4</v>
      </c>
      <c r="D109" s="27"/>
      <c r="E109" s="28"/>
      <c r="F109" s="16">
        <f t="shared" si="407"/>
        <v>0</v>
      </c>
      <c r="G109" s="17"/>
      <c r="H109" s="18"/>
      <c r="I109" s="19">
        <f t="shared" si="408"/>
        <v>0</v>
      </c>
      <c r="J109" s="16"/>
      <c r="K109" s="18"/>
      <c r="L109" s="19">
        <f t="shared" si="409"/>
        <v>0</v>
      </c>
      <c r="M109" s="16"/>
      <c r="N109" s="18"/>
      <c r="O109" s="19">
        <f t="shared" si="410"/>
        <v>0</v>
      </c>
      <c r="P109" s="16"/>
      <c r="Q109" s="18"/>
      <c r="R109" s="19">
        <f t="shared" si="411"/>
        <v>0</v>
      </c>
      <c r="S109" s="20">
        <f t="shared" si="412"/>
        <v>0</v>
      </c>
      <c r="T109" s="19">
        <f t="shared" si="413"/>
        <v>0</v>
      </c>
      <c r="U109" s="21">
        <f t="shared" si="414"/>
        <v>0</v>
      </c>
      <c r="V109" s="19">
        <f t="shared" si="415"/>
        <v>0</v>
      </c>
    </row>
    <row r="110" spans="1:22">
      <c r="A110" s="36"/>
      <c r="B110" s="36"/>
      <c r="C110" s="37"/>
      <c r="D110" s="38"/>
      <c r="E110" s="31">
        <f t="shared" ref="E110:F110" si="416">SUM(E105:E109)</f>
        <v>4</v>
      </c>
      <c r="F110" s="38">
        <f t="shared" si="416"/>
        <v>0.41808000000000001</v>
      </c>
      <c r="G110" s="26"/>
      <c r="H110" s="31">
        <f t="shared" ref="H110" si="417">SUM(H105:H109)</f>
        <v>4</v>
      </c>
      <c r="I110" s="38">
        <f t="shared" ref="I110" si="418">SUM(I105:I109)</f>
        <v>0.57352000000000003</v>
      </c>
      <c r="J110" s="26"/>
      <c r="K110" s="31">
        <f t="shared" ref="K110" si="419">SUM(K105:K109)</f>
        <v>0</v>
      </c>
      <c r="L110" s="38">
        <f t="shared" ref="L110" si="420">SUM(L105:L109)</f>
        <v>0</v>
      </c>
      <c r="M110" s="26"/>
      <c r="N110" s="31">
        <f t="shared" ref="N110" si="421">SUM(N105:N109)</f>
        <v>0</v>
      </c>
      <c r="O110" s="38">
        <f t="shared" ref="O110" si="422">SUM(O105:O109)</f>
        <v>0</v>
      </c>
      <c r="P110" s="26"/>
      <c r="Q110" s="31">
        <f t="shared" ref="Q110" si="423">SUM(Q105:Q109)</f>
        <v>0</v>
      </c>
      <c r="R110" s="38">
        <f t="shared" ref="R110" si="424">SUM(R105:R109)</f>
        <v>0</v>
      </c>
      <c r="S110" s="31">
        <f t="shared" ref="S110" si="425">SUM(S105:S109)</f>
        <v>4</v>
      </c>
      <c r="T110" s="38">
        <f t="shared" ref="T110" si="426">SUM(T105:T109)</f>
        <v>0.57352000000000003</v>
      </c>
      <c r="U110" s="31">
        <f t="shared" ref="U110" si="427">SUM(U105:U109)</f>
        <v>0</v>
      </c>
      <c r="V110" s="38">
        <f t="shared" ref="V110" si="428">SUM(V105:V109)</f>
        <v>-0.15544000000000002</v>
      </c>
    </row>
    <row r="111" spans="1:22">
      <c r="A111" s="26" t="s">
        <v>14</v>
      </c>
      <c r="B111" s="26" t="s">
        <v>34</v>
      </c>
      <c r="C111" s="30">
        <v>5.76</v>
      </c>
      <c r="D111" s="27">
        <v>7.1</v>
      </c>
      <c r="E111" s="28">
        <v>18</v>
      </c>
      <c r="F111" s="16">
        <f>(C111*D111*E111/1000)</f>
        <v>0.73612799999999989</v>
      </c>
      <c r="G111" s="17" t="s">
        <v>93</v>
      </c>
      <c r="H111" s="18"/>
      <c r="I111" s="19">
        <f>(C111*D111*H111/1000)</f>
        <v>0</v>
      </c>
      <c r="J111" s="16"/>
      <c r="K111" s="18"/>
      <c r="L111" s="19">
        <f>(C111*D111*K111/1000)</f>
        <v>0</v>
      </c>
      <c r="M111" s="16"/>
      <c r="N111" s="18"/>
      <c r="O111" s="19">
        <f>(C111*D111*N111/1000)</f>
        <v>0</v>
      </c>
      <c r="P111" s="16"/>
      <c r="Q111" s="18"/>
      <c r="R111" s="19">
        <f>(C111*D111*Q111/1000)</f>
        <v>0</v>
      </c>
      <c r="S111" s="20">
        <f>+H111+K111+Q111+N111</f>
        <v>0</v>
      </c>
      <c r="T111" s="19">
        <f>+I111+L111+R111+O111</f>
        <v>0</v>
      </c>
      <c r="U111" s="21">
        <f>E111-S111</f>
        <v>18</v>
      </c>
      <c r="V111" s="19">
        <f>F111-T111</f>
        <v>0.73612799999999989</v>
      </c>
    </row>
    <row r="112" spans="1:22">
      <c r="A112" s="26" t="s">
        <v>14</v>
      </c>
      <c r="B112" s="26" t="s">
        <v>34</v>
      </c>
      <c r="C112" s="30">
        <v>5.76</v>
      </c>
      <c r="D112" s="27">
        <v>6.3</v>
      </c>
      <c r="E112" s="28"/>
      <c r="F112" s="16">
        <f t="shared" ref="F112:F126" si="429">(C112*D112*E112/1000)</f>
        <v>0</v>
      </c>
      <c r="G112" s="17" t="s">
        <v>517</v>
      </c>
      <c r="H112" s="18">
        <v>1</v>
      </c>
      <c r="I112" s="19">
        <f t="shared" ref="I112:I126" si="430">(C112*D112*H112/1000)</f>
        <v>3.6287999999999994E-2</v>
      </c>
      <c r="J112" s="16"/>
      <c r="K112" s="18"/>
      <c r="L112" s="19">
        <f t="shared" ref="L112:L126" si="431">(C112*D112*K112/1000)</f>
        <v>0</v>
      </c>
      <c r="M112" s="16"/>
      <c r="N112" s="18"/>
      <c r="O112" s="19">
        <f t="shared" ref="O112:O126" si="432">(C112*D112*N112/1000)</f>
        <v>0</v>
      </c>
      <c r="P112" s="16"/>
      <c r="Q112" s="18"/>
      <c r="R112" s="19">
        <f t="shared" ref="R112:R126" si="433">(C112*D112*Q112/1000)</f>
        <v>0</v>
      </c>
      <c r="S112" s="20">
        <f t="shared" ref="S112:S126" si="434">+H112+K112+Q112+N112</f>
        <v>1</v>
      </c>
      <c r="T112" s="19">
        <f t="shared" ref="T112:T126" si="435">+I112+L112+R112+O112</f>
        <v>3.6287999999999994E-2</v>
      </c>
      <c r="U112" s="21">
        <f t="shared" ref="U112:U126" si="436">E112-S112</f>
        <v>-1</v>
      </c>
      <c r="V112" s="19">
        <f t="shared" ref="V112:V126" si="437">F112-T112</f>
        <v>-3.6287999999999994E-2</v>
      </c>
    </row>
    <row r="113" spans="1:22">
      <c r="A113" s="26" t="s">
        <v>14</v>
      </c>
      <c r="B113" s="26" t="s">
        <v>34</v>
      </c>
      <c r="C113" s="30">
        <v>5.76</v>
      </c>
      <c r="D113" s="27">
        <v>6.5</v>
      </c>
      <c r="E113" s="28"/>
      <c r="F113" s="16">
        <f t="shared" si="429"/>
        <v>0</v>
      </c>
      <c r="G113" s="17"/>
      <c r="H113" s="18">
        <v>1</v>
      </c>
      <c r="I113" s="19">
        <f t="shared" si="430"/>
        <v>3.7440000000000001E-2</v>
      </c>
      <c r="J113" s="16"/>
      <c r="K113" s="18"/>
      <c r="L113" s="19">
        <f t="shared" si="431"/>
        <v>0</v>
      </c>
      <c r="M113" s="16"/>
      <c r="N113" s="18"/>
      <c r="O113" s="19">
        <f t="shared" si="432"/>
        <v>0</v>
      </c>
      <c r="P113" s="16"/>
      <c r="Q113" s="18"/>
      <c r="R113" s="19">
        <f t="shared" si="433"/>
        <v>0</v>
      </c>
      <c r="S113" s="20">
        <f t="shared" si="434"/>
        <v>1</v>
      </c>
      <c r="T113" s="19">
        <f t="shared" si="435"/>
        <v>3.7440000000000001E-2</v>
      </c>
      <c r="U113" s="21">
        <f t="shared" si="436"/>
        <v>-1</v>
      </c>
      <c r="V113" s="19">
        <f t="shared" si="437"/>
        <v>-3.7440000000000001E-2</v>
      </c>
    </row>
    <row r="114" spans="1:22">
      <c r="A114" s="26" t="s">
        <v>14</v>
      </c>
      <c r="B114" s="26" t="s">
        <v>34</v>
      </c>
      <c r="C114" s="30">
        <v>5.76</v>
      </c>
      <c r="D114" s="27">
        <v>7.3</v>
      </c>
      <c r="E114" s="28"/>
      <c r="F114" s="16">
        <f t="shared" ref="F114:F118" si="438">(C114*D114*E114/1000)</f>
        <v>0</v>
      </c>
      <c r="G114" s="17"/>
      <c r="H114" s="18">
        <v>1</v>
      </c>
      <c r="I114" s="19">
        <f t="shared" ref="I114:I118" si="439">(C114*D114*H114/1000)</f>
        <v>4.2047999999999995E-2</v>
      </c>
      <c r="J114" s="16"/>
      <c r="K114" s="18"/>
      <c r="L114" s="19">
        <f t="shared" ref="L114:L118" si="440">(C114*D114*K114/1000)</f>
        <v>0</v>
      </c>
      <c r="M114" s="16"/>
      <c r="N114" s="18"/>
      <c r="O114" s="19">
        <f t="shared" ref="O114:O118" si="441">(C114*D114*N114/1000)</f>
        <v>0</v>
      </c>
      <c r="P114" s="16"/>
      <c r="Q114" s="18"/>
      <c r="R114" s="19">
        <f t="shared" ref="R114:R118" si="442">(C114*D114*Q114/1000)</f>
        <v>0</v>
      </c>
      <c r="S114" s="20">
        <f t="shared" ref="S114:S118" si="443">+H114+K114+Q114+N114</f>
        <v>1</v>
      </c>
      <c r="T114" s="19">
        <f t="shared" ref="T114:T118" si="444">+I114+L114+R114+O114</f>
        <v>4.2047999999999995E-2</v>
      </c>
      <c r="U114" s="21">
        <f t="shared" ref="U114:U118" si="445">E114-S114</f>
        <v>-1</v>
      </c>
      <c r="V114" s="19">
        <f t="shared" ref="V114:V118" si="446">F114-T114</f>
        <v>-4.2047999999999995E-2</v>
      </c>
    </row>
    <row r="115" spans="1:22">
      <c r="A115" s="26" t="s">
        <v>14</v>
      </c>
      <c r="B115" s="26" t="s">
        <v>34</v>
      </c>
      <c r="C115" s="30">
        <v>5.76</v>
      </c>
      <c r="D115" s="27">
        <v>7.5</v>
      </c>
      <c r="E115" s="28"/>
      <c r="F115" s="16">
        <f t="shared" si="438"/>
        <v>0</v>
      </c>
      <c r="G115" s="17"/>
      <c r="H115" s="18">
        <v>1</v>
      </c>
      <c r="I115" s="19">
        <f t="shared" si="439"/>
        <v>4.3199999999999995E-2</v>
      </c>
      <c r="J115" s="16"/>
      <c r="K115" s="18"/>
      <c r="L115" s="19">
        <f t="shared" si="440"/>
        <v>0</v>
      </c>
      <c r="M115" s="16"/>
      <c r="N115" s="18"/>
      <c r="O115" s="19">
        <f t="shared" si="441"/>
        <v>0</v>
      </c>
      <c r="P115" s="16"/>
      <c r="Q115" s="18"/>
      <c r="R115" s="19">
        <f t="shared" si="442"/>
        <v>0</v>
      </c>
      <c r="S115" s="20">
        <f t="shared" si="443"/>
        <v>1</v>
      </c>
      <c r="T115" s="19">
        <f t="shared" si="444"/>
        <v>4.3199999999999995E-2</v>
      </c>
      <c r="U115" s="21">
        <f t="shared" si="445"/>
        <v>-1</v>
      </c>
      <c r="V115" s="19">
        <f t="shared" si="446"/>
        <v>-4.3199999999999995E-2</v>
      </c>
    </row>
    <row r="116" spans="1:22">
      <c r="A116" s="26" t="s">
        <v>14</v>
      </c>
      <c r="B116" s="26" t="s">
        <v>34</v>
      </c>
      <c r="C116" s="30">
        <v>5.76</v>
      </c>
      <c r="D116" s="27">
        <v>7.7</v>
      </c>
      <c r="E116" s="28"/>
      <c r="F116" s="16">
        <f t="shared" si="438"/>
        <v>0</v>
      </c>
      <c r="G116" s="17"/>
      <c r="H116" s="18">
        <v>1</v>
      </c>
      <c r="I116" s="19">
        <f t="shared" si="439"/>
        <v>4.4351999999999996E-2</v>
      </c>
      <c r="J116" s="16"/>
      <c r="K116" s="18"/>
      <c r="L116" s="19">
        <f t="shared" si="440"/>
        <v>0</v>
      </c>
      <c r="M116" s="16"/>
      <c r="N116" s="18"/>
      <c r="O116" s="19">
        <f t="shared" si="441"/>
        <v>0</v>
      </c>
      <c r="P116" s="16"/>
      <c r="Q116" s="18"/>
      <c r="R116" s="19">
        <f t="shared" si="442"/>
        <v>0</v>
      </c>
      <c r="S116" s="20">
        <f t="shared" si="443"/>
        <v>1</v>
      </c>
      <c r="T116" s="19">
        <f t="shared" si="444"/>
        <v>4.4351999999999996E-2</v>
      </c>
      <c r="U116" s="21">
        <f t="shared" si="445"/>
        <v>-1</v>
      </c>
      <c r="V116" s="19">
        <f t="shared" si="446"/>
        <v>-4.4351999999999996E-2</v>
      </c>
    </row>
    <row r="117" spans="1:22">
      <c r="A117" s="26" t="s">
        <v>14</v>
      </c>
      <c r="B117" s="26" t="s">
        <v>34</v>
      </c>
      <c r="C117" s="30">
        <v>5.76</v>
      </c>
      <c r="D117" s="27">
        <v>7.8</v>
      </c>
      <c r="E117" s="28"/>
      <c r="F117" s="16">
        <f t="shared" si="438"/>
        <v>0</v>
      </c>
      <c r="G117" s="17"/>
      <c r="H117" s="18">
        <v>2</v>
      </c>
      <c r="I117" s="19">
        <f t="shared" si="439"/>
        <v>8.9855999999999991E-2</v>
      </c>
      <c r="J117" s="16"/>
      <c r="K117" s="18"/>
      <c r="L117" s="19">
        <f t="shared" si="440"/>
        <v>0</v>
      </c>
      <c r="M117" s="16"/>
      <c r="N117" s="18"/>
      <c r="O117" s="19">
        <f t="shared" si="441"/>
        <v>0</v>
      </c>
      <c r="P117" s="16"/>
      <c r="Q117" s="18"/>
      <c r="R117" s="19">
        <f t="shared" si="442"/>
        <v>0</v>
      </c>
      <c r="S117" s="20">
        <f t="shared" si="443"/>
        <v>2</v>
      </c>
      <c r="T117" s="19">
        <f t="shared" si="444"/>
        <v>8.9855999999999991E-2</v>
      </c>
      <c r="U117" s="21">
        <f t="shared" si="445"/>
        <v>-2</v>
      </c>
      <c r="V117" s="19">
        <f t="shared" si="446"/>
        <v>-8.9855999999999991E-2</v>
      </c>
    </row>
    <row r="118" spans="1:22">
      <c r="A118" s="26" t="s">
        <v>14</v>
      </c>
      <c r="B118" s="26" t="s">
        <v>34</v>
      </c>
      <c r="C118" s="30">
        <v>5.76</v>
      </c>
      <c r="D118" s="27">
        <v>8</v>
      </c>
      <c r="E118" s="28"/>
      <c r="F118" s="16">
        <f t="shared" si="438"/>
        <v>0</v>
      </c>
      <c r="G118" s="17"/>
      <c r="H118" s="18">
        <v>2</v>
      </c>
      <c r="I118" s="19">
        <f t="shared" si="439"/>
        <v>9.2159999999999992E-2</v>
      </c>
      <c r="J118" s="16"/>
      <c r="K118" s="18"/>
      <c r="L118" s="19">
        <f t="shared" si="440"/>
        <v>0</v>
      </c>
      <c r="M118" s="16"/>
      <c r="N118" s="18"/>
      <c r="O118" s="19">
        <f t="shared" si="441"/>
        <v>0</v>
      </c>
      <c r="P118" s="16"/>
      <c r="Q118" s="18"/>
      <c r="R118" s="19">
        <f t="shared" si="442"/>
        <v>0</v>
      </c>
      <c r="S118" s="20">
        <f t="shared" si="443"/>
        <v>2</v>
      </c>
      <c r="T118" s="19">
        <f t="shared" si="444"/>
        <v>9.2159999999999992E-2</v>
      </c>
      <c r="U118" s="21">
        <f t="shared" si="445"/>
        <v>-2</v>
      </c>
      <c r="V118" s="19">
        <f t="shared" si="446"/>
        <v>-9.2159999999999992E-2</v>
      </c>
    </row>
    <row r="119" spans="1:22">
      <c r="A119" s="26" t="s">
        <v>14</v>
      </c>
      <c r="B119" s="26" t="s">
        <v>34</v>
      </c>
      <c r="C119" s="30">
        <v>5.76</v>
      </c>
      <c r="D119" s="27">
        <v>8.3000000000000007</v>
      </c>
      <c r="E119" s="28"/>
      <c r="F119" s="16">
        <f t="shared" si="429"/>
        <v>0</v>
      </c>
      <c r="G119" s="17"/>
      <c r="H119" s="18">
        <v>2</v>
      </c>
      <c r="I119" s="19">
        <f t="shared" si="430"/>
        <v>9.5616000000000007E-2</v>
      </c>
      <c r="J119" s="16"/>
      <c r="K119" s="18"/>
      <c r="L119" s="19">
        <f t="shared" si="431"/>
        <v>0</v>
      </c>
      <c r="M119" s="16"/>
      <c r="N119" s="18"/>
      <c r="O119" s="19">
        <f t="shared" si="432"/>
        <v>0</v>
      </c>
      <c r="P119" s="16"/>
      <c r="Q119" s="18"/>
      <c r="R119" s="19">
        <f t="shared" si="433"/>
        <v>0</v>
      </c>
      <c r="S119" s="20">
        <f t="shared" si="434"/>
        <v>2</v>
      </c>
      <c r="T119" s="19">
        <f t="shared" si="435"/>
        <v>9.5616000000000007E-2</v>
      </c>
      <c r="U119" s="21">
        <f t="shared" si="436"/>
        <v>-2</v>
      </c>
      <c r="V119" s="19">
        <f t="shared" si="437"/>
        <v>-9.5616000000000007E-2</v>
      </c>
    </row>
    <row r="120" spans="1:22">
      <c r="A120" s="26" t="s">
        <v>14</v>
      </c>
      <c r="B120" s="26" t="s">
        <v>34</v>
      </c>
      <c r="C120" s="30">
        <v>5.76</v>
      </c>
      <c r="D120" s="27">
        <v>8.6</v>
      </c>
      <c r="E120" s="28"/>
      <c r="F120" s="16">
        <f t="shared" si="429"/>
        <v>0</v>
      </c>
      <c r="G120" s="17"/>
      <c r="H120" s="18">
        <v>1</v>
      </c>
      <c r="I120" s="19">
        <f t="shared" si="430"/>
        <v>4.9535999999999997E-2</v>
      </c>
      <c r="J120" s="16"/>
      <c r="K120" s="18"/>
      <c r="L120" s="19">
        <f t="shared" si="431"/>
        <v>0</v>
      </c>
      <c r="M120" s="16"/>
      <c r="N120" s="18"/>
      <c r="O120" s="19">
        <f t="shared" si="432"/>
        <v>0</v>
      </c>
      <c r="P120" s="16"/>
      <c r="Q120" s="18"/>
      <c r="R120" s="19">
        <f t="shared" si="433"/>
        <v>0</v>
      </c>
      <c r="S120" s="20">
        <f t="shared" si="434"/>
        <v>1</v>
      </c>
      <c r="T120" s="19">
        <f t="shared" si="435"/>
        <v>4.9535999999999997E-2</v>
      </c>
      <c r="U120" s="21">
        <f t="shared" si="436"/>
        <v>-1</v>
      </c>
      <c r="V120" s="19">
        <f t="shared" si="437"/>
        <v>-4.9535999999999997E-2</v>
      </c>
    </row>
    <row r="121" spans="1:22">
      <c r="A121" s="26" t="s">
        <v>14</v>
      </c>
      <c r="B121" s="26" t="s">
        <v>34</v>
      </c>
      <c r="C121" s="30">
        <v>5.76</v>
      </c>
      <c r="D121" s="27">
        <v>9.5</v>
      </c>
      <c r="E121" s="28"/>
      <c r="F121" s="16">
        <f t="shared" si="429"/>
        <v>0</v>
      </c>
      <c r="G121" s="17"/>
      <c r="H121" s="18">
        <v>3</v>
      </c>
      <c r="I121" s="19">
        <f t="shared" si="430"/>
        <v>0.16416</v>
      </c>
      <c r="J121" s="16"/>
      <c r="K121" s="18"/>
      <c r="L121" s="19">
        <f t="shared" si="431"/>
        <v>0</v>
      </c>
      <c r="M121" s="16"/>
      <c r="N121" s="18"/>
      <c r="O121" s="19">
        <f t="shared" si="432"/>
        <v>0</v>
      </c>
      <c r="P121" s="16"/>
      <c r="Q121" s="18"/>
      <c r="R121" s="19">
        <f t="shared" si="433"/>
        <v>0</v>
      </c>
      <c r="S121" s="20">
        <f t="shared" si="434"/>
        <v>3</v>
      </c>
      <c r="T121" s="19">
        <f t="shared" si="435"/>
        <v>0.16416</v>
      </c>
      <c r="U121" s="21">
        <f t="shared" si="436"/>
        <v>-3</v>
      </c>
      <c r="V121" s="19">
        <f t="shared" si="437"/>
        <v>-0.16416</v>
      </c>
    </row>
    <row r="122" spans="1:22">
      <c r="A122" s="26" t="s">
        <v>14</v>
      </c>
      <c r="B122" s="26" t="s">
        <v>34</v>
      </c>
      <c r="C122" s="30">
        <v>5.76</v>
      </c>
      <c r="D122" s="27">
        <v>9.6999999999999993</v>
      </c>
      <c r="E122" s="28"/>
      <c r="F122" s="16">
        <f t="shared" si="429"/>
        <v>0</v>
      </c>
      <c r="G122" s="17"/>
      <c r="H122" s="18">
        <v>1</v>
      </c>
      <c r="I122" s="19">
        <f t="shared" si="430"/>
        <v>5.5871999999999991E-2</v>
      </c>
      <c r="J122" s="16"/>
      <c r="K122" s="18"/>
      <c r="L122" s="19">
        <f t="shared" si="431"/>
        <v>0</v>
      </c>
      <c r="M122" s="16"/>
      <c r="N122" s="18"/>
      <c r="O122" s="19">
        <f t="shared" si="432"/>
        <v>0</v>
      </c>
      <c r="P122" s="16"/>
      <c r="Q122" s="18"/>
      <c r="R122" s="19">
        <f t="shared" si="433"/>
        <v>0</v>
      </c>
      <c r="S122" s="20">
        <f t="shared" si="434"/>
        <v>1</v>
      </c>
      <c r="T122" s="19">
        <f t="shared" si="435"/>
        <v>5.5871999999999991E-2</v>
      </c>
      <c r="U122" s="21">
        <f t="shared" si="436"/>
        <v>-1</v>
      </c>
      <c r="V122" s="19">
        <f t="shared" si="437"/>
        <v>-5.5871999999999991E-2</v>
      </c>
    </row>
    <row r="123" spans="1:22">
      <c r="A123" s="26" t="s">
        <v>14</v>
      </c>
      <c r="B123" s="26" t="s">
        <v>34</v>
      </c>
      <c r="C123" s="30">
        <v>5.76</v>
      </c>
      <c r="D123" s="27">
        <v>10</v>
      </c>
      <c r="E123" s="28"/>
      <c r="F123" s="16">
        <f t="shared" si="429"/>
        <v>0</v>
      </c>
      <c r="G123" s="17"/>
      <c r="H123" s="18">
        <v>1</v>
      </c>
      <c r="I123" s="19">
        <f t="shared" si="430"/>
        <v>5.7599999999999991E-2</v>
      </c>
      <c r="J123" s="16"/>
      <c r="K123" s="18"/>
      <c r="L123" s="19">
        <f t="shared" si="431"/>
        <v>0</v>
      </c>
      <c r="M123" s="16"/>
      <c r="N123" s="18"/>
      <c r="O123" s="19">
        <f t="shared" si="432"/>
        <v>0</v>
      </c>
      <c r="P123" s="16"/>
      <c r="Q123" s="18"/>
      <c r="R123" s="19">
        <f t="shared" si="433"/>
        <v>0</v>
      </c>
      <c r="S123" s="20">
        <f t="shared" si="434"/>
        <v>1</v>
      </c>
      <c r="T123" s="19">
        <f t="shared" si="435"/>
        <v>5.7599999999999991E-2</v>
      </c>
      <c r="U123" s="21">
        <f t="shared" si="436"/>
        <v>-1</v>
      </c>
      <c r="V123" s="19">
        <f t="shared" si="437"/>
        <v>-5.7599999999999991E-2</v>
      </c>
    </row>
    <row r="124" spans="1:22">
      <c r="A124" s="26" t="s">
        <v>14</v>
      </c>
      <c r="B124" s="26" t="s">
        <v>34</v>
      </c>
      <c r="C124" s="30">
        <v>5.76</v>
      </c>
      <c r="D124" s="27">
        <v>10.5</v>
      </c>
      <c r="E124" s="28"/>
      <c r="F124" s="16">
        <f t="shared" si="429"/>
        <v>0</v>
      </c>
      <c r="G124" s="17"/>
      <c r="H124" s="18">
        <v>2</v>
      </c>
      <c r="I124" s="19">
        <f t="shared" si="430"/>
        <v>0.12096</v>
      </c>
      <c r="J124" s="16"/>
      <c r="K124" s="18"/>
      <c r="L124" s="19">
        <f t="shared" si="431"/>
        <v>0</v>
      </c>
      <c r="M124" s="16"/>
      <c r="N124" s="18"/>
      <c r="O124" s="19">
        <f t="shared" si="432"/>
        <v>0</v>
      </c>
      <c r="P124" s="16"/>
      <c r="Q124" s="18"/>
      <c r="R124" s="19">
        <f t="shared" si="433"/>
        <v>0</v>
      </c>
      <c r="S124" s="20">
        <f t="shared" si="434"/>
        <v>2</v>
      </c>
      <c r="T124" s="19">
        <f t="shared" si="435"/>
        <v>0.12096</v>
      </c>
      <c r="U124" s="21">
        <f t="shared" si="436"/>
        <v>-2</v>
      </c>
      <c r="V124" s="19">
        <f t="shared" si="437"/>
        <v>-0.12096</v>
      </c>
    </row>
    <row r="125" spans="1:22">
      <c r="A125" s="26" t="s">
        <v>14</v>
      </c>
      <c r="B125" s="26" t="s">
        <v>34</v>
      </c>
      <c r="C125" s="30">
        <v>5.76</v>
      </c>
      <c r="D125" s="27"/>
      <c r="E125" s="28"/>
      <c r="F125" s="16">
        <f t="shared" si="429"/>
        <v>0</v>
      </c>
      <c r="G125" s="17"/>
      <c r="H125" s="18"/>
      <c r="I125" s="19">
        <f t="shared" si="430"/>
        <v>0</v>
      </c>
      <c r="J125" s="16"/>
      <c r="K125" s="18"/>
      <c r="L125" s="19">
        <f t="shared" si="431"/>
        <v>0</v>
      </c>
      <c r="M125" s="16"/>
      <c r="N125" s="18"/>
      <c r="O125" s="19">
        <f t="shared" si="432"/>
        <v>0</v>
      </c>
      <c r="P125" s="16"/>
      <c r="Q125" s="18"/>
      <c r="R125" s="19">
        <f t="shared" si="433"/>
        <v>0</v>
      </c>
      <c r="S125" s="20">
        <f t="shared" si="434"/>
        <v>0</v>
      </c>
      <c r="T125" s="19">
        <f t="shared" si="435"/>
        <v>0</v>
      </c>
      <c r="U125" s="21">
        <f t="shared" si="436"/>
        <v>0</v>
      </c>
      <c r="V125" s="19">
        <f t="shared" si="437"/>
        <v>0</v>
      </c>
    </row>
    <row r="126" spans="1:22">
      <c r="A126" s="26" t="s">
        <v>14</v>
      </c>
      <c r="B126" s="26" t="s">
        <v>34</v>
      </c>
      <c r="C126" s="30">
        <v>5.76</v>
      </c>
      <c r="D126" s="27"/>
      <c r="E126" s="28"/>
      <c r="F126" s="16">
        <f t="shared" si="429"/>
        <v>0</v>
      </c>
      <c r="G126" s="17"/>
      <c r="H126" s="18"/>
      <c r="I126" s="19">
        <f t="shared" si="430"/>
        <v>0</v>
      </c>
      <c r="J126" s="16"/>
      <c r="K126" s="18"/>
      <c r="L126" s="19">
        <f t="shared" si="431"/>
        <v>0</v>
      </c>
      <c r="M126" s="16"/>
      <c r="N126" s="18"/>
      <c r="O126" s="19">
        <f t="shared" si="432"/>
        <v>0</v>
      </c>
      <c r="P126" s="16"/>
      <c r="Q126" s="18"/>
      <c r="R126" s="19">
        <f t="shared" si="433"/>
        <v>0</v>
      </c>
      <c r="S126" s="20">
        <f t="shared" si="434"/>
        <v>0</v>
      </c>
      <c r="T126" s="19">
        <f t="shared" si="435"/>
        <v>0</v>
      </c>
      <c r="U126" s="21">
        <f t="shared" si="436"/>
        <v>0</v>
      </c>
      <c r="V126" s="19">
        <f t="shared" si="437"/>
        <v>0</v>
      </c>
    </row>
    <row r="127" spans="1:22">
      <c r="A127" s="36"/>
      <c r="B127" s="36"/>
      <c r="C127" s="37"/>
      <c r="D127" s="38"/>
      <c r="E127" s="31">
        <f t="shared" ref="E127:F127" si="447">SUM(E111:E126)</f>
        <v>18</v>
      </c>
      <c r="F127" s="38">
        <f t="shared" si="447"/>
        <v>0.73612799999999989</v>
      </c>
      <c r="G127" s="26"/>
      <c r="H127" s="31">
        <f t="shared" ref="H127" si="448">SUM(H111:H126)</f>
        <v>19</v>
      </c>
      <c r="I127" s="38">
        <f t="shared" ref="I127" si="449">SUM(I111:I126)</f>
        <v>0.92908800000000002</v>
      </c>
      <c r="J127" s="26"/>
      <c r="K127" s="31">
        <f t="shared" ref="K127" si="450">SUM(K111:K126)</f>
        <v>0</v>
      </c>
      <c r="L127" s="38">
        <f t="shared" ref="L127" si="451">SUM(L111:L126)</f>
        <v>0</v>
      </c>
      <c r="M127" s="26"/>
      <c r="N127" s="31">
        <f t="shared" ref="N127" si="452">SUM(N111:N126)</f>
        <v>0</v>
      </c>
      <c r="O127" s="38">
        <f t="shared" ref="O127" si="453">SUM(O111:O126)</f>
        <v>0</v>
      </c>
      <c r="P127" s="26"/>
      <c r="Q127" s="31">
        <f t="shared" ref="Q127" si="454">SUM(Q111:Q126)</f>
        <v>0</v>
      </c>
      <c r="R127" s="38">
        <f t="shared" ref="R127" si="455">SUM(R111:R126)</f>
        <v>0</v>
      </c>
      <c r="S127" s="31">
        <f t="shared" ref="S127" si="456">SUM(S111:S126)</f>
        <v>19</v>
      </c>
      <c r="T127" s="38">
        <f t="shared" ref="T127" si="457">SUM(T111:T126)</f>
        <v>0.92908800000000002</v>
      </c>
      <c r="U127" s="31">
        <f t="shared" ref="U127" si="458">SUM(U111:U126)</f>
        <v>-1</v>
      </c>
      <c r="V127" s="38">
        <f t="shared" ref="V127" si="459">SUM(V111:V126)</f>
        <v>-0.19296000000000002</v>
      </c>
    </row>
    <row r="128" spans="1:22">
      <c r="A128" s="26" t="s">
        <v>14</v>
      </c>
      <c r="B128" s="26" t="s">
        <v>35</v>
      </c>
      <c r="C128" s="30">
        <v>6.85</v>
      </c>
      <c r="D128" s="27">
        <v>12</v>
      </c>
      <c r="E128" s="28">
        <v>6</v>
      </c>
      <c r="F128" s="16">
        <f>(C128*D128*E128/1000)</f>
        <v>0.49319999999999992</v>
      </c>
      <c r="G128" s="17" t="s">
        <v>111</v>
      </c>
      <c r="H128" s="18"/>
      <c r="I128" s="19">
        <f>(C128*D128*H128/1000)</f>
        <v>0</v>
      </c>
      <c r="J128" s="16"/>
      <c r="K128" s="18"/>
      <c r="L128" s="19">
        <f>(C128*D128*K128/1000)</f>
        <v>0</v>
      </c>
      <c r="M128" s="16"/>
      <c r="N128" s="18"/>
      <c r="O128" s="19">
        <f>(C128*D128*N128/1000)</f>
        <v>0</v>
      </c>
      <c r="P128" s="16"/>
      <c r="Q128" s="18"/>
      <c r="R128" s="19">
        <f>(C128*D128*Q128/1000)</f>
        <v>0</v>
      </c>
      <c r="S128" s="20">
        <f>+H128+K128+Q128+N128</f>
        <v>0</v>
      </c>
      <c r="T128" s="19">
        <f>+I128+L128+R128+O128</f>
        <v>0</v>
      </c>
      <c r="U128" s="21">
        <f>E128-S128</f>
        <v>6</v>
      </c>
      <c r="V128" s="19">
        <f>F128-T128</f>
        <v>0.49319999999999992</v>
      </c>
    </row>
    <row r="129" spans="1:22">
      <c r="A129" s="26" t="s">
        <v>14</v>
      </c>
      <c r="B129" s="26" t="s">
        <v>35</v>
      </c>
      <c r="C129" s="30">
        <v>6.85</v>
      </c>
      <c r="D129" s="27">
        <v>10</v>
      </c>
      <c r="E129" s="28"/>
      <c r="F129" s="16">
        <f t="shared" ref="F129:F130" si="460">(C129*D129*E129/1000)</f>
        <v>0</v>
      </c>
      <c r="G129" s="17" t="s">
        <v>515</v>
      </c>
      <c r="H129" s="18">
        <v>7</v>
      </c>
      <c r="I129" s="19">
        <f t="shared" ref="I129:I130" si="461">(C129*D129*H129/1000)</f>
        <v>0.47949999999999998</v>
      </c>
      <c r="J129" s="16"/>
      <c r="K129" s="18"/>
      <c r="L129" s="19">
        <f t="shared" ref="L129:L130" si="462">(C129*D129*K129/1000)</f>
        <v>0</v>
      </c>
      <c r="M129" s="16"/>
      <c r="N129" s="18"/>
      <c r="O129" s="19">
        <f t="shared" ref="O129:O130" si="463">(C129*D129*N129/1000)</f>
        <v>0</v>
      </c>
      <c r="P129" s="16"/>
      <c r="Q129" s="18"/>
      <c r="R129" s="19">
        <f t="shared" ref="R129:R130" si="464">(C129*D129*Q129/1000)</f>
        <v>0</v>
      </c>
      <c r="S129" s="20">
        <f t="shared" ref="S129:S130" si="465">+H129+K129+Q129+N129</f>
        <v>7</v>
      </c>
      <c r="T129" s="19">
        <f t="shared" ref="T129:T130" si="466">+I129+L129+R129+O129</f>
        <v>0.47949999999999998</v>
      </c>
      <c r="U129" s="21">
        <f t="shared" ref="U129:U130" si="467">E129-S129</f>
        <v>-7</v>
      </c>
      <c r="V129" s="19">
        <f t="shared" ref="V129:V130" si="468">F129-T129</f>
        <v>-0.47949999999999998</v>
      </c>
    </row>
    <row r="130" spans="1:22">
      <c r="A130" s="26" t="s">
        <v>14</v>
      </c>
      <c r="B130" s="26" t="s">
        <v>35</v>
      </c>
      <c r="C130" s="30">
        <v>6.85</v>
      </c>
      <c r="D130" s="27">
        <v>11.7</v>
      </c>
      <c r="E130" s="28"/>
      <c r="F130" s="16">
        <f t="shared" si="460"/>
        <v>0</v>
      </c>
      <c r="G130" s="17"/>
      <c r="H130" s="18">
        <v>1</v>
      </c>
      <c r="I130" s="19">
        <f t="shared" si="461"/>
        <v>8.0144999999999994E-2</v>
      </c>
      <c r="J130" s="16"/>
      <c r="K130" s="18"/>
      <c r="L130" s="19">
        <f t="shared" si="462"/>
        <v>0</v>
      </c>
      <c r="M130" s="16"/>
      <c r="N130" s="18"/>
      <c r="O130" s="19">
        <f t="shared" si="463"/>
        <v>0</v>
      </c>
      <c r="P130" s="16"/>
      <c r="Q130" s="18"/>
      <c r="R130" s="19">
        <f t="shared" si="464"/>
        <v>0</v>
      </c>
      <c r="S130" s="20">
        <f t="shared" si="465"/>
        <v>1</v>
      </c>
      <c r="T130" s="19">
        <f t="shared" si="466"/>
        <v>8.0144999999999994E-2</v>
      </c>
      <c r="U130" s="21">
        <f t="shared" si="467"/>
        <v>-1</v>
      </c>
      <c r="V130" s="19">
        <f t="shared" si="468"/>
        <v>-8.0144999999999994E-2</v>
      </c>
    </row>
    <row r="131" spans="1:22">
      <c r="A131" s="36"/>
      <c r="B131" s="36"/>
      <c r="C131" s="37"/>
      <c r="D131" s="38"/>
      <c r="E131" s="31">
        <f t="shared" ref="E131:F131" si="469">SUM(E128:E130)</f>
        <v>6</v>
      </c>
      <c r="F131" s="38">
        <f t="shared" si="469"/>
        <v>0.49319999999999992</v>
      </c>
      <c r="G131" s="26"/>
      <c r="H131" s="31">
        <f t="shared" ref="H131" si="470">SUM(H128:H130)</f>
        <v>8</v>
      </c>
      <c r="I131" s="38">
        <f t="shared" ref="I131" si="471">SUM(I128:I130)</f>
        <v>0.55964499999999995</v>
      </c>
      <c r="J131" s="26"/>
      <c r="K131" s="31">
        <f t="shared" ref="K131" si="472">SUM(K128:K130)</f>
        <v>0</v>
      </c>
      <c r="L131" s="38">
        <f t="shared" ref="L131" si="473">SUM(L128:L130)</f>
        <v>0</v>
      </c>
      <c r="M131" s="26"/>
      <c r="N131" s="31">
        <f t="shared" ref="N131" si="474">SUM(N128:N130)</f>
        <v>0</v>
      </c>
      <c r="O131" s="38">
        <f t="shared" ref="O131" si="475">SUM(O128:O130)</f>
        <v>0</v>
      </c>
      <c r="P131" s="26"/>
      <c r="Q131" s="31">
        <f t="shared" ref="Q131" si="476">SUM(Q128:Q130)</f>
        <v>0</v>
      </c>
      <c r="R131" s="38">
        <f t="shared" ref="R131" si="477">SUM(R128:R130)</f>
        <v>0</v>
      </c>
      <c r="S131" s="31">
        <f t="shared" ref="S131" si="478">SUM(S128:S130)</f>
        <v>8</v>
      </c>
      <c r="T131" s="38">
        <f t="shared" ref="T131" si="479">SUM(T128:T130)</f>
        <v>0.55964499999999995</v>
      </c>
      <c r="U131" s="31">
        <f t="shared" ref="U131" si="480">SUM(U128:U130)</f>
        <v>-2</v>
      </c>
      <c r="V131" s="38">
        <f t="shared" ref="V131" si="481">SUM(V128:V130)</f>
        <v>-6.644500000000006E-2</v>
      </c>
    </row>
    <row r="132" spans="1:22">
      <c r="A132" s="26" t="s">
        <v>14</v>
      </c>
      <c r="B132" s="26" t="s">
        <v>57</v>
      </c>
      <c r="C132" s="30">
        <v>6.17</v>
      </c>
      <c r="D132" s="27">
        <v>12</v>
      </c>
      <c r="E132" s="28">
        <v>15</v>
      </c>
      <c r="F132" s="16">
        <f>(C132*D132*E132/1000)</f>
        <v>1.1105999999999998</v>
      </c>
      <c r="G132" s="17" t="s">
        <v>111</v>
      </c>
      <c r="H132" s="18"/>
      <c r="I132" s="19">
        <f>(C132*D132*H132/1000)</f>
        <v>0</v>
      </c>
      <c r="J132" s="16" t="s">
        <v>93</v>
      </c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>(C132*D132*Q132/1000)</f>
        <v>0</v>
      </c>
      <c r="S132" s="20">
        <f>+H132+K132+Q132+N132</f>
        <v>0</v>
      </c>
      <c r="T132" s="19">
        <f>+I132+L132+R132+O132</f>
        <v>0</v>
      </c>
      <c r="U132" s="21">
        <f>E132-S132</f>
        <v>15</v>
      </c>
      <c r="V132" s="19">
        <f>F132-T132</f>
        <v>1.1105999999999998</v>
      </c>
    </row>
    <row r="133" spans="1:22">
      <c r="A133" s="26" t="s">
        <v>14</v>
      </c>
      <c r="B133" s="26" t="s">
        <v>57</v>
      </c>
      <c r="C133" s="30">
        <v>6.17</v>
      </c>
      <c r="D133" s="27">
        <v>11.5</v>
      </c>
      <c r="E133" s="28"/>
      <c r="F133" s="16">
        <f t="shared" ref="F133:F140" si="482">(C133*D133*E133/1000)</f>
        <v>0</v>
      </c>
      <c r="G133" s="17" t="s">
        <v>515</v>
      </c>
      <c r="H133" s="18">
        <v>1</v>
      </c>
      <c r="I133" s="19">
        <f t="shared" ref="I133:I140" si="483">(C133*D133*H133/1000)</f>
        <v>7.0955000000000004E-2</v>
      </c>
      <c r="J133" s="16" t="s">
        <v>516</v>
      </c>
      <c r="K133" s="18"/>
      <c r="L133" s="19">
        <f t="shared" ref="L133:L140" si="484">(C133*D133*K133/1000)</f>
        <v>0</v>
      </c>
      <c r="M133" s="16"/>
      <c r="N133" s="18"/>
      <c r="O133" s="19">
        <f t="shared" ref="O133:O140" si="485">(C133*D133*N133/1000)</f>
        <v>0</v>
      </c>
      <c r="P133" s="16"/>
      <c r="Q133" s="18"/>
      <c r="R133" s="19">
        <f t="shared" ref="R133:R140" si="486">(C133*D133*Q133/1000)</f>
        <v>0</v>
      </c>
      <c r="S133" s="20">
        <f t="shared" ref="S133:S140" si="487">+H133+K133+Q133+N133</f>
        <v>1</v>
      </c>
      <c r="T133" s="19">
        <f t="shared" ref="T133:T140" si="488">+I133+L133+R133+O133</f>
        <v>7.0955000000000004E-2</v>
      </c>
      <c r="U133" s="21">
        <f t="shared" ref="U133:U140" si="489">E133-S133</f>
        <v>-1</v>
      </c>
      <c r="V133" s="19">
        <f t="shared" ref="V133:V140" si="490">F133-T133</f>
        <v>-7.0955000000000004E-2</v>
      </c>
    </row>
    <row r="134" spans="1:22">
      <c r="A134" s="26" t="s">
        <v>14</v>
      </c>
      <c r="B134" s="26" t="s">
        <v>57</v>
      </c>
      <c r="C134" s="30">
        <v>6.17</v>
      </c>
      <c r="D134" s="27">
        <v>10.5</v>
      </c>
      <c r="E134" s="28"/>
      <c r="F134" s="16">
        <f t="shared" si="482"/>
        <v>0</v>
      </c>
      <c r="G134" s="17"/>
      <c r="H134" s="18">
        <v>1</v>
      </c>
      <c r="I134" s="19">
        <f t="shared" si="483"/>
        <v>6.4784999999999995E-2</v>
      </c>
      <c r="J134" s="16"/>
      <c r="K134" s="18"/>
      <c r="L134" s="19">
        <f t="shared" si="484"/>
        <v>0</v>
      </c>
      <c r="M134" s="16"/>
      <c r="N134" s="18"/>
      <c r="O134" s="19">
        <f t="shared" si="485"/>
        <v>0</v>
      </c>
      <c r="P134" s="16"/>
      <c r="Q134" s="18"/>
      <c r="R134" s="19">
        <f t="shared" si="486"/>
        <v>0</v>
      </c>
      <c r="S134" s="20">
        <f t="shared" si="487"/>
        <v>1</v>
      </c>
      <c r="T134" s="19">
        <f t="shared" si="488"/>
        <v>6.4784999999999995E-2</v>
      </c>
      <c r="U134" s="21">
        <f t="shared" si="489"/>
        <v>-1</v>
      </c>
      <c r="V134" s="19">
        <f t="shared" si="490"/>
        <v>-6.4784999999999995E-2</v>
      </c>
    </row>
    <row r="135" spans="1:22">
      <c r="A135" s="26" t="s">
        <v>14</v>
      </c>
      <c r="B135" s="26" t="s">
        <v>57</v>
      </c>
      <c r="C135" s="30">
        <v>6.17</v>
      </c>
      <c r="D135" s="27">
        <v>9</v>
      </c>
      <c r="E135" s="28"/>
      <c r="F135" s="16">
        <f t="shared" si="482"/>
        <v>0</v>
      </c>
      <c r="G135" s="17"/>
      <c r="H135" s="18">
        <v>3</v>
      </c>
      <c r="I135" s="19">
        <f t="shared" si="483"/>
        <v>0.16659000000000002</v>
      </c>
      <c r="J135" s="16"/>
      <c r="K135" s="18"/>
      <c r="L135" s="19">
        <f t="shared" si="484"/>
        <v>0</v>
      </c>
      <c r="M135" s="16"/>
      <c r="N135" s="18"/>
      <c r="O135" s="19">
        <f t="shared" si="485"/>
        <v>0</v>
      </c>
      <c r="P135" s="16"/>
      <c r="Q135" s="18"/>
      <c r="R135" s="19">
        <f t="shared" si="486"/>
        <v>0</v>
      </c>
      <c r="S135" s="20">
        <f t="shared" si="487"/>
        <v>3</v>
      </c>
      <c r="T135" s="19">
        <f t="shared" si="488"/>
        <v>0.16659000000000002</v>
      </c>
      <c r="U135" s="21">
        <f t="shared" si="489"/>
        <v>-3</v>
      </c>
      <c r="V135" s="19">
        <f t="shared" si="490"/>
        <v>-0.16659000000000002</v>
      </c>
    </row>
    <row r="136" spans="1:22">
      <c r="A136" s="26" t="s">
        <v>14</v>
      </c>
      <c r="B136" s="26" t="s">
        <v>57</v>
      </c>
      <c r="C136" s="30">
        <v>6.17</v>
      </c>
      <c r="D136" s="27">
        <v>8.6</v>
      </c>
      <c r="E136" s="28"/>
      <c r="F136" s="16">
        <f t="shared" si="482"/>
        <v>0</v>
      </c>
      <c r="G136" s="17"/>
      <c r="H136" s="18">
        <v>6</v>
      </c>
      <c r="I136" s="19">
        <f t="shared" si="483"/>
        <v>0.31837199999999993</v>
      </c>
      <c r="J136" s="16"/>
      <c r="K136" s="18"/>
      <c r="L136" s="19">
        <f t="shared" si="484"/>
        <v>0</v>
      </c>
      <c r="M136" s="16"/>
      <c r="N136" s="18"/>
      <c r="O136" s="19">
        <f t="shared" si="485"/>
        <v>0</v>
      </c>
      <c r="P136" s="16"/>
      <c r="Q136" s="18"/>
      <c r="R136" s="19">
        <f t="shared" si="486"/>
        <v>0</v>
      </c>
      <c r="S136" s="20">
        <f t="shared" si="487"/>
        <v>6</v>
      </c>
      <c r="T136" s="19">
        <f t="shared" si="488"/>
        <v>0.31837199999999993</v>
      </c>
      <c r="U136" s="21">
        <f t="shared" si="489"/>
        <v>-6</v>
      </c>
      <c r="V136" s="19">
        <f t="shared" si="490"/>
        <v>-0.31837199999999993</v>
      </c>
    </row>
    <row r="137" spans="1:22">
      <c r="A137" s="26" t="s">
        <v>14</v>
      </c>
      <c r="B137" s="26" t="s">
        <v>57</v>
      </c>
      <c r="C137" s="30">
        <v>6.17</v>
      </c>
      <c r="D137" s="27">
        <v>7.8</v>
      </c>
      <c r="E137" s="28"/>
      <c r="F137" s="16">
        <f t="shared" si="482"/>
        <v>0</v>
      </c>
      <c r="G137" s="17"/>
      <c r="H137" s="18">
        <v>2</v>
      </c>
      <c r="I137" s="19">
        <f t="shared" si="483"/>
        <v>9.625199999999999E-2</v>
      </c>
      <c r="J137" s="16"/>
      <c r="K137" s="18"/>
      <c r="L137" s="19">
        <f t="shared" si="484"/>
        <v>0</v>
      </c>
      <c r="M137" s="16"/>
      <c r="N137" s="18"/>
      <c r="O137" s="19">
        <f t="shared" si="485"/>
        <v>0</v>
      </c>
      <c r="P137" s="16"/>
      <c r="Q137" s="18"/>
      <c r="R137" s="19">
        <f t="shared" si="486"/>
        <v>0</v>
      </c>
      <c r="S137" s="20">
        <f t="shared" si="487"/>
        <v>2</v>
      </c>
      <c r="T137" s="19">
        <f t="shared" si="488"/>
        <v>9.625199999999999E-2</v>
      </c>
      <c r="U137" s="21">
        <f t="shared" si="489"/>
        <v>-2</v>
      </c>
      <c r="V137" s="19">
        <f t="shared" si="490"/>
        <v>-9.625199999999999E-2</v>
      </c>
    </row>
    <row r="138" spans="1:22">
      <c r="A138" s="26" t="s">
        <v>14</v>
      </c>
      <c r="B138" s="26" t="s">
        <v>57</v>
      </c>
      <c r="C138" s="30">
        <v>6.17</v>
      </c>
      <c r="D138" s="27">
        <v>7.5</v>
      </c>
      <c r="E138" s="28"/>
      <c r="F138" s="16">
        <f t="shared" si="482"/>
        <v>0</v>
      </c>
      <c r="G138" s="17"/>
      <c r="H138" s="18">
        <v>2</v>
      </c>
      <c r="I138" s="19">
        <f t="shared" si="483"/>
        <v>9.2549999999999993E-2</v>
      </c>
      <c r="J138" s="16"/>
      <c r="K138" s="18"/>
      <c r="L138" s="19">
        <f t="shared" si="484"/>
        <v>0</v>
      </c>
      <c r="M138" s="16"/>
      <c r="N138" s="18"/>
      <c r="O138" s="19">
        <f t="shared" si="485"/>
        <v>0</v>
      </c>
      <c r="P138" s="16"/>
      <c r="Q138" s="18"/>
      <c r="R138" s="19">
        <f t="shared" si="486"/>
        <v>0</v>
      </c>
      <c r="S138" s="20">
        <f t="shared" si="487"/>
        <v>2</v>
      </c>
      <c r="T138" s="19">
        <f t="shared" si="488"/>
        <v>9.2549999999999993E-2</v>
      </c>
      <c r="U138" s="21">
        <f t="shared" si="489"/>
        <v>-2</v>
      </c>
      <c r="V138" s="19">
        <f t="shared" si="490"/>
        <v>-9.2549999999999993E-2</v>
      </c>
    </row>
    <row r="139" spans="1:22">
      <c r="A139" s="26" t="s">
        <v>14</v>
      </c>
      <c r="B139" s="26" t="s">
        <v>57</v>
      </c>
      <c r="C139" s="30">
        <v>6.17</v>
      </c>
      <c r="D139" s="27">
        <v>5.7</v>
      </c>
      <c r="E139" s="28"/>
      <c r="F139" s="16">
        <f t="shared" ref="F139" si="491">(C139*D139*E139/1000)</f>
        <v>0</v>
      </c>
      <c r="G139" s="17"/>
      <c r="H139" s="18">
        <v>1</v>
      </c>
      <c r="I139" s="19">
        <f t="shared" ref="I139" si="492">(C139*D139*H139/1000)</f>
        <v>3.5169000000000006E-2</v>
      </c>
      <c r="J139" s="16"/>
      <c r="K139" s="18"/>
      <c r="L139" s="19">
        <f t="shared" ref="L139" si="493">(C139*D139*K139/1000)</f>
        <v>0</v>
      </c>
      <c r="M139" s="16"/>
      <c r="N139" s="18"/>
      <c r="O139" s="19">
        <f t="shared" ref="O139" si="494">(C139*D139*N139/1000)</f>
        <v>0</v>
      </c>
      <c r="P139" s="16"/>
      <c r="Q139" s="18"/>
      <c r="R139" s="19">
        <f t="shared" ref="R139" si="495">(C139*D139*Q139/1000)</f>
        <v>0</v>
      </c>
      <c r="S139" s="20">
        <f t="shared" ref="S139" si="496">+H139+K139+Q139+N139</f>
        <v>1</v>
      </c>
      <c r="T139" s="19">
        <f t="shared" ref="T139" si="497">+I139+L139+R139+O139</f>
        <v>3.5169000000000006E-2</v>
      </c>
      <c r="U139" s="21">
        <f t="shared" ref="U139" si="498">E139-S139</f>
        <v>-1</v>
      </c>
      <c r="V139" s="19">
        <f t="shared" ref="V139" si="499">F139-T139</f>
        <v>-3.5169000000000006E-2</v>
      </c>
    </row>
    <row r="140" spans="1:22">
      <c r="A140" s="26" t="s">
        <v>14</v>
      </c>
      <c r="B140" s="26" t="s">
        <v>57</v>
      </c>
      <c r="C140" s="30">
        <v>6.17</v>
      </c>
      <c r="D140" s="27">
        <v>11</v>
      </c>
      <c r="E140" s="28"/>
      <c r="F140" s="16">
        <f t="shared" si="482"/>
        <v>0</v>
      </c>
      <c r="G140" s="17"/>
      <c r="H140" s="18"/>
      <c r="I140" s="19">
        <f t="shared" si="483"/>
        <v>0</v>
      </c>
      <c r="J140" s="16"/>
      <c r="K140" s="18">
        <v>5</v>
      </c>
      <c r="L140" s="19">
        <f t="shared" si="484"/>
        <v>0.33935000000000004</v>
      </c>
      <c r="M140" s="16"/>
      <c r="N140" s="18"/>
      <c r="O140" s="19">
        <f t="shared" si="485"/>
        <v>0</v>
      </c>
      <c r="P140" s="16"/>
      <c r="Q140" s="18"/>
      <c r="R140" s="19">
        <f t="shared" si="486"/>
        <v>0</v>
      </c>
      <c r="S140" s="20">
        <f t="shared" si="487"/>
        <v>5</v>
      </c>
      <c r="T140" s="19">
        <f t="shared" si="488"/>
        <v>0.33935000000000004</v>
      </c>
      <c r="U140" s="21">
        <f t="shared" si="489"/>
        <v>-5</v>
      </c>
      <c r="V140" s="19">
        <f t="shared" si="490"/>
        <v>-0.33935000000000004</v>
      </c>
    </row>
    <row r="141" spans="1:22">
      <c r="A141" s="36"/>
      <c r="B141" s="36"/>
      <c r="C141" s="37"/>
      <c r="D141" s="38"/>
      <c r="E141" s="31">
        <f t="shared" ref="E141:F141" si="500">SUM(E132:E140)</f>
        <v>15</v>
      </c>
      <c r="F141" s="38">
        <f t="shared" si="500"/>
        <v>1.1105999999999998</v>
      </c>
      <c r="G141" s="26"/>
      <c r="H141" s="31">
        <f t="shared" ref="H141" si="501">SUM(H132:H140)</f>
        <v>16</v>
      </c>
      <c r="I141" s="38">
        <f t="shared" ref="I141" si="502">SUM(I132:I140)</f>
        <v>0.8446729999999999</v>
      </c>
      <c r="J141" s="26"/>
      <c r="K141" s="31">
        <f t="shared" ref="K141" si="503">SUM(K132:K140)</f>
        <v>5</v>
      </c>
      <c r="L141" s="38">
        <f t="shared" ref="L141" si="504">SUM(L132:L140)</f>
        <v>0.33935000000000004</v>
      </c>
      <c r="M141" s="26"/>
      <c r="N141" s="31">
        <f t="shared" ref="N141" si="505">SUM(N132:N140)</f>
        <v>0</v>
      </c>
      <c r="O141" s="38">
        <f t="shared" ref="O141" si="506">SUM(O132:O140)</f>
        <v>0</v>
      </c>
      <c r="P141" s="26"/>
      <c r="Q141" s="31">
        <f t="shared" ref="Q141" si="507">SUM(Q132:Q140)</f>
        <v>0</v>
      </c>
      <c r="R141" s="38">
        <f t="shared" ref="R141" si="508">SUM(R132:R140)</f>
        <v>0</v>
      </c>
      <c r="S141" s="31">
        <f t="shared" ref="S141" si="509">SUM(S132:S140)</f>
        <v>21</v>
      </c>
      <c r="T141" s="38">
        <f t="shared" ref="T141" si="510">SUM(T132:T140)</f>
        <v>1.1840229999999998</v>
      </c>
      <c r="U141" s="31">
        <f t="shared" ref="U141" si="511">SUM(U132:U140)</f>
        <v>-6</v>
      </c>
      <c r="V141" s="38">
        <f t="shared" ref="V141" si="512">SUM(V132:V140)</f>
        <v>-7.3423000000000238E-2</v>
      </c>
    </row>
    <row r="142" spans="1:22">
      <c r="A142" s="26" t="s">
        <v>14</v>
      </c>
      <c r="B142" s="26" t="s">
        <v>58</v>
      </c>
      <c r="C142" s="30">
        <v>7.34</v>
      </c>
      <c r="D142" s="27">
        <v>10.15</v>
      </c>
      <c r="E142" s="28">
        <v>4</v>
      </c>
      <c r="F142" s="16">
        <f>(C142*D142*E142/1000)</f>
        <v>0.29800400000000005</v>
      </c>
      <c r="G142" s="17" t="s">
        <v>93</v>
      </c>
      <c r="H142" s="18"/>
      <c r="I142" s="19">
        <f>(C142*D142*H142/1000)</f>
        <v>0</v>
      </c>
      <c r="J142" s="16"/>
      <c r="K142" s="18"/>
      <c r="L142" s="19">
        <f>(C142*D142*K142/1000)</f>
        <v>0</v>
      </c>
      <c r="M142" s="16"/>
      <c r="N142" s="18"/>
      <c r="O142" s="19">
        <f>(C142*D142*N142/1000)</f>
        <v>0</v>
      </c>
      <c r="P142" s="16"/>
      <c r="Q142" s="18"/>
      <c r="R142" s="19">
        <f>(C142*D142*Q142/1000)</f>
        <v>0</v>
      </c>
      <c r="S142" s="20">
        <f>+H142+K142+Q142+N142</f>
        <v>0</v>
      </c>
      <c r="T142" s="19">
        <f>+I142+L142+R142+O142</f>
        <v>0</v>
      </c>
      <c r="U142" s="21">
        <f>E142-S142</f>
        <v>4</v>
      </c>
      <c r="V142" s="19">
        <f>F142-T142</f>
        <v>0.29800400000000005</v>
      </c>
    </row>
    <row r="143" spans="1:22">
      <c r="A143" s="26" t="s">
        <v>14</v>
      </c>
      <c r="B143" s="26" t="s">
        <v>58</v>
      </c>
      <c r="C143" s="30">
        <v>7.34</v>
      </c>
      <c r="D143" s="27">
        <v>12</v>
      </c>
      <c r="E143" s="28">
        <v>4</v>
      </c>
      <c r="F143" s="16">
        <f t="shared" ref="F143:F144" si="513">(C143*D143*E143/1000)</f>
        <v>0.35231999999999997</v>
      </c>
      <c r="G143" s="17" t="s">
        <v>517</v>
      </c>
      <c r="H143" s="18"/>
      <c r="I143" s="19">
        <f t="shared" ref="I143:I144" si="514">(C143*D143*H143/1000)</f>
        <v>0</v>
      </c>
      <c r="J143" s="16"/>
      <c r="K143" s="18"/>
      <c r="L143" s="19">
        <f t="shared" ref="L143:L144" si="515">(C143*D143*K143/1000)</f>
        <v>0</v>
      </c>
      <c r="M143" s="16"/>
      <c r="N143" s="18"/>
      <c r="O143" s="19">
        <f t="shared" ref="O143:O144" si="516">(C143*D143*N143/1000)</f>
        <v>0</v>
      </c>
      <c r="P143" s="16"/>
      <c r="Q143" s="18"/>
      <c r="R143" s="19">
        <f t="shared" ref="R143:R144" si="517">(C143*D143*Q143/1000)</f>
        <v>0</v>
      </c>
      <c r="S143" s="20">
        <f t="shared" ref="S143:S144" si="518">+H143+K143+Q143+N143</f>
        <v>0</v>
      </c>
      <c r="T143" s="19">
        <f t="shared" ref="T143:T144" si="519">+I143+L143+R143+O143</f>
        <v>0</v>
      </c>
      <c r="U143" s="21">
        <f t="shared" ref="U143:U144" si="520">E143-S143</f>
        <v>4</v>
      </c>
      <c r="V143" s="19">
        <f t="shared" ref="V143:V144" si="521">F143-T143</f>
        <v>0.35231999999999997</v>
      </c>
    </row>
    <row r="144" spans="1:22">
      <c r="A144" s="26" t="s">
        <v>14</v>
      </c>
      <c r="B144" s="26" t="s">
        <v>58</v>
      </c>
      <c r="C144" s="30">
        <v>7.34</v>
      </c>
      <c r="D144" s="27">
        <v>9.5</v>
      </c>
      <c r="E144" s="28"/>
      <c r="F144" s="16">
        <f t="shared" si="513"/>
        <v>0</v>
      </c>
      <c r="G144" s="17"/>
      <c r="H144" s="18">
        <v>6</v>
      </c>
      <c r="I144" s="19">
        <f t="shared" si="514"/>
        <v>0.41837999999999997</v>
      </c>
      <c r="J144" s="16"/>
      <c r="K144" s="18"/>
      <c r="L144" s="19">
        <f t="shared" si="515"/>
        <v>0</v>
      </c>
      <c r="M144" s="16"/>
      <c r="N144" s="18"/>
      <c r="O144" s="19">
        <f t="shared" si="516"/>
        <v>0</v>
      </c>
      <c r="P144" s="16"/>
      <c r="Q144" s="18"/>
      <c r="R144" s="19">
        <f t="shared" si="517"/>
        <v>0</v>
      </c>
      <c r="S144" s="20">
        <f t="shared" si="518"/>
        <v>6</v>
      </c>
      <c r="T144" s="19">
        <f t="shared" si="519"/>
        <v>0.41837999999999997</v>
      </c>
      <c r="U144" s="21">
        <f t="shared" si="520"/>
        <v>-6</v>
      </c>
      <c r="V144" s="19">
        <f t="shared" si="521"/>
        <v>-0.41837999999999997</v>
      </c>
    </row>
    <row r="145" spans="1:22">
      <c r="A145" s="26" t="s">
        <v>14</v>
      </c>
      <c r="B145" s="26" t="s">
        <v>58</v>
      </c>
      <c r="C145" s="30">
        <v>7.34</v>
      </c>
      <c r="D145" s="27">
        <v>9.6999999999999993</v>
      </c>
      <c r="E145" s="28"/>
      <c r="F145" s="16">
        <f>(C145*D145*E145/1000)</f>
        <v>0</v>
      </c>
      <c r="G145" s="17"/>
      <c r="H145" s="18">
        <v>5</v>
      </c>
      <c r="I145" s="19">
        <f>(C145*D145*H145/1000)</f>
        <v>0.35598999999999997</v>
      </c>
      <c r="J145" s="16"/>
      <c r="K145" s="18"/>
      <c r="L145" s="19">
        <f>(C145*D145*K145/1000)</f>
        <v>0</v>
      </c>
      <c r="M145" s="16"/>
      <c r="N145" s="18"/>
      <c r="O145" s="19">
        <f>(C145*D145*N145/1000)</f>
        <v>0</v>
      </c>
      <c r="P145" s="16"/>
      <c r="Q145" s="18"/>
      <c r="R145" s="19">
        <f>(C145*D145*Q145/1000)</f>
        <v>0</v>
      </c>
      <c r="S145" s="20">
        <f>+H145+K145+Q145+N145</f>
        <v>5</v>
      </c>
      <c r="T145" s="19">
        <f>+I145+L145+R145+O145</f>
        <v>0.35598999999999997</v>
      </c>
      <c r="U145" s="21">
        <f>E145-S145</f>
        <v>-5</v>
      </c>
      <c r="V145" s="19">
        <f>F145-T145</f>
        <v>-0.35598999999999997</v>
      </c>
    </row>
    <row r="146" spans="1:22">
      <c r="A146" s="36"/>
      <c r="B146" s="36"/>
      <c r="C146" s="37"/>
      <c r="D146" s="38"/>
      <c r="E146" s="31">
        <f t="shared" ref="E146:F146" si="522">SUM(E142:E145)</f>
        <v>8</v>
      </c>
      <c r="F146" s="38">
        <f t="shared" si="522"/>
        <v>0.65032400000000001</v>
      </c>
      <c r="G146" s="26"/>
      <c r="H146" s="31">
        <f t="shared" ref="H146" si="523">SUM(H142:H145)</f>
        <v>11</v>
      </c>
      <c r="I146" s="38">
        <f t="shared" ref="I146" si="524">SUM(I142:I145)</f>
        <v>0.77437</v>
      </c>
      <c r="J146" s="26"/>
      <c r="K146" s="31">
        <f t="shared" ref="K146" si="525">SUM(K142:K145)</f>
        <v>0</v>
      </c>
      <c r="L146" s="38">
        <f t="shared" ref="L146" si="526">SUM(L142:L145)</f>
        <v>0</v>
      </c>
      <c r="M146" s="26"/>
      <c r="N146" s="31">
        <f t="shared" ref="N146" si="527">SUM(N142:N145)</f>
        <v>0</v>
      </c>
      <c r="O146" s="38">
        <f t="shared" ref="O146" si="528">SUM(O142:O145)</f>
        <v>0</v>
      </c>
      <c r="P146" s="26"/>
      <c r="Q146" s="31">
        <f t="shared" ref="Q146" si="529">SUM(Q142:Q145)</f>
        <v>0</v>
      </c>
      <c r="R146" s="38">
        <f t="shared" ref="R146" si="530">SUM(R142:R145)</f>
        <v>0</v>
      </c>
      <c r="S146" s="31">
        <f t="shared" ref="S146" si="531">SUM(S142:S145)</f>
        <v>11</v>
      </c>
      <c r="T146" s="38">
        <f t="shared" ref="T146" si="532">SUM(T142:T145)</f>
        <v>0.77437</v>
      </c>
      <c r="U146" s="31">
        <f t="shared" ref="U146" si="533">SUM(U142:U145)</f>
        <v>-3</v>
      </c>
      <c r="V146" s="38">
        <f t="shared" ref="V146" si="534">SUM(V142:V145)</f>
        <v>-0.12404599999999993</v>
      </c>
    </row>
    <row r="147" spans="1:22">
      <c r="A147" s="26" t="s">
        <v>14</v>
      </c>
      <c r="B147" s="26" t="s">
        <v>505</v>
      </c>
      <c r="C147" s="30">
        <v>8.49</v>
      </c>
      <c r="D147" s="27">
        <v>7.6</v>
      </c>
      <c r="E147" s="28">
        <v>8</v>
      </c>
      <c r="F147" s="16">
        <f>(C147*D147*E147/1000)</f>
        <v>0.51619199999999998</v>
      </c>
      <c r="G147" s="17" t="s">
        <v>93</v>
      </c>
      <c r="H147" s="18"/>
      <c r="I147" s="19">
        <f>(C147*D147*H147/1000)</f>
        <v>0</v>
      </c>
      <c r="J147" s="16"/>
      <c r="K147" s="18"/>
      <c r="L147" s="19">
        <f>(C147*D147*K147/1000)</f>
        <v>0</v>
      </c>
      <c r="M147" s="16"/>
      <c r="N147" s="18"/>
      <c r="O147" s="19">
        <f>(C147*D147*N147/1000)</f>
        <v>0</v>
      </c>
      <c r="P147" s="16"/>
      <c r="Q147" s="18"/>
      <c r="R147" s="19">
        <f>(C147*D147*Q147/1000)</f>
        <v>0</v>
      </c>
      <c r="S147" s="20">
        <f>+H147+K147+Q147+N147</f>
        <v>0</v>
      </c>
      <c r="T147" s="19">
        <f>+I147+L147+R147+O147</f>
        <v>0</v>
      </c>
      <c r="U147" s="21">
        <f>E147-S147</f>
        <v>8</v>
      </c>
      <c r="V147" s="19">
        <f>F147-T147</f>
        <v>0.51619199999999998</v>
      </c>
    </row>
    <row r="148" spans="1:22">
      <c r="A148" s="26" t="s">
        <v>14</v>
      </c>
      <c r="B148" s="26" t="s">
        <v>508</v>
      </c>
      <c r="C148" s="30">
        <v>9.6300000000000008</v>
      </c>
      <c r="D148" s="27">
        <v>12.2</v>
      </c>
      <c r="E148" s="28"/>
      <c r="F148" s="16">
        <f t="shared" ref="F148:F149" si="535">(C148*D148*E148/1000)</f>
        <v>0</v>
      </c>
      <c r="G148" s="17" t="s">
        <v>517</v>
      </c>
      <c r="H148" s="18">
        <v>5</v>
      </c>
      <c r="I148" s="19">
        <f t="shared" ref="I148:I149" si="536">(C148*D148*H148/1000)</f>
        <v>0.58743000000000012</v>
      </c>
      <c r="J148" s="16"/>
      <c r="K148" s="18"/>
      <c r="L148" s="19">
        <f t="shared" ref="L148:L149" si="537">(C148*D148*K148/1000)</f>
        <v>0</v>
      </c>
      <c r="M148" s="16"/>
      <c r="N148" s="18"/>
      <c r="O148" s="19">
        <f t="shared" ref="O148:O149" si="538">(C148*D148*N148/1000)</f>
        <v>0</v>
      </c>
      <c r="P148" s="16"/>
      <c r="Q148" s="18"/>
      <c r="R148" s="19">
        <f t="shared" ref="R148:R149" si="539">(C148*D148*Q148/1000)</f>
        <v>0</v>
      </c>
      <c r="S148" s="20">
        <f t="shared" ref="S148:S149" si="540">+H148+K148+Q148+N148</f>
        <v>5</v>
      </c>
      <c r="T148" s="19">
        <f t="shared" ref="T148:T149" si="541">+I148+L148+R148+O148</f>
        <v>0.58743000000000012</v>
      </c>
      <c r="U148" s="21">
        <f t="shared" ref="U148:U149" si="542">E148-S148</f>
        <v>-5</v>
      </c>
      <c r="V148" s="19">
        <f t="shared" ref="V148:V149" si="543">F148-T148</f>
        <v>-0.58743000000000012</v>
      </c>
    </row>
    <row r="149" spans="1:22">
      <c r="A149" s="26"/>
      <c r="B149" s="26"/>
      <c r="C149" s="30"/>
      <c r="D149" s="27"/>
      <c r="E149" s="28"/>
      <c r="F149" s="16">
        <f t="shared" si="535"/>
        <v>0</v>
      </c>
      <c r="G149" s="17"/>
      <c r="H149" s="18"/>
      <c r="I149" s="19">
        <f t="shared" si="536"/>
        <v>0</v>
      </c>
      <c r="J149" s="16"/>
      <c r="K149" s="18"/>
      <c r="L149" s="19">
        <f t="shared" si="537"/>
        <v>0</v>
      </c>
      <c r="M149" s="16"/>
      <c r="N149" s="18"/>
      <c r="O149" s="19">
        <f t="shared" si="538"/>
        <v>0</v>
      </c>
      <c r="P149" s="16"/>
      <c r="Q149" s="18"/>
      <c r="R149" s="19">
        <f t="shared" si="539"/>
        <v>0</v>
      </c>
      <c r="S149" s="20">
        <f t="shared" si="540"/>
        <v>0</v>
      </c>
      <c r="T149" s="19">
        <f t="shared" si="541"/>
        <v>0</v>
      </c>
      <c r="U149" s="21">
        <f t="shared" si="542"/>
        <v>0</v>
      </c>
      <c r="V149" s="19">
        <f t="shared" si="543"/>
        <v>0</v>
      </c>
    </row>
    <row r="150" spans="1:22">
      <c r="A150" s="36"/>
      <c r="B150" s="36"/>
      <c r="C150" s="37"/>
      <c r="D150" s="38"/>
      <c r="E150" s="31">
        <f t="shared" ref="E150:F150" si="544">SUM(E147:E149)</f>
        <v>8</v>
      </c>
      <c r="F150" s="38">
        <f t="shared" si="544"/>
        <v>0.51619199999999998</v>
      </c>
      <c r="G150" s="26"/>
      <c r="H150" s="31">
        <f t="shared" ref="H150" si="545">SUM(H147:H149)</f>
        <v>5</v>
      </c>
      <c r="I150" s="38">
        <f t="shared" ref="I150" si="546">SUM(I147:I149)</f>
        <v>0.58743000000000012</v>
      </c>
      <c r="J150" s="26"/>
      <c r="K150" s="31">
        <f t="shared" ref="K150" si="547">SUM(K147:K149)</f>
        <v>0</v>
      </c>
      <c r="L150" s="38">
        <f t="shared" ref="L150" si="548">SUM(L147:L149)</f>
        <v>0</v>
      </c>
      <c r="M150" s="26"/>
      <c r="N150" s="31">
        <f t="shared" ref="N150" si="549">SUM(N147:N149)</f>
        <v>0</v>
      </c>
      <c r="O150" s="38">
        <f t="shared" ref="O150" si="550">SUM(O147:O149)</f>
        <v>0</v>
      </c>
      <c r="P150" s="26"/>
      <c r="Q150" s="31">
        <f t="shared" ref="Q150" si="551">SUM(Q147:Q149)</f>
        <v>0</v>
      </c>
      <c r="R150" s="38">
        <f t="shared" ref="R150" si="552">SUM(R147:R149)</f>
        <v>0</v>
      </c>
      <c r="S150" s="31">
        <f t="shared" ref="S150" si="553">SUM(S147:S149)</f>
        <v>5</v>
      </c>
      <c r="T150" s="38">
        <f t="shared" ref="T150" si="554">SUM(T147:T149)</f>
        <v>0.58743000000000012</v>
      </c>
      <c r="U150" s="31">
        <f t="shared" ref="U150" si="555">SUM(U147:U149)</f>
        <v>3</v>
      </c>
      <c r="V150" s="38">
        <f t="shared" ref="V150" si="556">SUM(V147:V149)</f>
        <v>-7.1238000000000135E-2</v>
      </c>
    </row>
    <row r="151" spans="1:22">
      <c r="A151" s="26" t="s">
        <v>14</v>
      </c>
      <c r="B151" s="26" t="s">
        <v>26</v>
      </c>
      <c r="C151" s="30">
        <v>8.3000000000000007</v>
      </c>
      <c r="D151" s="27">
        <v>11.35</v>
      </c>
      <c r="E151" s="28">
        <v>11</v>
      </c>
      <c r="F151" s="16">
        <f>(C151*D151*E151/1000)</f>
        <v>1.0362549999999999</v>
      </c>
      <c r="G151" s="17" t="s">
        <v>93</v>
      </c>
      <c r="H151" s="18"/>
      <c r="I151" s="19">
        <f>(C151*D151*H151/1000)</f>
        <v>0</v>
      </c>
      <c r="J151" s="16"/>
      <c r="K151" s="18"/>
      <c r="L151" s="19">
        <f>(C151*D151*K151/1000)</f>
        <v>0</v>
      </c>
      <c r="M151" s="16"/>
      <c r="N151" s="18"/>
      <c r="O151" s="19">
        <f>(C151*D151*N151/1000)</f>
        <v>0</v>
      </c>
      <c r="P151" s="16"/>
      <c r="Q151" s="18"/>
      <c r="R151" s="19">
        <f>(C151*D151*Q151/1000)</f>
        <v>0</v>
      </c>
      <c r="S151" s="20">
        <f>+H151+K151+Q151+N151</f>
        <v>0</v>
      </c>
      <c r="T151" s="19">
        <f>+I151+L151+R151+O151</f>
        <v>0</v>
      </c>
      <c r="U151" s="21">
        <f>E151-S151</f>
        <v>11</v>
      </c>
      <c r="V151" s="19">
        <f>F151-T151</f>
        <v>1.0362549999999999</v>
      </c>
    </row>
    <row r="152" spans="1:22">
      <c r="A152" s="26" t="s">
        <v>14</v>
      </c>
      <c r="B152" s="26" t="s">
        <v>26</v>
      </c>
      <c r="C152" s="30">
        <v>8.3000000000000007</v>
      </c>
      <c r="D152" s="27">
        <v>12</v>
      </c>
      <c r="E152" s="28">
        <v>4</v>
      </c>
      <c r="F152" s="16">
        <f t="shared" ref="F152:F164" si="557">(C152*D152*E152/1000)</f>
        <v>0.39840000000000003</v>
      </c>
      <c r="G152" s="17" t="s">
        <v>517</v>
      </c>
      <c r="H152" s="18">
        <v>3</v>
      </c>
      <c r="I152" s="19">
        <f t="shared" ref="I152:I164" si="558">(C152*D152*H152/1000)</f>
        <v>0.29880000000000001</v>
      </c>
      <c r="J152" s="16"/>
      <c r="K152" s="18"/>
      <c r="L152" s="19">
        <f t="shared" ref="L152:L164" si="559">(C152*D152*K152/1000)</f>
        <v>0</v>
      </c>
      <c r="M152" s="16"/>
      <c r="N152" s="18"/>
      <c r="O152" s="19">
        <f t="shared" ref="O152:O164" si="560">(C152*D152*N152/1000)</f>
        <v>0</v>
      </c>
      <c r="P152" s="16"/>
      <c r="Q152" s="18"/>
      <c r="R152" s="19">
        <f t="shared" ref="R152:R164" si="561">(C152*D152*Q152/1000)</f>
        <v>0</v>
      </c>
      <c r="S152" s="20">
        <f t="shared" ref="S152:S164" si="562">+H152+K152+Q152+N152</f>
        <v>3</v>
      </c>
      <c r="T152" s="19">
        <f t="shared" ref="T152:T164" si="563">+I152+L152+R152+O152</f>
        <v>0.29880000000000001</v>
      </c>
      <c r="U152" s="21">
        <f t="shared" ref="U152:U164" si="564">E152-S152</f>
        <v>1</v>
      </c>
      <c r="V152" s="19">
        <f t="shared" ref="V152:V164" si="565">F152-T152</f>
        <v>9.9600000000000022E-2</v>
      </c>
    </row>
    <row r="153" spans="1:22">
      <c r="A153" s="26" t="s">
        <v>14</v>
      </c>
      <c r="B153" s="26" t="s">
        <v>26</v>
      </c>
      <c r="C153" s="30">
        <v>8.3000000000000007</v>
      </c>
      <c r="D153" s="27">
        <v>9.3000000000000007</v>
      </c>
      <c r="E153" s="28"/>
      <c r="F153" s="16">
        <f t="shared" si="557"/>
        <v>0</v>
      </c>
      <c r="G153" s="17"/>
      <c r="H153" s="18">
        <v>3</v>
      </c>
      <c r="I153" s="19">
        <f t="shared" si="558"/>
        <v>0.23157000000000005</v>
      </c>
      <c r="J153" s="16"/>
      <c r="K153" s="18"/>
      <c r="L153" s="19">
        <f t="shared" si="559"/>
        <v>0</v>
      </c>
      <c r="M153" s="16"/>
      <c r="N153" s="18"/>
      <c r="O153" s="19">
        <f t="shared" si="560"/>
        <v>0</v>
      </c>
      <c r="P153" s="16"/>
      <c r="Q153" s="18"/>
      <c r="R153" s="19">
        <f t="shared" si="561"/>
        <v>0</v>
      </c>
      <c r="S153" s="20">
        <f t="shared" si="562"/>
        <v>3</v>
      </c>
      <c r="T153" s="19">
        <f t="shared" si="563"/>
        <v>0.23157000000000005</v>
      </c>
      <c r="U153" s="21">
        <f t="shared" si="564"/>
        <v>-3</v>
      </c>
      <c r="V153" s="19">
        <f t="shared" si="565"/>
        <v>-0.23157000000000005</v>
      </c>
    </row>
    <row r="154" spans="1:22">
      <c r="A154" s="26" t="s">
        <v>14</v>
      </c>
      <c r="B154" s="26" t="s">
        <v>26</v>
      </c>
      <c r="C154" s="30">
        <v>8.3000000000000007</v>
      </c>
      <c r="D154" s="27">
        <v>7.2</v>
      </c>
      <c r="E154" s="28"/>
      <c r="F154" s="16">
        <f t="shared" si="557"/>
        <v>0</v>
      </c>
      <c r="G154" s="17"/>
      <c r="H154" s="18">
        <v>2</v>
      </c>
      <c r="I154" s="19">
        <f t="shared" si="558"/>
        <v>0.11952000000000002</v>
      </c>
      <c r="J154" s="16"/>
      <c r="K154" s="18"/>
      <c r="L154" s="19">
        <f t="shared" si="559"/>
        <v>0</v>
      </c>
      <c r="M154" s="16"/>
      <c r="N154" s="18"/>
      <c r="O154" s="19">
        <f t="shared" si="560"/>
        <v>0</v>
      </c>
      <c r="P154" s="16"/>
      <c r="Q154" s="18"/>
      <c r="R154" s="19">
        <f t="shared" si="561"/>
        <v>0</v>
      </c>
      <c r="S154" s="20">
        <f t="shared" si="562"/>
        <v>2</v>
      </c>
      <c r="T154" s="19">
        <f t="shared" si="563"/>
        <v>0.11952000000000002</v>
      </c>
      <c r="U154" s="21">
        <f t="shared" si="564"/>
        <v>-2</v>
      </c>
      <c r="V154" s="19">
        <f t="shared" si="565"/>
        <v>-0.11952000000000002</v>
      </c>
    </row>
    <row r="155" spans="1:22">
      <c r="A155" s="26" t="s">
        <v>14</v>
      </c>
      <c r="B155" s="26" t="s">
        <v>26</v>
      </c>
      <c r="C155" s="30">
        <v>8.3000000000000007</v>
      </c>
      <c r="D155" s="27">
        <v>7</v>
      </c>
      <c r="E155" s="28"/>
      <c r="F155" s="16">
        <f t="shared" si="557"/>
        <v>0</v>
      </c>
      <c r="G155" s="17"/>
      <c r="H155" s="18">
        <v>7</v>
      </c>
      <c r="I155" s="19">
        <f t="shared" si="558"/>
        <v>0.40670000000000006</v>
      </c>
      <c r="J155" s="16"/>
      <c r="K155" s="18"/>
      <c r="L155" s="19">
        <f t="shared" si="559"/>
        <v>0</v>
      </c>
      <c r="M155" s="16"/>
      <c r="N155" s="18"/>
      <c r="O155" s="19">
        <f t="shared" si="560"/>
        <v>0</v>
      </c>
      <c r="P155" s="16"/>
      <c r="Q155" s="18"/>
      <c r="R155" s="19">
        <f t="shared" si="561"/>
        <v>0</v>
      </c>
      <c r="S155" s="20">
        <f t="shared" si="562"/>
        <v>7</v>
      </c>
      <c r="T155" s="19">
        <f t="shared" si="563"/>
        <v>0.40670000000000006</v>
      </c>
      <c r="U155" s="21">
        <f t="shared" si="564"/>
        <v>-7</v>
      </c>
      <c r="V155" s="19">
        <f t="shared" si="565"/>
        <v>-0.40670000000000006</v>
      </c>
    </row>
    <row r="156" spans="1:22">
      <c r="A156" s="26" t="s">
        <v>14</v>
      </c>
      <c r="B156" s="26" t="s">
        <v>26</v>
      </c>
      <c r="C156" s="30">
        <v>8.3000000000000007</v>
      </c>
      <c r="D156" s="27">
        <v>6.5</v>
      </c>
      <c r="E156" s="28"/>
      <c r="F156" s="16">
        <f t="shared" si="557"/>
        <v>0</v>
      </c>
      <c r="G156" s="17"/>
      <c r="H156" s="18">
        <v>4</v>
      </c>
      <c r="I156" s="19">
        <f t="shared" si="558"/>
        <v>0.21580000000000002</v>
      </c>
      <c r="J156" s="16"/>
      <c r="K156" s="18"/>
      <c r="L156" s="19">
        <f t="shared" si="559"/>
        <v>0</v>
      </c>
      <c r="M156" s="16"/>
      <c r="N156" s="18"/>
      <c r="O156" s="19">
        <f t="shared" si="560"/>
        <v>0</v>
      </c>
      <c r="P156" s="16"/>
      <c r="Q156" s="18"/>
      <c r="R156" s="19">
        <f t="shared" si="561"/>
        <v>0</v>
      </c>
      <c r="S156" s="20">
        <f t="shared" si="562"/>
        <v>4</v>
      </c>
      <c r="T156" s="19">
        <f t="shared" si="563"/>
        <v>0.21580000000000002</v>
      </c>
      <c r="U156" s="21">
        <f t="shared" si="564"/>
        <v>-4</v>
      </c>
      <c r="V156" s="19">
        <f t="shared" si="565"/>
        <v>-0.21580000000000002</v>
      </c>
    </row>
    <row r="157" spans="1:22">
      <c r="A157" s="26" t="s">
        <v>14</v>
      </c>
      <c r="B157" s="26" t="s">
        <v>26</v>
      </c>
      <c r="C157" s="30">
        <v>8.3000000000000007</v>
      </c>
      <c r="D157" s="27">
        <v>5.5</v>
      </c>
      <c r="E157" s="28"/>
      <c r="F157" s="16">
        <f t="shared" si="557"/>
        <v>0</v>
      </c>
      <c r="G157" s="17"/>
      <c r="H157" s="18">
        <v>1</v>
      </c>
      <c r="I157" s="19">
        <f t="shared" si="558"/>
        <v>4.5650000000000003E-2</v>
      </c>
      <c r="J157" s="16"/>
      <c r="K157" s="18"/>
      <c r="L157" s="19">
        <f t="shared" si="559"/>
        <v>0</v>
      </c>
      <c r="M157" s="16"/>
      <c r="N157" s="18"/>
      <c r="O157" s="19">
        <f t="shared" si="560"/>
        <v>0</v>
      </c>
      <c r="P157" s="16"/>
      <c r="Q157" s="18"/>
      <c r="R157" s="19">
        <f t="shared" si="561"/>
        <v>0</v>
      </c>
      <c r="S157" s="20">
        <f t="shared" si="562"/>
        <v>1</v>
      </c>
      <c r="T157" s="19">
        <f t="shared" si="563"/>
        <v>4.5650000000000003E-2</v>
      </c>
      <c r="U157" s="21">
        <f t="shared" si="564"/>
        <v>-1</v>
      </c>
      <c r="V157" s="19">
        <f t="shared" si="565"/>
        <v>-4.5650000000000003E-2</v>
      </c>
    </row>
    <row r="158" spans="1:22">
      <c r="A158" s="26" t="s">
        <v>14</v>
      </c>
      <c r="B158" s="26" t="s">
        <v>26</v>
      </c>
      <c r="C158" s="30">
        <v>8.3000000000000007</v>
      </c>
      <c r="D158" s="27">
        <v>8.5</v>
      </c>
      <c r="E158" s="28"/>
      <c r="F158" s="16">
        <f t="shared" si="557"/>
        <v>0</v>
      </c>
      <c r="G158" s="17"/>
      <c r="H158" s="18">
        <v>5</v>
      </c>
      <c r="I158" s="19">
        <f t="shared" si="558"/>
        <v>0.35275000000000006</v>
      </c>
      <c r="J158" s="16"/>
      <c r="K158" s="18"/>
      <c r="L158" s="19">
        <f t="shared" si="559"/>
        <v>0</v>
      </c>
      <c r="M158" s="16"/>
      <c r="N158" s="18"/>
      <c r="O158" s="19">
        <f t="shared" si="560"/>
        <v>0</v>
      </c>
      <c r="P158" s="16"/>
      <c r="Q158" s="18"/>
      <c r="R158" s="19">
        <f t="shared" si="561"/>
        <v>0</v>
      </c>
      <c r="S158" s="20">
        <f t="shared" si="562"/>
        <v>5</v>
      </c>
      <c r="T158" s="19">
        <f t="shared" si="563"/>
        <v>0.35275000000000006</v>
      </c>
      <c r="U158" s="21">
        <f t="shared" si="564"/>
        <v>-5</v>
      </c>
      <c r="V158" s="19">
        <f t="shared" si="565"/>
        <v>-0.35275000000000006</v>
      </c>
    </row>
    <row r="159" spans="1:22">
      <c r="A159" s="26" t="s">
        <v>14</v>
      </c>
      <c r="B159" s="26" t="s">
        <v>26</v>
      </c>
      <c r="C159" s="30">
        <v>8.3000000000000007</v>
      </c>
      <c r="D159" s="27">
        <v>9</v>
      </c>
      <c r="E159" s="28"/>
      <c r="F159" s="16">
        <f t="shared" si="557"/>
        <v>0</v>
      </c>
      <c r="G159" s="17"/>
      <c r="H159" s="18">
        <v>1</v>
      </c>
      <c r="I159" s="19">
        <f t="shared" si="558"/>
        <v>7.4700000000000003E-2</v>
      </c>
      <c r="J159" s="16"/>
      <c r="K159" s="18"/>
      <c r="L159" s="19">
        <f t="shared" si="559"/>
        <v>0</v>
      </c>
      <c r="M159" s="16"/>
      <c r="N159" s="18"/>
      <c r="O159" s="19">
        <f t="shared" si="560"/>
        <v>0</v>
      </c>
      <c r="P159" s="16"/>
      <c r="Q159" s="18"/>
      <c r="R159" s="19">
        <f t="shared" si="561"/>
        <v>0</v>
      </c>
      <c r="S159" s="20">
        <f t="shared" si="562"/>
        <v>1</v>
      </c>
      <c r="T159" s="19">
        <f t="shared" si="563"/>
        <v>7.4700000000000003E-2</v>
      </c>
      <c r="U159" s="21">
        <f t="shared" si="564"/>
        <v>-1</v>
      </c>
      <c r="V159" s="19">
        <f t="shared" si="565"/>
        <v>-7.4700000000000003E-2</v>
      </c>
    </row>
    <row r="160" spans="1:22">
      <c r="A160" s="26" t="s">
        <v>14</v>
      </c>
      <c r="B160" s="26" t="s">
        <v>26</v>
      </c>
      <c r="C160" s="30">
        <v>8.3000000000000007</v>
      </c>
      <c r="D160" s="27"/>
      <c r="E160" s="28"/>
      <c r="F160" s="16">
        <f t="shared" si="557"/>
        <v>0</v>
      </c>
      <c r="G160" s="17"/>
      <c r="H160" s="18"/>
      <c r="I160" s="19">
        <f t="shared" si="558"/>
        <v>0</v>
      </c>
      <c r="J160" s="16"/>
      <c r="K160" s="18"/>
      <c r="L160" s="19">
        <f t="shared" si="559"/>
        <v>0</v>
      </c>
      <c r="M160" s="16"/>
      <c r="N160" s="18"/>
      <c r="O160" s="19">
        <f t="shared" si="560"/>
        <v>0</v>
      </c>
      <c r="P160" s="16"/>
      <c r="Q160" s="18"/>
      <c r="R160" s="19">
        <f t="shared" si="561"/>
        <v>0</v>
      </c>
      <c r="S160" s="20">
        <f t="shared" si="562"/>
        <v>0</v>
      </c>
      <c r="T160" s="19">
        <f t="shared" si="563"/>
        <v>0</v>
      </c>
      <c r="U160" s="21">
        <f t="shared" si="564"/>
        <v>0</v>
      </c>
      <c r="V160" s="19">
        <f t="shared" si="565"/>
        <v>0</v>
      </c>
    </row>
    <row r="161" spans="1:22">
      <c r="A161" s="26" t="s">
        <v>14</v>
      </c>
      <c r="B161" s="26" t="s">
        <v>26</v>
      </c>
      <c r="C161" s="30">
        <v>8.3000000000000007</v>
      </c>
      <c r="D161" s="27"/>
      <c r="E161" s="28"/>
      <c r="F161" s="16">
        <f t="shared" si="557"/>
        <v>0</v>
      </c>
      <c r="G161" s="17"/>
      <c r="H161" s="18"/>
      <c r="I161" s="19">
        <f t="shared" si="558"/>
        <v>0</v>
      </c>
      <c r="J161" s="16"/>
      <c r="K161" s="18"/>
      <c r="L161" s="19">
        <f t="shared" si="559"/>
        <v>0</v>
      </c>
      <c r="M161" s="16"/>
      <c r="N161" s="18"/>
      <c r="O161" s="19">
        <f t="shared" si="560"/>
        <v>0</v>
      </c>
      <c r="P161" s="16"/>
      <c r="Q161" s="18"/>
      <c r="R161" s="19">
        <f t="shared" si="561"/>
        <v>0</v>
      </c>
      <c r="S161" s="20">
        <f t="shared" si="562"/>
        <v>0</v>
      </c>
      <c r="T161" s="19">
        <f t="shared" si="563"/>
        <v>0</v>
      </c>
      <c r="U161" s="21">
        <f t="shared" si="564"/>
        <v>0</v>
      </c>
      <c r="V161" s="19">
        <f t="shared" si="565"/>
        <v>0</v>
      </c>
    </row>
    <row r="162" spans="1:22">
      <c r="A162" s="26" t="s">
        <v>14</v>
      </c>
      <c r="B162" s="26" t="s">
        <v>26</v>
      </c>
      <c r="C162" s="30">
        <v>8.3000000000000007</v>
      </c>
      <c r="D162" s="27"/>
      <c r="E162" s="28"/>
      <c r="F162" s="16">
        <f t="shared" si="557"/>
        <v>0</v>
      </c>
      <c r="G162" s="17"/>
      <c r="H162" s="18"/>
      <c r="I162" s="19">
        <f t="shared" si="558"/>
        <v>0</v>
      </c>
      <c r="J162" s="16"/>
      <c r="K162" s="18"/>
      <c r="L162" s="19">
        <f t="shared" si="559"/>
        <v>0</v>
      </c>
      <c r="M162" s="16"/>
      <c r="N162" s="18"/>
      <c r="O162" s="19">
        <f t="shared" si="560"/>
        <v>0</v>
      </c>
      <c r="P162" s="16"/>
      <c r="Q162" s="18"/>
      <c r="R162" s="19">
        <f t="shared" si="561"/>
        <v>0</v>
      </c>
      <c r="S162" s="20">
        <f t="shared" si="562"/>
        <v>0</v>
      </c>
      <c r="T162" s="19">
        <f t="shared" si="563"/>
        <v>0</v>
      </c>
      <c r="U162" s="21">
        <f t="shared" si="564"/>
        <v>0</v>
      </c>
      <c r="V162" s="19">
        <f t="shared" si="565"/>
        <v>0</v>
      </c>
    </row>
    <row r="163" spans="1:22">
      <c r="A163" s="26" t="s">
        <v>14</v>
      </c>
      <c r="B163" s="26" t="s">
        <v>26</v>
      </c>
      <c r="C163" s="30">
        <v>8.3000000000000007</v>
      </c>
      <c r="D163" s="27"/>
      <c r="E163" s="28"/>
      <c r="F163" s="16">
        <f t="shared" si="557"/>
        <v>0</v>
      </c>
      <c r="G163" s="17"/>
      <c r="H163" s="18"/>
      <c r="I163" s="19">
        <f t="shared" si="558"/>
        <v>0</v>
      </c>
      <c r="J163" s="16"/>
      <c r="K163" s="18"/>
      <c r="L163" s="19">
        <f t="shared" si="559"/>
        <v>0</v>
      </c>
      <c r="M163" s="16"/>
      <c r="N163" s="18"/>
      <c r="O163" s="19">
        <f t="shared" si="560"/>
        <v>0</v>
      </c>
      <c r="P163" s="16"/>
      <c r="Q163" s="18"/>
      <c r="R163" s="19">
        <f t="shared" si="561"/>
        <v>0</v>
      </c>
      <c r="S163" s="20">
        <f t="shared" si="562"/>
        <v>0</v>
      </c>
      <c r="T163" s="19">
        <f t="shared" si="563"/>
        <v>0</v>
      </c>
      <c r="U163" s="21">
        <f t="shared" si="564"/>
        <v>0</v>
      </c>
      <c r="V163" s="19">
        <f t="shared" si="565"/>
        <v>0</v>
      </c>
    </row>
    <row r="164" spans="1:22">
      <c r="A164" s="26" t="s">
        <v>14</v>
      </c>
      <c r="B164" s="26" t="s">
        <v>26</v>
      </c>
      <c r="C164" s="30">
        <v>8.3000000000000007</v>
      </c>
      <c r="D164" s="27"/>
      <c r="E164" s="28"/>
      <c r="F164" s="16">
        <f t="shared" si="557"/>
        <v>0</v>
      </c>
      <c r="G164" s="17"/>
      <c r="H164" s="18"/>
      <c r="I164" s="19">
        <f t="shared" si="558"/>
        <v>0</v>
      </c>
      <c r="J164" s="16"/>
      <c r="K164" s="18"/>
      <c r="L164" s="19">
        <f t="shared" si="559"/>
        <v>0</v>
      </c>
      <c r="M164" s="16"/>
      <c r="N164" s="18"/>
      <c r="O164" s="19">
        <f t="shared" si="560"/>
        <v>0</v>
      </c>
      <c r="P164" s="16"/>
      <c r="Q164" s="18"/>
      <c r="R164" s="19">
        <f t="shared" si="561"/>
        <v>0</v>
      </c>
      <c r="S164" s="20">
        <f t="shared" si="562"/>
        <v>0</v>
      </c>
      <c r="T164" s="19">
        <f t="shared" si="563"/>
        <v>0</v>
      </c>
      <c r="U164" s="21">
        <f t="shared" si="564"/>
        <v>0</v>
      </c>
      <c r="V164" s="19">
        <f t="shared" si="565"/>
        <v>0</v>
      </c>
    </row>
    <row r="165" spans="1:22">
      <c r="A165" s="26" t="s">
        <v>14</v>
      </c>
      <c r="B165" s="26" t="s">
        <v>26</v>
      </c>
      <c r="C165" s="30">
        <v>8.3000000000000007</v>
      </c>
      <c r="D165" s="27"/>
      <c r="E165" s="28"/>
      <c r="F165" s="16">
        <f>(C165*D165*E165/1000)</f>
        <v>0</v>
      </c>
      <c r="G165" s="17"/>
      <c r="H165" s="18"/>
      <c r="I165" s="19">
        <f>(C165*D165*H165/1000)</f>
        <v>0</v>
      </c>
      <c r="J165" s="16"/>
      <c r="K165" s="18"/>
      <c r="L165" s="19">
        <f>(C165*D165*K165/1000)</f>
        <v>0</v>
      </c>
      <c r="M165" s="16"/>
      <c r="N165" s="18"/>
      <c r="O165" s="19">
        <f>(C165*D165*N165/1000)</f>
        <v>0</v>
      </c>
      <c r="P165" s="16"/>
      <c r="Q165" s="18"/>
      <c r="R165" s="19">
        <f>(C165*D165*Q165/1000)</f>
        <v>0</v>
      </c>
      <c r="S165" s="20">
        <f>+H165+K165+Q165+N165</f>
        <v>0</v>
      </c>
      <c r="T165" s="19">
        <f>+I165+L165+R165+O165</f>
        <v>0</v>
      </c>
      <c r="U165" s="21">
        <f>E165-S165</f>
        <v>0</v>
      </c>
      <c r="V165" s="19">
        <f>F165-T165</f>
        <v>0</v>
      </c>
    </row>
    <row r="166" spans="1:22">
      <c r="A166" s="36"/>
      <c r="B166" s="36"/>
      <c r="C166" s="37"/>
      <c r="D166" s="38"/>
      <c r="E166" s="31">
        <f t="shared" ref="E166:F166" si="566">SUM(E151:E165)</f>
        <v>15</v>
      </c>
      <c r="F166" s="38">
        <f t="shared" si="566"/>
        <v>1.434655</v>
      </c>
      <c r="G166" s="26"/>
      <c r="H166" s="31">
        <f t="shared" ref="H166" si="567">SUM(H151:H165)</f>
        <v>26</v>
      </c>
      <c r="I166" s="38">
        <f t="shared" ref="I166" si="568">SUM(I151:I165)</f>
        <v>1.7454900000000002</v>
      </c>
      <c r="J166" s="26"/>
      <c r="K166" s="31">
        <f t="shared" ref="K166" si="569">SUM(K151:K165)</f>
        <v>0</v>
      </c>
      <c r="L166" s="38">
        <f t="shared" ref="L166" si="570">SUM(L151:L165)</f>
        <v>0</v>
      </c>
      <c r="M166" s="26"/>
      <c r="N166" s="31">
        <f t="shared" ref="N166" si="571">SUM(N151:N165)</f>
        <v>0</v>
      </c>
      <c r="O166" s="38">
        <f t="shared" ref="O166" si="572">SUM(O151:O165)</f>
        <v>0</v>
      </c>
      <c r="P166" s="26"/>
      <c r="Q166" s="31">
        <f t="shared" ref="Q166" si="573">SUM(Q151:Q165)</f>
        <v>0</v>
      </c>
      <c r="R166" s="38">
        <f t="shared" ref="R166" si="574">SUM(R151:R165)</f>
        <v>0</v>
      </c>
      <c r="S166" s="31">
        <f t="shared" ref="S166" si="575">SUM(S151:S165)</f>
        <v>26</v>
      </c>
      <c r="T166" s="38">
        <f t="shared" ref="T166" si="576">SUM(T151:T165)</f>
        <v>1.7454900000000002</v>
      </c>
      <c r="U166" s="31">
        <f t="shared" ref="U166" si="577">SUM(U151:U165)</f>
        <v>-11</v>
      </c>
      <c r="V166" s="38">
        <f t="shared" ref="V166" si="578">SUM(V151:V165)</f>
        <v>-0.31083500000000042</v>
      </c>
    </row>
    <row r="167" spans="1:22">
      <c r="A167" s="26" t="s">
        <v>14</v>
      </c>
      <c r="B167" s="26" t="s">
        <v>37</v>
      </c>
      <c r="C167" s="30">
        <v>9.61</v>
      </c>
      <c r="D167" s="27">
        <v>6.8</v>
      </c>
      <c r="E167" s="28">
        <v>7</v>
      </c>
      <c r="F167" s="16">
        <f>(C167*D167*E167/1000)</f>
        <v>0.45743599999999995</v>
      </c>
      <c r="G167" s="17" t="s">
        <v>93</v>
      </c>
      <c r="H167" s="18"/>
      <c r="I167" s="19">
        <f>(C167*D167*H167/1000)</f>
        <v>0</v>
      </c>
      <c r="J167" s="16"/>
      <c r="K167" s="18"/>
      <c r="L167" s="19">
        <f>(C167*D167*K167/1000)</f>
        <v>0</v>
      </c>
      <c r="M167" s="16"/>
      <c r="N167" s="18"/>
      <c r="O167" s="19">
        <f>(C167*D167*N167/1000)</f>
        <v>0</v>
      </c>
      <c r="P167" s="16"/>
      <c r="Q167" s="18"/>
      <c r="R167" s="19">
        <f>(C167*D167*Q167/1000)</f>
        <v>0</v>
      </c>
      <c r="S167" s="20">
        <f>+H167+K167+Q167+N167</f>
        <v>0</v>
      </c>
      <c r="T167" s="19">
        <f>+I167+L167+R167+O167</f>
        <v>0</v>
      </c>
      <c r="U167" s="21">
        <f>E167-S167</f>
        <v>7</v>
      </c>
      <c r="V167" s="19">
        <f>F167-T167</f>
        <v>0.45743599999999995</v>
      </c>
    </row>
    <row r="168" spans="1:22">
      <c r="A168" s="26" t="s">
        <v>14</v>
      </c>
      <c r="B168" s="26" t="s">
        <v>37</v>
      </c>
      <c r="C168" s="30">
        <v>9.61</v>
      </c>
      <c r="D168" s="27">
        <v>8</v>
      </c>
      <c r="E168" s="28">
        <v>5</v>
      </c>
      <c r="F168" s="16">
        <f t="shared" ref="F168:F175" si="579">(C168*D168*E168/1000)</f>
        <v>0.38439999999999996</v>
      </c>
      <c r="G168" s="17" t="s">
        <v>517</v>
      </c>
      <c r="H168" s="18"/>
      <c r="I168" s="19">
        <f t="shared" ref="I168:I175" si="580">(C168*D168*H168/1000)</f>
        <v>0</v>
      </c>
      <c r="J168" s="16"/>
      <c r="K168" s="18"/>
      <c r="L168" s="19">
        <f t="shared" ref="L168:L175" si="581">(C168*D168*K168/1000)</f>
        <v>0</v>
      </c>
      <c r="M168" s="16"/>
      <c r="N168" s="18"/>
      <c r="O168" s="19">
        <f t="shared" ref="O168:O175" si="582">(C168*D168*N168/1000)</f>
        <v>0</v>
      </c>
      <c r="P168" s="16"/>
      <c r="Q168" s="18"/>
      <c r="R168" s="19">
        <f t="shared" ref="R168:R175" si="583">(C168*D168*Q168/1000)</f>
        <v>0</v>
      </c>
      <c r="S168" s="20">
        <f t="shared" ref="S168:S175" si="584">+H168+K168+Q168+N168</f>
        <v>0</v>
      </c>
      <c r="T168" s="19">
        <f t="shared" ref="T168:T175" si="585">+I168+L168+R168+O168</f>
        <v>0</v>
      </c>
      <c r="U168" s="21">
        <f t="shared" ref="U168:U175" si="586">E168-S168</f>
        <v>5</v>
      </c>
      <c r="V168" s="19">
        <f t="shared" ref="V168:V175" si="587">F168-T168</f>
        <v>0.38439999999999996</v>
      </c>
    </row>
    <row r="169" spans="1:22">
      <c r="A169" s="26" t="s">
        <v>14</v>
      </c>
      <c r="B169" s="26" t="s">
        <v>37</v>
      </c>
      <c r="C169" s="30">
        <v>9.61</v>
      </c>
      <c r="D169" s="27">
        <v>7.9</v>
      </c>
      <c r="E169" s="28"/>
      <c r="F169" s="16">
        <f t="shared" si="579"/>
        <v>0</v>
      </c>
      <c r="G169" s="17"/>
      <c r="H169" s="18">
        <v>2</v>
      </c>
      <c r="I169" s="19">
        <f t="shared" si="580"/>
        <v>0.151838</v>
      </c>
      <c r="J169" s="16"/>
      <c r="K169" s="18"/>
      <c r="L169" s="19">
        <f t="shared" si="581"/>
        <v>0</v>
      </c>
      <c r="M169" s="16"/>
      <c r="N169" s="18"/>
      <c r="O169" s="19">
        <f t="shared" si="582"/>
        <v>0</v>
      </c>
      <c r="P169" s="16"/>
      <c r="Q169" s="18"/>
      <c r="R169" s="19">
        <f t="shared" si="583"/>
        <v>0</v>
      </c>
      <c r="S169" s="20">
        <f t="shared" si="584"/>
        <v>2</v>
      </c>
      <c r="T169" s="19">
        <f t="shared" si="585"/>
        <v>0.151838</v>
      </c>
      <c r="U169" s="21">
        <f t="shared" si="586"/>
        <v>-2</v>
      </c>
      <c r="V169" s="19">
        <f t="shared" si="587"/>
        <v>-0.151838</v>
      </c>
    </row>
    <row r="170" spans="1:22">
      <c r="A170" s="26" t="s">
        <v>14</v>
      </c>
      <c r="B170" s="26" t="s">
        <v>37</v>
      </c>
      <c r="C170" s="30">
        <v>9.61</v>
      </c>
      <c r="D170" s="27">
        <v>7.6</v>
      </c>
      <c r="E170" s="28"/>
      <c r="F170" s="16">
        <f t="shared" si="579"/>
        <v>0</v>
      </c>
      <c r="G170" s="17"/>
      <c r="H170" s="18">
        <v>1</v>
      </c>
      <c r="I170" s="19">
        <f t="shared" si="580"/>
        <v>7.303599999999999E-2</v>
      </c>
      <c r="J170" s="16"/>
      <c r="K170" s="18"/>
      <c r="L170" s="19">
        <f t="shared" si="581"/>
        <v>0</v>
      </c>
      <c r="M170" s="16"/>
      <c r="N170" s="18"/>
      <c r="O170" s="19">
        <f t="shared" si="582"/>
        <v>0</v>
      </c>
      <c r="P170" s="16"/>
      <c r="Q170" s="18"/>
      <c r="R170" s="19">
        <f t="shared" si="583"/>
        <v>0</v>
      </c>
      <c r="S170" s="20">
        <f t="shared" si="584"/>
        <v>1</v>
      </c>
      <c r="T170" s="19">
        <f t="shared" si="585"/>
        <v>7.303599999999999E-2</v>
      </c>
      <c r="U170" s="21">
        <f t="shared" si="586"/>
        <v>-1</v>
      </c>
      <c r="V170" s="19">
        <f t="shared" si="587"/>
        <v>-7.303599999999999E-2</v>
      </c>
    </row>
    <row r="171" spans="1:22">
      <c r="A171" s="26" t="s">
        <v>14</v>
      </c>
      <c r="B171" s="26" t="s">
        <v>37</v>
      </c>
      <c r="C171" s="30">
        <v>9.61</v>
      </c>
      <c r="D171" s="27">
        <v>8.8000000000000007</v>
      </c>
      <c r="E171" s="28"/>
      <c r="F171" s="16">
        <f t="shared" si="579"/>
        <v>0</v>
      </c>
      <c r="G171" s="17"/>
      <c r="H171" s="18">
        <v>2</v>
      </c>
      <c r="I171" s="19">
        <f t="shared" si="580"/>
        <v>0.16913600000000001</v>
      </c>
      <c r="J171" s="16"/>
      <c r="K171" s="18"/>
      <c r="L171" s="19">
        <f t="shared" si="581"/>
        <v>0</v>
      </c>
      <c r="M171" s="16"/>
      <c r="N171" s="18"/>
      <c r="O171" s="19">
        <f t="shared" si="582"/>
        <v>0</v>
      </c>
      <c r="P171" s="16"/>
      <c r="Q171" s="18"/>
      <c r="R171" s="19">
        <f t="shared" si="583"/>
        <v>0</v>
      </c>
      <c r="S171" s="20">
        <f t="shared" si="584"/>
        <v>2</v>
      </c>
      <c r="T171" s="19">
        <f t="shared" si="585"/>
        <v>0.16913600000000001</v>
      </c>
      <c r="U171" s="21">
        <f t="shared" si="586"/>
        <v>-2</v>
      </c>
      <c r="V171" s="19">
        <f t="shared" si="587"/>
        <v>-0.16913600000000001</v>
      </c>
    </row>
    <row r="172" spans="1:22">
      <c r="A172" s="26" t="s">
        <v>14</v>
      </c>
      <c r="B172" s="26" t="s">
        <v>37</v>
      </c>
      <c r="C172" s="30">
        <v>9.61</v>
      </c>
      <c r="D172" s="27">
        <v>12</v>
      </c>
      <c r="E172" s="28"/>
      <c r="F172" s="16">
        <f t="shared" si="579"/>
        <v>0</v>
      </c>
      <c r="G172" s="17"/>
      <c r="H172" s="18">
        <v>3</v>
      </c>
      <c r="I172" s="19">
        <f t="shared" si="580"/>
        <v>0.34595999999999999</v>
      </c>
      <c r="J172" s="16"/>
      <c r="K172" s="18"/>
      <c r="L172" s="19">
        <f t="shared" si="581"/>
        <v>0</v>
      </c>
      <c r="M172" s="16"/>
      <c r="N172" s="18"/>
      <c r="O172" s="19">
        <f t="shared" si="582"/>
        <v>0</v>
      </c>
      <c r="P172" s="16"/>
      <c r="Q172" s="18"/>
      <c r="R172" s="19">
        <f t="shared" si="583"/>
        <v>0</v>
      </c>
      <c r="S172" s="20">
        <f t="shared" si="584"/>
        <v>3</v>
      </c>
      <c r="T172" s="19">
        <f t="shared" si="585"/>
        <v>0.34595999999999999</v>
      </c>
      <c r="U172" s="21">
        <f t="shared" si="586"/>
        <v>-3</v>
      </c>
      <c r="V172" s="19">
        <f t="shared" si="587"/>
        <v>-0.34595999999999999</v>
      </c>
    </row>
    <row r="173" spans="1:22">
      <c r="A173" s="26" t="s">
        <v>14</v>
      </c>
      <c r="B173" s="26" t="s">
        <v>37</v>
      </c>
      <c r="C173" s="30">
        <v>9.61</v>
      </c>
      <c r="D173" s="27">
        <v>8.6</v>
      </c>
      <c r="E173" s="28"/>
      <c r="F173" s="16">
        <f t="shared" si="579"/>
        <v>0</v>
      </c>
      <c r="G173" s="17"/>
      <c r="H173" s="18">
        <v>1</v>
      </c>
      <c r="I173" s="19">
        <f t="shared" si="580"/>
        <v>8.2645999999999983E-2</v>
      </c>
      <c r="J173" s="16"/>
      <c r="K173" s="18"/>
      <c r="L173" s="19">
        <f t="shared" si="581"/>
        <v>0</v>
      </c>
      <c r="M173" s="16"/>
      <c r="N173" s="18"/>
      <c r="O173" s="19">
        <f t="shared" si="582"/>
        <v>0</v>
      </c>
      <c r="P173" s="16"/>
      <c r="Q173" s="18"/>
      <c r="R173" s="19">
        <f t="shared" si="583"/>
        <v>0</v>
      </c>
      <c r="S173" s="20">
        <f t="shared" si="584"/>
        <v>1</v>
      </c>
      <c r="T173" s="19">
        <f t="shared" si="585"/>
        <v>8.2645999999999983E-2</v>
      </c>
      <c r="U173" s="21">
        <f t="shared" si="586"/>
        <v>-1</v>
      </c>
      <c r="V173" s="19">
        <f t="shared" si="587"/>
        <v>-8.2645999999999983E-2</v>
      </c>
    </row>
    <row r="174" spans="1:22">
      <c r="A174" s="26" t="s">
        <v>14</v>
      </c>
      <c r="B174" s="26" t="s">
        <v>37</v>
      </c>
      <c r="C174" s="30">
        <v>9.61</v>
      </c>
      <c r="D174" s="27">
        <v>8.3000000000000007</v>
      </c>
      <c r="E174" s="28"/>
      <c r="F174" s="16">
        <f t="shared" si="579"/>
        <v>0</v>
      </c>
      <c r="G174" s="17"/>
      <c r="H174" s="18">
        <v>1</v>
      </c>
      <c r="I174" s="19">
        <f t="shared" si="580"/>
        <v>7.9763000000000001E-2</v>
      </c>
      <c r="J174" s="16"/>
      <c r="K174" s="18"/>
      <c r="L174" s="19">
        <f t="shared" si="581"/>
        <v>0</v>
      </c>
      <c r="M174" s="16"/>
      <c r="N174" s="18"/>
      <c r="O174" s="19">
        <f t="shared" si="582"/>
        <v>0</v>
      </c>
      <c r="P174" s="16"/>
      <c r="Q174" s="18"/>
      <c r="R174" s="19">
        <f t="shared" si="583"/>
        <v>0</v>
      </c>
      <c r="S174" s="20">
        <f t="shared" si="584"/>
        <v>1</v>
      </c>
      <c r="T174" s="19">
        <f t="shared" si="585"/>
        <v>7.9763000000000001E-2</v>
      </c>
      <c r="U174" s="21">
        <f t="shared" si="586"/>
        <v>-1</v>
      </c>
      <c r="V174" s="19">
        <f t="shared" si="587"/>
        <v>-7.9763000000000001E-2</v>
      </c>
    </row>
    <row r="175" spans="1:22">
      <c r="A175" s="26" t="s">
        <v>14</v>
      </c>
      <c r="B175" s="26" t="s">
        <v>37</v>
      </c>
      <c r="C175" s="30">
        <v>9.61</v>
      </c>
      <c r="D175" s="27">
        <v>6.9</v>
      </c>
      <c r="E175" s="28"/>
      <c r="F175" s="16">
        <f t="shared" si="579"/>
        <v>0</v>
      </c>
      <c r="G175" s="17"/>
      <c r="H175" s="18">
        <v>1</v>
      </c>
      <c r="I175" s="19">
        <f t="shared" si="580"/>
        <v>6.6308999999999993E-2</v>
      </c>
      <c r="J175" s="16"/>
      <c r="K175" s="18"/>
      <c r="L175" s="19">
        <f t="shared" si="581"/>
        <v>0</v>
      </c>
      <c r="M175" s="16"/>
      <c r="N175" s="18"/>
      <c r="O175" s="19">
        <f t="shared" si="582"/>
        <v>0</v>
      </c>
      <c r="P175" s="16"/>
      <c r="Q175" s="18"/>
      <c r="R175" s="19">
        <f t="shared" si="583"/>
        <v>0</v>
      </c>
      <c r="S175" s="20">
        <f t="shared" si="584"/>
        <v>1</v>
      </c>
      <c r="T175" s="19">
        <f t="shared" si="585"/>
        <v>6.6308999999999993E-2</v>
      </c>
      <c r="U175" s="21">
        <f t="shared" si="586"/>
        <v>-1</v>
      </c>
      <c r="V175" s="19">
        <f t="shared" si="587"/>
        <v>-6.6308999999999993E-2</v>
      </c>
    </row>
    <row r="176" spans="1:22">
      <c r="A176" s="26" t="s">
        <v>14</v>
      </c>
      <c r="B176" s="26" t="s">
        <v>37</v>
      </c>
      <c r="C176" s="30">
        <v>9.61</v>
      </c>
      <c r="D176" s="27"/>
      <c r="E176" s="28"/>
      <c r="F176" s="16">
        <f>(C176*D176*E176/1000)</f>
        <v>0</v>
      </c>
      <c r="G176" s="17"/>
      <c r="H176" s="18"/>
      <c r="I176" s="19">
        <f>(C176*D176*H176/1000)</f>
        <v>0</v>
      </c>
      <c r="J176" s="16"/>
      <c r="K176" s="18"/>
      <c r="L176" s="19">
        <f>(C176*D176*K176/1000)</f>
        <v>0</v>
      </c>
      <c r="M176" s="16"/>
      <c r="N176" s="18"/>
      <c r="O176" s="19">
        <f>(C176*D176*N176/1000)</f>
        <v>0</v>
      </c>
      <c r="P176" s="16"/>
      <c r="Q176" s="18"/>
      <c r="R176" s="19">
        <f>(C176*D176*Q176/1000)</f>
        <v>0</v>
      </c>
      <c r="S176" s="20">
        <f>+H176+K176+Q176+N176</f>
        <v>0</v>
      </c>
      <c r="T176" s="19">
        <f>+I176+L176+R176+O176</f>
        <v>0</v>
      </c>
      <c r="U176" s="21">
        <f>E176-S176</f>
        <v>0</v>
      </c>
      <c r="V176" s="19">
        <f>F176-T176</f>
        <v>0</v>
      </c>
    </row>
    <row r="177" spans="1:22">
      <c r="A177" s="36"/>
      <c r="B177" s="36"/>
      <c r="C177" s="37"/>
      <c r="D177" s="38"/>
      <c r="E177" s="31">
        <f t="shared" ref="E177:F177" si="588">SUM(E167:E176)</f>
        <v>12</v>
      </c>
      <c r="F177" s="38">
        <f t="shared" si="588"/>
        <v>0.84183599999999992</v>
      </c>
      <c r="G177" s="26"/>
      <c r="H177" s="31">
        <f t="shared" ref="H177" si="589">SUM(H167:H176)</f>
        <v>11</v>
      </c>
      <c r="I177" s="38">
        <f t="shared" ref="I177" si="590">SUM(I167:I176)</f>
        <v>0.96868799999999999</v>
      </c>
      <c r="J177" s="26"/>
      <c r="K177" s="31">
        <f t="shared" ref="K177" si="591">SUM(K167:K176)</f>
        <v>0</v>
      </c>
      <c r="L177" s="38">
        <f t="shared" ref="L177" si="592">SUM(L167:L176)</f>
        <v>0</v>
      </c>
      <c r="M177" s="26"/>
      <c r="N177" s="31">
        <f t="shared" ref="N177" si="593">SUM(N167:N176)</f>
        <v>0</v>
      </c>
      <c r="O177" s="38">
        <f t="shared" ref="O177" si="594">SUM(O167:O176)</f>
        <v>0</v>
      </c>
      <c r="P177" s="26"/>
      <c r="Q177" s="31">
        <f t="shared" ref="Q177" si="595">SUM(Q167:Q176)</f>
        <v>0</v>
      </c>
      <c r="R177" s="38">
        <f t="shared" ref="R177" si="596">SUM(R167:R176)</f>
        <v>0</v>
      </c>
      <c r="S177" s="31">
        <f t="shared" ref="S177" si="597">SUM(S167:S176)</f>
        <v>11</v>
      </c>
      <c r="T177" s="38">
        <f t="shared" ref="T177" si="598">SUM(T167:T176)</f>
        <v>0.96868799999999999</v>
      </c>
      <c r="U177" s="31">
        <f t="shared" ref="U177" si="599">SUM(U167:U176)</f>
        <v>1</v>
      </c>
      <c r="V177" s="38">
        <f t="shared" ref="V177" si="600">SUM(V167:V176)</f>
        <v>-0.12685200000000008</v>
      </c>
    </row>
    <row r="178" spans="1:22">
      <c r="A178" s="33"/>
      <c r="B178" s="33"/>
      <c r="C178" s="34"/>
      <c r="D178" s="35"/>
      <c r="E178" s="34">
        <f>SUM(E6:E177)/2</f>
        <v>260</v>
      </c>
      <c r="F178" s="35">
        <f>SUM(F6:F177)/2</f>
        <v>31.899833999999988</v>
      </c>
      <c r="G178" s="26"/>
      <c r="H178" s="34">
        <f>SUM(H6:H177)/2</f>
        <v>279</v>
      </c>
      <c r="I178" s="35">
        <f>SUM(I6:I177)/2</f>
        <v>33.008671</v>
      </c>
      <c r="J178" s="26"/>
      <c r="K178" s="34">
        <f>SUM(K6:K177)/2</f>
        <v>18</v>
      </c>
      <c r="L178" s="35">
        <f>SUM(L6:L177)/2</f>
        <v>2.1378499999999998</v>
      </c>
      <c r="M178" s="26"/>
      <c r="N178" s="34">
        <f>SUM(N6:N177)/2</f>
        <v>0</v>
      </c>
      <c r="O178" s="35">
        <f>SUM(O6:O177)/2</f>
        <v>0</v>
      </c>
      <c r="P178" s="26"/>
      <c r="Q178" s="34">
        <f t="shared" ref="Q178:V178" si="601">SUM(Q6:Q177)/2</f>
        <v>0</v>
      </c>
      <c r="R178" s="35">
        <f t="shared" si="601"/>
        <v>0</v>
      </c>
      <c r="S178" s="34">
        <f t="shared" si="601"/>
        <v>297</v>
      </c>
      <c r="T178" s="35">
        <f t="shared" si="601"/>
        <v>35.146521000000007</v>
      </c>
      <c r="U178" s="34">
        <f t="shared" si="601"/>
        <v>-37</v>
      </c>
      <c r="V178" s="35">
        <f t="shared" si="601"/>
        <v>-3.2466869999999992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V40"/>
  <sheetViews>
    <sheetView zoomScale="75" zoomScaleNormal="75" workbookViewId="0">
      <pane ySplit="5" topLeftCell="A6" activePane="bottomLeft" state="frozen"/>
      <selection activeCell="A4" sqref="A4"/>
      <selection pane="bottomLeft" activeCell="J6" sqref="J6:J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LOI-1047  02.11.23</v>
      </c>
      <c r="D1" s="1"/>
      <c r="E1" s="2"/>
      <c r="F1" s="2"/>
      <c r="G1" s="143" t="s">
        <v>506</v>
      </c>
      <c r="H1" s="144"/>
      <c r="I1" s="145" t="s">
        <v>484</v>
      </c>
      <c r="J1" s="144"/>
      <c r="K1" s="3"/>
      <c r="L1" s="4"/>
      <c r="M1" s="4"/>
      <c r="N1" s="3"/>
      <c r="O1" s="4"/>
      <c r="P1" s="146" t="str">
        <f>+F2</f>
        <v>LOI-1047  02.11.23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490</v>
      </c>
      <c r="B2" s="8"/>
      <c r="C2" s="9"/>
      <c r="D2" s="9"/>
      <c r="E2" s="10"/>
      <c r="F2" s="146" t="s">
        <v>507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LOI-1047  02.11.23</v>
      </c>
      <c r="V2" s="146"/>
    </row>
    <row r="3" spans="1:22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51</v>
      </c>
      <c r="C6" s="30">
        <v>19.72</v>
      </c>
      <c r="D6" s="27">
        <v>7.1</v>
      </c>
      <c r="E6" s="28">
        <v>24</v>
      </c>
      <c r="F6" s="16">
        <f>(C6*D6*E6/1000)</f>
        <v>3.3602879999999997</v>
      </c>
      <c r="G6" s="17" t="s">
        <v>111</v>
      </c>
      <c r="H6" s="18">
        <f>10+5</f>
        <v>15</v>
      </c>
      <c r="I6" s="19">
        <f>(C6*D6*H6/1000)</f>
        <v>2.1001799999999995</v>
      </c>
      <c r="J6" s="17" t="s">
        <v>107</v>
      </c>
      <c r="K6" s="18">
        <v>6</v>
      </c>
      <c r="L6" s="19">
        <f>(C6*D6*K6/1000)</f>
        <v>0.84007199999999993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21</v>
      </c>
      <c r="T6" s="19">
        <f>+I6+L6+R6+O6</f>
        <v>2.9402519999999992</v>
      </c>
      <c r="U6" s="21">
        <f>E6-S6</f>
        <v>3</v>
      </c>
      <c r="V6" s="19">
        <f>F6-T6</f>
        <v>0.42003600000000052</v>
      </c>
    </row>
    <row r="7" spans="1:22">
      <c r="A7" s="26" t="s">
        <v>13</v>
      </c>
      <c r="B7" s="26" t="s">
        <v>51</v>
      </c>
      <c r="C7" s="30">
        <v>19.72</v>
      </c>
      <c r="D7" s="27">
        <v>9.5</v>
      </c>
      <c r="E7" s="28"/>
      <c r="F7" s="16">
        <f t="shared" ref="F7:F10" si="0">(C7*D7*E7/1000)</f>
        <v>0</v>
      </c>
      <c r="G7" s="17" t="s">
        <v>588</v>
      </c>
      <c r="H7" s="18">
        <v>1</v>
      </c>
      <c r="I7" s="19">
        <f t="shared" ref="I7:I10" si="1">(C7*D7*H7/1000)</f>
        <v>0.18733999999999998</v>
      </c>
      <c r="J7" t="s">
        <v>608</v>
      </c>
      <c r="K7" s="18"/>
      <c r="L7" s="19">
        <f t="shared" ref="L7:L10" si="2">(C7*D7*K7/1000)</f>
        <v>0</v>
      </c>
      <c r="M7" s="16"/>
      <c r="N7" s="18"/>
      <c r="O7" s="19">
        <f t="shared" ref="O7:O10" si="3">(C7*D7*N7/1000)</f>
        <v>0</v>
      </c>
      <c r="P7" s="16"/>
      <c r="Q7" s="18"/>
      <c r="R7" s="19">
        <f t="shared" ref="R7:R10" si="4">(C7*D7*Q7/1000)</f>
        <v>0</v>
      </c>
      <c r="S7" s="20">
        <f t="shared" ref="S7:S10" si="5">+H7+K7+Q7+N7</f>
        <v>1</v>
      </c>
      <c r="T7" s="19">
        <f t="shared" ref="T7:T10" si="6">+I7+L7+R7+O7</f>
        <v>0.18733999999999998</v>
      </c>
      <c r="U7" s="21">
        <f t="shared" ref="U7:U10" si="7">E7-S7</f>
        <v>-1</v>
      </c>
      <c r="V7" s="19">
        <f t="shared" ref="V7:V10" si="8">F7-T7</f>
        <v>-0.18733999999999998</v>
      </c>
    </row>
    <row r="8" spans="1:22">
      <c r="A8" s="26" t="s">
        <v>13</v>
      </c>
      <c r="B8" s="26" t="s">
        <v>51</v>
      </c>
      <c r="C8" s="30">
        <v>19.72</v>
      </c>
      <c r="D8" s="27">
        <v>11.3</v>
      </c>
      <c r="E8" s="28"/>
      <c r="F8" s="16">
        <f t="shared" si="0"/>
        <v>0</v>
      </c>
      <c r="G8" s="17"/>
      <c r="H8" s="18">
        <v>1</v>
      </c>
      <c r="I8" s="19">
        <f t="shared" si="1"/>
        <v>0.22283600000000001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1</v>
      </c>
      <c r="T8" s="19">
        <f t="shared" si="6"/>
        <v>0.22283600000000001</v>
      </c>
      <c r="U8" s="21">
        <f t="shared" si="7"/>
        <v>-1</v>
      </c>
      <c r="V8" s="19">
        <f t="shared" si="8"/>
        <v>-0.22283600000000001</v>
      </c>
    </row>
    <row r="9" spans="1:22">
      <c r="A9" s="26" t="s">
        <v>13</v>
      </c>
      <c r="B9" s="26" t="s">
        <v>51</v>
      </c>
      <c r="C9" s="30">
        <v>19.72</v>
      </c>
      <c r="D9" s="27">
        <v>10.5</v>
      </c>
      <c r="E9" s="28"/>
      <c r="F9" s="16">
        <f t="shared" si="0"/>
        <v>0</v>
      </c>
      <c r="G9" s="17"/>
      <c r="H9" s="18">
        <v>1</v>
      </c>
      <c r="I9" s="19">
        <f t="shared" si="1"/>
        <v>0.20705999999999999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</v>
      </c>
      <c r="T9" s="19">
        <f t="shared" si="6"/>
        <v>0.20705999999999999</v>
      </c>
      <c r="U9" s="21">
        <f t="shared" si="7"/>
        <v>-1</v>
      </c>
      <c r="V9" s="19">
        <f t="shared" si="8"/>
        <v>-0.20705999999999999</v>
      </c>
    </row>
    <row r="10" spans="1:22">
      <c r="A10" s="26" t="s">
        <v>13</v>
      </c>
      <c r="B10" s="26" t="s">
        <v>51</v>
      </c>
      <c r="C10" s="30">
        <v>19.72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6"/>
        <v>0</v>
      </c>
      <c r="U10" s="21">
        <f t="shared" si="7"/>
        <v>0</v>
      </c>
      <c r="V10" s="19">
        <f t="shared" si="8"/>
        <v>0</v>
      </c>
    </row>
    <row r="11" spans="1:22">
      <c r="A11" s="26" t="s">
        <v>13</v>
      </c>
      <c r="B11" s="26" t="s">
        <v>51</v>
      </c>
      <c r="C11" s="30">
        <v>19.72</v>
      </c>
      <c r="D11" s="27"/>
      <c r="E11" s="28"/>
      <c r="F11" s="16">
        <f>(C11*D11*E11/1000)</f>
        <v>0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0</v>
      </c>
      <c r="T11" s="19">
        <f>+I11+L11+R11+O11</f>
        <v>0</v>
      </c>
      <c r="U11" s="21">
        <f>E11-S11</f>
        <v>0</v>
      </c>
      <c r="V11" s="19">
        <f>F11-T11</f>
        <v>0</v>
      </c>
    </row>
    <row r="12" spans="1:22">
      <c r="A12" s="36"/>
      <c r="B12" s="36"/>
      <c r="C12" s="37"/>
      <c r="D12" s="38"/>
      <c r="E12" s="31">
        <f t="shared" ref="E12" si="9">SUM(E6:E11)</f>
        <v>24</v>
      </c>
      <c r="F12" s="38">
        <f t="shared" ref="F12" si="10">SUM(F6:F11)</f>
        <v>3.3602879999999997</v>
      </c>
      <c r="G12" s="17"/>
      <c r="H12" s="31">
        <f t="shared" ref="H12" si="11">SUM(H6:H11)</f>
        <v>18</v>
      </c>
      <c r="I12" s="38">
        <f t="shared" ref="I12" si="12">SUM(I6:I11)</f>
        <v>2.7174159999999992</v>
      </c>
      <c r="J12" s="16"/>
      <c r="K12" s="31">
        <f t="shared" ref="K12" si="13">SUM(K6:K11)</f>
        <v>6</v>
      </c>
      <c r="L12" s="38">
        <f t="shared" ref="L12" si="14">SUM(L6:L11)</f>
        <v>0.84007199999999993</v>
      </c>
      <c r="M12" s="16"/>
      <c r="N12" s="31">
        <f t="shared" ref="N12" si="15">SUM(N6:N11)</f>
        <v>0</v>
      </c>
      <c r="O12" s="38">
        <f t="shared" ref="O12" si="16">SUM(O6:O11)</f>
        <v>0</v>
      </c>
      <c r="P12" s="16"/>
      <c r="Q12" s="31">
        <f t="shared" ref="Q12" si="17">SUM(Q6:Q11)</f>
        <v>0</v>
      </c>
      <c r="R12" s="38">
        <f t="shared" ref="R12" si="18">SUM(R6:R11)</f>
        <v>0</v>
      </c>
      <c r="S12" s="31">
        <f t="shared" ref="S12" si="19">SUM(S6:S11)</f>
        <v>24</v>
      </c>
      <c r="T12" s="38">
        <f t="shared" ref="T12" si="20">SUM(T6:T11)</f>
        <v>3.5574879999999989</v>
      </c>
      <c r="U12" s="31">
        <f t="shared" ref="U12" si="21">SUM(U6:U11)</f>
        <v>0</v>
      </c>
      <c r="V12" s="38">
        <f t="shared" ref="V12" si="22">SUM(V6:V11)</f>
        <v>-0.19719999999999946</v>
      </c>
    </row>
    <row r="13" spans="1:22">
      <c r="A13" s="26" t="s">
        <v>13</v>
      </c>
      <c r="B13" s="26" t="s">
        <v>53</v>
      </c>
      <c r="C13" s="30">
        <v>23.45</v>
      </c>
      <c r="D13" s="27">
        <v>11.5</v>
      </c>
      <c r="E13" s="28">
        <v>8</v>
      </c>
      <c r="F13" s="16">
        <f>(C13*D13*E13/1000)</f>
        <v>2.1574</v>
      </c>
      <c r="G13" s="17" t="s">
        <v>111</v>
      </c>
      <c r="H13" s="18">
        <v>6</v>
      </c>
      <c r="I13" s="19">
        <f>(C13*D13*H13/1000)</f>
        <v>1.6180500000000002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6</v>
      </c>
      <c r="T13" s="19">
        <f>+I13+L13+R13+O13</f>
        <v>1.6180500000000002</v>
      </c>
      <c r="U13" s="21">
        <f>E13-S13</f>
        <v>2</v>
      </c>
      <c r="V13" s="19">
        <f>F13-T13</f>
        <v>0.53934999999999977</v>
      </c>
    </row>
    <row r="14" spans="1:22">
      <c r="A14" s="26" t="s">
        <v>13</v>
      </c>
      <c r="B14" s="26" t="s">
        <v>53</v>
      </c>
      <c r="C14" s="30">
        <v>23.45</v>
      </c>
      <c r="D14" s="27">
        <v>12</v>
      </c>
      <c r="E14" s="28"/>
      <c r="F14" s="16">
        <f>(C14*D14*E14/1000)</f>
        <v>0</v>
      </c>
      <c r="G14" s="17" t="s">
        <v>588</v>
      </c>
      <c r="H14" s="18">
        <v>2</v>
      </c>
      <c r="I14" s="19">
        <f>(C14*D14*H14/1000)</f>
        <v>0.56279999999999997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2</v>
      </c>
      <c r="T14" s="19">
        <f>+I14+L14+R14+O14</f>
        <v>0.56279999999999997</v>
      </c>
      <c r="U14" s="21">
        <f>E14-S14</f>
        <v>-2</v>
      </c>
      <c r="V14" s="19">
        <f>F14-T14</f>
        <v>-0.56279999999999997</v>
      </c>
    </row>
    <row r="15" spans="1:22">
      <c r="A15" s="36"/>
      <c r="B15" s="36"/>
      <c r="C15" s="37"/>
      <c r="D15" s="38"/>
      <c r="E15" s="31">
        <f t="shared" ref="E15:F15" si="23">SUM(E13:E14)</f>
        <v>8</v>
      </c>
      <c r="F15" s="38">
        <f t="shared" si="23"/>
        <v>2.1574</v>
      </c>
      <c r="G15" s="17"/>
      <c r="H15" s="31">
        <f t="shared" ref="H15" si="24">SUM(H13:H14)</f>
        <v>8</v>
      </c>
      <c r="I15" s="38">
        <f t="shared" ref="I15" si="25">SUM(I13:I14)</f>
        <v>2.1808500000000004</v>
      </c>
      <c r="J15" s="16"/>
      <c r="K15" s="31">
        <f t="shared" ref="K15" si="26">SUM(K13:K14)</f>
        <v>0</v>
      </c>
      <c r="L15" s="38">
        <f t="shared" ref="L15" si="27">SUM(L13:L14)</f>
        <v>0</v>
      </c>
      <c r="M15" s="16"/>
      <c r="N15" s="31">
        <f t="shared" ref="N15" si="28">SUM(N13:N14)</f>
        <v>0</v>
      </c>
      <c r="O15" s="38">
        <f t="shared" ref="O15" si="29">SUM(O13:O14)</f>
        <v>0</v>
      </c>
      <c r="P15" s="16"/>
      <c r="Q15" s="31">
        <f t="shared" ref="Q15" si="30">SUM(Q13:Q14)</f>
        <v>0</v>
      </c>
      <c r="R15" s="38">
        <f t="shared" ref="R15" si="31">SUM(R13:R14)</f>
        <v>0</v>
      </c>
      <c r="S15" s="31">
        <f t="shared" ref="S15" si="32">SUM(S13:S14)</f>
        <v>8</v>
      </c>
      <c r="T15" s="38">
        <f t="shared" ref="T15" si="33">SUM(T13:T14)</f>
        <v>2.1808500000000004</v>
      </c>
      <c r="U15" s="31">
        <f t="shared" ref="U15" si="34">SUM(U13:U14)</f>
        <v>0</v>
      </c>
      <c r="V15" s="38">
        <f t="shared" ref="V15" si="35">SUM(V13:V14)</f>
        <v>-2.3450000000000193E-2</v>
      </c>
    </row>
    <row r="16" spans="1:22">
      <c r="A16" s="26" t="s">
        <v>14</v>
      </c>
      <c r="B16" s="26" t="s">
        <v>122</v>
      </c>
      <c r="C16" s="30">
        <v>17.829999999999998</v>
      </c>
      <c r="D16" s="27">
        <v>9.6999999999999993</v>
      </c>
      <c r="E16" s="28">
        <v>2</v>
      </c>
      <c r="F16" s="16">
        <f>(C16*D16*E16/1000)</f>
        <v>0.34590199999999993</v>
      </c>
      <c r="G16" s="17" t="s">
        <v>111</v>
      </c>
      <c r="H16" s="18"/>
      <c r="I16" s="19">
        <f>(C16*D16*H16/1000)</f>
        <v>0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0</v>
      </c>
      <c r="T16" s="19">
        <f>+I16+L16+R16+O16</f>
        <v>0</v>
      </c>
      <c r="U16" s="21">
        <f>E16-S16</f>
        <v>2</v>
      </c>
      <c r="V16" s="19">
        <f>F16-T16</f>
        <v>0.34590199999999993</v>
      </c>
    </row>
    <row r="17" spans="1:22">
      <c r="A17" s="26" t="s">
        <v>14</v>
      </c>
      <c r="B17" s="26" t="s">
        <v>122</v>
      </c>
      <c r="C17" s="30">
        <v>17.829999999999998</v>
      </c>
      <c r="D17" s="27">
        <v>11.5</v>
      </c>
      <c r="E17" s="28"/>
      <c r="F17" s="16">
        <f>(C17*D17*E17/1000)</f>
        <v>0</v>
      </c>
      <c r="G17" s="17" t="s">
        <v>604</v>
      </c>
      <c r="H17" s="18">
        <v>2</v>
      </c>
      <c r="I17" s="19">
        <f>(C17*D17*H17/1000)</f>
        <v>0.41008999999999995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2</v>
      </c>
      <c r="T17" s="19">
        <f>+I17+L17+R17+O17</f>
        <v>0.41008999999999995</v>
      </c>
      <c r="U17" s="21">
        <f>E17-S17</f>
        <v>-2</v>
      </c>
      <c r="V17" s="19">
        <f>F17-T17</f>
        <v>-0.41008999999999995</v>
      </c>
    </row>
    <row r="18" spans="1:22">
      <c r="A18" s="36"/>
      <c r="B18" s="36"/>
      <c r="C18" s="37"/>
      <c r="D18" s="38"/>
      <c r="E18" s="31">
        <f t="shared" ref="E18:F18" si="36">SUM(E16:E17)</f>
        <v>2</v>
      </c>
      <c r="F18" s="38">
        <f t="shared" si="36"/>
        <v>0.34590199999999993</v>
      </c>
      <c r="G18" s="17"/>
      <c r="H18" s="31">
        <f t="shared" ref="H18" si="37">SUM(H16:H17)</f>
        <v>2</v>
      </c>
      <c r="I18" s="38">
        <f t="shared" ref="I18" si="38">SUM(I16:I17)</f>
        <v>0.41008999999999995</v>
      </c>
      <c r="K18" s="31">
        <f t="shared" ref="K18" si="39">SUM(K16:K17)</f>
        <v>0</v>
      </c>
      <c r="L18" s="38">
        <f t="shared" ref="L18" si="40">SUM(L16:L17)</f>
        <v>0</v>
      </c>
      <c r="M18" s="16"/>
      <c r="N18" s="31">
        <f t="shared" ref="N18" si="41">SUM(N16:N17)</f>
        <v>0</v>
      </c>
      <c r="O18" s="38">
        <f t="shared" ref="O18" si="42">SUM(O16:O17)</f>
        <v>0</v>
      </c>
      <c r="P18" s="16"/>
      <c r="Q18" s="31">
        <f t="shared" ref="Q18" si="43">SUM(Q16:Q17)</f>
        <v>0</v>
      </c>
      <c r="R18" s="38">
        <f t="shared" ref="R18" si="44">SUM(R16:R17)</f>
        <v>0</v>
      </c>
      <c r="S18" s="31">
        <f t="shared" ref="S18" si="45">SUM(S16:S17)</f>
        <v>2</v>
      </c>
      <c r="T18" s="38">
        <f t="shared" ref="T18" si="46">SUM(T16:T17)</f>
        <v>0.41008999999999995</v>
      </c>
      <c r="U18" s="31">
        <f t="shared" ref="U18" si="47">SUM(U16:U17)</f>
        <v>0</v>
      </c>
      <c r="V18" s="38">
        <f t="shared" ref="V18" si="48">SUM(V16:V17)</f>
        <v>-6.4188000000000023E-2</v>
      </c>
    </row>
    <row r="19" spans="1:22">
      <c r="A19" s="26" t="s">
        <v>14</v>
      </c>
      <c r="B19" s="26" t="s">
        <v>18</v>
      </c>
      <c r="C19" s="30">
        <v>16.579999999999998</v>
      </c>
      <c r="D19" s="27">
        <v>8.5</v>
      </c>
      <c r="E19" s="28">
        <v>1</v>
      </c>
      <c r="F19" s="16">
        <f>(C19*D19*E19/1000)</f>
        <v>0.14092999999999997</v>
      </c>
      <c r="G19" s="17" t="s">
        <v>89</v>
      </c>
      <c r="H19" s="18"/>
      <c r="I19" s="19">
        <f>(C19*D19*H19/1000)</f>
        <v>0</v>
      </c>
      <c r="J19" s="16"/>
      <c r="K19" s="18"/>
      <c r="L19" s="19">
        <f>(C19*D19*K19/1000)</f>
        <v>0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>+H19+K19+Q19+N19</f>
        <v>0</v>
      </c>
      <c r="T19" s="19">
        <f>+I19+L19+R19+O19</f>
        <v>0</v>
      </c>
      <c r="U19" s="21">
        <f>E19-S19</f>
        <v>1</v>
      </c>
      <c r="V19" s="19">
        <f>F19-T19</f>
        <v>0.14092999999999997</v>
      </c>
    </row>
    <row r="20" spans="1:22">
      <c r="A20" s="26" t="s">
        <v>14</v>
      </c>
      <c r="B20" s="26" t="s">
        <v>18</v>
      </c>
      <c r="C20" s="30">
        <v>16.579999999999998</v>
      </c>
      <c r="D20" s="27">
        <v>10.5</v>
      </c>
      <c r="E20" s="28"/>
      <c r="F20" s="16">
        <f>(C20*D20*E20/1000)</f>
        <v>0</v>
      </c>
      <c r="G20" s="17" t="s">
        <v>604</v>
      </c>
      <c r="H20" s="18">
        <v>1</v>
      </c>
      <c r="I20" s="19">
        <f>(C20*D20*H20/1000)</f>
        <v>0.17408999999999997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1</v>
      </c>
      <c r="T20" s="19">
        <f>+I20+L20+R20+O20</f>
        <v>0.17408999999999997</v>
      </c>
      <c r="U20" s="21">
        <f>E20-S20</f>
        <v>-1</v>
      </c>
      <c r="V20" s="19">
        <f>F20-T20</f>
        <v>-0.17408999999999997</v>
      </c>
    </row>
    <row r="21" spans="1:22">
      <c r="A21" s="36"/>
      <c r="B21" s="36"/>
      <c r="C21" s="37"/>
      <c r="D21" s="38"/>
      <c r="E21" s="31">
        <f t="shared" ref="E21:F21" si="49">SUM(E19:E20)</f>
        <v>1</v>
      </c>
      <c r="F21" s="38">
        <f t="shared" si="49"/>
        <v>0.14092999999999997</v>
      </c>
      <c r="G21" s="17"/>
      <c r="H21" s="31">
        <f t="shared" ref="H21" si="50">SUM(H19:H20)</f>
        <v>1</v>
      </c>
      <c r="I21" s="38">
        <f t="shared" ref="I21" si="51">SUM(I19:I20)</f>
        <v>0.17408999999999997</v>
      </c>
      <c r="J21" s="16"/>
      <c r="K21" s="31">
        <f t="shared" ref="K21" si="52">SUM(K19:K20)</f>
        <v>0</v>
      </c>
      <c r="L21" s="38">
        <f t="shared" ref="L21" si="53">SUM(L19:L20)</f>
        <v>0</v>
      </c>
      <c r="M21" s="16"/>
      <c r="N21" s="31">
        <f t="shared" ref="N21" si="54">SUM(N19:N20)</f>
        <v>0</v>
      </c>
      <c r="O21" s="38">
        <f t="shared" ref="O21" si="55">SUM(O19:O20)</f>
        <v>0</v>
      </c>
      <c r="P21" s="16"/>
      <c r="Q21" s="31">
        <f t="shared" ref="Q21" si="56">SUM(Q19:Q20)</f>
        <v>0</v>
      </c>
      <c r="R21" s="38">
        <f t="shared" ref="R21" si="57">SUM(R19:R20)</f>
        <v>0</v>
      </c>
      <c r="S21" s="31">
        <f t="shared" ref="S21" si="58">SUM(S19:S20)</f>
        <v>1</v>
      </c>
      <c r="T21" s="38">
        <f t="shared" ref="T21" si="59">SUM(T19:T20)</f>
        <v>0.17408999999999997</v>
      </c>
      <c r="U21" s="31">
        <f t="shared" ref="U21" si="60">SUM(U19:U20)</f>
        <v>0</v>
      </c>
      <c r="V21" s="38">
        <f t="shared" ref="V21" si="61">SUM(V19:V20)</f>
        <v>-3.3159999999999995E-2</v>
      </c>
    </row>
    <row r="22" spans="1:22">
      <c r="A22" s="26" t="s">
        <v>14</v>
      </c>
      <c r="B22" s="26" t="s">
        <v>47</v>
      </c>
      <c r="C22" s="30">
        <v>18.149999999999999</v>
      </c>
      <c r="D22" s="27">
        <v>12</v>
      </c>
      <c r="E22" s="28">
        <v>2</v>
      </c>
      <c r="F22" s="16">
        <f>(C22*D22*E22/1000)</f>
        <v>0.43559999999999999</v>
      </c>
      <c r="G22" s="17" t="s">
        <v>111</v>
      </c>
      <c r="H22" s="18">
        <v>2</v>
      </c>
      <c r="I22" s="19">
        <f>(C22*D22*H22/1000)</f>
        <v>0.43559999999999999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2</v>
      </c>
      <c r="T22" s="19">
        <f>+I22+L22+R22+O22</f>
        <v>0.43559999999999999</v>
      </c>
      <c r="U22" s="21">
        <f>E22-S22</f>
        <v>0</v>
      </c>
      <c r="V22" s="19">
        <f>F22-T22</f>
        <v>0</v>
      </c>
    </row>
    <row r="23" spans="1:22">
      <c r="A23" s="36"/>
      <c r="B23" s="36"/>
      <c r="C23" s="37"/>
      <c r="D23" s="38"/>
      <c r="E23" s="31">
        <f>SUM(E22)</f>
        <v>2</v>
      </c>
      <c r="F23" s="38">
        <f>SUM(F22)</f>
        <v>0.43559999999999999</v>
      </c>
      <c r="G23" s="17" t="s">
        <v>588</v>
      </c>
      <c r="H23" s="31">
        <f>SUM(H22)</f>
        <v>2</v>
      </c>
      <c r="I23" s="38">
        <f>SUM(I22)</f>
        <v>0.43559999999999999</v>
      </c>
      <c r="J23" s="16"/>
      <c r="K23" s="31">
        <f>SUM(K22)</f>
        <v>0</v>
      </c>
      <c r="L23" s="38">
        <f>SUM(L22)</f>
        <v>0</v>
      </c>
      <c r="M23" s="16"/>
      <c r="N23" s="31">
        <f>SUM(N22)</f>
        <v>0</v>
      </c>
      <c r="O23" s="38">
        <f>SUM(O22)</f>
        <v>0</v>
      </c>
      <c r="P23" s="16"/>
      <c r="Q23" s="31">
        <f t="shared" ref="Q23:V23" si="62">SUM(Q22)</f>
        <v>0</v>
      </c>
      <c r="R23" s="38">
        <f t="shared" si="62"/>
        <v>0</v>
      </c>
      <c r="S23" s="31">
        <f t="shared" si="62"/>
        <v>2</v>
      </c>
      <c r="T23" s="38">
        <f t="shared" si="62"/>
        <v>0.43559999999999999</v>
      </c>
      <c r="U23" s="31">
        <f t="shared" si="62"/>
        <v>0</v>
      </c>
      <c r="V23" s="38">
        <f t="shared" si="62"/>
        <v>0</v>
      </c>
    </row>
    <row r="24" spans="1:22">
      <c r="A24" s="26" t="s">
        <v>14</v>
      </c>
      <c r="B24" s="26" t="s">
        <v>53</v>
      </c>
      <c r="C24" s="30">
        <v>23.45</v>
      </c>
      <c r="D24" s="27">
        <v>7</v>
      </c>
      <c r="E24" s="28">
        <v>1</v>
      </c>
      <c r="F24" s="16">
        <f>(C24*D24*E24/1000)</f>
        <v>0.16415000000000002</v>
      </c>
      <c r="G24" s="17" t="s">
        <v>89</v>
      </c>
      <c r="H24" s="18">
        <v>1</v>
      </c>
      <c r="I24" s="19">
        <f>(C24*D24*H24/1000)</f>
        <v>0.16415000000000002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1</v>
      </c>
      <c r="T24" s="19">
        <f>+I24+L24+R24+O24</f>
        <v>0.16415000000000002</v>
      </c>
      <c r="U24" s="21">
        <f>E24-S24</f>
        <v>0</v>
      </c>
      <c r="V24" s="19">
        <f>F24-T24</f>
        <v>0</v>
      </c>
    </row>
    <row r="25" spans="1:22">
      <c r="A25" s="36"/>
      <c r="B25" s="36"/>
      <c r="C25" s="37"/>
      <c r="D25" s="38"/>
      <c r="E25" s="31">
        <f>SUM(E24)</f>
        <v>1</v>
      </c>
      <c r="F25" s="38">
        <f>SUM(F24)</f>
        <v>0.16415000000000002</v>
      </c>
      <c r="G25" s="17" t="s">
        <v>604</v>
      </c>
      <c r="H25" s="31">
        <f>SUM(H24)</f>
        <v>1</v>
      </c>
      <c r="I25" s="38">
        <f>SUM(I24)</f>
        <v>0.16415000000000002</v>
      </c>
      <c r="J25" s="16"/>
      <c r="K25" s="31">
        <f>SUM(K24)</f>
        <v>0</v>
      </c>
      <c r="L25" s="38">
        <f>SUM(L24)</f>
        <v>0</v>
      </c>
      <c r="M25" s="16"/>
      <c r="N25" s="31">
        <f>SUM(N24)</f>
        <v>0</v>
      </c>
      <c r="O25" s="38">
        <f>SUM(O24)</f>
        <v>0</v>
      </c>
      <c r="P25" s="16"/>
      <c r="Q25" s="31">
        <f t="shared" ref="Q25:V25" si="63">SUM(Q24)</f>
        <v>0</v>
      </c>
      <c r="R25" s="38">
        <f t="shared" si="63"/>
        <v>0</v>
      </c>
      <c r="S25" s="31">
        <f t="shared" si="63"/>
        <v>1</v>
      </c>
      <c r="T25" s="38">
        <f t="shared" si="63"/>
        <v>0.16415000000000002</v>
      </c>
      <c r="U25" s="31">
        <f t="shared" si="63"/>
        <v>0</v>
      </c>
      <c r="V25" s="38">
        <f t="shared" si="63"/>
        <v>0</v>
      </c>
    </row>
    <row r="26" spans="1:22">
      <c r="A26" s="26" t="s">
        <v>14</v>
      </c>
      <c r="B26" s="26" t="s">
        <v>34</v>
      </c>
      <c r="C26" s="30">
        <v>5.77</v>
      </c>
      <c r="D26" s="27">
        <v>12</v>
      </c>
      <c r="E26" s="28">
        <v>35</v>
      </c>
      <c r="F26" s="16">
        <f>(C26*D26*E26/1000)</f>
        <v>2.4233999999999996</v>
      </c>
      <c r="G26" s="17" t="s">
        <v>89</v>
      </c>
      <c r="H26" s="18">
        <v>16</v>
      </c>
      <c r="I26" s="19">
        <f>(C26*D26*H26/1000)</f>
        <v>1.1078399999999999</v>
      </c>
      <c r="J26" s="17" t="s">
        <v>111</v>
      </c>
      <c r="K26" s="18">
        <v>19</v>
      </c>
      <c r="L26" s="19">
        <f>(C26*D26*K26/1000)</f>
        <v>1.3155599999999998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+H26+K26+Q26+N26</f>
        <v>35</v>
      </c>
      <c r="T26" s="19">
        <f>+I26+L26+R26+O26</f>
        <v>2.4234</v>
      </c>
      <c r="U26" s="21">
        <f>E26-S26</f>
        <v>0</v>
      </c>
      <c r="V26" s="19">
        <f>F26-T26</f>
        <v>0</v>
      </c>
    </row>
    <row r="27" spans="1:22">
      <c r="A27" s="36"/>
      <c r="B27" s="36"/>
      <c r="C27" s="37"/>
      <c r="D27" s="38"/>
      <c r="E27" s="31">
        <f>SUM(E26)</f>
        <v>35</v>
      </c>
      <c r="F27" s="38">
        <f>SUM(F26)</f>
        <v>2.4233999999999996</v>
      </c>
      <c r="G27" t="s">
        <v>587</v>
      </c>
      <c r="H27" s="31">
        <f>SUM(H26)</f>
        <v>16</v>
      </c>
      <c r="I27" s="38">
        <f>SUM(I26)</f>
        <v>1.1078399999999999</v>
      </c>
      <c r="J27" s="17" t="s">
        <v>588</v>
      </c>
      <c r="K27" s="31">
        <f>SUM(K26)</f>
        <v>19</v>
      </c>
      <c r="L27" s="38">
        <f>SUM(L26)</f>
        <v>1.3155599999999998</v>
      </c>
      <c r="M27" s="16"/>
      <c r="N27" s="31">
        <f>SUM(N26)</f>
        <v>0</v>
      </c>
      <c r="O27" s="38">
        <f>SUM(O26)</f>
        <v>0</v>
      </c>
      <c r="P27" s="16"/>
      <c r="Q27" s="31">
        <f t="shared" ref="Q27:V27" si="64">SUM(Q26)</f>
        <v>0</v>
      </c>
      <c r="R27" s="38">
        <f t="shared" si="64"/>
        <v>0</v>
      </c>
      <c r="S27" s="31">
        <f t="shared" si="64"/>
        <v>35</v>
      </c>
      <c r="T27" s="38">
        <f t="shared" si="64"/>
        <v>2.4234</v>
      </c>
      <c r="U27" s="31">
        <f t="shared" si="64"/>
        <v>0</v>
      </c>
      <c r="V27" s="38">
        <f t="shared" si="64"/>
        <v>0</v>
      </c>
    </row>
    <row r="28" spans="1:22">
      <c r="A28" s="26" t="s">
        <v>14</v>
      </c>
      <c r="B28" s="26" t="s">
        <v>35</v>
      </c>
      <c r="C28" s="30">
        <v>6.86</v>
      </c>
      <c r="D28" s="27">
        <v>12</v>
      </c>
      <c r="E28" s="28">
        <v>14</v>
      </c>
      <c r="F28" s="16">
        <f>(C28*D28*E28/1000)</f>
        <v>1.1524799999999999</v>
      </c>
      <c r="G28" s="17" t="s">
        <v>89</v>
      </c>
      <c r="H28" s="18">
        <v>14</v>
      </c>
      <c r="I28" s="19">
        <f>(C28*D28*H28/1000)</f>
        <v>1.1524799999999999</v>
      </c>
      <c r="J28" s="16"/>
      <c r="K28" s="18"/>
      <c r="L28" s="19">
        <f>(C28*D28*K28/1000)</f>
        <v>0</v>
      </c>
      <c r="M28" s="16"/>
      <c r="N28" s="18"/>
      <c r="O28" s="19">
        <f>(C28*D28*N28/1000)</f>
        <v>0</v>
      </c>
      <c r="P28" s="16"/>
      <c r="Q28" s="18"/>
      <c r="R28" s="19">
        <f>(C28*D28*Q28/1000)</f>
        <v>0</v>
      </c>
      <c r="S28" s="20">
        <f>+H28+K28+Q28+N28</f>
        <v>14</v>
      </c>
      <c r="T28" s="19">
        <f>+I28+L28+R28+O28</f>
        <v>1.1524799999999999</v>
      </c>
      <c r="U28" s="21">
        <f>E28-S28</f>
        <v>0</v>
      </c>
      <c r="V28" s="19">
        <f>F28-T28</f>
        <v>0</v>
      </c>
    </row>
    <row r="29" spans="1:22">
      <c r="A29" s="36"/>
      <c r="B29" s="36"/>
      <c r="C29" s="37"/>
      <c r="D29" s="38"/>
      <c r="E29" s="31">
        <f>SUM(E28)</f>
        <v>14</v>
      </c>
      <c r="F29" s="38">
        <f>SUM(F28)</f>
        <v>1.1524799999999999</v>
      </c>
      <c r="G29" s="17" t="s">
        <v>604</v>
      </c>
      <c r="H29" s="31">
        <f>SUM(H28)</f>
        <v>14</v>
      </c>
      <c r="I29" s="38">
        <f>SUM(I28)</f>
        <v>1.1524799999999999</v>
      </c>
      <c r="J29" s="16"/>
      <c r="K29" s="31">
        <f>SUM(K28)</f>
        <v>0</v>
      </c>
      <c r="L29" s="38">
        <f>SUM(L28)</f>
        <v>0</v>
      </c>
      <c r="M29" s="16"/>
      <c r="N29" s="31">
        <f>SUM(N28)</f>
        <v>0</v>
      </c>
      <c r="O29" s="38">
        <f>SUM(O28)</f>
        <v>0</v>
      </c>
      <c r="P29" s="16"/>
      <c r="Q29" s="31">
        <f t="shared" ref="Q29:V29" si="65">SUM(Q28)</f>
        <v>0</v>
      </c>
      <c r="R29" s="38">
        <f t="shared" si="65"/>
        <v>0</v>
      </c>
      <c r="S29" s="31">
        <f t="shared" si="65"/>
        <v>14</v>
      </c>
      <c r="T29" s="38">
        <f t="shared" si="65"/>
        <v>1.1524799999999999</v>
      </c>
      <c r="U29" s="31">
        <f t="shared" si="65"/>
        <v>0</v>
      </c>
      <c r="V29" s="38">
        <f t="shared" si="65"/>
        <v>0</v>
      </c>
    </row>
    <row r="30" spans="1:22">
      <c r="A30" s="26" t="s">
        <v>14</v>
      </c>
      <c r="B30" s="26" t="s">
        <v>58</v>
      </c>
      <c r="C30" s="30">
        <v>7.36</v>
      </c>
      <c r="D30" s="27">
        <v>12</v>
      </c>
      <c r="E30" s="28">
        <v>23</v>
      </c>
      <c r="F30" s="16">
        <f>(C30*D30*E30/1000)</f>
        <v>2.0313600000000003</v>
      </c>
      <c r="G30" s="17" t="s">
        <v>111</v>
      </c>
      <c r="H30" s="18">
        <f>13+7</f>
        <v>20</v>
      </c>
      <c r="I30" s="19">
        <f>(C30*D30*H30/1000)</f>
        <v>1.7664000000000002</v>
      </c>
      <c r="J30" s="16"/>
      <c r="K30" s="18"/>
      <c r="L30" s="19">
        <f>(C30*D30*K30/1000)</f>
        <v>0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20</v>
      </c>
      <c r="T30" s="19">
        <f>+I30+L30+R30+O30</f>
        <v>1.7664000000000002</v>
      </c>
      <c r="U30" s="21">
        <f>E30-S30</f>
        <v>3</v>
      </c>
      <c r="V30" s="19">
        <f>F30-T30</f>
        <v>0.26496000000000008</v>
      </c>
    </row>
    <row r="31" spans="1:22">
      <c r="A31" s="26" t="s">
        <v>14</v>
      </c>
      <c r="B31" s="26" t="s">
        <v>58</v>
      </c>
      <c r="C31" s="30">
        <v>7.36</v>
      </c>
      <c r="D31" s="27">
        <v>10</v>
      </c>
      <c r="E31" s="28"/>
      <c r="F31" s="16">
        <f t="shared" ref="F31:F34" si="66">(C31*D31*E31/1000)</f>
        <v>0</v>
      </c>
      <c r="G31" s="17" t="s">
        <v>588</v>
      </c>
      <c r="H31" s="18">
        <v>2</v>
      </c>
      <c r="I31" s="19">
        <f t="shared" ref="I31:I34" si="67">(C31*D31*H31/1000)</f>
        <v>0.14720000000000003</v>
      </c>
      <c r="J31" s="16"/>
      <c r="K31" s="18"/>
      <c r="L31" s="19">
        <f t="shared" ref="L31:L34" si="68">(C31*D31*K31/1000)</f>
        <v>0</v>
      </c>
      <c r="M31" s="16"/>
      <c r="N31" s="18"/>
      <c r="O31" s="19">
        <f t="shared" ref="O31:O34" si="69">(C31*D31*N31/1000)</f>
        <v>0</v>
      </c>
      <c r="P31" s="16"/>
      <c r="Q31" s="18"/>
      <c r="R31" s="19">
        <f t="shared" ref="R31:R34" si="70">(C31*D31*Q31/1000)</f>
        <v>0</v>
      </c>
      <c r="S31" s="20">
        <f t="shared" ref="S31:S34" si="71">+H31+K31+Q31+N31</f>
        <v>2</v>
      </c>
      <c r="T31" s="19">
        <f t="shared" ref="T31:T34" si="72">+I31+L31+R31+O31</f>
        <v>0.14720000000000003</v>
      </c>
      <c r="U31" s="21">
        <f t="shared" ref="U31:U34" si="73">E31-S31</f>
        <v>-2</v>
      </c>
      <c r="V31" s="19">
        <f t="shared" ref="V31:V34" si="74">F31-T31</f>
        <v>-0.14720000000000003</v>
      </c>
    </row>
    <row r="32" spans="1:22">
      <c r="A32" s="26" t="s">
        <v>14</v>
      </c>
      <c r="B32" s="26" t="s">
        <v>58</v>
      </c>
      <c r="C32" s="30">
        <v>7.36</v>
      </c>
      <c r="D32" s="27">
        <v>10.65</v>
      </c>
      <c r="E32" s="28"/>
      <c r="F32" s="16">
        <f t="shared" si="66"/>
        <v>0</v>
      </c>
      <c r="G32" s="17"/>
      <c r="H32" s="18">
        <v>1</v>
      </c>
      <c r="I32" s="19">
        <f t="shared" si="67"/>
        <v>7.8383999999999995E-2</v>
      </c>
      <c r="J32" s="16"/>
      <c r="K32" s="18"/>
      <c r="L32" s="19">
        <f t="shared" si="68"/>
        <v>0</v>
      </c>
      <c r="M32" s="16"/>
      <c r="N32" s="18"/>
      <c r="O32" s="19">
        <f t="shared" si="69"/>
        <v>0</v>
      </c>
      <c r="P32" s="16"/>
      <c r="Q32" s="18"/>
      <c r="R32" s="19">
        <f t="shared" si="70"/>
        <v>0</v>
      </c>
      <c r="S32" s="20">
        <f t="shared" si="71"/>
        <v>1</v>
      </c>
      <c r="T32" s="19">
        <f t="shared" si="72"/>
        <v>7.8383999999999995E-2</v>
      </c>
      <c r="U32" s="21">
        <f t="shared" si="73"/>
        <v>-1</v>
      </c>
      <c r="V32" s="19">
        <f t="shared" si="74"/>
        <v>-7.8383999999999995E-2</v>
      </c>
    </row>
    <row r="33" spans="1:22">
      <c r="A33" s="26" t="s">
        <v>14</v>
      </c>
      <c r="B33" s="26" t="s">
        <v>58</v>
      </c>
      <c r="C33" s="30">
        <v>7.36</v>
      </c>
      <c r="D33" s="27">
        <v>8</v>
      </c>
      <c r="E33" s="28"/>
      <c r="F33" s="16">
        <f t="shared" si="66"/>
        <v>0</v>
      </c>
      <c r="G33" s="17"/>
      <c r="H33" s="18">
        <v>3</v>
      </c>
      <c r="I33" s="19">
        <f t="shared" si="67"/>
        <v>0.17664000000000002</v>
      </c>
      <c r="J33" s="16"/>
      <c r="K33" s="18"/>
      <c r="L33" s="19">
        <f t="shared" si="68"/>
        <v>0</v>
      </c>
      <c r="M33" s="16"/>
      <c r="N33" s="18"/>
      <c r="O33" s="19">
        <f t="shared" si="69"/>
        <v>0</v>
      </c>
      <c r="P33" s="16"/>
      <c r="Q33" s="18"/>
      <c r="R33" s="19">
        <f t="shared" si="70"/>
        <v>0</v>
      </c>
      <c r="S33" s="20">
        <f t="shared" si="71"/>
        <v>3</v>
      </c>
      <c r="T33" s="19">
        <f t="shared" si="72"/>
        <v>0.17664000000000002</v>
      </c>
      <c r="U33" s="21">
        <f t="shared" si="73"/>
        <v>-3</v>
      </c>
      <c r="V33" s="19">
        <f t="shared" si="74"/>
        <v>-0.17664000000000002</v>
      </c>
    </row>
    <row r="34" spans="1:22">
      <c r="A34" s="26" t="s">
        <v>14</v>
      </c>
      <c r="B34" s="26" t="s">
        <v>58</v>
      </c>
      <c r="C34" s="30">
        <v>7.36</v>
      </c>
      <c r="D34" s="27">
        <v>6</v>
      </c>
      <c r="E34" s="28"/>
      <c r="F34" s="16">
        <f t="shared" si="66"/>
        <v>0</v>
      </c>
      <c r="G34" s="17"/>
      <c r="H34" s="18">
        <v>2</v>
      </c>
      <c r="I34" s="19">
        <f t="shared" si="67"/>
        <v>8.832000000000001E-2</v>
      </c>
      <c r="J34" s="16"/>
      <c r="K34" s="18"/>
      <c r="L34" s="19">
        <f t="shared" si="68"/>
        <v>0</v>
      </c>
      <c r="M34" s="16"/>
      <c r="N34" s="18"/>
      <c r="O34" s="19">
        <f t="shared" si="69"/>
        <v>0</v>
      </c>
      <c r="P34" s="16"/>
      <c r="Q34" s="18"/>
      <c r="R34" s="19">
        <f t="shared" si="70"/>
        <v>0</v>
      </c>
      <c r="S34" s="20">
        <f t="shared" si="71"/>
        <v>2</v>
      </c>
      <c r="T34" s="19">
        <f t="shared" si="72"/>
        <v>8.832000000000001E-2</v>
      </c>
      <c r="U34" s="21">
        <f t="shared" si="73"/>
        <v>-2</v>
      </c>
      <c r="V34" s="19">
        <f t="shared" si="74"/>
        <v>-8.832000000000001E-2</v>
      </c>
    </row>
    <row r="35" spans="1:22">
      <c r="A35" s="36"/>
      <c r="B35" s="36"/>
      <c r="C35" s="37"/>
      <c r="D35" s="38"/>
      <c r="E35" s="31">
        <f t="shared" ref="E35:F35" si="75">SUM(E30:E34)</f>
        <v>23</v>
      </c>
      <c r="F35" s="38">
        <f t="shared" si="75"/>
        <v>2.0313600000000003</v>
      </c>
      <c r="H35" s="31">
        <f t="shared" ref="H35" si="76">SUM(H30:H34)</f>
        <v>28</v>
      </c>
      <c r="I35" s="38">
        <f t="shared" ref="I35" si="77">SUM(I30:I34)</f>
        <v>2.2569440000000003</v>
      </c>
      <c r="K35" s="31">
        <f t="shared" ref="K35" si="78">SUM(K30:K34)</f>
        <v>0</v>
      </c>
      <c r="L35" s="38">
        <f t="shared" ref="L35" si="79">SUM(L30:L34)</f>
        <v>0</v>
      </c>
      <c r="N35" s="31">
        <f t="shared" ref="N35" si="80">SUM(N30:N34)</f>
        <v>0</v>
      </c>
      <c r="O35" s="38">
        <f t="shared" ref="O35" si="81">SUM(O30:O34)</f>
        <v>0</v>
      </c>
      <c r="Q35" s="31">
        <f t="shared" ref="Q35" si="82">SUM(Q30:Q34)</f>
        <v>0</v>
      </c>
      <c r="R35" s="38">
        <f t="shared" ref="R35" si="83">SUM(R30:R34)</f>
        <v>0</v>
      </c>
      <c r="S35" s="31">
        <f t="shared" ref="S35" si="84">SUM(S30:S34)</f>
        <v>28</v>
      </c>
      <c r="T35" s="38">
        <f t="shared" ref="T35" si="85">SUM(T30:T34)</f>
        <v>2.2569440000000003</v>
      </c>
      <c r="U35" s="31">
        <f t="shared" ref="U35" si="86">SUM(U30:U34)</f>
        <v>-5</v>
      </c>
      <c r="V35" s="38">
        <f t="shared" ref="V35" si="87">SUM(V30:V34)</f>
        <v>-0.22558399999999995</v>
      </c>
    </row>
    <row r="36" spans="1:22">
      <c r="A36" s="26" t="s">
        <v>14</v>
      </c>
      <c r="B36" s="26" t="s">
        <v>508</v>
      </c>
      <c r="C36" s="30">
        <v>9.65</v>
      </c>
      <c r="D36" s="27">
        <v>11.5</v>
      </c>
      <c r="E36" s="28">
        <v>2</v>
      </c>
      <c r="F36" s="16">
        <f>(C36*D36*E36/1000)</f>
        <v>0.22195000000000001</v>
      </c>
      <c r="G36" s="17" t="s">
        <v>111</v>
      </c>
      <c r="H36" s="18">
        <v>2</v>
      </c>
      <c r="I36" s="19">
        <f>(C36*D36*H36/1000)</f>
        <v>0.22195000000000001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2</v>
      </c>
      <c r="T36" s="19">
        <f>+I36+L36+R36+O36</f>
        <v>0.22195000000000001</v>
      </c>
      <c r="U36" s="21">
        <f>E36-S36</f>
        <v>0</v>
      </c>
      <c r="V36" s="19">
        <f>F36-T36</f>
        <v>0</v>
      </c>
    </row>
    <row r="37" spans="1:22">
      <c r="A37" s="36"/>
      <c r="B37" s="36"/>
      <c r="C37" s="37"/>
      <c r="D37" s="38"/>
      <c r="E37" s="31">
        <f>SUM(E36)</f>
        <v>2</v>
      </c>
      <c r="F37" s="38">
        <f>SUM(F36)</f>
        <v>0.22195000000000001</v>
      </c>
      <c r="G37" s="17" t="s">
        <v>588</v>
      </c>
      <c r="H37" s="31">
        <f>SUM(H36)</f>
        <v>2</v>
      </c>
      <c r="I37" s="38">
        <f>SUM(I36)</f>
        <v>0.22195000000000001</v>
      </c>
      <c r="K37" s="31">
        <f>SUM(K36)</f>
        <v>0</v>
      </c>
      <c r="L37" s="38">
        <f>SUM(L36)</f>
        <v>0</v>
      </c>
      <c r="N37" s="31">
        <f>SUM(N36)</f>
        <v>0</v>
      </c>
      <c r="O37" s="38">
        <f>SUM(O36)</f>
        <v>0</v>
      </c>
      <c r="Q37" s="31">
        <f t="shared" ref="Q37:V37" si="88">SUM(Q36)</f>
        <v>0</v>
      </c>
      <c r="R37" s="38">
        <f t="shared" si="88"/>
        <v>0</v>
      </c>
      <c r="S37" s="31">
        <f t="shared" si="88"/>
        <v>2</v>
      </c>
      <c r="T37" s="38">
        <f t="shared" si="88"/>
        <v>0.22195000000000001</v>
      </c>
      <c r="U37" s="31">
        <f t="shared" si="88"/>
        <v>0</v>
      </c>
      <c r="V37" s="38">
        <f t="shared" si="88"/>
        <v>0</v>
      </c>
    </row>
    <row r="38" spans="1:22">
      <c r="A38" s="26" t="s">
        <v>14</v>
      </c>
      <c r="B38" s="26" t="s">
        <v>37</v>
      </c>
      <c r="C38" s="30">
        <v>9.61</v>
      </c>
      <c r="D38" s="27">
        <v>12</v>
      </c>
      <c r="E38" s="28">
        <v>1</v>
      </c>
      <c r="F38" s="16">
        <f>(C38*D38*E38/1000)</f>
        <v>0.11531999999999999</v>
      </c>
      <c r="G38" s="17" t="s">
        <v>89</v>
      </c>
      <c r="H38" s="18">
        <v>1</v>
      </c>
      <c r="I38" s="19">
        <f>(C38*D38*H38/1000)</f>
        <v>0.11531999999999999</v>
      </c>
      <c r="J38" s="16"/>
      <c r="K38" s="18"/>
      <c r="L38" s="19">
        <f>(C38*D38*K38/1000)</f>
        <v>0</v>
      </c>
      <c r="M38" s="16"/>
      <c r="N38" s="18"/>
      <c r="O38" s="19">
        <f>(C38*D38*N38/1000)</f>
        <v>0</v>
      </c>
      <c r="P38" s="16"/>
      <c r="Q38" s="18"/>
      <c r="R38" s="19">
        <f>(C38*D38*Q38/1000)</f>
        <v>0</v>
      </c>
      <c r="S38" s="20">
        <f>+H38+K38+Q38+N38</f>
        <v>1</v>
      </c>
      <c r="T38" s="19">
        <f>+I38+L38+R38+O38</f>
        <v>0.11531999999999999</v>
      </c>
      <c r="U38" s="21">
        <f>E38-S38</f>
        <v>0</v>
      </c>
      <c r="V38" s="19">
        <f>F38-T38</f>
        <v>0</v>
      </c>
    </row>
    <row r="39" spans="1:22">
      <c r="A39" s="36"/>
      <c r="B39" s="36"/>
      <c r="C39" s="37"/>
      <c r="D39" s="38"/>
      <c r="E39" s="31">
        <f>SUM(E38)</f>
        <v>1</v>
      </c>
      <c r="F39" s="38">
        <f>SUM(F38)</f>
        <v>0.11531999999999999</v>
      </c>
      <c r="G39" s="17" t="s">
        <v>604</v>
      </c>
      <c r="H39" s="31">
        <f>SUM(H38)</f>
        <v>1</v>
      </c>
      <c r="I39" s="38">
        <f>SUM(I38)</f>
        <v>0.11531999999999999</v>
      </c>
      <c r="K39" s="31">
        <f>SUM(K38)</f>
        <v>0</v>
      </c>
      <c r="L39" s="38">
        <f>SUM(L38)</f>
        <v>0</v>
      </c>
      <c r="N39" s="31">
        <f>SUM(N38)</f>
        <v>0</v>
      </c>
      <c r="O39" s="38">
        <f>SUM(O38)</f>
        <v>0</v>
      </c>
      <c r="Q39" s="31">
        <f t="shared" ref="Q39:V39" si="89">SUM(Q38)</f>
        <v>0</v>
      </c>
      <c r="R39" s="38">
        <f t="shared" si="89"/>
        <v>0</v>
      </c>
      <c r="S39" s="31">
        <f t="shared" si="89"/>
        <v>1</v>
      </c>
      <c r="T39" s="38">
        <f t="shared" si="89"/>
        <v>0.11531999999999999</v>
      </c>
      <c r="U39" s="31">
        <f t="shared" si="89"/>
        <v>0</v>
      </c>
      <c r="V39" s="38">
        <f t="shared" si="89"/>
        <v>0</v>
      </c>
    </row>
    <row r="40" spans="1:22">
      <c r="A40" s="33"/>
      <c r="B40" s="33"/>
      <c r="C40" s="70"/>
      <c r="D40" s="34"/>
      <c r="E40" s="34">
        <f>SUM(E6:E39)/2</f>
        <v>113</v>
      </c>
      <c r="F40" s="35">
        <f>SUM(F6:F39)/2</f>
        <v>12.548779999999999</v>
      </c>
      <c r="H40" s="34">
        <f>SUM(H6:H39)/2</f>
        <v>93</v>
      </c>
      <c r="I40" s="35">
        <f>SUM(I6:I39)/2</f>
        <v>10.936730000000001</v>
      </c>
      <c r="K40" s="34">
        <f>SUM(K6:K39)/2</f>
        <v>25</v>
      </c>
      <c r="L40" s="35">
        <f>SUM(L6:L39)/2</f>
        <v>2.1556319999999998</v>
      </c>
      <c r="N40" s="34">
        <f>SUM(N6:N39)/2</f>
        <v>0</v>
      </c>
      <c r="O40" s="35">
        <f>SUM(O6:O39)/2</f>
        <v>0</v>
      </c>
      <c r="Q40" s="34">
        <f t="shared" ref="Q40:V40" si="90">SUM(Q6:Q39)/2</f>
        <v>0</v>
      </c>
      <c r="R40" s="35">
        <f t="shared" si="90"/>
        <v>0</v>
      </c>
      <c r="S40" s="34">
        <f t="shared" si="90"/>
        <v>118</v>
      </c>
      <c r="T40" s="35">
        <f t="shared" si="90"/>
        <v>13.092362000000001</v>
      </c>
      <c r="U40" s="34">
        <f t="shared" si="90"/>
        <v>-5</v>
      </c>
      <c r="V40" s="35">
        <f t="shared" si="90"/>
        <v>-0.54358199999999957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V140"/>
  <sheetViews>
    <sheetView zoomScale="75" zoomScaleNormal="75" workbookViewId="0">
      <pane ySplit="5" topLeftCell="A39" activePane="bottomLeft" state="frozen"/>
      <selection pane="bottomLeft" activeCell="M45" sqref="M45:M46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LOI-1048  02.11.23</v>
      </c>
      <c r="D1" s="1"/>
      <c r="E1" s="2"/>
      <c r="F1" s="2"/>
      <c r="G1" s="143" t="s">
        <v>500</v>
      </c>
      <c r="H1" s="144"/>
      <c r="I1" s="145" t="s">
        <v>501</v>
      </c>
      <c r="J1" s="144"/>
      <c r="K1" s="3"/>
      <c r="L1" s="4"/>
      <c r="M1" s="4"/>
      <c r="N1" s="3"/>
      <c r="O1" s="4"/>
      <c r="P1" s="146" t="str">
        <f>+F2</f>
        <v>LOI-1048  02.11.23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502</v>
      </c>
      <c r="B2" s="8"/>
      <c r="C2" s="9"/>
      <c r="D2" s="9"/>
      <c r="E2" s="10"/>
      <c r="F2" s="146" t="s">
        <v>509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LOI-1048  02.11.23</v>
      </c>
      <c r="V2" s="146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30">
        <v>9.26</v>
      </c>
      <c r="D6" s="27">
        <v>10.3</v>
      </c>
      <c r="E6" s="28">
        <v>80</v>
      </c>
      <c r="F6" s="16">
        <f t="shared" ref="F6:F14" si="0">(C6*D6*E6/1000)</f>
        <v>7.6302399999999997</v>
      </c>
      <c r="G6" s="16" t="s">
        <v>93</v>
      </c>
      <c r="H6" s="18">
        <v>52</v>
      </c>
      <c r="I6" s="19">
        <f t="shared" ref="I6:I14" si="1">(C6*D6*H6/1000)</f>
        <v>4.9596559999999998</v>
      </c>
      <c r="J6" s="17" t="s">
        <v>89</v>
      </c>
      <c r="K6" s="18">
        <f>2+26</f>
        <v>28</v>
      </c>
      <c r="L6" s="19">
        <f t="shared" ref="L6:L14" si="2">(C6*D6*K6/1000)</f>
        <v>2.6705839999999998</v>
      </c>
      <c r="M6" s="16" t="s">
        <v>93</v>
      </c>
      <c r="N6" s="18">
        <v>20</v>
      </c>
      <c r="O6" s="19">
        <f t="shared" ref="O6:O14" si="3">(C6*D6*N6/1000)</f>
        <v>1.9075599999999999</v>
      </c>
      <c r="P6" s="16"/>
      <c r="Q6" s="18"/>
      <c r="R6" s="19">
        <f t="shared" ref="R6:R14" si="4">(C6*D6*Q6/1000)</f>
        <v>0</v>
      </c>
      <c r="S6" s="20">
        <f t="shared" ref="S6:S14" si="5">+H6+K6+Q6+N6</f>
        <v>100</v>
      </c>
      <c r="T6" s="19">
        <f t="shared" ref="T6:T14" si="6">+I6+L6+R6+O6</f>
        <v>9.5377999999999989</v>
      </c>
      <c r="U6" s="21">
        <f t="shared" ref="U6:U14" si="7">E6-S6</f>
        <v>-20</v>
      </c>
      <c r="V6" s="19">
        <f t="shared" ref="V6:V14" si="8">F6-T6</f>
        <v>-1.9075599999999993</v>
      </c>
    </row>
    <row r="7" spans="1:22">
      <c r="A7" s="26" t="s">
        <v>13</v>
      </c>
      <c r="B7" s="26" t="s">
        <v>45</v>
      </c>
      <c r="C7" s="30">
        <v>9.26</v>
      </c>
      <c r="D7" s="27">
        <v>11.3</v>
      </c>
      <c r="E7" s="28">
        <v>28</v>
      </c>
      <c r="F7" s="16">
        <f t="shared" si="0"/>
        <v>2.9298640000000002</v>
      </c>
      <c r="G7" s="17" t="s">
        <v>512</v>
      </c>
      <c r="H7" s="18">
        <f>3+9</f>
        <v>12</v>
      </c>
      <c r="I7" s="19">
        <f t="shared" si="1"/>
        <v>1.2556559999999999</v>
      </c>
      <c r="J7" s="17" t="s">
        <v>515</v>
      </c>
      <c r="K7" s="18">
        <v>16</v>
      </c>
      <c r="L7" s="19">
        <f t="shared" si="2"/>
        <v>1.6742080000000001</v>
      </c>
      <c r="M7" s="16" t="s">
        <v>523</v>
      </c>
      <c r="N7" s="18">
        <v>6</v>
      </c>
      <c r="O7" s="19">
        <f t="shared" si="3"/>
        <v>0.62782799999999994</v>
      </c>
      <c r="P7" s="16"/>
      <c r="Q7" s="18"/>
      <c r="R7" s="19">
        <f t="shared" si="4"/>
        <v>0</v>
      </c>
      <c r="S7" s="20">
        <f t="shared" si="5"/>
        <v>34</v>
      </c>
      <c r="T7" s="19">
        <f t="shared" si="6"/>
        <v>3.5576920000000003</v>
      </c>
      <c r="U7" s="21">
        <f t="shared" si="7"/>
        <v>-6</v>
      </c>
      <c r="V7" s="19">
        <f t="shared" si="8"/>
        <v>-0.62782800000000005</v>
      </c>
    </row>
    <row r="8" spans="1:22">
      <c r="A8" s="26" t="s">
        <v>13</v>
      </c>
      <c r="B8" s="26" t="s">
        <v>45</v>
      </c>
      <c r="C8" s="30">
        <v>9.26</v>
      </c>
      <c r="D8" s="27">
        <v>11.8</v>
      </c>
      <c r="E8" s="28">
        <v>160</v>
      </c>
      <c r="F8" s="16">
        <f t="shared" ref="F8:F13" si="9">(C8*D8*E8/1000)</f>
        <v>17.482880000000002</v>
      </c>
      <c r="G8" s="26" t="s">
        <v>111</v>
      </c>
      <c r="H8" s="18">
        <f t="shared" ref="H8" si="10">64+30</f>
        <v>94</v>
      </c>
      <c r="I8" s="19">
        <f t="shared" ref="I8:I13" si="11">(C8*D8*H8/1000)</f>
        <v>10.271192000000001</v>
      </c>
      <c r="J8" s="16"/>
      <c r="K8" s="18">
        <v>28</v>
      </c>
      <c r="L8" s="19">
        <f t="shared" ref="L8:L13" si="12">(C8*D8*K8/1000)</f>
        <v>3.059504</v>
      </c>
      <c r="M8" s="16"/>
      <c r="N8" s="18">
        <v>4</v>
      </c>
      <c r="O8" s="19">
        <f t="shared" ref="O8:O13" si="13">(C8*D8*N8/1000)</f>
        <v>0.43707200000000002</v>
      </c>
      <c r="P8" s="16"/>
      <c r="Q8" s="18"/>
      <c r="R8" s="19">
        <f t="shared" ref="R8:R13" si="14">(C8*D8*Q8/1000)</f>
        <v>0</v>
      </c>
      <c r="S8" s="20">
        <f t="shared" ref="S8:S13" si="15">+H8+K8+Q8+N8</f>
        <v>126</v>
      </c>
      <c r="T8" s="19">
        <f t="shared" ref="T8:T13" si="16">+I8+L8+R8+O8</f>
        <v>13.767768000000002</v>
      </c>
      <c r="U8" s="21">
        <f t="shared" ref="U8:U13" si="17">E8-S8</f>
        <v>34</v>
      </c>
      <c r="V8" s="19">
        <f t="shared" ref="V8:V13" si="18">F8-T8</f>
        <v>3.7151119999999995</v>
      </c>
    </row>
    <row r="9" spans="1:22">
      <c r="A9" s="26" t="s">
        <v>13</v>
      </c>
      <c r="B9" s="26" t="s">
        <v>45</v>
      </c>
      <c r="C9" s="30">
        <v>9.26</v>
      </c>
      <c r="D9" s="27">
        <v>9</v>
      </c>
      <c r="E9" s="28"/>
      <c r="F9" s="16">
        <f t="shared" si="9"/>
        <v>0</v>
      </c>
      <c r="G9" s="26"/>
      <c r="H9" s="18"/>
      <c r="I9" s="19">
        <f t="shared" si="11"/>
        <v>0</v>
      </c>
      <c r="J9" s="16"/>
      <c r="K9" s="18"/>
      <c r="L9" s="19">
        <f t="shared" si="12"/>
        <v>0</v>
      </c>
      <c r="M9" s="16"/>
      <c r="N9" s="18">
        <v>13</v>
      </c>
      <c r="O9" s="19">
        <f t="shared" si="13"/>
        <v>1.08342</v>
      </c>
      <c r="P9" s="16"/>
      <c r="Q9" s="18"/>
      <c r="R9" s="19">
        <f t="shared" si="14"/>
        <v>0</v>
      </c>
      <c r="S9" s="20">
        <f t="shared" si="15"/>
        <v>13</v>
      </c>
      <c r="T9" s="19">
        <f t="shared" si="16"/>
        <v>1.08342</v>
      </c>
      <c r="U9" s="21">
        <f t="shared" si="17"/>
        <v>-13</v>
      </c>
      <c r="V9" s="19">
        <f t="shared" si="18"/>
        <v>-1.08342</v>
      </c>
    </row>
    <row r="10" spans="1:22">
      <c r="A10" s="26" t="s">
        <v>13</v>
      </c>
      <c r="B10" s="26" t="s">
        <v>45</v>
      </c>
      <c r="C10" s="30">
        <v>9.26</v>
      </c>
      <c r="D10" s="27">
        <v>8</v>
      </c>
      <c r="E10" s="28"/>
      <c r="F10" s="16">
        <f t="shared" si="9"/>
        <v>0</v>
      </c>
      <c r="G10" s="26"/>
      <c r="H10" s="18"/>
      <c r="I10" s="19">
        <f t="shared" si="11"/>
        <v>0</v>
      </c>
      <c r="J10" s="16"/>
      <c r="K10" s="18"/>
      <c r="L10" s="19">
        <f t="shared" si="12"/>
        <v>0</v>
      </c>
      <c r="M10" s="16"/>
      <c r="N10" s="18">
        <v>5</v>
      </c>
      <c r="O10" s="19">
        <f t="shared" si="13"/>
        <v>0.37039999999999995</v>
      </c>
      <c r="P10" s="16"/>
      <c r="Q10" s="18"/>
      <c r="R10" s="19">
        <f t="shared" si="14"/>
        <v>0</v>
      </c>
      <c r="S10" s="20">
        <f t="shared" si="15"/>
        <v>5</v>
      </c>
      <c r="T10" s="19">
        <f t="shared" si="16"/>
        <v>0.37039999999999995</v>
      </c>
      <c r="U10" s="21">
        <f t="shared" si="17"/>
        <v>-5</v>
      </c>
      <c r="V10" s="19">
        <f t="shared" si="18"/>
        <v>-0.37039999999999995</v>
      </c>
    </row>
    <row r="11" spans="1:22">
      <c r="A11" s="26" t="s">
        <v>13</v>
      </c>
      <c r="B11" s="26" t="s">
        <v>45</v>
      </c>
      <c r="C11" s="30">
        <v>9.26</v>
      </c>
      <c r="D11" s="27">
        <v>7</v>
      </c>
      <c r="E11" s="28"/>
      <c r="F11" s="16">
        <f t="shared" si="9"/>
        <v>0</v>
      </c>
      <c r="G11" s="26"/>
      <c r="H11" s="18"/>
      <c r="I11" s="19">
        <f t="shared" si="11"/>
        <v>0</v>
      </c>
      <c r="J11" s="16"/>
      <c r="K11" s="18"/>
      <c r="L11" s="19">
        <f t="shared" si="12"/>
        <v>0</v>
      </c>
      <c r="M11" s="16"/>
      <c r="N11" s="18">
        <v>1</v>
      </c>
      <c r="O11" s="19">
        <f t="shared" si="13"/>
        <v>6.4819999999999989E-2</v>
      </c>
      <c r="P11" s="16"/>
      <c r="Q11" s="18"/>
      <c r="R11" s="19">
        <f t="shared" si="14"/>
        <v>0</v>
      </c>
      <c r="S11" s="20">
        <f t="shared" si="15"/>
        <v>1</v>
      </c>
      <c r="T11" s="19">
        <f t="shared" si="16"/>
        <v>6.4819999999999989E-2</v>
      </c>
      <c r="U11" s="21">
        <f t="shared" si="17"/>
        <v>-1</v>
      </c>
      <c r="V11" s="19">
        <f t="shared" si="18"/>
        <v>-6.4819999999999989E-2</v>
      </c>
    </row>
    <row r="12" spans="1:22">
      <c r="A12" s="26" t="s">
        <v>13</v>
      </c>
      <c r="B12" s="26" t="s">
        <v>45</v>
      </c>
      <c r="C12" s="30">
        <v>9.26</v>
      </c>
      <c r="D12" s="27"/>
      <c r="E12" s="28"/>
      <c r="F12" s="16">
        <f t="shared" si="9"/>
        <v>0</v>
      </c>
      <c r="G12" s="26"/>
      <c r="H12" s="18"/>
      <c r="I12" s="19">
        <f t="shared" si="11"/>
        <v>0</v>
      </c>
      <c r="J12" s="16"/>
      <c r="K12" s="18"/>
      <c r="L12" s="19">
        <f t="shared" si="12"/>
        <v>0</v>
      </c>
      <c r="M12" s="16"/>
      <c r="N12" s="18"/>
      <c r="O12" s="19">
        <f t="shared" si="13"/>
        <v>0</v>
      </c>
      <c r="P12" s="16"/>
      <c r="Q12" s="18"/>
      <c r="R12" s="19">
        <f t="shared" si="14"/>
        <v>0</v>
      </c>
      <c r="S12" s="20">
        <f t="shared" si="15"/>
        <v>0</v>
      </c>
      <c r="T12" s="19">
        <f t="shared" si="16"/>
        <v>0</v>
      </c>
      <c r="U12" s="21">
        <f t="shared" si="17"/>
        <v>0</v>
      </c>
      <c r="V12" s="19">
        <f t="shared" si="18"/>
        <v>0</v>
      </c>
    </row>
    <row r="13" spans="1:22">
      <c r="A13" s="26" t="s">
        <v>13</v>
      </c>
      <c r="B13" s="26" t="s">
        <v>45</v>
      </c>
      <c r="C13" s="30">
        <v>9.26</v>
      </c>
      <c r="D13" s="27"/>
      <c r="E13" s="28"/>
      <c r="F13" s="16">
        <f t="shared" si="9"/>
        <v>0</v>
      </c>
      <c r="G13" s="26"/>
      <c r="H13" s="18"/>
      <c r="I13" s="19">
        <f t="shared" si="11"/>
        <v>0</v>
      </c>
      <c r="J13" s="16"/>
      <c r="K13" s="18"/>
      <c r="L13" s="19">
        <f t="shared" si="12"/>
        <v>0</v>
      </c>
      <c r="M13" s="16"/>
      <c r="N13" s="18"/>
      <c r="O13" s="19">
        <f t="shared" si="13"/>
        <v>0</v>
      </c>
      <c r="P13" s="16"/>
      <c r="Q13" s="18"/>
      <c r="R13" s="19">
        <f t="shared" si="14"/>
        <v>0</v>
      </c>
      <c r="S13" s="20">
        <f t="shared" si="15"/>
        <v>0</v>
      </c>
      <c r="T13" s="19">
        <f t="shared" si="16"/>
        <v>0</v>
      </c>
      <c r="U13" s="21">
        <f t="shared" si="17"/>
        <v>0</v>
      </c>
      <c r="V13" s="19">
        <f t="shared" si="18"/>
        <v>0</v>
      </c>
    </row>
    <row r="14" spans="1:22">
      <c r="A14" s="26" t="s">
        <v>13</v>
      </c>
      <c r="B14" s="26" t="s">
        <v>45</v>
      </c>
      <c r="C14" s="30">
        <v>9.26</v>
      </c>
      <c r="D14" s="27"/>
      <c r="E14" s="28"/>
      <c r="F14" s="16">
        <f t="shared" si="0"/>
        <v>0</v>
      </c>
      <c r="G14" s="26"/>
      <c r="H14" s="18"/>
      <c r="I14" s="19">
        <f t="shared" si="1"/>
        <v>0</v>
      </c>
      <c r="J14" s="16"/>
      <c r="K14" s="18"/>
      <c r="L14" s="19">
        <f t="shared" si="2"/>
        <v>0</v>
      </c>
      <c r="M14" s="16"/>
      <c r="N14" s="18"/>
      <c r="O14" s="19">
        <f t="shared" si="3"/>
        <v>0</v>
      </c>
      <c r="P14" s="16"/>
      <c r="Q14" s="18"/>
      <c r="R14" s="19">
        <f t="shared" si="4"/>
        <v>0</v>
      </c>
      <c r="S14" s="20">
        <f t="shared" si="5"/>
        <v>0</v>
      </c>
      <c r="T14" s="19">
        <f t="shared" si="6"/>
        <v>0</v>
      </c>
      <c r="U14" s="21">
        <f t="shared" si="7"/>
        <v>0</v>
      </c>
      <c r="V14" s="19">
        <f t="shared" si="8"/>
        <v>0</v>
      </c>
    </row>
    <row r="15" spans="1:22">
      <c r="A15" s="36"/>
      <c r="B15" s="36"/>
      <c r="C15" s="37"/>
      <c r="D15" s="38"/>
      <c r="E15" s="31">
        <f t="shared" ref="E15:F15" si="19">SUM(E6:E14)</f>
        <v>268</v>
      </c>
      <c r="F15" s="38">
        <f t="shared" si="19"/>
        <v>28.042984000000001</v>
      </c>
      <c r="G15" s="17" t="s">
        <v>515</v>
      </c>
      <c r="H15" s="31">
        <f t="shared" ref="H15" si="20">SUM(H6:H14)</f>
        <v>158</v>
      </c>
      <c r="I15" s="38">
        <f t="shared" ref="I15" si="21">SUM(I6:I14)</f>
        <v>16.486504</v>
      </c>
      <c r="J15" s="16"/>
      <c r="K15" s="31">
        <f t="shared" ref="K15" si="22">SUM(K6:K14)</f>
        <v>72</v>
      </c>
      <c r="L15" s="38">
        <f t="shared" ref="L15" si="23">SUM(L6:L14)</f>
        <v>7.4042960000000004</v>
      </c>
      <c r="M15" s="16"/>
      <c r="N15" s="31">
        <f>SUM(N6:N14)</f>
        <v>49</v>
      </c>
      <c r="O15" s="38">
        <f>SUM(O6:O14)</f>
        <v>4.4911000000000003</v>
      </c>
      <c r="P15" s="16"/>
      <c r="Q15" s="31">
        <f t="shared" ref="Q15" si="24">SUM(Q6:Q14)</f>
        <v>0</v>
      </c>
      <c r="R15" s="38">
        <f t="shared" ref="R15" si="25">SUM(R6:R14)</f>
        <v>0</v>
      </c>
      <c r="S15" s="31">
        <f t="shared" ref="S15" si="26">SUM(S6:S14)</f>
        <v>279</v>
      </c>
      <c r="T15" s="38">
        <f t="shared" ref="T15" si="27">SUM(T6:T14)</f>
        <v>28.381900000000005</v>
      </c>
      <c r="U15" s="31">
        <f t="shared" ref="U15" si="28">SUM(U6:U14)</f>
        <v>-11</v>
      </c>
      <c r="V15" s="38">
        <f t="shared" ref="V15" si="29">SUM(V6:V14)</f>
        <v>-0.33891599999999977</v>
      </c>
    </row>
    <row r="16" spans="1:22">
      <c r="A16" s="26" t="s">
        <v>13</v>
      </c>
      <c r="B16" s="26" t="s">
        <v>46</v>
      </c>
      <c r="C16" s="30">
        <v>10.7</v>
      </c>
      <c r="D16" s="27">
        <v>7.8</v>
      </c>
      <c r="E16" s="28">
        <v>712</v>
      </c>
      <c r="F16" s="16">
        <f t="shared" ref="F16:F22" si="30">(C16*D16*E16/1000)</f>
        <v>59.423519999999996</v>
      </c>
      <c r="G16" s="17" t="s">
        <v>111</v>
      </c>
      <c r="H16" s="18">
        <v>464</v>
      </c>
      <c r="I16" s="19">
        <f t="shared" ref="I16:I22" si="31">(C16*D16*H16/1000)</f>
        <v>38.725439999999992</v>
      </c>
      <c r="J16" s="16" t="s">
        <v>88</v>
      </c>
      <c r="K16" s="18">
        <f>72+113</f>
        <v>185</v>
      </c>
      <c r="L16" s="19">
        <f t="shared" ref="L16:L22" si="32">(C16*D16*K16/1000)</f>
        <v>15.440099999999999</v>
      </c>
      <c r="M16" s="16" t="s">
        <v>93</v>
      </c>
      <c r="N16" s="18">
        <v>32</v>
      </c>
      <c r="O16" s="19">
        <f t="shared" ref="O16:O22" si="33">(C16*D16*N16/1000)</f>
        <v>2.6707199999999998</v>
      </c>
      <c r="P16" s="17" t="s">
        <v>93</v>
      </c>
      <c r="Q16" s="18">
        <v>8</v>
      </c>
      <c r="R16" s="19">
        <f t="shared" ref="R16:R22" si="34">(C16*D16*Q16/1000)</f>
        <v>0.66767999999999994</v>
      </c>
      <c r="S16" s="20">
        <f t="shared" ref="S16:S22" si="35">+H16+K16+Q16+N16</f>
        <v>689</v>
      </c>
      <c r="T16" s="19">
        <f t="shared" ref="T16:T22" si="36">+I16+L16+R16+O16</f>
        <v>57.503939999999993</v>
      </c>
      <c r="U16" s="21">
        <f t="shared" ref="U16:U22" si="37">E16-S16</f>
        <v>23</v>
      </c>
      <c r="V16" s="19">
        <f t="shared" ref="V16:V22" si="38">F16-T16</f>
        <v>1.9195800000000034</v>
      </c>
    </row>
    <row r="17" spans="1:22">
      <c r="A17" s="26" t="s">
        <v>13</v>
      </c>
      <c r="B17" s="26" t="s">
        <v>46</v>
      </c>
      <c r="C17" s="30">
        <v>10.7</v>
      </c>
      <c r="D17" s="27">
        <v>9.4</v>
      </c>
      <c r="E17" s="28">
        <v>224</v>
      </c>
      <c r="F17" s="16">
        <f t="shared" si="30"/>
        <v>22.529919999999997</v>
      </c>
      <c r="G17" s="16" t="s">
        <v>111</v>
      </c>
      <c r="H17" s="18">
        <v>136</v>
      </c>
      <c r="I17" s="19">
        <f t="shared" si="31"/>
        <v>13.678879999999999</v>
      </c>
      <c r="J17" s="17" t="s">
        <v>513</v>
      </c>
      <c r="K17" s="18">
        <v>32</v>
      </c>
      <c r="L17" s="19">
        <f t="shared" si="32"/>
        <v>3.2185600000000001</v>
      </c>
      <c r="M17" s="16" t="s">
        <v>518</v>
      </c>
      <c r="N17" s="18">
        <v>33</v>
      </c>
      <c r="O17" s="19">
        <f t="shared" si="33"/>
        <v>3.31914</v>
      </c>
      <c r="P17" s="17" t="s">
        <v>524</v>
      </c>
      <c r="Q17" s="18">
        <v>16</v>
      </c>
      <c r="R17" s="19">
        <f t="shared" si="34"/>
        <v>1.60928</v>
      </c>
      <c r="S17" s="20">
        <f t="shared" si="35"/>
        <v>217</v>
      </c>
      <c r="T17" s="19">
        <f t="shared" si="36"/>
        <v>21.825860000000002</v>
      </c>
      <c r="U17" s="21">
        <f t="shared" si="37"/>
        <v>7</v>
      </c>
      <c r="V17" s="19">
        <f t="shared" si="38"/>
        <v>0.7040599999999948</v>
      </c>
    </row>
    <row r="18" spans="1:22">
      <c r="A18" s="26" t="s">
        <v>13</v>
      </c>
      <c r="B18" s="26" t="s">
        <v>46</v>
      </c>
      <c r="C18" s="30">
        <v>10.7</v>
      </c>
      <c r="D18" s="27">
        <v>10.4</v>
      </c>
      <c r="E18" s="28">
        <v>122</v>
      </c>
      <c r="F18" s="16">
        <f t="shared" si="30"/>
        <v>13.57616</v>
      </c>
      <c r="G18" s="17" t="s">
        <v>512</v>
      </c>
      <c r="H18" s="18">
        <v>87</v>
      </c>
      <c r="I18" s="19">
        <f t="shared" si="31"/>
        <v>9.6813599999999997</v>
      </c>
      <c r="J18" s="17" t="s">
        <v>89</v>
      </c>
      <c r="K18" s="18">
        <v>47</v>
      </c>
      <c r="L18" s="19">
        <f t="shared" si="32"/>
        <v>5.2301599999999997</v>
      </c>
      <c r="M18" s="16" t="s">
        <v>93</v>
      </c>
      <c r="N18" s="18"/>
      <c r="O18" s="19">
        <f t="shared" si="33"/>
        <v>0</v>
      </c>
      <c r="P18" s="16"/>
      <c r="Q18" s="18"/>
      <c r="R18" s="19">
        <f t="shared" si="34"/>
        <v>0</v>
      </c>
      <c r="S18" s="20">
        <f t="shared" si="35"/>
        <v>134</v>
      </c>
      <c r="T18" s="19">
        <f t="shared" si="36"/>
        <v>14.911519999999999</v>
      </c>
      <c r="U18" s="21">
        <f t="shared" si="37"/>
        <v>-12</v>
      </c>
      <c r="V18" s="19">
        <f t="shared" si="38"/>
        <v>-1.3353599999999997</v>
      </c>
    </row>
    <row r="19" spans="1:22">
      <c r="A19" s="26" t="s">
        <v>13</v>
      </c>
      <c r="B19" s="26" t="s">
        <v>46</v>
      </c>
      <c r="C19" s="30">
        <v>10.7</v>
      </c>
      <c r="D19" s="27">
        <v>11.6</v>
      </c>
      <c r="E19" s="28">
        <v>298</v>
      </c>
      <c r="F19" s="16">
        <f t="shared" si="30"/>
        <v>36.987759999999994</v>
      </c>
      <c r="G19" s="16" t="s">
        <v>93</v>
      </c>
      <c r="H19" s="18">
        <v>97</v>
      </c>
      <c r="I19" s="19">
        <f t="shared" si="31"/>
        <v>12.039639999999999</v>
      </c>
      <c r="J19" s="17" t="s">
        <v>516</v>
      </c>
      <c r="K19" s="18">
        <f>32+95+12</f>
        <v>139</v>
      </c>
      <c r="L19" s="19">
        <f t="shared" si="32"/>
        <v>17.252680000000002</v>
      </c>
      <c r="M19" s="16" t="s">
        <v>523</v>
      </c>
      <c r="N19" s="18">
        <v>2</v>
      </c>
      <c r="O19" s="19">
        <f t="shared" si="33"/>
        <v>0.24823999999999999</v>
      </c>
      <c r="P19" s="16"/>
      <c r="Q19" s="18">
        <v>11</v>
      </c>
      <c r="R19" s="19">
        <f t="shared" si="34"/>
        <v>1.3653199999999999</v>
      </c>
      <c r="S19" s="20">
        <f t="shared" si="35"/>
        <v>249</v>
      </c>
      <c r="T19" s="19">
        <f t="shared" si="36"/>
        <v>30.90588</v>
      </c>
      <c r="U19" s="21">
        <f t="shared" si="37"/>
        <v>49</v>
      </c>
      <c r="V19" s="19">
        <f t="shared" si="38"/>
        <v>6.0818799999999946</v>
      </c>
    </row>
    <row r="20" spans="1:22">
      <c r="A20" s="26" t="s">
        <v>13</v>
      </c>
      <c r="B20" s="26" t="s">
        <v>46</v>
      </c>
      <c r="C20" s="30">
        <v>10.7</v>
      </c>
      <c r="D20" s="27">
        <v>12</v>
      </c>
      <c r="E20" s="28">
        <v>160</v>
      </c>
      <c r="F20" s="16">
        <f t="shared" ref="F20:F21" si="39">(C20*D20*E20/1000)</f>
        <v>20.543999999999997</v>
      </c>
      <c r="G20" s="16" t="s">
        <v>514</v>
      </c>
      <c r="H20" s="18">
        <v>97</v>
      </c>
      <c r="I20" s="19">
        <f t="shared" ref="I20:I21" si="40">(C20*D20*H20/1000)</f>
        <v>12.454799999999997</v>
      </c>
      <c r="J20" s="16"/>
      <c r="K20" s="18">
        <f t="shared" ref="K20" si="41">42+1</f>
        <v>43</v>
      </c>
      <c r="L20" s="19">
        <f t="shared" ref="L20:L21" si="42">(C20*D20*K20/1000)</f>
        <v>5.5211999999999986</v>
      </c>
      <c r="M20" s="16"/>
      <c r="N20" s="18">
        <f>20+33</f>
        <v>53</v>
      </c>
      <c r="O20" s="19">
        <f t="shared" ref="O20:O21" si="43">(C20*D20*N20/1000)</f>
        <v>6.8051999999999992</v>
      </c>
      <c r="P20" s="16"/>
      <c r="Q20" s="18">
        <v>16</v>
      </c>
      <c r="R20" s="19">
        <f t="shared" ref="R20:R21" si="44">(C20*D20*Q20/1000)</f>
        <v>2.0543999999999998</v>
      </c>
      <c r="S20" s="20">
        <f t="shared" ref="S20:S21" si="45">+H20+K20+Q20+N20</f>
        <v>209</v>
      </c>
      <c r="T20" s="19">
        <f t="shared" ref="T20:T21" si="46">+I20+L20+R20+O20</f>
        <v>26.835599999999996</v>
      </c>
      <c r="U20" s="21">
        <f t="shared" ref="U20:U21" si="47">E20-S20</f>
        <v>-49</v>
      </c>
      <c r="V20" s="19">
        <f t="shared" ref="V20:V21" si="48">F20-T20</f>
        <v>-6.291599999999999</v>
      </c>
    </row>
    <row r="21" spans="1:22">
      <c r="A21" s="26" t="s">
        <v>13</v>
      </c>
      <c r="B21" s="26" t="s">
        <v>46</v>
      </c>
      <c r="C21" s="30">
        <v>10.7</v>
      </c>
      <c r="D21" s="27">
        <v>8</v>
      </c>
      <c r="E21" s="28"/>
      <c r="F21" s="16">
        <f t="shared" si="39"/>
        <v>0</v>
      </c>
      <c r="G21" s="16" t="s">
        <v>513</v>
      </c>
      <c r="H21" s="18"/>
      <c r="I21" s="19">
        <f t="shared" si="40"/>
        <v>0</v>
      </c>
      <c r="J21" s="16"/>
      <c r="K21" s="18"/>
      <c r="L21" s="19">
        <f t="shared" si="42"/>
        <v>0</v>
      </c>
      <c r="M21" s="16"/>
      <c r="N21" s="18">
        <v>18</v>
      </c>
      <c r="O21" s="19">
        <f t="shared" si="43"/>
        <v>1.5407999999999999</v>
      </c>
      <c r="P21" s="16"/>
      <c r="Q21" s="18"/>
      <c r="R21" s="19">
        <f t="shared" si="44"/>
        <v>0</v>
      </c>
      <c r="S21" s="20">
        <f t="shared" si="45"/>
        <v>18</v>
      </c>
      <c r="T21" s="19">
        <f t="shared" si="46"/>
        <v>1.5407999999999999</v>
      </c>
      <c r="U21" s="21">
        <f t="shared" si="47"/>
        <v>-18</v>
      </c>
      <c r="V21" s="19">
        <f t="shared" si="48"/>
        <v>-1.5407999999999999</v>
      </c>
    </row>
    <row r="22" spans="1:22">
      <c r="A22" s="26" t="s">
        <v>13</v>
      </c>
      <c r="B22" s="26" t="s">
        <v>46</v>
      </c>
      <c r="C22" s="30">
        <v>10.7</v>
      </c>
      <c r="D22" s="27"/>
      <c r="E22" s="28"/>
      <c r="F22" s="16">
        <f t="shared" si="30"/>
        <v>0</v>
      </c>
      <c r="G22" s="16"/>
      <c r="H22" s="18"/>
      <c r="I22" s="19">
        <f t="shared" si="31"/>
        <v>0</v>
      </c>
      <c r="J22" s="16"/>
      <c r="K22" s="18"/>
      <c r="L22" s="19">
        <f t="shared" si="32"/>
        <v>0</v>
      </c>
      <c r="M22" s="16"/>
      <c r="N22" s="18"/>
      <c r="O22" s="19">
        <f t="shared" si="33"/>
        <v>0</v>
      </c>
      <c r="P22" s="16"/>
      <c r="Q22" s="18"/>
      <c r="R22" s="19">
        <f t="shared" si="34"/>
        <v>0</v>
      </c>
      <c r="S22" s="20">
        <f t="shared" si="35"/>
        <v>0</v>
      </c>
      <c r="T22" s="19">
        <f t="shared" si="36"/>
        <v>0</v>
      </c>
      <c r="U22" s="21">
        <f t="shared" si="37"/>
        <v>0</v>
      </c>
      <c r="V22" s="19">
        <f t="shared" si="38"/>
        <v>0</v>
      </c>
    </row>
    <row r="23" spans="1:22">
      <c r="A23" s="36"/>
      <c r="B23" s="36"/>
      <c r="C23" s="37"/>
      <c r="D23" s="38"/>
      <c r="E23" s="31">
        <f t="shared" ref="E23:F23" si="49">SUM(E16:E22)</f>
        <v>1516</v>
      </c>
      <c r="F23" s="38">
        <f t="shared" si="49"/>
        <v>153.06135999999998</v>
      </c>
      <c r="G23" s="16"/>
      <c r="H23" s="31">
        <f>SUM(H16:H22)</f>
        <v>881</v>
      </c>
      <c r="I23" s="38">
        <f>SUM(I16:I22)</f>
        <v>86.58011999999998</v>
      </c>
      <c r="J23" s="16"/>
      <c r="K23" s="31">
        <f t="shared" ref="K23" si="50">SUM(K16:K22)</f>
        <v>446</v>
      </c>
      <c r="L23" s="38">
        <f t="shared" ref="L23" si="51">SUM(L16:L22)</f>
        <v>46.662699999999994</v>
      </c>
      <c r="M23" s="16"/>
      <c r="N23" s="31">
        <f t="shared" ref="N23" si="52">SUM(N16:N22)</f>
        <v>138</v>
      </c>
      <c r="O23" s="38">
        <f t="shared" ref="O23" si="53">SUM(O16:O22)</f>
        <v>14.584099999999999</v>
      </c>
      <c r="P23" s="16"/>
      <c r="Q23" s="31">
        <f>SUM(Q16:Q22)</f>
        <v>51</v>
      </c>
      <c r="R23" s="38">
        <f>SUM(R16:R22)</f>
        <v>5.6966799999999989</v>
      </c>
      <c r="S23" s="31">
        <f t="shared" ref="S23" si="54">SUM(S16:S22)</f>
        <v>1516</v>
      </c>
      <c r="T23" s="38">
        <f t="shared" ref="T23" si="55">SUM(T16:T22)</f>
        <v>153.52359999999996</v>
      </c>
      <c r="U23" s="31">
        <f t="shared" ref="U23" si="56">SUM(U16:U22)</f>
        <v>0</v>
      </c>
      <c r="V23" s="38">
        <f t="shared" ref="V23" si="57">SUM(V16:V22)</f>
        <v>-0.46224000000000576</v>
      </c>
    </row>
    <row r="24" spans="1:22">
      <c r="A24" s="26" t="s">
        <v>13</v>
      </c>
      <c r="B24" s="26" t="s">
        <v>61</v>
      </c>
      <c r="C24" s="30">
        <v>12.2</v>
      </c>
      <c r="D24" s="27">
        <v>10.5</v>
      </c>
      <c r="E24" s="28">
        <v>482</v>
      </c>
      <c r="F24" s="16">
        <f t="shared" ref="F24:F39" si="58">(C24*D24*E24/1000)</f>
        <v>61.744199999999999</v>
      </c>
      <c r="G24" s="16" t="s">
        <v>514</v>
      </c>
      <c r="H24" s="18">
        <v>107</v>
      </c>
      <c r="I24" s="19">
        <f t="shared" ref="I24:I39" si="59">(C24*D24*H24/1000)</f>
        <v>13.7067</v>
      </c>
      <c r="J24" s="17" t="s">
        <v>89</v>
      </c>
      <c r="K24" s="18">
        <f>25+93</f>
        <v>118</v>
      </c>
      <c r="L24" s="19">
        <f t="shared" ref="L24:L39" si="60">(C24*D24*K24/1000)</f>
        <v>15.1158</v>
      </c>
      <c r="M24" s="17" t="s">
        <v>205</v>
      </c>
      <c r="N24" s="18">
        <f>101+119+6</f>
        <v>226</v>
      </c>
      <c r="O24" s="19">
        <f t="shared" ref="O24:O39" si="61">(C24*D24*N24/1000)</f>
        <v>28.950599999999998</v>
      </c>
      <c r="P24" s="17" t="s">
        <v>93</v>
      </c>
      <c r="Q24" s="18"/>
      <c r="R24" s="19">
        <f t="shared" ref="R24:R39" si="62">(C24*D24*Q24/1000)</f>
        <v>0</v>
      </c>
      <c r="S24" s="20">
        <f t="shared" ref="S24:S39" si="63">+H24+K24+Q24+N24</f>
        <v>451</v>
      </c>
      <c r="T24" s="19">
        <f t="shared" ref="T24:T39" si="64">+I24+L24+R24+O24</f>
        <v>57.773099999999999</v>
      </c>
      <c r="U24" s="21">
        <f t="shared" ref="U24:U39" si="65">E24-S24</f>
        <v>31</v>
      </c>
      <c r="V24" s="19">
        <f t="shared" ref="V24:V39" si="66">F24-T24</f>
        <v>3.9710999999999999</v>
      </c>
    </row>
    <row r="25" spans="1:22">
      <c r="A25" s="26" t="s">
        <v>13</v>
      </c>
      <c r="B25" s="26" t="s">
        <v>61</v>
      </c>
      <c r="C25" s="30">
        <v>12.2</v>
      </c>
      <c r="D25" s="27">
        <v>11.25</v>
      </c>
      <c r="E25" s="28">
        <v>242</v>
      </c>
      <c r="F25" s="16">
        <f t="shared" si="58"/>
        <v>33.214500000000001</v>
      </c>
      <c r="G25" s="16" t="s">
        <v>513</v>
      </c>
      <c r="H25" s="18">
        <v>64</v>
      </c>
      <c r="I25" s="19">
        <f t="shared" si="59"/>
        <v>8.7840000000000007</v>
      </c>
      <c r="J25" s="17" t="s">
        <v>516</v>
      </c>
      <c r="K25" s="18">
        <f>40+19</f>
        <v>59</v>
      </c>
      <c r="L25" s="19">
        <f t="shared" si="60"/>
        <v>8.0977499999999996</v>
      </c>
      <c r="M25" s="17" t="s">
        <v>325</v>
      </c>
      <c r="N25" s="18">
        <f>76+45</f>
        <v>121</v>
      </c>
      <c r="O25" s="19">
        <f t="shared" si="61"/>
        <v>16.607250000000001</v>
      </c>
      <c r="P25" s="17" t="s">
        <v>524</v>
      </c>
      <c r="Q25" s="18">
        <v>8</v>
      </c>
      <c r="R25" s="19">
        <f t="shared" si="62"/>
        <v>1.0980000000000001</v>
      </c>
      <c r="S25" s="20">
        <f t="shared" si="63"/>
        <v>252</v>
      </c>
      <c r="T25" s="19">
        <f t="shared" si="64"/>
        <v>34.587000000000003</v>
      </c>
      <c r="U25" s="21">
        <f t="shared" si="65"/>
        <v>-10</v>
      </c>
      <c r="V25" s="19">
        <f t="shared" si="66"/>
        <v>-1.3725000000000023</v>
      </c>
    </row>
    <row r="26" spans="1:22">
      <c r="A26" s="26" t="s">
        <v>13</v>
      </c>
      <c r="B26" s="26" t="s">
        <v>61</v>
      </c>
      <c r="C26" s="30">
        <v>12.2</v>
      </c>
      <c r="D26" s="27">
        <v>11.5</v>
      </c>
      <c r="E26" s="28">
        <v>192</v>
      </c>
      <c r="F26" s="16">
        <f t="shared" ref="F26:F38" si="67">(C26*D26*E26/1000)</f>
        <v>26.9376</v>
      </c>
      <c r="G26" s="17" t="s">
        <v>93</v>
      </c>
      <c r="H26" s="18">
        <v>17</v>
      </c>
      <c r="I26" s="19">
        <f t="shared" ref="I26:I38" si="68">(C26*D26*H26/1000)</f>
        <v>2.3851</v>
      </c>
      <c r="J26" s="16" t="s">
        <v>93</v>
      </c>
      <c r="K26" s="18">
        <v>82</v>
      </c>
      <c r="L26" s="19">
        <f t="shared" ref="L26:L38" si="69">(C26*D26*K26/1000)</f>
        <v>11.504599999999998</v>
      </c>
      <c r="M26" s="17" t="s">
        <v>516</v>
      </c>
      <c r="N26" s="18">
        <f>86+7</f>
        <v>93</v>
      </c>
      <c r="O26" s="19">
        <f t="shared" ref="O26:O38" si="70">(C26*D26*N26/1000)</f>
        <v>13.047899999999998</v>
      </c>
      <c r="P26" s="17"/>
      <c r="Q26" s="18"/>
      <c r="R26" s="19">
        <f t="shared" ref="R26:R38" si="71">(C26*D26*Q26/1000)</f>
        <v>0</v>
      </c>
      <c r="S26" s="20">
        <f t="shared" ref="S26:S38" si="72">+H26+K26+Q26+N26</f>
        <v>192</v>
      </c>
      <c r="T26" s="19">
        <f t="shared" ref="T26:T38" si="73">+I26+L26+R26+O26</f>
        <v>26.937599999999996</v>
      </c>
      <c r="U26" s="21">
        <f t="shared" ref="U26:U38" si="74">E26-S26</f>
        <v>0</v>
      </c>
      <c r="V26" s="19">
        <f t="shared" ref="V26:V38" si="75">F26-T26</f>
        <v>0</v>
      </c>
    </row>
    <row r="27" spans="1:22">
      <c r="A27" s="26" t="s">
        <v>13</v>
      </c>
      <c r="B27" s="26" t="s">
        <v>61</v>
      </c>
      <c r="C27" s="30">
        <v>12.2</v>
      </c>
      <c r="D27" s="27">
        <v>9.4</v>
      </c>
      <c r="E27" s="28"/>
      <c r="F27" s="16">
        <f t="shared" si="67"/>
        <v>0</v>
      </c>
      <c r="G27" s="17" t="s">
        <v>515</v>
      </c>
      <c r="H27" s="18"/>
      <c r="I27" s="19">
        <f t="shared" si="68"/>
        <v>0</v>
      </c>
      <c r="J27" s="16" t="s">
        <v>516</v>
      </c>
      <c r="K27" s="18"/>
      <c r="L27" s="19">
        <f t="shared" si="69"/>
        <v>0</v>
      </c>
      <c r="M27" s="16" t="s">
        <v>93</v>
      </c>
      <c r="N27" s="18">
        <v>1</v>
      </c>
      <c r="O27" s="19">
        <f t="shared" si="70"/>
        <v>0.11467999999999999</v>
      </c>
      <c r="P27" s="17"/>
      <c r="Q27" s="18"/>
      <c r="R27" s="19">
        <f t="shared" si="71"/>
        <v>0</v>
      </c>
      <c r="S27" s="20">
        <f t="shared" si="72"/>
        <v>1</v>
      </c>
      <c r="T27" s="19">
        <f t="shared" si="73"/>
        <v>0.11467999999999999</v>
      </c>
      <c r="U27" s="21">
        <f t="shared" si="74"/>
        <v>-1</v>
      </c>
      <c r="V27" s="19">
        <f t="shared" si="75"/>
        <v>-0.11467999999999999</v>
      </c>
    </row>
    <row r="28" spans="1:22">
      <c r="A28" s="26" t="s">
        <v>13</v>
      </c>
      <c r="B28" s="26" t="s">
        <v>61</v>
      </c>
      <c r="C28" s="30">
        <v>12.2</v>
      </c>
      <c r="D28" s="27">
        <v>10.3</v>
      </c>
      <c r="E28" s="28"/>
      <c r="F28" s="16">
        <f t="shared" si="67"/>
        <v>0</v>
      </c>
      <c r="G28" s="17"/>
      <c r="H28" s="18"/>
      <c r="I28" s="19">
        <f t="shared" si="68"/>
        <v>0</v>
      </c>
      <c r="J28" s="16"/>
      <c r="K28" s="18"/>
      <c r="L28" s="19">
        <f t="shared" si="69"/>
        <v>0</v>
      </c>
      <c r="M28" s="16" t="s">
        <v>518</v>
      </c>
      <c r="N28" s="18">
        <v>5</v>
      </c>
      <c r="O28" s="19">
        <f t="shared" si="70"/>
        <v>0.62829999999999997</v>
      </c>
      <c r="P28" s="16"/>
      <c r="Q28" s="18"/>
      <c r="R28" s="19">
        <f t="shared" si="71"/>
        <v>0</v>
      </c>
      <c r="S28" s="20">
        <f t="shared" si="72"/>
        <v>5</v>
      </c>
      <c r="T28" s="19">
        <f t="shared" si="73"/>
        <v>0.62829999999999997</v>
      </c>
      <c r="U28" s="21">
        <f t="shared" si="74"/>
        <v>-5</v>
      </c>
      <c r="V28" s="19">
        <f t="shared" si="75"/>
        <v>-0.62829999999999997</v>
      </c>
    </row>
    <row r="29" spans="1:22">
      <c r="A29" s="26" t="s">
        <v>13</v>
      </c>
      <c r="B29" s="26" t="s">
        <v>61</v>
      </c>
      <c r="C29" s="30">
        <v>12.2</v>
      </c>
      <c r="D29" s="27">
        <v>10.1</v>
      </c>
      <c r="E29" s="28"/>
      <c r="F29" s="16">
        <f t="shared" si="67"/>
        <v>0</v>
      </c>
      <c r="G29" s="17"/>
      <c r="H29" s="18"/>
      <c r="I29" s="19">
        <f t="shared" si="68"/>
        <v>0</v>
      </c>
      <c r="J29" s="16"/>
      <c r="K29" s="18"/>
      <c r="L29" s="19">
        <f t="shared" si="69"/>
        <v>0</v>
      </c>
      <c r="M29" s="16" t="s">
        <v>93</v>
      </c>
      <c r="N29" s="18">
        <v>1</v>
      </c>
      <c r="O29" s="19">
        <f t="shared" si="70"/>
        <v>0.12321999999999998</v>
      </c>
      <c r="P29" s="16"/>
      <c r="Q29" s="18"/>
      <c r="R29" s="19">
        <f t="shared" si="71"/>
        <v>0</v>
      </c>
      <c r="S29" s="20">
        <f t="shared" si="72"/>
        <v>1</v>
      </c>
      <c r="T29" s="19">
        <f t="shared" si="73"/>
        <v>0.12321999999999998</v>
      </c>
      <c r="U29" s="21">
        <f t="shared" si="74"/>
        <v>-1</v>
      </c>
      <c r="V29" s="19">
        <f t="shared" si="75"/>
        <v>-0.12321999999999998</v>
      </c>
    </row>
    <row r="30" spans="1:22">
      <c r="A30" s="26" t="s">
        <v>13</v>
      </c>
      <c r="B30" s="26" t="s">
        <v>61</v>
      </c>
      <c r="C30" s="30">
        <v>12.2</v>
      </c>
      <c r="D30" s="27">
        <v>9.5</v>
      </c>
      <c r="E30" s="28"/>
      <c r="F30" s="16">
        <f t="shared" si="67"/>
        <v>0</v>
      </c>
      <c r="G30" s="17"/>
      <c r="H30" s="18"/>
      <c r="I30" s="19">
        <f t="shared" si="68"/>
        <v>0</v>
      </c>
      <c r="J30" s="16"/>
      <c r="K30" s="18"/>
      <c r="L30" s="19">
        <f t="shared" si="69"/>
        <v>0</v>
      </c>
      <c r="M30" s="16" t="s">
        <v>523</v>
      </c>
      <c r="N30" s="18">
        <v>1</v>
      </c>
      <c r="O30" s="19">
        <f t="shared" si="70"/>
        <v>0.11589999999999999</v>
      </c>
      <c r="P30" s="16"/>
      <c r="Q30" s="18">
        <v>3</v>
      </c>
      <c r="R30" s="19">
        <f t="shared" si="71"/>
        <v>0.34770000000000001</v>
      </c>
      <c r="S30" s="20">
        <f t="shared" si="72"/>
        <v>4</v>
      </c>
      <c r="T30" s="19">
        <f t="shared" si="73"/>
        <v>0.46360000000000001</v>
      </c>
      <c r="U30" s="21">
        <f t="shared" si="74"/>
        <v>-4</v>
      </c>
      <c r="V30" s="19">
        <f t="shared" si="75"/>
        <v>-0.46360000000000001</v>
      </c>
    </row>
    <row r="31" spans="1:22">
      <c r="A31" s="26" t="s">
        <v>13</v>
      </c>
      <c r="B31" s="26" t="s">
        <v>61</v>
      </c>
      <c r="C31" s="30">
        <v>12.2</v>
      </c>
      <c r="D31" s="27">
        <v>8.4</v>
      </c>
      <c r="E31" s="28"/>
      <c r="F31" s="16">
        <f t="shared" ref="F31:F37" si="76">(C31*D31*E31/1000)</f>
        <v>0</v>
      </c>
      <c r="G31" s="17"/>
      <c r="H31" s="18"/>
      <c r="I31" s="19">
        <f t="shared" ref="I31:I37" si="77">(C31*D31*H31/1000)</f>
        <v>0</v>
      </c>
      <c r="J31" s="16"/>
      <c r="K31" s="18"/>
      <c r="L31" s="19">
        <f t="shared" ref="L31:L37" si="78">(C31*D31*K31/1000)</f>
        <v>0</v>
      </c>
      <c r="M31" s="16"/>
      <c r="N31" s="18"/>
      <c r="O31" s="19">
        <f t="shared" ref="O31:O37" si="79">(C31*D31*N31/1000)</f>
        <v>0</v>
      </c>
      <c r="P31" s="16"/>
      <c r="Q31" s="18">
        <v>1</v>
      </c>
      <c r="R31" s="19">
        <f t="shared" ref="R31:R37" si="80">(C31*D31*Q31/1000)</f>
        <v>0.10248</v>
      </c>
      <c r="S31" s="20">
        <f t="shared" ref="S31:S37" si="81">+H31+K31+Q31+N31</f>
        <v>1</v>
      </c>
      <c r="T31" s="19">
        <f t="shared" ref="T31:T37" si="82">+I31+L31+R31+O31</f>
        <v>0.10248</v>
      </c>
      <c r="U31" s="21">
        <f t="shared" ref="U31:U37" si="83">E31-S31</f>
        <v>-1</v>
      </c>
      <c r="V31" s="19">
        <f t="shared" ref="V31:V37" si="84">F31-T31</f>
        <v>-0.10248</v>
      </c>
    </row>
    <row r="32" spans="1:22">
      <c r="A32" s="26" t="s">
        <v>13</v>
      </c>
      <c r="B32" s="26" t="s">
        <v>61</v>
      </c>
      <c r="C32" s="30">
        <v>12.2</v>
      </c>
      <c r="D32" s="27">
        <v>8.5</v>
      </c>
      <c r="E32" s="28"/>
      <c r="F32" s="16">
        <f t="shared" si="76"/>
        <v>0</v>
      </c>
      <c r="G32" s="17"/>
      <c r="H32" s="18"/>
      <c r="I32" s="19">
        <f t="shared" si="77"/>
        <v>0</v>
      </c>
      <c r="J32" s="16"/>
      <c r="K32" s="18"/>
      <c r="L32" s="19">
        <f t="shared" si="78"/>
        <v>0</v>
      </c>
      <c r="M32" s="16"/>
      <c r="N32" s="18"/>
      <c r="O32" s="19">
        <f t="shared" si="79"/>
        <v>0</v>
      </c>
      <c r="P32" s="16"/>
      <c r="Q32" s="18">
        <v>1</v>
      </c>
      <c r="R32" s="19">
        <f t="shared" si="80"/>
        <v>0.10369999999999999</v>
      </c>
      <c r="S32" s="20">
        <f t="shared" si="81"/>
        <v>1</v>
      </c>
      <c r="T32" s="19">
        <f t="shared" si="82"/>
        <v>0.10369999999999999</v>
      </c>
      <c r="U32" s="21">
        <f t="shared" si="83"/>
        <v>-1</v>
      </c>
      <c r="V32" s="19">
        <f t="shared" si="84"/>
        <v>-0.10369999999999999</v>
      </c>
    </row>
    <row r="33" spans="1:22">
      <c r="A33" s="26" t="s">
        <v>13</v>
      </c>
      <c r="B33" s="26" t="s">
        <v>61</v>
      </c>
      <c r="C33" s="30">
        <v>12.2</v>
      </c>
      <c r="D33" s="27">
        <v>8.9</v>
      </c>
      <c r="E33" s="28"/>
      <c r="F33" s="16">
        <f t="shared" si="76"/>
        <v>0</v>
      </c>
      <c r="G33" s="17"/>
      <c r="H33" s="18"/>
      <c r="I33" s="19">
        <f t="shared" si="77"/>
        <v>0</v>
      </c>
      <c r="J33" s="16"/>
      <c r="K33" s="18"/>
      <c r="L33" s="19">
        <f t="shared" si="78"/>
        <v>0</v>
      </c>
      <c r="M33" s="16"/>
      <c r="N33" s="18"/>
      <c r="O33" s="19">
        <f t="shared" si="79"/>
        <v>0</v>
      </c>
      <c r="P33" s="16"/>
      <c r="Q33" s="18">
        <v>1</v>
      </c>
      <c r="R33" s="19">
        <f t="shared" si="80"/>
        <v>0.10858</v>
      </c>
      <c r="S33" s="20">
        <f t="shared" si="81"/>
        <v>1</v>
      </c>
      <c r="T33" s="19">
        <f t="shared" si="82"/>
        <v>0.10858</v>
      </c>
      <c r="U33" s="21">
        <f t="shared" si="83"/>
        <v>-1</v>
      </c>
      <c r="V33" s="19">
        <f t="shared" si="84"/>
        <v>-0.10858</v>
      </c>
    </row>
    <row r="34" spans="1:22">
      <c r="A34" s="26" t="s">
        <v>13</v>
      </c>
      <c r="B34" s="26" t="s">
        <v>61</v>
      </c>
      <c r="C34" s="30">
        <v>12.2</v>
      </c>
      <c r="D34" s="27">
        <v>9.3000000000000007</v>
      </c>
      <c r="E34" s="28"/>
      <c r="F34" s="16">
        <f t="shared" si="76"/>
        <v>0</v>
      </c>
      <c r="G34" s="17"/>
      <c r="H34" s="18"/>
      <c r="I34" s="19">
        <f t="shared" si="77"/>
        <v>0</v>
      </c>
      <c r="J34" s="16"/>
      <c r="K34" s="18"/>
      <c r="L34" s="19">
        <f t="shared" si="78"/>
        <v>0</v>
      </c>
      <c r="M34" s="16"/>
      <c r="N34" s="18"/>
      <c r="O34" s="19">
        <f t="shared" si="79"/>
        <v>0</v>
      </c>
      <c r="P34" s="16"/>
      <c r="Q34" s="18">
        <v>1</v>
      </c>
      <c r="R34" s="19">
        <f t="shared" si="80"/>
        <v>0.11346000000000001</v>
      </c>
      <c r="S34" s="20">
        <f t="shared" si="81"/>
        <v>1</v>
      </c>
      <c r="T34" s="19">
        <f t="shared" si="82"/>
        <v>0.11346000000000001</v>
      </c>
      <c r="U34" s="21">
        <f t="shared" si="83"/>
        <v>-1</v>
      </c>
      <c r="V34" s="19">
        <f t="shared" si="84"/>
        <v>-0.11346000000000001</v>
      </c>
    </row>
    <row r="35" spans="1:22">
      <c r="A35" s="26" t="s">
        <v>13</v>
      </c>
      <c r="B35" s="26" t="s">
        <v>61</v>
      </c>
      <c r="C35" s="30">
        <v>12.2</v>
      </c>
      <c r="D35" s="27">
        <v>10</v>
      </c>
      <c r="E35" s="28"/>
      <c r="F35" s="16">
        <f t="shared" si="76"/>
        <v>0</v>
      </c>
      <c r="G35" s="17"/>
      <c r="H35" s="18"/>
      <c r="I35" s="19">
        <f t="shared" si="77"/>
        <v>0</v>
      </c>
      <c r="J35" s="16"/>
      <c r="K35" s="18"/>
      <c r="L35" s="19">
        <f t="shared" si="78"/>
        <v>0</v>
      </c>
      <c r="M35" s="16"/>
      <c r="N35" s="18"/>
      <c r="O35" s="19">
        <f t="shared" si="79"/>
        <v>0</v>
      </c>
      <c r="P35" s="16"/>
      <c r="Q35" s="18">
        <v>2</v>
      </c>
      <c r="R35" s="19">
        <f t="shared" si="80"/>
        <v>0.24399999999999999</v>
      </c>
      <c r="S35" s="20">
        <f t="shared" si="81"/>
        <v>2</v>
      </c>
      <c r="T35" s="19">
        <f t="shared" si="82"/>
        <v>0.24399999999999999</v>
      </c>
      <c r="U35" s="21">
        <f t="shared" si="83"/>
        <v>-2</v>
      </c>
      <c r="V35" s="19">
        <f t="shared" si="84"/>
        <v>-0.24399999999999999</v>
      </c>
    </row>
    <row r="36" spans="1:22">
      <c r="A36" s="26" t="s">
        <v>13</v>
      </c>
      <c r="B36" s="26" t="s">
        <v>61</v>
      </c>
      <c r="C36" s="30">
        <v>12.2</v>
      </c>
      <c r="D36" s="27">
        <v>10.199999999999999</v>
      </c>
      <c r="E36" s="28"/>
      <c r="F36" s="16">
        <f t="shared" si="76"/>
        <v>0</v>
      </c>
      <c r="G36" s="17"/>
      <c r="H36" s="18"/>
      <c r="I36" s="19">
        <f t="shared" si="77"/>
        <v>0</v>
      </c>
      <c r="J36" s="16"/>
      <c r="K36" s="18"/>
      <c r="L36" s="19">
        <f t="shared" si="78"/>
        <v>0</v>
      </c>
      <c r="M36" s="16"/>
      <c r="N36" s="18"/>
      <c r="O36" s="19">
        <f t="shared" si="79"/>
        <v>0</v>
      </c>
      <c r="P36" s="16"/>
      <c r="Q36" s="18">
        <v>6</v>
      </c>
      <c r="R36" s="19">
        <f t="shared" si="80"/>
        <v>0.74663999999999986</v>
      </c>
      <c r="S36" s="20">
        <f t="shared" si="81"/>
        <v>6</v>
      </c>
      <c r="T36" s="19">
        <f t="shared" si="82"/>
        <v>0.74663999999999986</v>
      </c>
      <c r="U36" s="21">
        <f t="shared" si="83"/>
        <v>-6</v>
      </c>
      <c r="V36" s="19">
        <f t="shared" si="84"/>
        <v>-0.74663999999999986</v>
      </c>
    </row>
    <row r="37" spans="1:22">
      <c r="A37" s="26" t="s">
        <v>13</v>
      </c>
      <c r="B37" s="26" t="s">
        <v>61</v>
      </c>
      <c r="C37" s="30">
        <v>12.2</v>
      </c>
      <c r="D37" s="27"/>
      <c r="E37" s="28"/>
      <c r="F37" s="16">
        <f t="shared" si="76"/>
        <v>0</v>
      </c>
      <c r="G37" s="17"/>
      <c r="H37" s="18"/>
      <c r="I37" s="19">
        <f t="shared" si="77"/>
        <v>0</v>
      </c>
      <c r="J37" s="16"/>
      <c r="K37" s="18"/>
      <c r="L37" s="19">
        <f t="shared" si="78"/>
        <v>0</v>
      </c>
      <c r="M37" s="16"/>
      <c r="N37" s="18"/>
      <c r="O37" s="19">
        <f t="shared" si="79"/>
        <v>0</v>
      </c>
      <c r="P37" s="16"/>
      <c r="Q37" s="18"/>
      <c r="R37" s="19">
        <f t="shared" si="80"/>
        <v>0</v>
      </c>
      <c r="S37" s="20">
        <f t="shared" si="81"/>
        <v>0</v>
      </c>
      <c r="T37" s="19">
        <f t="shared" si="82"/>
        <v>0</v>
      </c>
      <c r="U37" s="21">
        <f t="shared" si="83"/>
        <v>0</v>
      </c>
      <c r="V37" s="19">
        <f t="shared" si="84"/>
        <v>0</v>
      </c>
    </row>
    <row r="38" spans="1:22">
      <c r="A38" s="26" t="s">
        <v>13</v>
      </c>
      <c r="B38" s="26" t="s">
        <v>61</v>
      </c>
      <c r="C38" s="30">
        <v>12.2</v>
      </c>
      <c r="D38" s="27"/>
      <c r="E38" s="28"/>
      <c r="F38" s="16">
        <f t="shared" si="67"/>
        <v>0</v>
      </c>
      <c r="G38" s="17"/>
      <c r="H38" s="18"/>
      <c r="I38" s="19">
        <f t="shared" si="68"/>
        <v>0</v>
      </c>
      <c r="J38" s="16"/>
      <c r="K38" s="18"/>
      <c r="L38" s="19">
        <f t="shared" si="69"/>
        <v>0</v>
      </c>
      <c r="M38" s="16"/>
      <c r="N38" s="18"/>
      <c r="O38" s="19">
        <f t="shared" si="70"/>
        <v>0</v>
      </c>
      <c r="P38" s="16"/>
      <c r="Q38" s="18"/>
      <c r="R38" s="19">
        <f t="shared" si="71"/>
        <v>0</v>
      </c>
      <c r="S38" s="20">
        <f t="shared" si="72"/>
        <v>0</v>
      </c>
      <c r="T38" s="19">
        <f t="shared" si="73"/>
        <v>0</v>
      </c>
      <c r="U38" s="21">
        <f t="shared" si="74"/>
        <v>0</v>
      </c>
      <c r="V38" s="19">
        <f t="shared" si="75"/>
        <v>0</v>
      </c>
    </row>
    <row r="39" spans="1:22">
      <c r="A39" s="26" t="s">
        <v>13</v>
      </c>
      <c r="B39" s="26" t="s">
        <v>61</v>
      </c>
      <c r="C39" s="30">
        <v>12.2</v>
      </c>
      <c r="D39" s="27"/>
      <c r="E39" s="28"/>
      <c r="F39" s="16">
        <f t="shared" si="58"/>
        <v>0</v>
      </c>
      <c r="G39" s="17"/>
      <c r="H39" s="18"/>
      <c r="I39" s="19">
        <f t="shared" si="59"/>
        <v>0</v>
      </c>
      <c r="J39" s="16"/>
      <c r="K39" s="18"/>
      <c r="L39" s="19">
        <f t="shared" si="60"/>
        <v>0</v>
      </c>
      <c r="M39" s="16"/>
      <c r="N39" s="18"/>
      <c r="O39" s="19">
        <f t="shared" si="61"/>
        <v>0</v>
      </c>
      <c r="P39" s="16"/>
      <c r="Q39" s="18"/>
      <c r="R39" s="19">
        <f t="shared" si="62"/>
        <v>0</v>
      </c>
      <c r="S39" s="20">
        <f t="shared" si="63"/>
        <v>0</v>
      </c>
      <c r="T39" s="19">
        <f t="shared" si="64"/>
        <v>0</v>
      </c>
      <c r="U39" s="21">
        <f t="shared" si="65"/>
        <v>0</v>
      </c>
      <c r="V39" s="19">
        <f t="shared" si="66"/>
        <v>0</v>
      </c>
    </row>
    <row r="40" spans="1:22">
      <c r="A40" s="36"/>
      <c r="B40" s="36"/>
      <c r="C40" s="37"/>
      <c r="D40" s="38"/>
      <c r="E40" s="31">
        <f t="shared" ref="E40:F40" si="85">SUM(E24:E39)</f>
        <v>916</v>
      </c>
      <c r="F40" s="38">
        <f t="shared" si="85"/>
        <v>121.8963</v>
      </c>
      <c r="G40" s="17"/>
      <c r="H40" s="31">
        <f t="shared" ref="H40" si="86">SUM(H24:H39)</f>
        <v>188</v>
      </c>
      <c r="I40" s="38">
        <f t="shared" ref="I40" si="87">SUM(I24:I39)</f>
        <v>24.875800000000002</v>
      </c>
      <c r="J40" s="16"/>
      <c r="K40" s="31">
        <f t="shared" ref="K40" si="88">SUM(K24:K39)</f>
        <v>259</v>
      </c>
      <c r="L40" s="38">
        <f t="shared" ref="L40" si="89">SUM(L24:L39)</f>
        <v>34.718149999999994</v>
      </c>
      <c r="M40" s="17"/>
      <c r="N40" s="31">
        <f t="shared" ref="N40" si="90">SUM(N24:N39)</f>
        <v>448</v>
      </c>
      <c r="O40" s="38">
        <f t="shared" ref="O40" si="91">SUM(O24:O39)</f>
        <v>59.58785000000001</v>
      </c>
      <c r="P40" s="16"/>
      <c r="Q40" s="31">
        <f t="shared" ref="Q40" si="92">SUM(Q24:Q39)</f>
        <v>23</v>
      </c>
      <c r="R40" s="38">
        <f t="shared" ref="R40" si="93">SUM(R24:R39)</f>
        <v>2.8645599999999996</v>
      </c>
      <c r="S40" s="31">
        <f t="shared" ref="S40" si="94">SUM(S24:S39)</f>
        <v>918</v>
      </c>
      <c r="T40" s="38">
        <f t="shared" ref="T40" si="95">SUM(T24:T39)</f>
        <v>122.04636000000001</v>
      </c>
      <c r="U40" s="31">
        <f t="shared" ref="U40" si="96">SUM(U24:U39)</f>
        <v>-2</v>
      </c>
      <c r="V40" s="38">
        <f t="shared" ref="V40" si="97">SUM(V24:V39)</f>
        <v>-0.15006000000000175</v>
      </c>
    </row>
    <row r="41" spans="1:22">
      <c r="A41" s="26" t="s">
        <v>13</v>
      </c>
      <c r="B41" s="26" t="s">
        <v>180</v>
      </c>
      <c r="C41" s="30">
        <v>13.6</v>
      </c>
      <c r="D41" s="27">
        <v>6.6</v>
      </c>
      <c r="E41" s="28">
        <v>112</v>
      </c>
      <c r="F41" s="16">
        <f>(C41*D41*E41/1000)</f>
        <v>10.05312</v>
      </c>
      <c r="G41" s="17" t="s">
        <v>93</v>
      </c>
      <c r="H41" s="18">
        <v>70</v>
      </c>
      <c r="I41" s="19">
        <f>(C41*D41*H41/1000)</f>
        <v>6.283199999999999</v>
      </c>
      <c r="J41" s="16" t="s">
        <v>93</v>
      </c>
      <c r="K41" s="18">
        <v>26</v>
      </c>
      <c r="L41" s="19">
        <f>(C41*D41*K41/1000)</f>
        <v>2.3337599999999998</v>
      </c>
      <c r="M41" s="16" t="s">
        <v>93</v>
      </c>
      <c r="N41" s="18">
        <v>16</v>
      </c>
      <c r="O41" s="19">
        <f>(C41*D41*N41/1000)</f>
        <v>1.4361599999999999</v>
      </c>
      <c r="P41" s="16"/>
      <c r="Q41" s="18"/>
      <c r="R41" s="19">
        <f>(C41*D41*Q41/1000)</f>
        <v>0</v>
      </c>
      <c r="S41" s="20">
        <f>+H41+K41+Q41+N41</f>
        <v>112</v>
      </c>
      <c r="T41" s="19">
        <f>+I41+L41+R41+O41</f>
        <v>10.053119999999998</v>
      </c>
      <c r="U41" s="21">
        <f>E41-S41</f>
        <v>0</v>
      </c>
      <c r="V41" s="19">
        <f>F41-T41</f>
        <v>0</v>
      </c>
    </row>
    <row r="42" spans="1:22">
      <c r="A42" s="36"/>
      <c r="B42" s="36"/>
      <c r="C42" s="37"/>
      <c r="D42" s="38"/>
      <c r="E42" s="31">
        <f t="shared" ref="E42:F42" si="98">SUM(E41)</f>
        <v>112</v>
      </c>
      <c r="F42" s="38">
        <f t="shared" si="98"/>
        <v>10.05312</v>
      </c>
      <c r="G42" s="26" t="s">
        <v>517</v>
      </c>
      <c r="H42" s="31">
        <f t="shared" ref="H42" si="99">SUM(H41)</f>
        <v>70</v>
      </c>
      <c r="I42" s="38">
        <f t="shared" ref="I42" si="100">SUM(I41)</f>
        <v>6.283199999999999</v>
      </c>
      <c r="J42" s="16" t="s">
        <v>518</v>
      </c>
      <c r="K42" s="31">
        <f t="shared" ref="K42" si="101">SUM(K41)</f>
        <v>26</v>
      </c>
      <c r="L42" s="38">
        <f t="shared" ref="L42" si="102">SUM(L41)</f>
        <v>2.3337599999999998</v>
      </c>
      <c r="M42" s="16" t="s">
        <v>523</v>
      </c>
      <c r="N42" s="31">
        <f t="shared" ref="N42" si="103">SUM(N41)</f>
        <v>16</v>
      </c>
      <c r="O42" s="38">
        <f t="shared" ref="O42" si="104">SUM(O41)</f>
        <v>1.4361599999999999</v>
      </c>
      <c r="P42" s="26"/>
      <c r="Q42" s="31">
        <f t="shared" ref="Q42" si="105">SUM(Q41)</f>
        <v>0</v>
      </c>
      <c r="R42" s="38">
        <f t="shared" ref="R42" si="106">SUM(R41)</f>
        <v>0</v>
      </c>
      <c r="S42" s="31">
        <f t="shared" ref="S42" si="107">SUM(S41)</f>
        <v>112</v>
      </c>
      <c r="T42" s="38">
        <f t="shared" ref="T42" si="108">SUM(T41)</f>
        <v>10.053119999999998</v>
      </c>
      <c r="U42" s="31">
        <f t="shared" ref="U42" si="109">SUM(U41)</f>
        <v>0</v>
      </c>
      <c r="V42" s="38">
        <f t="shared" ref="V42" si="110">SUM(V41)</f>
        <v>0</v>
      </c>
    </row>
    <row r="43" spans="1:22">
      <c r="A43" s="26" t="s">
        <v>13</v>
      </c>
      <c r="B43" s="26" t="s">
        <v>25</v>
      </c>
      <c r="C43" s="30">
        <v>13.4</v>
      </c>
      <c r="D43" s="27">
        <v>11.3</v>
      </c>
      <c r="E43" s="28">
        <v>160</v>
      </c>
      <c r="F43" s="16">
        <f>(C43*D43*E43/1000)</f>
        <v>24.227200000000003</v>
      </c>
      <c r="G43" s="17" t="s">
        <v>205</v>
      </c>
      <c r="H43" s="18">
        <f>18+142</f>
        <v>160</v>
      </c>
      <c r="I43" s="19">
        <f>(C43*D43*H43/1000)</f>
        <v>24.227200000000003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>+H43+K43+Q43+N43</f>
        <v>160</v>
      </c>
      <c r="T43" s="19">
        <f>+I43+L43+R43+O43</f>
        <v>24.227200000000003</v>
      </c>
      <c r="U43" s="21">
        <f>E43-S43</f>
        <v>0</v>
      </c>
      <c r="V43" s="19">
        <f>F43-T43</f>
        <v>0</v>
      </c>
    </row>
    <row r="44" spans="1:22">
      <c r="A44" s="36"/>
      <c r="B44" s="36"/>
      <c r="C44" s="37"/>
      <c r="D44" s="38"/>
      <c r="E44" s="31">
        <f t="shared" ref="E44:F44" si="111">SUM(E43)</f>
        <v>160</v>
      </c>
      <c r="F44" s="38">
        <f t="shared" si="111"/>
        <v>24.227200000000003</v>
      </c>
      <c r="G44" s="17" t="s">
        <v>528</v>
      </c>
      <c r="H44" s="31">
        <f t="shared" ref="H44" si="112">SUM(H43)</f>
        <v>160</v>
      </c>
      <c r="I44" s="38">
        <f t="shared" ref="I44" si="113">SUM(I43)</f>
        <v>24.227200000000003</v>
      </c>
      <c r="J44" s="26"/>
      <c r="K44" s="31">
        <f t="shared" ref="K44" si="114">SUM(K43)</f>
        <v>0</v>
      </c>
      <c r="L44" s="38">
        <f t="shared" ref="L44" si="115">SUM(L43)</f>
        <v>0</v>
      </c>
      <c r="M44" s="26"/>
      <c r="N44" s="31">
        <f t="shared" ref="N44" si="116">SUM(N43)</f>
        <v>0</v>
      </c>
      <c r="O44" s="38">
        <f t="shared" ref="O44" si="117">SUM(O43)</f>
        <v>0</v>
      </c>
      <c r="P44" s="26"/>
      <c r="Q44" s="31">
        <f t="shared" ref="Q44" si="118">SUM(Q43)</f>
        <v>0</v>
      </c>
      <c r="R44" s="38">
        <f t="shared" ref="R44" si="119">SUM(R43)</f>
        <v>0</v>
      </c>
      <c r="S44" s="31">
        <f t="shared" ref="S44" si="120">SUM(S43)</f>
        <v>160</v>
      </c>
      <c r="T44" s="38">
        <f t="shared" ref="T44" si="121">SUM(T43)</f>
        <v>24.227200000000003</v>
      </c>
      <c r="U44" s="31">
        <f t="shared" ref="U44" si="122">SUM(U43)</f>
        <v>0</v>
      </c>
      <c r="V44" s="38">
        <f t="shared" ref="V44" si="123">SUM(V43)</f>
        <v>0</v>
      </c>
    </row>
    <row r="45" spans="1:22">
      <c r="A45" s="26" t="s">
        <v>13</v>
      </c>
      <c r="B45" s="26" t="s">
        <v>47</v>
      </c>
      <c r="C45" s="30">
        <v>18.2</v>
      </c>
      <c r="D45" s="27">
        <v>11.35</v>
      </c>
      <c r="E45" s="28">
        <v>80</v>
      </c>
      <c r="F45" s="16">
        <f>(C45*D45*E45/1000)</f>
        <v>16.525599999999997</v>
      </c>
      <c r="G45" s="17" t="s">
        <v>93</v>
      </c>
      <c r="H45" s="18">
        <f>23+15</f>
        <v>38</v>
      </c>
      <c r="I45" s="19">
        <f>(C45*D45*H45/1000)</f>
        <v>7.8496600000000001</v>
      </c>
      <c r="J45" s="16" t="s">
        <v>107</v>
      </c>
      <c r="K45" s="18">
        <v>40</v>
      </c>
      <c r="L45" s="19">
        <f>(C45*D45*K45/1000)</f>
        <v>8.2627999999999986</v>
      </c>
      <c r="M45" s="16" t="s">
        <v>205</v>
      </c>
      <c r="N45" s="18"/>
      <c r="O45" s="19">
        <f>(C45*D45*N45/1000)</f>
        <v>0</v>
      </c>
      <c r="P45" s="16"/>
      <c r="Q45" s="18"/>
      <c r="R45" s="19">
        <f>(C45*D45*Q45/1000)</f>
        <v>0</v>
      </c>
      <c r="S45" s="20">
        <f>+H45+K45+Q45+N45</f>
        <v>78</v>
      </c>
      <c r="T45" s="19">
        <f>+I45+L45+R45+O45</f>
        <v>16.112459999999999</v>
      </c>
      <c r="U45" s="21">
        <f>E45-S45</f>
        <v>2</v>
      </c>
      <c r="V45" s="19">
        <f>F45-T45</f>
        <v>0.41313999999999851</v>
      </c>
    </row>
    <row r="46" spans="1:22">
      <c r="A46" s="26" t="s">
        <v>13</v>
      </c>
      <c r="B46" s="26" t="s">
        <v>47</v>
      </c>
      <c r="C46" s="30">
        <v>18.2</v>
      </c>
      <c r="D46" s="27">
        <v>12</v>
      </c>
      <c r="E46" s="28">
        <v>225</v>
      </c>
      <c r="F46" s="16">
        <f t="shared" ref="F46:F49" si="124">(C46*D46*E46/1000)</f>
        <v>49.139999999999993</v>
      </c>
      <c r="G46" s="17" t="s">
        <v>520</v>
      </c>
      <c r="H46" s="18">
        <v>96</v>
      </c>
      <c r="I46" s="19">
        <f t="shared" ref="I46:I49" si="125">(C46*D46*H46/1000)</f>
        <v>20.966399999999997</v>
      </c>
      <c r="J46" s="16" t="s">
        <v>547</v>
      </c>
      <c r="K46" s="18">
        <f t="shared" ref="K46" si="126">67+43</f>
        <v>110</v>
      </c>
      <c r="L46" s="19">
        <f t="shared" ref="L46:L49" si="127">(C46*D46*K46/1000)</f>
        <v>24.023999999999997</v>
      </c>
      <c r="M46" s="16" t="s">
        <v>550</v>
      </c>
      <c r="N46" s="18">
        <v>16</v>
      </c>
      <c r="O46" s="19">
        <f t="shared" ref="O46:O49" si="128">(C46*D46*N46/1000)</f>
        <v>3.4943999999999997</v>
      </c>
      <c r="P46" s="16"/>
      <c r="Q46" s="18"/>
      <c r="R46" s="19">
        <f t="shared" ref="R46:R49" si="129">(C46*D46*Q46/1000)</f>
        <v>0</v>
      </c>
      <c r="S46" s="20">
        <f t="shared" ref="S46:S49" si="130">+H46+K46+Q46+N46</f>
        <v>222</v>
      </c>
      <c r="T46" s="19">
        <f t="shared" ref="T46:T49" si="131">+I46+L46+R46+O46</f>
        <v>48.484799999999993</v>
      </c>
      <c r="U46" s="21">
        <f t="shared" ref="U46:U49" si="132">E46-S46</f>
        <v>3</v>
      </c>
      <c r="V46" s="19">
        <f t="shared" ref="V46:V49" si="133">F46-T46</f>
        <v>0.65520000000000067</v>
      </c>
    </row>
    <row r="47" spans="1:22">
      <c r="A47" s="26" t="s">
        <v>13</v>
      </c>
      <c r="B47" s="26" t="s">
        <v>47</v>
      </c>
      <c r="C47" s="30">
        <v>18.2</v>
      </c>
      <c r="D47" s="27">
        <v>11</v>
      </c>
      <c r="E47" s="28"/>
      <c r="F47" s="16">
        <f t="shared" si="124"/>
        <v>0</v>
      </c>
      <c r="G47" s="17"/>
      <c r="H47" s="18"/>
      <c r="I47" s="19">
        <f t="shared" si="125"/>
        <v>0</v>
      </c>
      <c r="J47" s="16"/>
      <c r="K47" s="18"/>
      <c r="L47" s="19">
        <f t="shared" si="127"/>
        <v>0</v>
      </c>
      <c r="M47" s="16"/>
      <c r="N47" s="18">
        <v>3</v>
      </c>
      <c r="O47" s="19">
        <f t="shared" si="128"/>
        <v>0.60059999999999991</v>
      </c>
      <c r="P47" s="16"/>
      <c r="Q47" s="18"/>
      <c r="R47" s="19">
        <f t="shared" si="129"/>
        <v>0</v>
      </c>
      <c r="S47" s="20">
        <f t="shared" si="130"/>
        <v>3</v>
      </c>
      <c r="T47" s="19">
        <f t="shared" si="131"/>
        <v>0.60059999999999991</v>
      </c>
      <c r="U47" s="21">
        <f t="shared" si="132"/>
        <v>-3</v>
      </c>
      <c r="V47" s="19">
        <f t="shared" si="133"/>
        <v>-0.60059999999999991</v>
      </c>
    </row>
    <row r="48" spans="1:22">
      <c r="A48" s="26" t="s">
        <v>13</v>
      </c>
      <c r="B48" s="26" t="s">
        <v>47</v>
      </c>
      <c r="C48" s="30">
        <v>18.2</v>
      </c>
      <c r="D48" s="27">
        <v>10.6</v>
      </c>
      <c r="E48" s="28"/>
      <c r="F48" s="16">
        <f t="shared" si="124"/>
        <v>0</v>
      </c>
      <c r="G48" s="17"/>
      <c r="H48" s="18"/>
      <c r="I48" s="19">
        <f t="shared" si="125"/>
        <v>0</v>
      </c>
      <c r="J48" s="16"/>
      <c r="K48" s="18"/>
      <c r="L48" s="19">
        <f t="shared" si="127"/>
        <v>0</v>
      </c>
      <c r="M48" s="16"/>
      <c r="N48" s="18">
        <v>1</v>
      </c>
      <c r="O48" s="19">
        <f t="shared" si="128"/>
        <v>0.19291999999999998</v>
      </c>
      <c r="P48" s="16"/>
      <c r="Q48" s="18"/>
      <c r="R48" s="19">
        <f t="shared" si="129"/>
        <v>0</v>
      </c>
      <c r="S48" s="20">
        <f t="shared" si="130"/>
        <v>1</v>
      </c>
      <c r="T48" s="19">
        <f t="shared" si="131"/>
        <v>0.19291999999999998</v>
      </c>
      <c r="U48" s="21">
        <f t="shared" si="132"/>
        <v>-1</v>
      </c>
      <c r="V48" s="19">
        <f t="shared" si="133"/>
        <v>-0.19291999999999998</v>
      </c>
    </row>
    <row r="49" spans="1:22">
      <c r="A49" s="26" t="s">
        <v>13</v>
      </c>
      <c r="B49" s="26" t="s">
        <v>47</v>
      </c>
      <c r="C49" s="30">
        <v>18.2</v>
      </c>
      <c r="D49" s="27">
        <v>10.4</v>
      </c>
      <c r="E49" s="28"/>
      <c r="F49" s="16">
        <f t="shared" si="124"/>
        <v>0</v>
      </c>
      <c r="G49" s="17"/>
      <c r="H49" s="18"/>
      <c r="I49" s="19">
        <f t="shared" si="125"/>
        <v>0</v>
      </c>
      <c r="J49" s="16"/>
      <c r="K49" s="18"/>
      <c r="L49" s="19">
        <f t="shared" si="127"/>
        <v>0</v>
      </c>
      <c r="M49" s="16"/>
      <c r="N49" s="18">
        <v>1</v>
      </c>
      <c r="O49" s="19">
        <f t="shared" si="128"/>
        <v>0.18928</v>
      </c>
      <c r="P49" s="16"/>
      <c r="Q49" s="18"/>
      <c r="R49" s="19">
        <f t="shared" si="129"/>
        <v>0</v>
      </c>
      <c r="S49" s="20">
        <f t="shared" si="130"/>
        <v>1</v>
      </c>
      <c r="T49" s="19">
        <f t="shared" si="131"/>
        <v>0.18928</v>
      </c>
      <c r="U49" s="21">
        <f t="shared" si="132"/>
        <v>-1</v>
      </c>
      <c r="V49" s="19">
        <f t="shared" si="133"/>
        <v>-0.18928</v>
      </c>
    </row>
    <row r="50" spans="1:22">
      <c r="A50" s="26" t="s">
        <v>13</v>
      </c>
      <c r="B50" s="26" t="s">
        <v>47</v>
      </c>
      <c r="C50" s="30">
        <v>18.2</v>
      </c>
      <c r="D50" s="27">
        <v>10.9</v>
      </c>
      <c r="E50" s="28"/>
      <c r="F50" s="16">
        <f>(C50*D50*E50/1000)</f>
        <v>0</v>
      </c>
      <c r="G50" s="17"/>
      <c r="H50" s="18"/>
      <c r="I50" s="19">
        <f>(C50*D50*H50/1000)</f>
        <v>0</v>
      </c>
      <c r="J50" s="16"/>
      <c r="K50" s="18"/>
      <c r="L50" s="19">
        <f>(C50*D50*K50/1000)</f>
        <v>0</v>
      </c>
      <c r="M50" s="16"/>
      <c r="N50" s="18">
        <v>1</v>
      </c>
      <c r="O50" s="19">
        <f>(C50*D50*N50/1000)</f>
        <v>0.19838</v>
      </c>
      <c r="P50" s="16"/>
      <c r="Q50" s="18"/>
      <c r="R50" s="19">
        <f>(C50*D50*Q50/1000)</f>
        <v>0</v>
      </c>
      <c r="S50" s="20">
        <f>+H50+K50+Q50+N50</f>
        <v>1</v>
      </c>
      <c r="T50" s="19">
        <f>+I50+L50+R50+O50</f>
        <v>0.19838</v>
      </c>
      <c r="U50" s="21">
        <f>E50-S50</f>
        <v>-1</v>
      </c>
      <c r="V50" s="19">
        <f>F50-T50</f>
        <v>-0.19838</v>
      </c>
    </row>
    <row r="51" spans="1:22">
      <c r="A51" s="36"/>
      <c r="B51" s="36"/>
      <c r="C51" s="37"/>
      <c r="D51" s="38"/>
      <c r="E51" s="31">
        <f t="shared" ref="E51:F51" si="134">SUM(E45:E50)</f>
        <v>305</v>
      </c>
      <c r="F51" s="38">
        <f t="shared" si="134"/>
        <v>65.665599999999984</v>
      </c>
      <c r="G51" s="17"/>
      <c r="H51" s="31">
        <f t="shared" ref="H51" si="135">SUM(H45:H50)</f>
        <v>134</v>
      </c>
      <c r="I51" s="38">
        <f t="shared" ref="I51" si="136">SUM(I45:I50)</f>
        <v>28.816059999999997</v>
      </c>
      <c r="J51" s="16"/>
      <c r="K51" s="31">
        <f t="shared" ref="K51" si="137">SUM(K45:K50)</f>
        <v>150</v>
      </c>
      <c r="L51" s="38">
        <f t="shared" ref="L51" si="138">SUM(L45:L50)</f>
        <v>32.286799999999999</v>
      </c>
      <c r="M51" s="16"/>
      <c r="N51" s="31">
        <f t="shared" ref="N51" si="139">SUM(N45:N50)</f>
        <v>22</v>
      </c>
      <c r="O51" s="38">
        <f t="shared" ref="O51" si="140">SUM(O45:O50)</f>
        <v>4.6755800000000001</v>
      </c>
      <c r="P51" s="16"/>
      <c r="Q51" s="31">
        <f t="shared" ref="Q51" si="141">SUM(Q45:Q50)</f>
        <v>0</v>
      </c>
      <c r="R51" s="38">
        <f t="shared" ref="R51" si="142">SUM(R45:R50)</f>
        <v>0</v>
      </c>
      <c r="S51" s="31">
        <f t="shared" ref="S51" si="143">SUM(S45:S50)</f>
        <v>306</v>
      </c>
      <c r="T51" s="38">
        <f t="shared" ref="T51" si="144">SUM(T45:T50)</f>
        <v>65.778439999999989</v>
      </c>
      <c r="U51" s="31">
        <f t="shared" ref="U51" si="145">SUM(U45:U50)</f>
        <v>-1</v>
      </c>
      <c r="V51" s="38">
        <f t="shared" ref="V51" si="146">SUM(V45:V50)</f>
        <v>-0.11284000000000072</v>
      </c>
    </row>
    <row r="52" spans="1:22">
      <c r="A52" s="26" t="s">
        <v>13</v>
      </c>
      <c r="B52" s="26" t="s">
        <v>504</v>
      </c>
      <c r="C52" s="30">
        <v>19.899999999999999</v>
      </c>
      <c r="D52" s="27">
        <v>7.3</v>
      </c>
      <c r="E52" s="28">
        <v>8</v>
      </c>
      <c r="F52" s="16">
        <f>(C52*D52*E52/1000)</f>
        <v>1.1621599999999999</v>
      </c>
      <c r="G52" s="17" t="s">
        <v>88</v>
      </c>
      <c r="H52" s="18">
        <v>8</v>
      </c>
      <c r="I52" s="19">
        <f>(C52*D52*H52/1000)</f>
        <v>1.1621599999999999</v>
      </c>
      <c r="J52" s="16"/>
      <c r="K52" s="18"/>
      <c r="L52" s="19">
        <f>(C52*D52*K52/1000)</f>
        <v>0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>+H52+K52+Q52+N52</f>
        <v>8</v>
      </c>
      <c r="T52" s="19">
        <f>+I52+L52+R52+O52</f>
        <v>1.1621599999999999</v>
      </c>
      <c r="U52" s="21">
        <f>E52-S52</f>
        <v>0</v>
      </c>
      <c r="V52" s="19">
        <f>F52-T52</f>
        <v>0</v>
      </c>
    </row>
    <row r="53" spans="1:22">
      <c r="A53" s="26" t="s">
        <v>13</v>
      </c>
      <c r="B53" s="26" t="s">
        <v>504</v>
      </c>
      <c r="C53" s="30">
        <v>19.899999999999999</v>
      </c>
      <c r="D53" s="27">
        <v>11</v>
      </c>
      <c r="E53" s="28">
        <v>20</v>
      </c>
      <c r="F53" s="16">
        <f>(C53*D53*E53/1000)</f>
        <v>4.3780000000000001</v>
      </c>
      <c r="G53" s="17" t="s">
        <v>522</v>
      </c>
      <c r="H53" s="18">
        <v>20</v>
      </c>
      <c r="I53" s="19">
        <f>(C53*D53*H53/1000)</f>
        <v>4.3780000000000001</v>
      </c>
      <c r="J53" s="16"/>
      <c r="K53" s="18"/>
      <c r="L53" s="19">
        <f>(C53*D53*K53/1000)</f>
        <v>0</v>
      </c>
      <c r="M53" s="16"/>
      <c r="N53" s="18"/>
      <c r="O53" s="19">
        <f>(C53*D53*N53/1000)</f>
        <v>0</v>
      </c>
      <c r="P53" s="16"/>
      <c r="Q53" s="18"/>
      <c r="R53" s="19">
        <f>(C53*D53*Q53/1000)</f>
        <v>0</v>
      </c>
      <c r="S53" s="20">
        <f>+H53+K53+Q53+N53</f>
        <v>20</v>
      </c>
      <c r="T53" s="19">
        <f>+I53+L53+R53+O53</f>
        <v>4.3780000000000001</v>
      </c>
      <c r="U53" s="21">
        <f>E53-S53</f>
        <v>0</v>
      </c>
      <c r="V53" s="19">
        <f>F53-T53</f>
        <v>0</v>
      </c>
    </row>
    <row r="54" spans="1:22">
      <c r="A54" s="36"/>
      <c r="B54" s="36"/>
      <c r="C54" s="37"/>
      <c r="D54" s="38"/>
      <c r="E54" s="31">
        <f t="shared" ref="E54:F54" si="147">SUM(E52:E53)</f>
        <v>28</v>
      </c>
      <c r="F54" s="38">
        <f t="shared" si="147"/>
        <v>5.5401600000000002</v>
      </c>
      <c r="G54" s="17"/>
      <c r="H54" s="31">
        <f t="shared" ref="H54" si="148">SUM(H52:H53)</f>
        <v>28</v>
      </c>
      <c r="I54" s="38">
        <f t="shared" ref="I54" si="149">SUM(I52:I53)</f>
        <v>5.5401600000000002</v>
      </c>
      <c r="J54" s="16"/>
      <c r="K54" s="31">
        <f t="shared" ref="K54" si="150">SUM(K52:K53)</f>
        <v>0</v>
      </c>
      <c r="L54" s="38">
        <f t="shared" ref="L54" si="151">SUM(L52:L53)</f>
        <v>0</v>
      </c>
      <c r="M54" s="16"/>
      <c r="N54" s="31">
        <f t="shared" ref="N54" si="152">SUM(N52:N53)</f>
        <v>0</v>
      </c>
      <c r="O54" s="38">
        <f t="shared" ref="O54" si="153">SUM(O52:O53)</f>
        <v>0</v>
      </c>
      <c r="P54" s="16"/>
      <c r="Q54" s="31">
        <f t="shared" ref="Q54" si="154">SUM(Q52:Q53)</f>
        <v>0</v>
      </c>
      <c r="R54" s="38">
        <f t="shared" ref="R54" si="155">SUM(R52:R53)</f>
        <v>0</v>
      </c>
      <c r="S54" s="31">
        <f t="shared" ref="S54" si="156">SUM(S52:S53)</f>
        <v>28</v>
      </c>
      <c r="T54" s="38">
        <f t="shared" ref="T54" si="157">SUM(T52:T53)</f>
        <v>5.5401600000000002</v>
      </c>
      <c r="U54" s="31">
        <f t="shared" ref="U54" si="158">SUM(U52:U53)</f>
        <v>0</v>
      </c>
      <c r="V54" s="38">
        <f t="shared" ref="V54" si="159">SUM(V52:V53)</f>
        <v>0</v>
      </c>
    </row>
    <row r="55" spans="1:22">
      <c r="A55" s="26" t="s">
        <v>13</v>
      </c>
      <c r="B55" s="26" t="s">
        <v>49</v>
      </c>
      <c r="C55" s="30">
        <v>14.7</v>
      </c>
      <c r="D55" s="27">
        <v>8.6</v>
      </c>
      <c r="E55" s="28">
        <v>40</v>
      </c>
      <c r="F55" s="16">
        <f>(C55*D55*E55/1000)</f>
        <v>5.0567999999999991</v>
      </c>
      <c r="G55" s="17" t="s">
        <v>88</v>
      </c>
      <c r="H55" s="18">
        <v>33</v>
      </c>
      <c r="I55" s="19">
        <f>(C55*D55*H55/1000)</f>
        <v>4.1718599999999997</v>
      </c>
      <c r="J55" s="17" t="s">
        <v>93</v>
      </c>
      <c r="K55" s="18">
        <v>7</v>
      </c>
      <c r="L55" s="19">
        <f>(C55*D55*K55/1000)</f>
        <v>0.88493999999999995</v>
      </c>
      <c r="M55" s="16"/>
      <c r="N55" s="18"/>
      <c r="O55" s="19">
        <f>(C55*D55*N55/1000)</f>
        <v>0</v>
      </c>
      <c r="P55" s="16"/>
      <c r="Q55" s="18"/>
      <c r="R55" s="19">
        <f>(C55*D55*Q55/1000)</f>
        <v>0</v>
      </c>
      <c r="S55" s="20">
        <f>+H55+K55+Q55+N55</f>
        <v>40</v>
      </c>
      <c r="T55" s="19">
        <f>+I55+L55+R55+O55</f>
        <v>5.0568</v>
      </c>
      <c r="U55" s="21">
        <f>E55-S55</f>
        <v>0</v>
      </c>
      <c r="V55" s="19">
        <f>F55-T55</f>
        <v>0</v>
      </c>
    </row>
    <row r="56" spans="1:22">
      <c r="A56" s="36"/>
      <c r="B56" s="36"/>
      <c r="C56" s="37"/>
      <c r="D56" s="38"/>
      <c r="E56" s="31">
        <f t="shared" ref="E56:F56" si="160">SUM(E55)</f>
        <v>40</v>
      </c>
      <c r="F56" s="38">
        <f t="shared" si="160"/>
        <v>5.0567999999999991</v>
      </c>
      <c r="G56" s="17" t="s">
        <v>522</v>
      </c>
      <c r="H56" s="31">
        <f t="shared" ref="H56" si="161">SUM(H55)</f>
        <v>33</v>
      </c>
      <c r="I56" s="38">
        <f t="shared" ref="I56" si="162">SUM(I55)</f>
        <v>4.1718599999999997</v>
      </c>
      <c r="J56" s="17" t="s">
        <v>524</v>
      </c>
      <c r="K56" s="31">
        <f t="shared" ref="K56" si="163">SUM(K55)</f>
        <v>7</v>
      </c>
      <c r="L56" s="38">
        <f t="shared" ref="L56" si="164">SUM(L55)</f>
        <v>0.88493999999999995</v>
      </c>
      <c r="M56" s="16"/>
      <c r="N56" s="31">
        <f t="shared" ref="N56" si="165">SUM(N55)</f>
        <v>0</v>
      </c>
      <c r="O56" s="38">
        <f t="shared" ref="O56" si="166">SUM(O55)</f>
        <v>0</v>
      </c>
      <c r="P56" s="16"/>
      <c r="Q56" s="31">
        <f t="shared" ref="Q56" si="167">SUM(Q55)</f>
        <v>0</v>
      </c>
      <c r="R56" s="38">
        <f t="shared" ref="R56" si="168">SUM(R55)</f>
        <v>0</v>
      </c>
      <c r="S56" s="31">
        <f t="shared" ref="S56" si="169">SUM(S55)</f>
        <v>40</v>
      </c>
      <c r="T56" s="38">
        <f t="shared" ref="T56" si="170">SUM(T55)</f>
        <v>5.0568</v>
      </c>
      <c r="U56" s="31">
        <f t="shared" ref="U56" si="171">SUM(U55)</f>
        <v>0</v>
      </c>
      <c r="V56" s="38">
        <f t="shared" ref="V56" si="172">SUM(V55)</f>
        <v>0</v>
      </c>
    </row>
    <row r="57" spans="1:22">
      <c r="A57" s="26" t="s">
        <v>13</v>
      </c>
      <c r="B57" s="26" t="s">
        <v>50</v>
      </c>
      <c r="C57" s="30">
        <v>16.5</v>
      </c>
      <c r="D57" s="27">
        <v>7.4</v>
      </c>
      <c r="E57" s="28">
        <v>480</v>
      </c>
      <c r="F57" s="16">
        <f>(C57*D57*E57/1000)</f>
        <v>58.608000000000004</v>
      </c>
      <c r="G57" s="16" t="s">
        <v>86</v>
      </c>
      <c r="H57" s="18">
        <f>21+20</f>
        <v>41</v>
      </c>
      <c r="I57" s="19">
        <f>(C57*D57*H57/1000)</f>
        <v>5.0061</v>
      </c>
      <c r="J57" s="16" t="s">
        <v>93</v>
      </c>
      <c r="K57" s="18">
        <f>12+46+29</f>
        <v>87</v>
      </c>
      <c r="L57" s="19">
        <f>(C57*D57*K57/1000)</f>
        <v>10.6227</v>
      </c>
      <c r="M57" s="16" t="s">
        <v>89</v>
      </c>
      <c r="N57" s="18">
        <f>178+56</f>
        <v>234</v>
      </c>
      <c r="O57" s="19">
        <f>(C57*D57*N57/1000)</f>
        <v>28.571400000000001</v>
      </c>
      <c r="P57" s="16" t="s">
        <v>93</v>
      </c>
      <c r="Q57" s="18">
        <v>118</v>
      </c>
      <c r="R57" s="19">
        <f>(C57*D57*Q57/1000)</f>
        <v>14.407800000000002</v>
      </c>
      <c r="S57" s="20">
        <f>+H57+K57+Q57+N57</f>
        <v>480</v>
      </c>
      <c r="T57" s="19">
        <f>+I57+L57+R57+O57</f>
        <v>58.608000000000004</v>
      </c>
      <c r="U57" s="21">
        <f>E57-S57</f>
        <v>0</v>
      </c>
      <c r="V57" s="19">
        <f>F57-T57</f>
        <v>0</v>
      </c>
    </row>
    <row r="58" spans="1:22">
      <c r="A58" s="26" t="s">
        <v>13</v>
      </c>
      <c r="B58" s="26" t="s">
        <v>50</v>
      </c>
      <c r="C58" s="30">
        <v>16.5</v>
      </c>
      <c r="D58" s="27">
        <v>11.15</v>
      </c>
      <c r="E58" s="28">
        <v>240</v>
      </c>
      <c r="F58" s="16">
        <f>(C58*D58*E58/1000)</f>
        <v>44.154000000000003</v>
      </c>
      <c r="G58" s="17" t="s">
        <v>93</v>
      </c>
      <c r="H58" s="18">
        <f>87</f>
        <v>87</v>
      </c>
      <c r="I58" s="19">
        <f>(C58*D58*H58/1000)</f>
        <v>16.005824999999998</v>
      </c>
      <c r="J58" s="16" t="s">
        <v>521</v>
      </c>
      <c r="K58" s="18">
        <f>47+28+24</f>
        <v>99</v>
      </c>
      <c r="L58" s="19">
        <f>(C58*D58*K58/1000)</f>
        <v>18.213524999999997</v>
      </c>
      <c r="M58" s="16" t="s">
        <v>521</v>
      </c>
      <c r="N58" s="18"/>
      <c r="O58" s="19">
        <f>(C58*D58*N58/1000)</f>
        <v>0</v>
      </c>
      <c r="P58" s="16" t="s">
        <v>522</v>
      </c>
      <c r="Q58" s="18">
        <v>54</v>
      </c>
      <c r="R58" s="19">
        <f>(C58*D58*Q58/1000)</f>
        <v>9.9346499999999995</v>
      </c>
      <c r="S58" s="20">
        <f>+H58+K58+Q58+N58</f>
        <v>240</v>
      </c>
      <c r="T58" s="19">
        <f>+I58+L58+R58+O58</f>
        <v>44.153999999999989</v>
      </c>
      <c r="U58" s="21">
        <f>E58-S58</f>
        <v>0</v>
      </c>
      <c r="V58" s="19">
        <f>F58-T58</f>
        <v>0</v>
      </c>
    </row>
    <row r="59" spans="1:22">
      <c r="A59" s="36"/>
      <c r="B59" s="36"/>
      <c r="C59" s="37"/>
      <c r="D59" s="38"/>
      <c r="E59" s="31">
        <f t="shared" ref="E59:F59" si="173">SUM(E57:E58)</f>
        <v>720</v>
      </c>
      <c r="F59" s="38">
        <f t="shared" si="173"/>
        <v>102.762</v>
      </c>
      <c r="G59" s="17" t="s">
        <v>520</v>
      </c>
      <c r="H59" s="31">
        <f t="shared" ref="H59" si="174">SUM(H57:H58)</f>
        <v>128</v>
      </c>
      <c r="I59" s="38">
        <f t="shared" ref="I59" si="175">SUM(I57:I58)</f>
        <v>21.011924999999998</v>
      </c>
      <c r="J59" s="26"/>
      <c r="K59" s="31">
        <f t="shared" ref="K59" si="176">SUM(K57:K58)</f>
        <v>186</v>
      </c>
      <c r="L59" s="38">
        <f t="shared" ref="L59" si="177">SUM(L57:L58)</f>
        <v>28.836224999999999</v>
      </c>
      <c r="M59" s="26"/>
      <c r="N59" s="31">
        <f t="shared" ref="N59" si="178">SUM(N57:N58)</f>
        <v>234</v>
      </c>
      <c r="O59" s="38">
        <f t="shared" ref="O59" si="179">SUM(O57:O58)</f>
        <v>28.571400000000001</v>
      </c>
      <c r="P59" s="26"/>
      <c r="Q59" s="31">
        <f t="shared" ref="Q59" si="180">SUM(Q57:Q58)</f>
        <v>172</v>
      </c>
      <c r="R59" s="38">
        <f t="shared" ref="R59" si="181">SUM(R57:R58)</f>
        <v>24.342449999999999</v>
      </c>
      <c r="S59" s="31">
        <f t="shared" ref="S59" si="182">SUM(S57:S58)</f>
        <v>720</v>
      </c>
      <c r="T59" s="38">
        <f t="shared" ref="T59" si="183">SUM(T57:T58)</f>
        <v>102.762</v>
      </c>
      <c r="U59" s="31">
        <f t="shared" ref="U59" si="184">SUM(U57:U58)</f>
        <v>0</v>
      </c>
      <c r="V59" s="38">
        <f t="shared" ref="V59" si="185">SUM(V57:V58)</f>
        <v>0</v>
      </c>
    </row>
    <row r="60" spans="1:22">
      <c r="A60" s="26" t="s">
        <v>13</v>
      </c>
      <c r="B60" s="26" t="s">
        <v>53</v>
      </c>
      <c r="C60" s="30">
        <v>23.6</v>
      </c>
      <c r="D60" s="27">
        <v>10.4</v>
      </c>
      <c r="E60" s="28">
        <v>88</v>
      </c>
      <c r="F60" s="16">
        <f>(C60*D60*E60/1000)</f>
        <v>21.59872</v>
      </c>
      <c r="G60" s="17" t="s">
        <v>88</v>
      </c>
      <c r="H60" s="18">
        <v>88</v>
      </c>
      <c r="I60" s="19">
        <f>(C60*D60*H60/1000)</f>
        <v>21.59872</v>
      </c>
      <c r="J60" s="16"/>
      <c r="K60" s="18"/>
      <c r="L60" s="19">
        <f>(C60*D60*K60/1000)</f>
        <v>0</v>
      </c>
      <c r="M60" s="16"/>
      <c r="N60" s="18"/>
      <c r="O60" s="19">
        <f>(C60*D60*N60/1000)</f>
        <v>0</v>
      </c>
      <c r="P60" s="16"/>
      <c r="Q60" s="18"/>
      <c r="R60" s="19">
        <f>(C60*D60*Q60/1000)</f>
        <v>0</v>
      </c>
      <c r="S60" s="20">
        <f>+H60+K60+Q60+N60</f>
        <v>88</v>
      </c>
      <c r="T60" s="19">
        <f>+I60+L60+R60+O60</f>
        <v>21.59872</v>
      </c>
      <c r="U60" s="21">
        <f>E60-S60</f>
        <v>0</v>
      </c>
      <c r="V60" s="19">
        <f>F60-T60</f>
        <v>0</v>
      </c>
    </row>
    <row r="61" spans="1:22">
      <c r="A61" s="36"/>
      <c r="B61" s="36"/>
      <c r="C61" s="37"/>
      <c r="D61" s="38"/>
      <c r="E61" s="31">
        <f t="shared" ref="E61:F61" si="186">SUM(E60)</f>
        <v>88</v>
      </c>
      <c r="F61" s="38">
        <f t="shared" si="186"/>
        <v>21.59872</v>
      </c>
      <c r="G61" s="17" t="s">
        <v>522</v>
      </c>
      <c r="H61" s="31">
        <f t="shared" ref="H61" si="187">SUM(H60)</f>
        <v>88</v>
      </c>
      <c r="I61" s="38">
        <f t="shared" ref="I61" si="188">SUM(I60)</f>
        <v>21.59872</v>
      </c>
      <c r="J61" s="16"/>
      <c r="K61" s="31">
        <f t="shared" ref="K61" si="189">SUM(K60)</f>
        <v>0</v>
      </c>
      <c r="L61" s="38">
        <f t="shared" ref="L61" si="190">SUM(L60)</f>
        <v>0</v>
      </c>
      <c r="M61" s="16"/>
      <c r="N61" s="31">
        <f t="shared" ref="N61" si="191">SUM(N60)</f>
        <v>0</v>
      </c>
      <c r="O61" s="38">
        <f t="shared" ref="O61" si="192">SUM(O60)</f>
        <v>0</v>
      </c>
      <c r="P61" s="16"/>
      <c r="Q61" s="31">
        <f t="shared" ref="Q61" si="193">SUM(Q60)</f>
        <v>0</v>
      </c>
      <c r="R61" s="38">
        <f t="shared" ref="R61" si="194">SUM(R60)</f>
        <v>0</v>
      </c>
      <c r="S61" s="31">
        <f t="shared" ref="S61" si="195">SUM(S60)</f>
        <v>88</v>
      </c>
      <c r="T61" s="38">
        <f t="shared" ref="T61" si="196">SUM(T60)</f>
        <v>21.59872</v>
      </c>
      <c r="U61" s="31">
        <f t="shared" ref="U61" si="197">SUM(U60)</f>
        <v>0</v>
      </c>
      <c r="V61" s="38">
        <f t="shared" ref="V61" si="198">SUM(V60)</f>
        <v>0</v>
      </c>
    </row>
    <row r="62" spans="1:22">
      <c r="A62" s="26" t="s">
        <v>13</v>
      </c>
      <c r="B62" s="26" t="s">
        <v>212</v>
      </c>
      <c r="C62" s="30">
        <v>29.5</v>
      </c>
      <c r="D62" s="27">
        <v>10.9</v>
      </c>
      <c r="E62" s="28">
        <v>80</v>
      </c>
      <c r="F62" s="16">
        <f>(C62*D62*E62/1000)</f>
        <v>25.724</v>
      </c>
      <c r="G62" s="16" t="s">
        <v>205</v>
      </c>
      <c r="H62" s="18">
        <v>80</v>
      </c>
      <c r="I62" s="19">
        <f>(C62*D62*H62/1000)</f>
        <v>25.724</v>
      </c>
      <c r="J62" s="16"/>
      <c r="K62" s="18"/>
      <c r="L62" s="19">
        <f>(C62*D62*K62/1000)</f>
        <v>0</v>
      </c>
      <c r="M62" s="16"/>
      <c r="N62" s="18"/>
      <c r="O62" s="19">
        <f>(C62*D62*N62/1000)</f>
        <v>0</v>
      </c>
      <c r="P62" s="16"/>
      <c r="Q62" s="18"/>
      <c r="R62" s="19">
        <f>(C62*D62*Q62/1000)</f>
        <v>0</v>
      </c>
      <c r="S62" s="20">
        <f>+H62+K62+Q62+N62</f>
        <v>80</v>
      </c>
      <c r="T62" s="19">
        <f>+I62+L62+R62+O62</f>
        <v>25.724</v>
      </c>
      <c r="U62" s="21">
        <f>E62-S62</f>
        <v>0</v>
      </c>
      <c r="V62" s="19">
        <f>F62-T62</f>
        <v>0</v>
      </c>
    </row>
    <row r="63" spans="1:22">
      <c r="A63" s="26" t="s">
        <v>13</v>
      </c>
      <c r="B63" s="26" t="s">
        <v>212</v>
      </c>
      <c r="C63" s="30">
        <v>29.5</v>
      </c>
      <c r="D63" s="27">
        <v>11.9</v>
      </c>
      <c r="E63" s="28">
        <v>8</v>
      </c>
      <c r="F63" s="16">
        <f>(C63*D63*E63/1000)</f>
        <v>2.8084000000000002</v>
      </c>
      <c r="G63" s="16" t="s">
        <v>540</v>
      </c>
      <c r="H63" s="18">
        <v>8</v>
      </c>
      <c r="I63" s="19">
        <f>(C63*D63*H63/1000)</f>
        <v>2.8084000000000002</v>
      </c>
      <c r="J63" s="16"/>
      <c r="K63" s="18"/>
      <c r="L63" s="19">
        <f>(C63*D63*K63/1000)</f>
        <v>0</v>
      </c>
      <c r="M63" s="16"/>
      <c r="N63" s="18"/>
      <c r="O63" s="19">
        <f>(C63*D63*N63/1000)</f>
        <v>0</v>
      </c>
      <c r="P63" s="16"/>
      <c r="Q63" s="18"/>
      <c r="R63" s="19">
        <f>(C63*D63*Q63/1000)</f>
        <v>0</v>
      </c>
      <c r="S63" s="20">
        <f>+H63+K63+Q63+N63</f>
        <v>8</v>
      </c>
      <c r="T63" s="19">
        <f>+I63+L63+R63+O63</f>
        <v>2.8084000000000002</v>
      </c>
      <c r="U63" s="21">
        <f>E63-S63</f>
        <v>0</v>
      </c>
      <c r="V63" s="19">
        <f>F63-T63</f>
        <v>0</v>
      </c>
    </row>
    <row r="64" spans="1:22">
      <c r="A64" s="36"/>
      <c r="B64" s="36"/>
      <c r="C64" s="37"/>
      <c r="D64" s="38"/>
      <c r="E64" s="31">
        <f t="shared" ref="E64:F64" si="199">SUM(E62:E63)</f>
        <v>88</v>
      </c>
      <c r="F64" s="38">
        <f t="shared" si="199"/>
        <v>28.532399999999999</v>
      </c>
      <c r="G64" s="26"/>
      <c r="H64" s="31">
        <f t="shared" ref="H64" si="200">SUM(H62:H63)</f>
        <v>88</v>
      </c>
      <c r="I64" s="38">
        <f t="shared" ref="I64" si="201">SUM(I62:I63)</f>
        <v>28.532399999999999</v>
      </c>
      <c r="J64" s="26"/>
      <c r="K64" s="31">
        <f t="shared" ref="K64" si="202">SUM(K62:K63)</f>
        <v>0</v>
      </c>
      <c r="L64" s="38">
        <f t="shared" ref="L64" si="203">SUM(L62:L63)</f>
        <v>0</v>
      </c>
      <c r="M64" s="26"/>
      <c r="N64" s="31">
        <f t="shared" ref="N64" si="204">SUM(N62:N63)</f>
        <v>0</v>
      </c>
      <c r="O64" s="38">
        <f t="shared" ref="O64" si="205">SUM(O62:O63)</f>
        <v>0</v>
      </c>
      <c r="P64" s="26"/>
      <c r="Q64" s="31">
        <f t="shared" ref="Q64" si="206">SUM(Q62:Q63)</f>
        <v>0</v>
      </c>
      <c r="R64" s="38">
        <f t="shared" ref="R64" si="207">SUM(R62:R63)</f>
        <v>0</v>
      </c>
      <c r="S64" s="31">
        <f t="shared" ref="S64" si="208">SUM(S62:S63)</f>
        <v>88</v>
      </c>
      <c r="T64" s="38">
        <f t="shared" ref="T64" si="209">SUM(T62:T63)</f>
        <v>28.532399999999999</v>
      </c>
      <c r="U64" s="31">
        <f t="shared" ref="U64" si="210">SUM(U62:U63)</f>
        <v>0</v>
      </c>
      <c r="V64" s="38">
        <f t="shared" ref="V64" si="211">SUM(V62:V63)</f>
        <v>0</v>
      </c>
    </row>
    <row r="65" spans="1:22">
      <c r="A65" s="26" t="s">
        <v>13</v>
      </c>
      <c r="B65" s="26" t="s">
        <v>75</v>
      </c>
      <c r="C65" s="30">
        <v>31.6</v>
      </c>
      <c r="D65" s="27">
        <v>10.1</v>
      </c>
      <c r="E65" s="28">
        <v>160</v>
      </c>
      <c r="F65" s="16">
        <f>(C65*D65*E65/1000)</f>
        <v>51.065600000000003</v>
      </c>
      <c r="G65" s="17" t="s">
        <v>288</v>
      </c>
      <c r="H65" s="18">
        <f>37+52</f>
        <v>89</v>
      </c>
      <c r="I65" s="19">
        <f>(C65*D65*H65/1000)</f>
        <v>28.405240000000003</v>
      </c>
      <c r="J65" s="16" t="s">
        <v>93</v>
      </c>
      <c r="K65" s="18">
        <v>71</v>
      </c>
      <c r="L65" s="19">
        <f>(C65*D65*K65/1000)</f>
        <v>22.660360000000001</v>
      </c>
      <c r="M65" s="16"/>
      <c r="N65" s="18"/>
      <c r="O65" s="19">
        <f>(C65*D65*N65/1000)</f>
        <v>0</v>
      </c>
      <c r="P65" s="16"/>
      <c r="Q65" s="18"/>
      <c r="R65" s="19">
        <f>(C65*D65*Q65/1000)</f>
        <v>0</v>
      </c>
      <c r="S65" s="20">
        <f>+H65+K65+Q65+N65</f>
        <v>160</v>
      </c>
      <c r="T65" s="19">
        <f>+I65+L65+R65+O65</f>
        <v>51.065600000000003</v>
      </c>
      <c r="U65" s="21">
        <f>E65-S65</f>
        <v>0</v>
      </c>
      <c r="V65" s="19">
        <f>F65-T65</f>
        <v>0</v>
      </c>
    </row>
    <row r="66" spans="1:22">
      <c r="A66" s="26" t="s">
        <v>13</v>
      </c>
      <c r="B66" s="26" t="s">
        <v>75</v>
      </c>
      <c r="C66" s="30">
        <v>31.6</v>
      </c>
      <c r="D66" s="27">
        <v>11.9</v>
      </c>
      <c r="E66" s="28">
        <v>16</v>
      </c>
      <c r="F66" s="16">
        <f>(C66*D66*E66/1000)</f>
        <v>6.0166400000000007</v>
      </c>
      <c r="G66" s="17" t="s">
        <v>541</v>
      </c>
      <c r="H66" s="18"/>
      <c r="I66" s="19">
        <f>(C66*D66*H66/1000)</f>
        <v>0</v>
      </c>
      <c r="J66" s="16" t="s">
        <v>542</v>
      </c>
      <c r="K66" s="18">
        <v>16</v>
      </c>
      <c r="L66" s="19">
        <f>(C66*D66*K66/1000)</f>
        <v>6.0166400000000007</v>
      </c>
      <c r="M66" s="16"/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>+H66+K66+Q66+N66</f>
        <v>16</v>
      </c>
      <c r="T66" s="19">
        <f>+I66+L66+R66+O66</f>
        <v>6.0166400000000007</v>
      </c>
      <c r="U66" s="21">
        <f>E66-S66</f>
        <v>0</v>
      </c>
      <c r="V66" s="19">
        <f>F66-T66</f>
        <v>0</v>
      </c>
    </row>
    <row r="67" spans="1:22">
      <c r="A67" s="36"/>
      <c r="B67" s="36"/>
      <c r="C67" s="37"/>
      <c r="D67" s="38"/>
      <c r="E67" s="31">
        <f t="shared" ref="E67:F67" si="212">SUM(E65:E66)</f>
        <v>176</v>
      </c>
      <c r="F67" s="38">
        <f t="shared" si="212"/>
        <v>57.082240000000006</v>
      </c>
      <c r="G67" s="17"/>
      <c r="H67" s="31">
        <f t="shared" ref="H67" si="213">SUM(H65:H66)</f>
        <v>89</v>
      </c>
      <c r="I67" s="38">
        <f t="shared" ref="I67" si="214">SUM(I65:I66)</f>
        <v>28.405240000000003</v>
      </c>
      <c r="J67" s="16"/>
      <c r="K67" s="31">
        <f t="shared" ref="K67" si="215">SUM(K65:K66)</f>
        <v>87</v>
      </c>
      <c r="L67" s="38">
        <f t="shared" ref="L67" si="216">SUM(L65:L66)</f>
        <v>28.677</v>
      </c>
      <c r="M67" s="16"/>
      <c r="N67" s="31">
        <f t="shared" ref="N67" si="217">SUM(N65:N66)</f>
        <v>0</v>
      </c>
      <c r="O67" s="38">
        <f t="shared" ref="O67" si="218">SUM(O65:O66)</f>
        <v>0</v>
      </c>
      <c r="P67" s="16"/>
      <c r="Q67" s="31">
        <f t="shared" ref="Q67" si="219">SUM(Q65:Q66)</f>
        <v>0</v>
      </c>
      <c r="R67" s="38">
        <f t="shared" ref="R67" si="220">SUM(R65:R66)</f>
        <v>0</v>
      </c>
      <c r="S67" s="31">
        <f t="shared" ref="S67" si="221">SUM(S65:S66)</f>
        <v>176</v>
      </c>
      <c r="T67" s="38">
        <f t="shared" ref="T67" si="222">SUM(T65:T66)</f>
        <v>57.082240000000006</v>
      </c>
      <c r="U67" s="31">
        <f t="shared" ref="U67" si="223">SUM(U65:U66)</f>
        <v>0</v>
      </c>
      <c r="V67" s="38">
        <f t="shared" ref="V67" si="224">SUM(V65:V66)</f>
        <v>0</v>
      </c>
    </row>
    <row r="68" spans="1:22">
      <c r="A68" s="26" t="s">
        <v>13</v>
      </c>
      <c r="B68" s="26" t="s">
        <v>126</v>
      </c>
      <c r="C68" s="30">
        <v>33.799999999999997</v>
      </c>
      <c r="D68" s="27">
        <v>8.1</v>
      </c>
      <c r="E68" s="28">
        <v>164</v>
      </c>
      <c r="F68" s="16">
        <f>(C68*D68*E68/1000)</f>
        <v>44.899920000000002</v>
      </c>
      <c r="G68" s="17" t="s">
        <v>93</v>
      </c>
      <c r="H68" s="18">
        <f>30+42</f>
        <v>72</v>
      </c>
      <c r="I68" s="19">
        <f>(C68*D68*H68/1000)</f>
        <v>19.712159999999997</v>
      </c>
      <c r="J68" s="16" t="s">
        <v>89</v>
      </c>
      <c r="K68" s="18">
        <v>32</v>
      </c>
      <c r="L68" s="19">
        <f>(C68*D68*K68/1000)</f>
        <v>8.760959999999999</v>
      </c>
      <c r="M68" s="16" t="s">
        <v>205</v>
      </c>
      <c r="N68" s="18">
        <v>16</v>
      </c>
      <c r="O68" s="19">
        <f>(C68*D68*N68/1000)</f>
        <v>4.3804799999999995</v>
      </c>
      <c r="P68" s="16" t="s">
        <v>107</v>
      </c>
      <c r="Q68" s="18">
        <f>33+11</f>
        <v>44</v>
      </c>
      <c r="R68" s="19">
        <f>(C68*D68*Q68/1000)</f>
        <v>12.04632</v>
      </c>
      <c r="S68" s="20">
        <f t="shared" ref="S68:T70" si="225">+H68+K68+Q68+N68</f>
        <v>164</v>
      </c>
      <c r="T68" s="19">
        <f t="shared" si="225"/>
        <v>44.899919999999995</v>
      </c>
      <c r="U68" s="21">
        <f t="shared" ref="U68:V70" si="226">E68-S68</f>
        <v>0</v>
      </c>
      <c r="V68" s="19">
        <f t="shared" si="226"/>
        <v>0</v>
      </c>
    </row>
    <row r="69" spans="1:22">
      <c r="A69" s="26" t="s">
        <v>13</v>
      </c>
      <c r="B69" s="26" t="s">
        <v>126</v>
      </c>
      <c r="C69" s="30">
        <v>33.799999999999997</v>
      </c>
      <c r="D69" s="27">
        <v>9.3000000000000007</v>
      </c>
      <c r="E69" s="28">
        <v>80</v>
      </c>
      <c r="F69" s="16">
        <f>(C69*D69*E69/1000)</f>
        <v>25.147199999999998</v>
      </c>
      <c r="G69" s="17" t="s">
        <v>540</v>
      </c>
      <c r="H69" s="18">
        <f>33+7</f>
        <v>40</v>
      </c>
      <c r="I69" s="19">
        <f>(C69*D69*H69/1000)</f>
        <v>12.573599999999999</v>
      </c>
      <c r="J69" s="16" t="s">
        <v>540</v>
      </c>
      <c r="K69" s="18">
        <v>24</v>
      </c>
      <c r="L69" s="19">
        <f>(C69*D69*K69/1000)</f>
        <v>7.5441599999999998</v>
      </c>
      <c r="M69" s="16" t="s">
        <v>540</v>
      </c>
      <c r="N69" s="18"/>
      <c r="O69" s="19">
        <f>(C69*D69*N69/1000)</f>
        <v>0</v>
      </c>
      <c r="P69" s="16" t="s">
        <v>541</v>
      </c>
      <c r="Q69" s="18">
        <v>16</v>
      </c>
      <c r="R69" s="19">
        <f>(C69*D69*Q69/1000)</f>
        <v>5.0294399999999992</v>
      </c>
      <c r="S69" s="20">
        <f t="shared" si="225"/>
        <v>80</v>
      </c>
      <c r="T69" s="19">
        <f t="shared" si="225"/>
        <v>25.147199999999998</v>
      </c>
      <c r="U69" s="21">
        <f t="shared" si="226"/>
        <v>0</v>
      </c>
      <c r="V69" s="19">
        <f t="shared" si="226"/>
        <v>0</v>
      </c>
    </row>
    <row r="70" spans="1:22">
      <c r="A70" s="26" t="s">
        <v>13</v>
      </c>
      <c r="B70" s="26" t="s">
        <v>126</v>
      </c>
      <c r="C70" s="30">
        <v>33.799999999999997</v>
      </c>
      <c r="D70" s="27">
        <v>11.9</v>
      </c>
      <c r="E70" s="28">
        <v>16</v>
      </c>
      <c r="F70" s="16">
        <f>(C70*D70*E70/1000)</f>
        <v>6.4355199999999995</v>
      </c>
      <c r="G70" s="17"/>
      <c r="H70" s="18"/>
      <c r="I70" s="19">
        <f>(C70*D70*H70/1000)</f>
        <v>0</v>
      </c>
      <c r="J70" s="16"/>
      <c r="K70" s="18">
        <v>16</v>
      </c>
      <c r="L70" s="19">
        <f>(C70*D70*K70/1000)</f>
        <v>6.4355199999999995</v>
      </c>
      <c r="M70" s="16"/>
      <c r="N70" s="18"/>
      <c r="O70" s="19">
        <f>(C70*D70*N70/1000)</f>
        <v>0</v>
      </c>
      <c r="P70" s="16"/>
      <c r="Q70" s="18"/>
      <c r="R70" s="19">
        <f>(C70*D70*Q70/1000)</f>
        <v>0</v>
      </c>
      <c r="S70" s="20">
        <f t="shared" si="225"/>
        <v>16</v>
      </c>
      <c r="T70" s="19">
        <f t="shared" si="225"/>
        <v>6.4355199999999995</v>
      </c>
      <c r="U70" s="21">
        <f t="shared" si="226"/>
        <v>0</v>
      </c>
      <c r="V70" s="19">
        <f t="shared" si="226"/>
        <v>0</v>
      </c>
    </row>
    <row r="71" spans="1:22">
      <c r="A71" s="36"/>
      <c r="B71" s="36"/>
      <c r="C71" s="37"/>
      <c r="D71" s="38"/>
      <c r="E71" s="31">
        <f t="shared" ref="E71:F71" si="227">SUM(E68:E70)</f>
        <v>260</v>
      </c>
      <c r="F71" s="38">
        <f t="shared" si="227"/>
        <v>76.482640000000004</v>
      </c>
      <c r="G71" s="26"/>
      <c r="H71" s="31">
        <f t="shared" ref="H71" si="228">SUM(H68:H70)</f>
        <v>112</v>
      </c>
      <c r="I71" s="38">
        <f t="shared" ref="I71" si="229">SUM(I68:I70)</f>
        <v>32.285759999999996</v>
      </c>
      <c r="J71" s="26"/>
      <c r="K71" s="31">
        <f t="shared" ref="K71" si="230">SUM(K68:K70)</f>
        <v>72</v>
      </c>
      <c r="L71" s="38">
        <f t="shared" ref="L71" si="231">SUM(L68:L70)</f>
        <v>22.740639999999999</v>
      </c>
      <c r="M71" s="26"/>
      <c r="N71" s="31">
        <f t="shared" ref="N71" si="232">SUM(N68:N70)</f>
        <v>16</v>
      </c>
      <c r="O71" s="38">
        <f t="shared" ref="O71" si="233">SUM(O68:O70)</f>
        <v>4.3804799999999995</v>
      </c>
      <c r="P71" s="26"/>
      <c r="Q71" s="31">
        <f t="shared" ref="Q71" si="234">SUM(Q68:Q70)</f>
        <v>60</v>
      </c>
      <c r="R71" s="38">
        <f t="shared" ref="R71" si="235">SUM(R68:R70)</f>
        <v>17.075759999999999</v>
      </c>
      <c r="S71" s="31">
        <f t="shared" ref="S71" si="236">SUM(S68:S70)</f>
        <v>260</v>
      </c>
      <c r="T71" s="38">
        <f t="shared" ref="T71" si="237">SUM(T68:T70)</f>
        <v>76.482639999999989</v>
      </c>
      <c r="U71" s="31">
        <f t="shared" ref="U71" si="238">SUM(U68:U70)</f>
        <v>0</v>
      </c>
      <c r="V71" s="38">
        <f t="shared" ref="V71" si="239">SUM(V68:V70)</f>
        <v>0</v>
      </c>
    </row>
    <row r="72" spans="1:22">
      <c r="A72" s="26" t="s">
        <v>13</v>
      </c>
      <c r="B72" s="26" t="s">
        <v>127</v>
      </c>
      <c r="C72" s="30">
        <v>35.9</v>
      </c>
      <c r="D72" s="27">
        <v>11.3</v>
      </c>
      <c r="E72" s="28">
        <v>18</v>
      </c>
      <c r="F72" s="16">
        <f>(C72*D72*E72/1000)</f>
        <v>7.30206</v>
      </c>
      <c r="G72" s="17" t="s">
        <v>93</v>
      </c>
      <c r="H72" s="18"/>
      <c r="I72" s="19">
        <f>(C72*D72*H72/1000)</f>
        <v>0</v>
      </c>
      <c r="J72" s="16" t="s">
        <v>86</v>
      </c>
      <c r="K72" s="18">
        <v>7</v>
      </c>
      <c r="L72" s="19">
        <f>(C72*D72*K72/1000)</f>
        <v>2.83969</v>
      </c>
      <c r="M72" s="16" t="s">
        <v>89</v>
      </c>
      <c r="N72" s="18"/>
      <c r="O72" s="19">
        <f>(C72*D72*N72/1000)</f>
        <v>0</v>
      </c>
      <c r="P72" s="16" t="s">
        <v>93</v>
      </c>
      <c r="Q72" s="18">
        <v>11</v>
      </c>
      <c r="R72" s="19">
        <f>(C72*D72*Q72/1000)</f>
        <v>4.4623699999999999</v>
      </c>
      <c r="S72" s="20">
        <f t="shared" ref="S72:T74" si="240">+H72+K72+Q72+N72</f>
        <v>18</v>
      </c>
      <c r="T72" s="19">
        <f t="shared" si="240"/>
        <v>7.30206</v>
      </c>
      <c r="U72" s="21">
        <f t="shared" ref="U72:V74" si="241">E72-S72</f>
        <v>0</v>
      </c>
      <c r="V72" s="19">
        <f t="shared" si="241"/>
        <v>0</v>
      </c>
    </row>
    <row r="73" spans="1:22">
      <c r="A73" s="26" t="s">
        <v>13</v>
      </c>
      <c r="B73" s="26" t="s">
        <v>127</v>
      </c>
      <c r="C73" s="30">
        <v>35.9</v>
      </c>
      <c r="D73" s="27">
        <v>11.7</v>
      </c>
      <c r="E73" s="28">
        <v>119</v>
      </c>
      <c r="F73" s="16">
        <f>(C73*D73*E73/1000)</f>
        <v>49.98357</v>
      </c>
      <c r="G73" s="17" t="s">
        <v>530</v>
      </c>
      <c r="H73" s="18">
        <f>21+14</f>
        <v>35</v>
      </c>
      <c r="I73" s="19">
        <f>(C73*D73*H73/1000)</f>
        <v>14.701049999999999</v>
      </c>
      <c r="J73" s="16" t="s">
        <v>531</v>
      </c>
      <c r="K73" s="18">
        <v>49</v>
      </c>
      <c r="L73" s="19">
        <f>(C73*D73*K73/1000)</f>
        <v>20.581469999999996</v>
      </c>
      <c r="M73" s="16" t="s">
        <v>540</v>
      </c>
      <c r="N73" s="18">
        <v>21</v>
      </c>
      <c r="O73" s="19">
        <f>(C73*D73*N73/1000)</f>
        <v>8.8206299999999995</v>
      </c>
      <c r="P73" s="16" t="s">
        <v>542</v>
      </c>
      <c r="Q73" s="18">
        <v>14</v>
      </c>
      <c r="R73" s="19">
        <f>(C73*D73*Q73/1000)</f>
        <v>5.88042</v>
      </c>
      <c r="S73" s="20">
        <f t="shared" si="240"/>
        <v>119</v>
      </c>
      <c r="T73" s="19">
        <f t="shared" si="240"/>
        <v>49.983569999999993</v>
      </c>
      <c r="U73" s="21">
        <f t="shared" si="241"/>
        <v>0</v>
      </c>
      <c r="V73" s="19">
        <f t="shared" si="241"/>
        <v>0</v>
      </c>
    </row>
    <row r="74" spans="1:22">
      <c r="A74" s="26" t="s">
        <v>13</v>
      </c>
      <c r="B74" s="26" t="s">
        <v>127</v>
      </c>
      <c r="C74" s="30">
        <v>35.9</v>
      </c>
      <c r="D74" s="27">
        <v>12</v>
      </c>
      <c r="E74" s="28">
        <v>82</v>
      </c>
      <c r="F74" s="16">
        <f>(C74*D74*E74/1000)</f>
        <v>35.325600000000001</v>
      </c>
      <c r="G74" s="17"/>
      <c r="H74" s="18">
        <v>42</v>
      </c>
      <c r="I74" s="19">
        <f>(C74*D74*H74/1000)</f>
        <v>18.093599999999999</v>
      </c>
      <c r="J74" s="16"/>
      <c r="K74" s="18">
        <v>21</v>
      </c>
      <c r="L74" s="19">
        <f>(C74*D74*K74/1000)</f>
        <v>9.0467999999999993</v>
      </c>
      <c r="M74" s="16"/>
      <c r="N74" s="18"/>
      <c r="O74" s="19">
        <f>(C74*D74*N74/1000)</f>
        <v>0</v>
      </c>
      <c r="P74" s="16" t="s">
        <v>89</v>
      </c>
      <c r="Q74" s="18">
        <v>19</v>
      </c>
      <c r="R74" s="19">
        <f>(C74*D74*Q74/1000)</f>
        <v>8.1851999999999983</v>
      </c>
      <c r="S74" s="20">
        <f t="shared" si="240"/>
        <v>82</v>
      </c>
      <c r="T74" s="19">
        <f t="shared" si="240"/>
        <v>35.325599999999994</v>
      </c>
      <c r="U74" s="21">
        <f t="shared" si="241"/>
        <v>0</v>
      </c>
      <c r="V74" s="19">
        <f t="shared" si="241"/>
        <v>0</v>
      </c>
    </row>
    <row r="75" spans="1:22">
      <c r="A75" s="36"/>
      <c r="B75" s="36"/>
      <c r="C75" s="37"/>
      <c r="D75" s="38"/>
      <c r="E75" s="31">
        <f t="shared" ref="E75:F75" si="242">SUM(E72:E74)</f>
        <v>219</v>
      </c>
      <c r="F75" s="38">
        <f t="shared" si="242"/>
        <v>92.611230000000006</v>
      </c>
      <c r="G75" s="26"/>
      <c r="H75" s="31">
        <f t="shared" ref="H75" si="243">SUM(H72:H74)</f>
        <v>77</v>
      </c>
      <c r="I75" s="38">
        <f t="shared" ref="I75" si="244">SUM(I72:I74)</f>
        <v>32.794649999999997</v>
      </c>
      <c r="J75" s="26"/>
      <c r="K75" s="31">
        <f t="shared" ref="K75" si="245">SUM(K72:K74)</f>
        <v>77</v>
      </c>
      <c r="L75" s="38">
        <f t="shared" ref="L75" si="246">SUM(L72:L74)</f>
        <v>32.467959999999998</v>
      </c>
      <c r="M75" s="26"/>
      <c r="N75" s="31">
        <f t="shared" ref="N75" si="247">SUM(N72:N74)</f>
        <v>21</v>
      </c>
      <c r="O75" s="38">
        <f t="shared" ref="O75" si="248">SUM(O72:O74)</f>
        <v>8.8206299999999995</v>
      </c>
      <c r="P75" s="16" t="s">
        <v>541</v>
      </c>
      <c r="Q75" s="31">
        <f t="shared" ref="Q75" si="249">SUM(Q72:Q74)</f>
        <v>44</v>
      </c>
      <c r="R75" s="38">
        <f t="shared" ref="R75" si="250">SUM(R72:R74)</f>
        <v>18.527989999999999</v>
      </c>
      <c r="S75" s="31">
        <f t="shared" ref="S75" si="251">SUM(S72:S74)</f>
        <v>219</v>
      </c>
      <c r="T75" s="38">
        <f t="shared" ref="T75" si="252">SUM(T72:T74)</f>
        <v>92.611229999999978</v>
      </c>
      <c r="U75" s="31">
        <f t="shared" ref="U75" si="253">SUM(U72:U74)</f>
        <v>0</v>
      </c>
      <c r="V75" s="38">
        <f t="shared" ref="V75" si="254">SUM(V72:V74)</f>
        <v>0</v>
      </c>
    </row>
    <row r="76" spans="1:22">
      <c r="A76" s="26" t="s">
        <v>13</v>
      </c>
      <c r="B76" s="26" t="s">
        <v>128</v>
      </c>
      <c r="C76" s="30">
        <v>40.1</v>
      </c>
      <c r="D76" s="27">
        <v>9.6999999999999993</v>
      </c>
      <c r="E76" s="28">
        <v>443</v>
      </c>
      <c r="F76" s="16">
        <f t="shared" ref="F76:F80" si="255">(C76*D76*E76/1000)</f>
        <v>172.31370999999999</v>
      </c>
      <c r="G76" s="17" t="s">
        <v>205</v>
      </c>
      <c r="H76" s="18">
        <f>84+81+82</f>
        <v>247</v>
      </c>
      <c r="I76" s="19">
        <f t="shared" ref="I76:I80" si="256">(C76*D76*H76/1000)</f>
        <v>96.075589999999991</v>
      </c>
      <c r="J76" s="16" t="s">
        <v>89</v>
      </c>
      <c r="K76" s="18">
        <f>83+18</f>
        <v>101</v>
      </c>
      <c r="L76" s="19">
        <f t="shared" ref="L76:L80" si="257">(C76*D76*K76/1000)</f>
        <v>39.285969999999992</v>
      </c>
      <c r="M76" s="16" t="s">
        <v>107</v>
      </c>
      <c r="N76" s="18">
        <v>42</v>
      </c>
      <c r="O76" s="19">
        <f t="shared" ref="O76:O80" si="258">(C76*D76*N76/1000)</f>
        <v>16.336739999999999</v>
      </c>
      <c r="P76" s="16" t="s">
        <v>89</v>
      </c>
      <c r="Q76" s="18">
        <v>48</v>
      </c>
      <c r="R76" s="19">
        <f t="shared" ref="R76:R80" si="259">(C76*D76*Q76/1000)</f>
        <v>18.670559999999998</v>
      </c>
      <c r="S76" s="20">
        <f t="shared" ref="S76:S80" si="260">+H76+K76+Q76+N76</f>
        <v>438</v>
      </c>
      <c r="T76" s="19">
        <f t="shared" ref="T76:T80" si="261">+I76+L76+R76+O76</f>
        <v>170.36885999999998</v>
      </c>
      <c r="U76" s="21">
        <f t="shared" ref="U76:U80" si="262">E76-S76</f>
        <v>5</v>
      </c>
      <c r="V76" s="19">
        <f t="shared" ref="V76:V80" si="263">F76-T76</f>
        <v>1.9448500000000024</v>
      </c>
    </row>
    <row r="77" spans="1:22">
      <c r="A77" s="26" t="s">
        <v>13</v>
      </c>
      <c r="B77" s="26" t="s">
        <v>128</v>
      </c>
      <c r="C77" s="30">
        <v>40.1</v>
      </c>
      <c r="D77" s="27">
        <v>9.5</v>
      </c>
      <c r="E77" s="28"/>
      <c r="F77" s="16">
        <f t="shared" si="255"/>
        <v>0</v>
      </c>
      <c r="G77" s="16" t="s">
        <v>86</v>
      </c>
      <c r="H77" s="18"/>
      <c r="I77" s="19">
        <f t="shared" si="256"/>
        <v>0</v>
      </c>
      <c r="J77" s="17" t="s">
        <v>530</v>
      </c>
      <c r="K77" s="18"/>
      <c r="L77" s="19">
        <f t="shared" si="257"/>
        <v>0</v>
      </c>
      <c r="M77" s="16" t="s">
        <v>541</v>
      </c>
      <c r="N77" s="18"/>
      <c r="O77" s="19">
        <f t="shared" si="258"/>
        <v>0</v>
      </c>
      <c r="P77" s="16" t="s">
        <v>541</v>
      </c>
      <c r="Q77" s="18">
        <v>3</v>
      </c>
      <c r="R77" s="19">
        <f t="shared" si="259"/>
        <v>1.1428499999999999</v>
      </c>
      <c r="S77" s="20">
        <f t="shared" si="260"/>
        <v>3</v>
      </c>
      <c r="T77" s="19">
        <f t="shared" si="261"/>
        <v>1.1428499999999999</v>
      </c>
      <c r="U77" s="21">
        <f t="shared" si="262"/>
        <v>-3</v>
      </c>
      <c r="V77" s="19">
        <f t="shared" si="263"/>
        <v>-1.1428499999999999</v>
      </c>
    </row>
    <row r="78" spans="1:22">
      <c r="A78" s="26" t="s">
        <v>13</v>
      </c>
      <c r="B78" s="26" t="s">
        <v>128</v>
      </c>
      <c r="C78" s="30">
        <v>40.1</v>
      </c>
      <c r="D78" s="27">
        <v>9.6</v>
      </c>
      <c r="E78" s="28"/>
      <c r="F78" s="16">
        <f t="shared" si="255"/>
        <v>0</v>
      </c>
      <c r="G78" s="17" t="s">
        <v>529</v>
      </c>
      <c r="H78" s="18"/>
      <c r="I78" s="19">
        <f t="shared" si="256"/>
        <v>0</v>
      </c>
      <c r="J78" s="16" t="s">
        <v>88</v>
      </c>
      <c r="K78" s="18"/>
      <c r="L78" s="19">
        <f t="shared" si="257"/>
        <v>0</v>
      </c>
      <c r="M78" s="16"/>
      <c r="N78" s="18"/>
      <c r="O78" s="19">
        <f t="shared" si="258"/>
        <v>0</v>
      </c>
      <c r="P78" s="16" t="s">
        <v>549</v>
      </c>
      <c r="Q78" s="18">
        <v>2</v>
      </c>
      <c r="R78" s="19">
        <f t="shared" si="259"/>
        <v>0.76991999999999994</v>
      </c>
      <c r="S78" s="20">
        <f t="shared" si="260"/>
        <v>2</v>
      </c>
      <c r="T78" s="19">
        <f t="shared" si="261"/>
        <v>0.76991999999999994</v>
      </c>
      <c r="U78" s="21">
        <f t="shared" si="262"/>
        <v>-2</v>
      </c>
      <c r="V78" s="19">
        <f t="shared" si="263"/>
        <v>-0.76991999999999994</v>
      </c>
    </row>
    <row r="79" spans="1:22">
      <c r="A79" s="26" t="s">
        <v>13</v>
      </c>
      <c r="B79" s="26" t="s">
        <v>128</v>
      </c>
      <c r="C79" s="30">
        <v>40.1</v>
      </c>
      <c r="D79" s="27">
        <v>9.1999999999999993</v>
      </c>
      <c r="E79" s="28"/>
      <c r="F79" s="16">
        <f t="shared" si="255"/>
        <v>0</v>
      </c>
      <c r="G79" s="16" t="s">
        <v>205</v>
      </c>
      <c r="H79" s="18"/>
      <c r="I79" s="19">
        <f t="shared" si="256"/>
        <v>0</v>
      </c>
      <c r="J79" s="16" t="s">
        <v>540</v>
      </c>
      <c r="K79" s="18"/>
      <c r="L79" s="19">
        <f t="shared" si="257"/>
        <v>0</v>
      </c>
      <c r="M79" s="16"/>
      <c r="N79" s="18"/>
      <c r="O79" s="19">
        <f t="shared" si="258"/>
        <v>0</v>
      </c>
      <c r="P79" s="16" t="s">
        <v>548</v>
      </c>
      <c r="Q79" s="18">
        <v>1</v>
      </c>
      <c r="R79" s="19">
        <f t="shared" si="259"/>
        <v>0.36891999999999997</v>
      </c>
      <c r="S79" s="20">
        <f t="shared" si="260"/>
        <v>1</v>
      </c>
      <c r="T79" s="19">
        <f t="shared" si="261"/>
        <v>0.36891999999999997</v>
      </c>
      <c r="U79" s="21">
        <f t="shared" si="262"/>
        <v>-1</v>
      </c>
      <c r="V79" s="19">
        <f t="shared" si="263"/>
        <v>-0.36891999999999997</v>
      </c>
    </row>
    <row r="80" spans="1:22">
      <c r="A80" s="26" t="s">
        <v>13</v>
      </c>
      <c r="B80" s="26" t="s">
        <v>128</v>
      </c>
      <c r="C80" s="30">
        <v>40.1</v>
      </c>
      <c r="D80" s="27"/>
      <c r="E80" s="28"/>
      <c r="F80" s="16">
        <f t="shared" si="255"/>
        <v>0</v>
      </c>
      <c r="G80" s="16" t="s">
        <v>530</v>
      </c>
      <c r="H80" s="18"/>
      <c r="I80" s="19">
        <f t="shared" si="256"/>
        <v>0</v>
      </c>
      <c r="J80" s="16"/>
      <c r="K80" s="18"/>
      <c r="L80" s="19">
        <f t="shared" si="257"/>
        <v>0</v>
      </c>
      <c r="M80" s="16"/>
      <c r="N80" s="18"/>
      <c r="O80" s="19">
        <f t="shared" si="258"/>
        <v>0</v>
      </c>
      <c r="P80" s="16"/>
      <c r="Q80" s="18"/>
      <c r="R80" s="19">
        <f t="shared" si="259"/>
        <v>0</v>
      </c>
      <c r="S80" s="20">
        <f t="shared" si="260"/>
        <v>0</v>
      </c>
      <c r="T80" s="19">
        <f t="shared" si="261"/>
        <v>0</v>
      </c>
      <c r="U80" s="21">
        <f t="shared" si="262"/>
        <v>0</v>
      </c>
      <c r="V80" s="19">
        <f t="shared" si="263"/>
        <v>0</v>
      </c>
    </row>
    <row r="81" spans="1:22">
      <c r="A81" s="26" t="s">
        <v>13</v>
      </c>
      <c r="B81" s="26" t="s">
        <v>128</v>
      </c>
      <c r="C81" s="30">
        <v>40.1</v>
      </c>
      <c r="D81" s="27"/>
      <c r="E81" s="28"/>
      <c r="F81" s="16">
        <f>(C81*D81*E81/1000)</f>
        <v>0</v>
      </c>
      <c r="G81" s="17"/>
      <c r="H81" s="18"/>
      <c r="I81" s="19">
        <f>(C81*D81*H81/1000)</f>
        <v>0</v>
      </c>
      <c r="J81" s="16"/>
      <c r="K81" s="18"/>
      <c r="L81" s="19">
        <f>(C81*D81*K81/1000)</f>
        <v>0</v>
      </c>
      <c r="M81" s="16"/>
      <c r="N81" s="18"/>
      <c r="O81" s="19">
        <f>(C81*D81*N81/1000)</f>
        <v>0</v>
      </c>
      <c r="P81" s="16"/>
      <c r="Q81" s="18"/>
      <c r="R81" s="19">
        <f>(C81*D81*Q81/1000)</f>
        <v>0</v>
      </c>
      <c r="S81" s="20">
        <f>+H81+K81+Q81+N81</f>
        <v>0</v>
      </c>
      <c r="T81" s="19">
        <f>+I81+L81+R81+O81</f>
        <v>0</v>
      </c>
      <c r="U81" s="21">
        <f>E81-S81</f>
        <v>0</v>
      </c>
      <c r="V81" s="19">
        <f>F81-T81</f>
        <v>0</v>
      </c>
    </row>
    <row r="82" spans="1:22">
      <c r="A82" s="36"/>
      <c r="B82" s="36"/>
      <c r="C82" s="37"/>
      <c r="D82" s="38"/>
      <c r="E82" s="31">
        <f t="shared" ref="E82:F82" si="264">SUM(E76:E81)</f>
        <v>443</v>
      </c>
      <c r="F82" s="38">
        <f t="shared" si="264"/>
        <v>172.31370999999999</v>
      </c>
      <c r="G82" s="17"/>
      <c r="H82" s="31">
        <f t="shared" ref="H82" si="265">SUM(H76:H81)</f>
        <v>247</v>
      </c>
      <c r="I82" s="38">
        <f t="shared" ref="I82" si="266">SUM(I76:I81)</f>
        <v>96.075589999999991</v>
      </c>
      <c r="J82" s="16"/>
      <c r="K82" s="31">
        <f t="shared" ref="K82" si="267">SUM(K76:K81)</f>
        <v>101</v>
      </c>
      <c r="L82" s="38">
        <f t="shared" ref="L82" si="268">SUM(L76:L81)</f>
        <v>39.285969999999992</v>
      </c>
      <c r="M82" s="16"/>
      <c r="N82" s="31">
        <f t="shared" ref="N82" si="269">SUM(N76:N81)</f>
        <v>42</v>
      </c>
      <c r="O82" s="38">
        <f t="shared" ref="O82" si="270">SUM(O76:O81)</f>
        <v>16.336739999999999</v>
      </c>
      <c r="P82" s="16"/>
      <c r="Q82" s="31">
        <f t="shared" ref="Q82" si="271">SUM(Q76:Q81)</f>
        <v>54</v>
      </c>
      <c r="R82" s="38">
        <f t="shared" ref="R82" si="272">SUM(R76:R81)</f>
        <v>20.952249999999996</v>
      </c>
      <c r="S82" s="31">
        <f t="shared" ref="S82" si="273">SUM(S76:S81)</f>
        <v>444</v>
      </c>
      <c r="T82" s="38">
        <f t="shared" ref="T82" si="274">SUM(T76:T81)</f>
        <v>172.65055000000001</v>
      </c>
      <c r="U82" s="31">
        <f t="shared" ref="U82" si="275">SUM(U76:U81)</f>
        <v>-1</v>
      </c>
      <c r="V82" s="38">
        <f t="shared" ref="V82" si="276">SUM(V76:V81)</f>
        <v>-0.33683999999999742</v>
      </c>
    </row>
    <row r="83" spans="1:22">
      <c r="A83" s="26" t="s">
        <v>13</v>
      </c>
      <c r="B83" s="26" t="s">
        <v>35</v>
      </c>
      <c r="C83" s="30">
        <v>6.85</v>
      </c>
      <c r="D83" s="27">
        <v>11.65</v>
      </c>
      <c r="E83" s="28">
        <v>54</v>
      </c>
      <c r="F83" s="16">
        <f>(C83*D83*E83/1000)</f>
        <v>4.3093349999999999</v>
      </c>
      <c r="G83" s="17" t="s">
        <v>89</v>
      </c>
      <c r="H83" s="18">
        <v>54</v>
      </c>
      <c r="I83" s="19">
        <f>(C83*D83*H83/1000)</f>
        <v>4.3093349999999999</v>
      </c>
      <c r="J83" s="16"/>
      <c r="K83" s="18"/>
      <c r="L83" s="19">
        <f>(C83*D83*K83/1000)</f>
        <v>0</v>
      </c>
      <c r="M83" s="16"/>
      <c r="N83" s="18"/>
      <c r="O83" s="19">
        <f>(C83*D83*N83/1000)</f>
        <v>0</v>
      </c>
      <c r="P83" s="16"/>
      <c r="Q83" s="18"/>
      <c r="R83" s="19">
        <f>(C83*D83*Q83/1000)</f>
        <v>0</v>
      </c>
      <c r="S83" s="20">
        <f>+H83+K83+Q83+N83</f>
        <v>54</v>
      </c>
      <c r="T83" s="19">
        <f>+I83+L83+R83+O83</f>
        <v>4.3093349999999999</v>
      </c>
      <c r="U83" s="21">
        <f>E83-S83</f>
        <v>0</v>
      </c>
      <c r="V83" s="19">
        <f>F83-T83</f>
        <v>0</v>
      </c>
    </row>
    <row r="84" spans="1:22">
      <c r="A84" s="36"/>
      <c r="B84" s="36"/>
      <c r="C84" s="37"/>
      <c r="D84" s="38"/>
      <c r="E84" s="31">
        <f t="shared" ref="E84:F84" si="277">SUM(E83)</f>
        <v>54</v>
      </c>
      <c r="F84" s="38">
        <f t="shared" si="277"/>
        <v>4.3093349999999999</v>
      </c>
      <c r="G84" s="17" t="s">
        <v>526</v>
      </c>
      <c r="H84" s="31">
        <f t="shared" ref="H84" si="278">SUM(H83)</f>
        <v>54</v>
      </c>
      <c r="I84" s="38">
        <f t="shared" ref="I84" si="279">SUM(I83)</f>
        <v>4.3093349999999999</v>
      </c>
      <c r="J84" s="16"/>
      <c r="K84" s="31">
        <f t="shared" ref="K84" si="280">SUM(K83)</f>
        <v>0</v>
      </c>
      <c r="L84" s="38">
        <f t="shared" ref="L84" si="281">SUM(L83)</f>
        <v>0</v>
      </c>
      <c r="M84" s="16"/>
      <c r="N84" s="31">
        <f t="shared" ref="N84" si="282">SUM(N83)</f>
        <v>0</v>
      </c>
      <c r="O84" s="38">
        <f t="shared" ref="O84" si="283">SUM(O83)</f>
        <v>0</v>
      </c>
      <c r="P84" s="16"/>
      <c r="Q84" s="31">
        <f t="shared" ref="Q84" si="284">SUM(Q83)</f>
        <v>0</v>
      </c>
      <c r="R84" s="38">
        <f t="shared" ref="R84" si="285">SUM(R83)</f>
        <v>0</v>
      </c>
      <c r="S84" s="31">
        <f t="shared" ref="S84" si="286">SUM(S83)</f>
        <v>54</v>
      </c>
      <c r="T84" s="38">
        <f t="shared" ref="T84" si="287">SUM(T83)</f>
        <v>4.3093349999999999</v>
      </c>
      <c r="U84" s="31">
        <f t="shared" ref="U84" si="288">SUM(U83)</f>
        <v>0</v>
      </c>
      <c r="V84" s="38">
        <f t="shared" ref="V84" si="289">SUM(V83)</f>
        <v>0</v>
      </c>
    </row>
    <row r="85" spans="1:22">
      <c r="A85" s="26" t="s">
        <v>13</v>
      </c>
      <c r="B85" s="26" t="s">
        <v>58</v>
      </c>
      <c r="C85" s="30">
        <v>7.34</v>
      </c>
      <c r="D85" s="27">
        <v>8.25</v>
      </c>
      <c r="E85" s="28">
        <v>160</v>
      </c>
      <c r="F85" s="16">
        <f>(C85*D85*E85/1000)</f>
        <v>9.6887999999999987</v>
      </c>
      <c r="G85" s="16" t="s">
        <v>88</v>
      </c>
      <c r="H85" s="18">
        <v>93</v>
      </c>
      <c r="I85" s="19">
        <f>(C85*D85*H85/1000)</f>
        <v>5.631615</v>
      </c>
      <c r="J85" s="17" t="s">
        <v>527</v>
      </c>
      <c r="K85" s="18">
        <v>67</v>
      </c>
      <c r="L85" s="19">
        <f>(C85*D85*K85/1000)</f>
        <v>4.0571849999999996</v>
      </c>
      <c r="M85" s="16"/>
      <c r="N85" s="18"/>
      <c r="O85" s="19">
        <f>(C85*D85*N85/1000)</f>
        <v>0</v>
      </c>
      <c r="P85" s="16"/>
      <c r="Q85" s="18"/>
      <c r="R85" s="19">
        <f>(C85*D85*Q85/1000)</f>
        <v>0</v>
      </c>
      <c r="S85" s="20">
        <f>+H85+K85+Q85+N85</f>
        <v>160</v>
      </c>
      <c r="T85" s="19">
        <f>+I85+L85+R85+O85</f>
        <v>9.6888000000000005</v>
      </c>
      <c r="U85" s="21">
        <f>E85-S85</f>
        <v>0</v>
      </c>
      <c r="V85" s="19">
        <f>F85-T85</f>
        <v>0</v>
      </c>
    </row>
    <row r="86" spans="1:22">
      <c r="A86" s="26" t="s">
        <v>13</v>
      </c>
      <c r="B86" s="26" t="s">
        <v>58</v>
      </c>
      <c r="C86" s="30">
        <v>7.34</v>
      </c>
      <c r="D86" s="27">
        <v>10</v>
      </c>
      <c r="E86" s="28">
        <v>81</v>
      </c>
      <c r="F86" s="16">
        <f>(C86*D86*E86/1000)</f>
        <v>5.9454000000000002</v>
      </c>
      <c r="G86" s="16" t="s">
        <v>525</v>
      </c>
      <c r="H86" s="18">
        <v>43</v>
      </c>
      <c r="I86" s="19">
        <f>(C86*D86*H86/1000)</f>
        <v>3.1562000000000001</v>
      </c>
      <c r="J86" s="17" t="s">
        <v>526</v>
      </c>
      <c r="K86" s="18">
        <v>38</v>
      </c>
      <c r="L86" s="19">
        <f>(C86*D86*K86/1000)</f>
        <v>2.7892000000000001</v>
      </c>
      <c r="M86" s="16"/>
      <c r="N86" s="18"/>
      <c r="O86" s="19">
        <f>(C86*D86*N86/1000)</f>
        <v>0</v>
      </c>
      <c r="P86" s="16"/>
      <c r="Q86" s="18"/>
      <c r="R86" s="19">
        <f>(C86*D86*Q86/1000)</f>
        <v>0</v>
      </c>
      <c r="S86" s="20">
        <f>+H86+K86+Q86+N86</f>
        <v>81</v>
      </c>
      <c r="T86" s="19">
        <f>+I86+L86+R86+O86</f>
        <v>5.9454000000000002</v>
      </c>
      <c r="U86" s="21">
        <f>E86-S86</f>
        <v>0</v>
      </c>
      <c r="V86" s="19">
        <f>F86-T86</f>
        <v>0</v>
      </c>
    </row>
    <row r="87" spans="1:22">
      <c r="A87" s="36"/>
      <c r="B87" s="36"/>
      <c r="C87" s="37"/>
      <c r="D87" s="38"/>
      <c r="E87" s="31">
        <f t="shared" ref="E87:F87" si="290">SUM(E85:E86)</f>
        <v>241</v>
      </c>
      <c r="F87" s="38">
        <f t="shared" si="290"/>
        <v>15.6342</v>
      </c>
      <c r="G87" s="26"/>
      <c r="H87" s="31">
        <f t="shared" ref="H87" si="291">SUM(H85:H86)</f>
        <v>136</v>
      </c>
      <c r="I87" s="38">
        <f t="shared" ref="I87" si="292">SUM(I85:I86)</f>
        <v>8.7878150000000002</v>
      </c>
      <c r="J87" s="26"/>
      <c r="K87" s="31">
        <f t="shared" ref="K87" si="293">SUM(K85:K86)</f>
        <v>105</v>
      </c>
      <c r="L87" s="38">
        <f t="shared" ref="L87" si="294">SUM(L85:L86)</f>
        <v>6.8463849999999997</v>
      </c>
      <c r="M87" s="26"/>
      <c r="N87" s="31">
        <f t="shared" ref="N87" si="295">SUM(N85:N86)</f>
        <v>0</v>
      </c>
      <c r="O87" s="38">
        <f t="shared" ref="O87" si="296">SUM(O85:O86)</f>
        <v>0</v>
      </c>
      <c r="P87" s="26"/>
      <c r="Q87" s="31">
        <f t="shared" ref="Q87" si="297">SUM(Q85:Q86)</f>
        <v>0</v>
      </c>
      <c r="R87" s="38">
        <f t="shared" ref="R87" si="298">SUM(R85:R86)</f>
        <v>0</v>
      </c>
      <c r="S87" s="31">
        <f t="shared" ref="S87" si="299">SUM(S85:S86)</f>
        <v>241</v>
      </c>
      <c r="T87" s="38">
        <f t="shared" ref="T87" si="300">SUM(T85:T86)</f>
        <v>15.6342</v>
      </c>
      <c r="U87" s="31">
        <f t="shared" ref="U87" si="301">SUM(U85:U86)</f>
        <v>0</v>
      </c>
      <c r="V87" s="38">
        <f t="shared" ref="V87" si="302">SUM(V85:V86)</f>
        <v>0</v>
      </c>
    </row>
    <row r="88" spans="1:22">
      <c r="A88" s="26" t="s">
        <v>13</v>
      </c>
      <c r="B88" s="26" t="s">
        <v>505</v>
      </c>
      <c r="C88" s="30">
        <v>8.49</v>
      </c>
      <c r="D88" s="27">
        <v>10</v>
      </c>
      <c r="E88" s="28">
        <v>6</v>
      </c>
      <c r="F88" s="16">
        <f>(C88*D88*E88/1000)</f>
        <v>0.50940000000000007</v>
      </c>
      <c r="G88" s="16" t="s">
        <v>86</v>
      </c>
      <c r="H88" s="18">
        <v>6</v>
      </c>
      <c r="I88" s="19">
        <f>(C88*D88*H88/1000)</f>
        <v>0.50940000000000007</v>
      </c>
      <c r="J88" s="16"/>
      <c r="K88" s="18"/>
      <c r="L88" s="19">
        <f>(C88*D88*K88/1000)</f>
        <v>0</v>
      </c>
      <c r="M88" s="16"/>
      <c r="N88" s="18"/>
      <c r="O88" s="19">
        <f>(C88*D88*N88/1000)</f>
        <v>0</v>
      </c>
      <c r="P88" s="16"/>
      <c r="Q88" s="18"/>
      <c r="R88" s="19">
        <f>(C88*D88*Q88/1000)</f>
        <v>0</v>
      </c>
      <c r="S88" s="20">
        <f>+H88+K88+Q88+N88</f>
        <v>6</v>
      </c>
      <c r="T88" s="19">
        <f>+I88+L88+R88+O88</f>
        <v>0.50940000000000007</v>
      </c>
      <c r="U88" s="21">
        <f>E88-S88</f>
        <v>0</v>
      </c>
      <c r="V88" s="19">
        <f>F88-T88</f>
        <v>0</v>
      </c>
    </row>
    <row r="89" spans="1:22">
      <c r="A89" s="36"/>
      <c r="B89" s="36"/>
      <c r="C89" s="37"/>
      <c r="D89" s="38"/>
      <c r="E89" s="31">
        <f t="shared" ref="E89:F89" si="303">SUM(E88)</f>
        <v>6</v>
      </c>
      <c r="F89" s="38">
        <f t="shared" si="303"/>
        <v>0.50940000000000007</v>
      </c>
      <c r="G89" s="17" t="s">
        <v>529</v>
      </c>
      <c r="H89" s="31">
        <f t="shared" ref="H89" si="304">SUM(H88)</f>
        <v>6</v>
      </c>
      <c r="I89" s="38">
        <f t="shared" ref="I89" si="305">SUM(I88)</f>
        <v>0.50940000000000007</v>
      </c>
      <c r="J89" s="26"/>
      <c r="K89" s="31">
        <f t="shared" ref="K89" si="306">SUM(K88)</f>
        <v>0</v>
      </c>
      <c r="L89" s="38">
        <f t="shared" ref="L89" si="307">SUM(L88)</f>
        <v>0</v>
      </c>
      <c r="M89" s="26"/>
      <c r="N89" s="31">
        <f t="shared" ref="N89" si="308">SUM(N88)</f>
        <v>0</v>
      </c>
      <c r="O89" s="38">
        <f t="shared" ref="O89" si="309">SUM(O88)</f>
        <v>0</v>
      </c>
      <c r="P89" s="26"/>
      <c r="Q89" s="31">
        <f t="shared" ref="Q89" si="310">SUM(Q88)</f>
        <v>0</v>
      </c>
      <c r="R89" s="38">
        <f t="shared" ref="R89" si="311">SUM(R88)</f>
        <v>0</v>
      </c>
      <c r="S89" s="31">
        <f t="shared" ref="S89" si="312">SUM(S88)</f>
        <v>6</v>
      </c>
      <c r="T89" s="38">
        <f t="shared" ref="T89" si="313">SUM(T88)</f>
        <v>0.50940000000000007</v>
      </c>
      <c r="U89" s="31">
        <f t="shared" ref="U89" si="314">SUM(U88)</f>
        <v>0</v>
      </c>
      <c r="V89" s="38">
        <f t="shared" ref="V89" si="315">SUM(V88)</f>
        <v>0</v>
      </c>
    </row>
    <row r="90" spans="1:22">
      <c r="A90" s="26" t="s">
        <v>13</v>
      </c>
      <c r="B90" s="26" t="s">
        <v>26</v>
      </c>
      <c r="C90" s="30">
        <v>8.3000000000000007</v>
      </c>
      <c r="D90" s="27">
        <v>8.1</v>
      </c>
      <c r="E90" s="28">
        <v>160</v>
      </c>
      <c r="F90" s="16">
        <f>(C90*D90*E90/1000)</f>
        <v>10.756800000000002</v>
      </c>
      <c r="G90" s="17" t="s">
        <v>89</v>
      </c>
      <c r="H90" s="18">
        <f>18+67</f>
        <v>85</v>
      </c>
      <c r="I90" s="19">
        <f>(C90*D90*H90/1000)</f>
        <v>5.71455</v>
      </c>
      <c r="J90" s="16" t="s">
        <v>89</v>
      </c>
      <c r="K90" s="18">
        <v>75</v>
      </c>
      <c r="L90" s="19">
        <f>(C90*D90*K90/1000)</f>
        <v>5.0422500000000001</v>
      </c>
      <c r="M90" s="16" t="s">
        <v>89</v>
      </c>
      <c r="N90" s="18"/>
      <c r="O90" s="19">
        <f>(C90*D90*N90/1000)</f>
        <v>0</v>
      </c>
      <c r="P90" s="16" t="s">
        <v>93</v>
      </c>
      <c r="Q90" s="18"/>
      <c r="R90" s="19">
        <f>(C90*D90*Q90/1000)</f>
        <v>0</v>
      </c>
      <c r="S90" s="20">
        <f>+H90+K90+Q90+N90</f>
        <v>160</v>
      </c>
      <c r="T90" s="19">
        <f>+I90+L90+R90+O90</f>
        <v>10.7568</v>
      </c>
      <c r="U90" s="21">
        <f>E90-S90</f>
        <v>0</v>
      </c>
      <c r="V90" s="19">
        <f>F90-T90</f>
        <v>0</v>
      </c>
    </row>
    <row r="91" spans="1:22">
      <c r="A91" s="26" t="s">
        <v>13</v>
      </c>
      <c r="B91" s="26" t="s">
        <v>26</v>
      </c>
      <c r="C91" s="30">
        <v>8.3000000000000007</v>
      </c>
      <c r="D91" s="27">
        <v>12</v>
      </c>
      <c r="E91" s="28">
        <v>160</v>
      </c>
      <c r="F91" s="16">
        <f>(C91*D91*E91/1000)</f>
        <v>15.936000000000002</v>
      </c>
      <c r="G91" s="17" t="s">
        <v>517</v>
      </c>
      <c r="H91" s="18">
        <v>80</v>
      </c>
      <c r="I91" s="19">
        <f>(C91*D91*H91/1000)</f>
        <v>7.9680000000000009</v>
      </c>
      <c r="J91" s="16" t="s">
        <v>518</v>
      </c>
      <c r="K91" s="18">
        <v>23</v>
      </c>
      <c r="L91" s="19">
        <f>(C91*D91*K91/1000)</f>
        <v>2.2908000000000004</v>
      </c>
      <c r="M91" s="16" t="s">
        <v>521</v>
      </c>
      <c r="N91" s="18">
        <v>30</v>
      </c>
      <c r="O91" s="19">
        <f>(C91*D91*N91/1000)</f>
        <v>2.9880000000000004</v>
      </c>
      <c r="P91" s="16" t="s">
        <v>522</v>
      </c>
      <c r="Q91" s="18">
        <v>27</v>
      </c>
      <c r="R91" s="19">
        <f>(C91*D91*Q91/1000)</f>
        <v>2.6892000000000005</v>
      </c>
      <c r="S91" s="20">
        <f>+H91+K91+Q91+N91</f>
        <v>160</v>
      </c>
      <c r="T91" s="19">
        <f>+I91+L91+R91+O91</f>
        <v>15.936</v>
      </c>
      <c r="U91" s="21">
        <f>E91-S91</f>
        <v>0</v>
      </c>
      <c r="V91" s="19">
        <f>F91-T91</f>
        <v>0</v>
      </c>
    </row>
    <row r="92" spans="1:22">
      <c r="A92" s="36"/>
      <c r="B92" s="36"/>
      <c r="C92" s="37"/>
      <c r="D92" s="38"/>
      <c r="E92" s="31">
        <f t="shared" ref="E92:F92" si="316">SUM(E90:E91)</f>
        <v>320</v>
      </c>
      <c r="F92" s="38">
        <f t="shared" si="316"/>
        <v>26.692800000000005</v>
      </c>
      <c r="G92" s="17"/>
      <c r="H92" s="31">
        <f t="shared" ref="H92" si="317">SUM(H90:H91)</f>
        <v>165</v>
      </c>
      <c r="I92" s="38">
        <f t="shared" ref="I92" si="318">SUM(I90:I91)</f>
        <v>13.682550000000001</v>
      </c>
      <c r="J92" s="16"/>
      <c r="K92" s="31">
        <f t="shared" ref="K92" si="319">SUM(K90:K91)</f>
        <v>98</v>
      </c>
      <c r="L92" s="38">
        <f t="shared" ref="L92" si="320">SUM(L90:L91)</f>
        <v>7.3330500000000001</v>
      </c>
      <c r="M92" s="16"/>
      <c r="N92" s="31">
        <f t="shared" ref="N92" si="321">SUM(N90:N91)</f>
        <v>30</v>
      </c>
      <c r="O92" s="38">
        <f t="shared" ref="O92" si="322">SUM(O90:O91)</f>
        <v>2.9880000000000004</v>
      </c>
      <c r="P92" s="16"/>
      <c r="Q92" s="31">
        <f t="shared" ref="Q92" si="323">SUM(Q90:Q91)</f>
        <v>27</v>
      </c>
      <c r="R92" s="38">
        <f t="shared" ref="R92" si="324">SUM(R90:R91)</f>
        <v>2.6892000000000005</v>
      </c>
      <c r="S92" s="31">
        <f t="shared" ref="S92" si="325">SUM(S90:S91)</f>
        <v>320</v>
      </c>
      <c r="T92" s="38">
        <f t="shared" ref="T92" si="326">SUM(T90:T91)</f>
        <v>26.692799999999998</v>
      </c>
      <c r="U92" s="31">
        <f t="shared" ref="U92" si="327">SUM(U90:U91)</f>
        <v>0</v>
      </c>
      <c r="V92" s="38">
        <f t="shared" ref="V92" si="328">SUM(V90:V91)</f>
        <v>0</v>
      </c>
    </row>
    <row r="93" spans="1:22">
      <c r="A93" s="26" t="s">
        <v>13</v>
      </c>
      <c r="B93" s="26" t="s">
        <v>37</v>
      </c>
      <c r="C93" s="30">
        <v>9.61</v>
      </c>
      <c r="D93" s="27">
        <v>9.4</v>
      </c>
      <c r="E93" s="28">
        <v>160</v>
      </c>
      <c r="F93" s="16">
        <f>(C93*D93*E93/1000)</f>
        <v>14.453440000000001</v>
      </c>
      <c r="G93" s="17" t="s">
        <v>89</v>
      </c>
      <c r="H93" s="18">
        <v>104</v>
      </c>
      <c r="I93" s="19">
        <f>(C93*D93*H93/1000)</f>
        <v>9.394736</v>
      </c>
      <c r="J93" s="16" t="s">
        <v>89</v>
      </c>
      <c r="K93" s="18">
        <f>33+23</f>
        <v>56</v>
      </c>
      <c r="L93" s="19">
        <f>(C93*D93*K93/1000)</f>
        <v>5.0587039999999996</v>
      </c>
      <c r="M93" s="16" t="s">
        <v>93</v>
      </c>
      <c r="N93" s="18"/>
      <c r="O93" s="19">
        <f>(C93*D93*N93/1000)</f>
        <v>0</v>
      </c>
      <c r="P93" s="16" t="s">
        <v>93</v>
      </c>
      <c r="Q93" s="18"/>
      <c r="R93" s="19">
        <f>(C93*D93*Q93/1000)</f>
        <v>0</v>
      </c>
      <c r="S93" s="20">
        <f>+H93+K93+Q93+N93</f>
        <v>160</v>
      </c>
      <c r="T93" s="19">
        <f>+I93+L93+R93+O93</f>
        <v>14.453440000000001</v>
      </c>
      <c r="U93" s="21">
        <f>E93-S93</f>
        <v>0</v>
      </c>
      <c r="V93" s="19">
        <f>F93-T93</f>
        <v>0</v>
      </c>
    </row>
    <row r="94" spans="1:22">
      <c r="A94" s="26" t="s">
        <v>13</v>
      </c>
      <c r="B94" s="26" t="s">
        <v>37</v>
      </c>
      <c r="C94" s="30">
        <v>9.61</v>
      </c>
      <c r="D94" s="27">
        <v>10.6</v>
      </c>
      <c r="E94" s="28">
        <v>80</v>
      </c>
      <c r="F94" s="16">
        <f>(C94*D94*E94/1000)</f>
        <v>8.1492799999999992</v>
      </c>
      <c r="G94" s="17" t="s">
        <v>517</v>
      </c>
      <c r="H94" s="18">
        <v>20</v>
      </c>
      <c r="I94" s="19">
        <f>(C94*D94*H94/1000)</f>
        <v>2.0373199999999998</v>
      </c>
      <c r="J94" s="16" t="s">
        <v>93</v>
      </c>
      <c r="K94" s="18"/>
      <c r="L94" s="19">
        <f>(C94*D94*K94/1000)</f>
        <v>0</v>
      </c>
      <c r="M94" s="16" t="s">
        <v>521</v>
      </c>
      <c r="N94" s="18">
        <v>32</v>
      </c>
      <c r="O94" s="19">
        <f>(C94*D94*N94/1000)</f>
        <v>3.2597119999999995</v>
      </c>
      <c r="P94" s="16" t="s">
        <v>522</v>
      </c>
      <c r="Q94" s="18">
        <v>28</v>
      </c>
      <c r="R94" s="19">
        <f>(C94*D94*Q94/1000)</f>
        <v>2.8522479999999995</v>
      </c>
      <c r="S94" s="20">
        <f>+H94+K94+Q94+N94</f>
        <v>80</v>
      </c>
      <c r="T94" s="19">
        <f>+I94+L94+R94+O94</f>
        <v>8.1492799999999974</v>
      </c>
      <c r="U94" s="21">
        <f>E94-S94</f>
        <v>0</v>
      </c>
      <c r="V94" s="19">
        <f>F94-T94</f>
        <v>0</v>
      </c>
    </row>
    <row r="95" spans="1:22">
      <c r="A95" s="36"/>
      <c r="B95" s="36"/>
      <c r="C95" s="37"/>
      <c r="D95" s="38"/>
      <c r="E95" s="31">
        <f t="shared" ref="E95:F95" si="329">SUM(E93:E94)</f>
        <v>240</v>
      </c>
      <c r="F95" s="38">
        <f t="shared" si="329"/>
        <v>22.602719999999998</v>
      </c>
      <c r="G95" s="26"/>
      <c r="H95" s="31">
        <f t="shared" ref="H95" si="330">SUM(H93:H94)</f>
        <v>124</v>
      </c>
      <c r="I95" s="38">
        <f t="shared" ref="I95" si="331">SUM(I93:I94)</f>
        <v>11.432055999999999</v>
      </c>
      <c r="J95" s="16" t="s">
        <v>518</v>
      </c>
      <c r="K95" s="31">
        <f t="shared" ref="K95" si="332">SUM(K93:K94)</f>
        <v>56</v>
      </c>
      <c r="L95" s="38">
        <f t="shared" ref="L95" si="333">SUM(L93:L94)</f>
        <v>5.0587039999999996</v>
      </c>
      <c r="M95" s="26"/>
      <c r="N95" s="31">
        <f t="shared" ref="N95" si="334">SUM(N93:N94)</f>
        <v>32</v>
      </c>
      <c r="O95" s="38">
        <f t="shared" ref="O95" si="335">SUM(O93:O94)</f>
        <v>3.2597119999999995</v>
      </c>
      <c r="P95" s="26"/>
      <c r="Q95" s="31">
        <f t="shared" ref="Q95" si="336">SUM(Q93:Q94)</f>
        <v>28</v>
      </c>
      <c r="R95" s="38">
        <f t="shared" ref="R95" si="337">SUM(R93:R94)</f>
        <v>2.8522479999999995</v>
      </c>
      <c r="S95" s="31">
        <f t="shared" ref="S95" si="338">SUM(S93:S94)</f>
        <v>240</v>
      </c>
      <c r="T95" s="38">
        <f t="shared" ref="T95" si="339">SUM(T93:T94)</f>
        <v>22.602719999999998</v>
      </c>
      <c r="U95" s="31">
        <f t="shared" ref="U95" si="340">SUM(U93:U94)</f>
        <v>0</v>
      </c>
      <c r="V95" s="38">
        <f t="shared" ref="V95" si="341">SUM(V93:V94)</f>
        <v>0</v>
      </c>
    </row>
    <row r="96" spans="1:22">
      <c r="A96" s="26" t="s">
        <v>14</v>
      </c>
      <c r="B96" s="26" t="s">
        <v>45</v>
      </c>
      <c r="C96" s="30">
        <v>9.26</v>
      </c>
      <c r="D96" s="27">
        <v>6.35</v>
      </c>
      <c r="E96" s="28">
        <v>160</v>
      </c>
      <c r="F96" s="16">
        <f>(C96*D96*E96/1000)</f>
        <v>9.4081600000000005</v>
      </c>
      <c r="G96" s="17" t="s">
        <v>93</v>
      </c>
      <c r="H96" s="18">
        <v>75</v>
      </c>
      <c r="I96" s="19">
        <f>(C96*D96*H96/1000)</f>
        <v>4.410075</v>
      </c>
      <c r="J96" s="16" t="s">
        <v>111</v>
      </c>
      <c r="K96" s="18">
        <v>82</v>
      </c>
      <c r="L96" s="19">
        <f>(C96*D96*K96/1000)</f>
        <v>4.821682</v>
      </c>
      <c r="M96" s="17" t="s">
        <v>205</v>
      </c>
      <c r="N96" s="18"/>
      <c r="O96" s="19">
        <f>(C96*D96*N96/1000)</f>
        <v>0</v>
      </c>
      <c r="P96" s="17" t="s">
        <v>93</v>
      </c>
      <c r="Q96" s="18">
        <v>3</v>
      </c>
      <c r="R96" s="19">
        <f>(C96*D96*Q96/1000)</f>
        <v>0.176403</v>
      </c>
      <c r="S96" s="20">
        <f t="shared" ref="S96:T99" si="342">+H96+K96+Q96+N96</f>
        <v>160</v>
      </c>
      <c r="T96" s="19">
        <f t="shared" si="342"/>
        <v>9.4081600000000005</v>
      </c>
      <c r="U96" s="21">
        <f t="shared" ref="U96:V99" si="343">E96-S96</f>
        <v>0</v>
      </c>
      <c r="V96" s="19">
        <f t="shared" si="343"/>
        <v>0</v>
      </c>
    </row>
    <row r="97" spans="1:22">
      <c r="A97" s="26" t="s">
        <v>14</v>
      </c>
      <c r="B97" s="26" t="s">
        <v>45</v>
      </c>
      <c r="C97" s="30">
        <v>9.26</v>
      </c>
      <c r="D97" s="27">
        <v>6.5</v>
      </c>
      <c r="E97" s="28">
        <v>320</v>
      </c>
      <c r="F97" s="16">
        <f>(C97*D97*E97/1000)</f>
        <v>19.2608</v>
      </c>
      <c r="G97" s="17" t="s">
        <v>515</v>
      </c>
      <c r="H97" s="18">
        <v>68</v>
      </c>
      <c r="I97" s="19">
        <f>(C97*D97*H97/1000)</f>
        <v>4.0929200000000003</v>
      </c>
      <c r="J97" s="16" t="s">
        <v>515</v>
      </c>
      <c r="K97" s="18">
        <v>110</v>
      </c>
      <c r="L97" s="19">
        <f>(C97*D97*K97/1000)</f>
        <v>6.6208999999999998</v>
      </c>
      <c r="M97" s="17" t="s">
        <v>516</v>
      </c>
      <c r="N97" s="18">
        <f>74+64</f>
        <v>138</v>
      </c>
      <c r="O97" s="19">
        <f>(C97*D97*N97/1000)</f>
        <v>8.3062199999999997</v>
      </c>
      <c r="P97" s="17" t="s">
        <v>524</v>
      </c>
      <c r="Q97" s="18">
        <v>4</v>
      </c>
      <c r="R97" s="19">
        <f>(C97*D97*Q97/1000)</f>
        <v>0.24076</v>
      </c>
      <c r="S97" s="20">
        <f t="shared" si="342"/>
        <v>320</v>
      </c>
      <c r="T97" s="19">
        <f t="shared" si="342"/>
        <v>19.2608</v>
      </c>
      <c r="U97" s="21">
        <f t="shared" si="343"/>
        <v>0</v>
      </c>
      <c r="V97" s="19">
        <f t="shared" si="343"/>
        <v>0</v>
      </c>
    </row>
    <row r="98" spans="1:22">
      <c r="A98" s="26" t="s">
        <v>14</v>
      </c>
      <c r="B98" s="26" t="s">
        <v>45</v>
      </c>
      <c r="C98" s="30">
        <v>9.26</v>
      </c>
      <c r="D98" s="27">
        <v>9.15</v>
      </c>
      <c r="E98" s="28">
        <v>320</v>
      </c>
      <c r="F98" s="16">
        <f>(C98*D98*E98/1000)</f>
        <v>27.11328</v>
      </c>
      <c r="G98" s="17"/>
      <c r="H98" s="18">
        <v>141</v>
      </c>
      <c r="I98" s="19">
        <f>(C98*D98*H98/1000)</f>
        <v>11.946789000000001</v>
      </c>
      <c r="J98" s="16"/>
      <c r="K98" s="18">
        <v>160</v>
      </c>
      <c r="L98" s="19">
        <f>(C98*D98*K98/1000)</f>
        <v>13.55664</v>
      </c>
      <c r="M98" s="17" t="s">
        <v>93</v>
      </c>
      <c r="N98" s="18"/>
      <c r="O98" s="19">
        <f>(C98*D98*N98/1000)</f>
        <v>0</v>
      </c>
      <c r="P98" s="16"/>
      <c r="Q98" s="18"/>
      <c r="R98" s="19">
        <f>(C98*D98*Q98/1000)</f>
        <v>0</v>
      </c>
      <c r="S98" s="20">
        <f t="shared" ref="S98" si="344">+H98+K98+Q98+N98</f>
        <v>301</v>
      </c>
      <c r="T98" s="19">
        <f t="shared" ref="T98" si="345">+I98+L98+R98+O98</f>
        <v>25.503429000000001</v>
      </c>
      <c r="U98" s="21">
        <f t="shared" ref="U98" si="346">E98-S98</f>
        <v>19</v>
      </c>
      <c r="V98" s="19">
        <f t="shared" ref="V98" si="347">F98-T98</f>
        <v>1.609850999999999</v>
      </c>
    </row>
    <row r="99" spans="1:22">
      <c r="A99" s="26" t="s">
        <v>14</v>
      </c>
      <c r="B99" s="26" t="s">
        <v>45</v>
      </c>
      <c r="C99" s="30">
        <v>9.26</v>
      </c>
      <c r="D99" s="27">
        <v>9.1999999999999993</v>
      </c>
      <c r="E99" s="28"/>
      <c r="F99" s="16">
        <f>(C99*D99*E99/1000)</f>
        <v>0</v>
      </c>
      <c r="G99" s="17"/>
      <c r="H99" s="18"/>
      <c r="I99" s="19">
        <f>(C99*D99*H99/1000)</f>
        <v>0</v>
      </c>
      <c r="J99" s="16"/>
      <c r="K99" s="18"/>
      <c r="L99" s="19">
        <f>(C99*D99*K99/1000)</f>
        <v>0</v>
      </c>
      <c r="M99" s="26" t="s">
        <v>517</v>
      </c>
      <c r="N99" s="18">
        <v>19</v>
      </c>
      <c r="O99" s="19">
        <f>(C99*D99*N99/1000)</f>
        <v>1.6186479999999999</v>
      </c>
      <c r="P99" s="16"/>
      <c r="Q99" s="18"/>
      <c r="R99" s="19">
        <f>(C99*D99*Q99/1000)</f>
        <v>0</v>
      </c>
      <c r="S99" s="20">
        <f t="shared" si="342"/>
        <v>19</v>
      </c>
      <c r="T99" s="19">
        <f t="shared" si="342"/>
        <v>1.6186479999999999</v>
      </c>
      <c r="U99" s="21">
        <f t="shared" si="343"/>
        <v>-19</v>
      </c>
      <c r="V99" s="19">
        <f t="shared" si="343"/>
        <v>-1.6186479999999999</v>
      </c>
    </row>
    <row r="100" spans="1:22">
      <c r="A100" s="36"/>
      <c r="B100" s="36"/>
      <c r="C100" s="37"/>
      <c r="D100" s="38"/>
      <c r="E100" s="31">
        <f t="shared" ref="E100:F100" si="348">SUM(E96:E99)</f>
        <v>800</v>
      </c>
      <c r="F100" s="38">
        <f t="shared" si="348"/>
        <v>55.782240000000002</v>
      </c>
      <c r="G100" s="17"/>
      <c r="H100" s="31">
        <f t="shared" ref="H100" si="349">SUM(H96:H99)</f>
        <v>284</v>
      </c>
      <c r="I100" s="38">
        <f t="shared" ref="I100" si="350">SUM(I96:I99)</f>
        <v>20.449784000000001</v>
      </c>
      <c r="J100" s="16"/>
      <c r="K100" s="31">
        <f t="shared" ref="K100" si="351">SUM(K96:K99)</f>
        <v>352</v>
      </c>
      <c r="L100" s="38">
        <f t="shared" ref="L100" si="352">SUM(L96:L99)</f>
        <v>24.999222</v>
      </c>
      <c r="M100" s="16"/>
      <c r="N100" s="31">
        <f t="shared" ref="N100" si="353">SUM(N96:N99)</f>
        <v>157</v>
      </c>
      <c r="O100" s="38">
        <f t="shared" ref="O100" si="354">SUM(O96:O99)</f>
        <v>9.924868</v>
      </c>
      <c r="P100" s="16"/>
      <c r="Q100" s="31">
        <f t="shared" ref="Q100" si="355">SUM(Q96:Q99)</f>
        <v>7</v>
      </c>
      <c r="R100" s="38">
        <f t="shared" ref="R100" si="356">SUM(R96:R99)</f>
        <v>0.41716300000000001</v>
      </c>
      <c r="S100" s="31">
        <f t="shared" ref="S100" si="357">SUM(S96:S99)</f>
        <v>800</v>
      </c>
      <c r="T100" s="38">
        <f t="shared" ref="T100" si="358">SUM(T96:T99)</f>
        <v>55.791036999999996</v>
      </c>
      <c r="U100" s="31">
        <f t="shared" ref="U100" si="359">SUM(U96:U99)</f>
        <v>0</v>
      </c>
      <c r="V100" s="38">
        <f t="shared" ref="V100" si="360">SUM(V96:V99)</f>
        <v>-8.7970000000008319E-3</v>
      </c>
    </row>
    <row r="101" spans="1:22">
      <c r="A101" s="26" t="s">
        <v>14</v>
      </c>
      <c r="B101" s="26" t="s">
        <v>46</v>
      </c>
      <c r="C101" s="30">
        <v>10.7</v>
      </c>
      <c r="D101" s="27">
        <v>6.5</v>
      </c>
      <c r="E101" s="28">
        <v>160</v>
      </c>
      <c r="F101" s="16">
        <f>(C101*D101*E101/1000)</f>
        <v>11.128</v>
      </c>
      <c r="G101" s="17" t="s">
        <v>205</v>
      </c>
      <c r="H101" s="18">
        <v>70</v>
      </c>
      <c r="I101" s="19">
        <f>(C101*D101*H101/1000)</f>
        <v>4.8685</v>
      </c>
      <c r="J101" s="17" t="s">
        <v>93</v>
      </c>
      <c r="K101" s="18">
        <f>50+28</f>
        <v>78</v>
      </c>
      <c r="L101" s="19">
        <f>(C101*D101*K101/1000)</f>
        <v>5.4249000000000001</v>
      </c>
      <c r="M101" s="17" t="s">
        <v>93</v>
      </c>
      <c r="N101" s="18">
        <v>12</v>
      </c>
      <c r="O101" s="19">
        <f>(C101*D101*N101/1000)</f>
        <v>0.8345999999999999</v>
      </c>
      <c r="P101" s="16"/>
      <c r="Q101" s="18"/>
      <c r="R101" s="19">
        <f>(C101*D101*Q101/1000)</f>
        <v>0</v>
      </c>
      <c r="S101" s="20">
        <f>+H101+K101+Q101+N101</f>
        <v>160</v>
      </c>
      <c r="T101" s="19">
        <f>+I101+L101+R101+O101</f>
        <v>11.128</v>
      </c>
      <c r="U101" s="21">
        <f>E101-S101</f>
        <v>0</v>
      </c>
      <c r="V101" s="19">
        <f>F101-T101</f>
        <v>0</v>
      </c>
    </row>
    <row r="102" spans="1:22">
      <c r="A102" s="36"/>
      <c r="B102" s="36"/>
      <c r="C102" s="37"/>
      <c r="D102" s="38"/>
      <c r="E102" s="31">
        <f t="shared" ref="E102:F102" si="361">SUM(E101)</f>
        <v>160</v>
      </c>
      <c r="F102" s="38">
        <f t="shared" si="361"/>
        <v>11.128</v>
      </c>
      <c r="G102" s="17" t="s">
        <v>516</v>
      </c>
      <c r="H102" s="31">
        <f t="shared" ref="H102" si="362">SUM(H101)</f>
        <v>70</v>
      </c>
      <c r="I102" s="38">
        <f t="shared" ref="I102" si="363">SUM(I101)</f>
        <v>4.8685</v>
      </c>
      <c r="J102" s="26" t="s">
        <v>517</v>
      </c>
      <c r="K102" s="31">
        <f t="shared" ref="K102" si="364">SUM(K101)</f>
        <v>78</v>
      </c>
      <c r="L102" s="38">
        <f t="shared" ref="L102" si="365">SUM(L101)</f>
        <v>5.4249000000000001</v>
      </c>
      <c r="M102" s="17" t="s">
        <v>524</v>
      </c>
      <c r="N102" s="31">
        <f t="shared" ref="N102" si="366">SUM(N101)</f>
        <v>12</v>
      </c>
      <c r="O102" s="38">
        <f t="shared" ref="O102" si="367">SUM(O101)</f>
        <v>0.8345999999999999</v>
      </c>
      <c r="P102" s="16"/>
      <c r="Q102" s="31">
        <f t="shared" ref="Q102" si="368">SUM(Q101)</f>
        <v>0</v>
      </c>
      <c r="R102" s="38">
        <f t="shared" ref="R102" si="369">SUM(R101)</f>
        <v>0</v>
      </c>
      <c r="S102" s="31">
        <f t="shared" ref="S102" si="370">SUM(S101)</f>
        <v>160</v>
      </c>
      <c r="T102" s="38">
        <f t="shared" ref="T102" si="371">SUM(T101)</f>
        <v>11.128</v>
      </c>
      <c r="U102" s="31">
        <f t="shared" ref="U102" si="372">SUM(U101)</f>
        <v>0</v>
      </c>
      <c r="V102" s="38">
        <f t="shared" ref="V102" si="373">SUM(V101)</f>
        <v>0</v>
      </c>
    </row>
    <row r="103" spans="1:22">
      <c r="A103" s="26" t="s">
        <v>14</v>
      </c>
      <c r="B103" s="26" t="s">
        <v>61</v>
      </c>
      <c r="C103" s="30">
        <v>12.2</v>
      </c>
      <c r="D103" s="27">
        <v>8</v>
      </c>
      <c r="E103" s="28">
        <v>20</v>
      </c>
      <c r="F103" s="16">
        <f>(C103*D103*E103/1000)</f>
        <v>1.952</v>
      </c>
      <c r="G103" s="17" t="s">
        <v>93</v>
      </c>
      <c r="H103" s="18">
        <v>14</v>
      </c>
      <c r="I103" s="19">
        <f>(C103*D103*H103/1000)</f>
        <v>1.3663999999999998</v>
      </c>
      <c r="J103" s="16" t="s">
        <v>93</v>
      </c>
      <c r="K103" s="18">
        <v>6</v>
      </c>
      <c r="L103" s="19">
        <f>(C103*D103*K103/1000)</f>
        <v>0.5855999999999999</v>
      </c>
      <c r="M103" s="16"/>
      <c r="N103" s="18"/>
      <c r="O103" s="19">
        <f>(C103*D103*N103/1000)</f>
        <v>0</v>
      </c>
      <c r="P103" s="16"/>
      <c r="Q103" s="18"/>
      <c r="R103" s="19">
        <f>(C103*D103*Q103/1000)</f>
        <v>0</v>
      </c>
      <c r="S103" s="20">
        <f t="shared" ref="S103:T105" si="374">+H103+K103+Q103+N103</f>
        <v>20</v>
      </c>
      <c r="T103" s="19">
        <f t="shared" si="374"/>
        <v>1.9519999999999997</v>
      </c>
      <c r="U103" s="21">
        <f t="shared" ref="U103:V105" si="375">E103-S103</f>
        <v>0</v>
      </c>
      <c r="V103" s="19">
        <f t="shared" si="375"/>
        <v>0</v>
      </c>
    </row>
    <row r="104" spans="1:22">
      <c r="A104" s="26" t="s">
        <v>14</v>
      </c>
      <c r="B104" s="26" t="s">
        <v>61</v>
      </c>
      <c r="C104" s="30">
        <v>12.2</v>
      </c>
      <c r="D104" s="27">
        <v>11.9</v>
      </c>
      <c r="E104" s="28">
        <v>40</v>
      </c>
      <c r="F104" s="16">
        <f>(C104*D104*E104/1000)</f>
        <v>5.8072000000000008</v>
      </c>
      <c r="G104" s="26" t="s">
        <v>517</v>
      </c>
      <c r="H104" s="18">
        <v>35</v>
      </c>
      <c r="I104" s="19">
        <f>(C104*D104*H104/1000)</f>
        <v>5.0813000000000006</v>
      </c>
      <c r="J104" s="16" t="s">
        <v>523</v>
      </c>
      <c r="K104" s="18">
        <v>4</v>
      </c>
      <c r="L104" s="19">
        <f>(C104*D104*K104/1000)</f>
        <v>0.58072000000000001</v>
      </c>
      <c r="M104" s="16"/>
      <c r="N104" s="18"/>
      <c r="O104" s="19">
        <f>(C104*D104*N104/1000)</f>
        <v>0</v>
      </c>
      <c r="P104" s="16"/>
      <c r="Q104" s="18"/>
      <c r="R104" s="19">
        <f>(C104*D104*Q104/1000)</f>
        <v>0</v>
      </c>
      <c r="S104" s="20">
        <f t="shared" si="374"/>
        <v>39</v>
      </c>
      <c r="T104" s="19">
        <f t="shared" si="374"/>
        <v>5.6620200000000009</v>
      </c>
      <c r="U104" s="21">
        <f t="shared" si="375"/>
        <v>1</v>
      </c>
      <c r="V104" s="19">
        <f t="shared" si="375"/>
        <v>0.14517999999999986</v>
      </c>
    </row>
    <row r="105" spans="1:22">
      <c r="A105" s="26" t="s">
        <v>14</v>
      </c>
      <c r="B105" s="26" t="s">
        <v>61</v>
      </c>
      <c r="C105" s="30">
        <v>12.2</v>
      </c>
      <c r="D105" s="27">
        <v>12</v>
      </c>
      <c r="E105" s="28"/>
      <c r="F105" s="16"/>
      <c r="G105" s="26"/>
      <c r="H105" s="18"/>
      <c r="I105" s="19">
        <f>(C105*D105*H105/1000)</f>
        <v>0</v>
      </c>
      <c r="J105" s="16"/>
      <c r="K105" s="18">
        <v>1</v>
      </c>
      <c r="L105" s="19">
        <f>(C105*D105*K105/1000)</f>
        <v>0.14639999999999997</v>
      </c>
      <c r="M105" s="16"/>
      <c r="N105" s="18"/>
      <c r="O105" s="19">
        <f>(C105*D105*N105/1000)</f>
        <v>0</v>
      </c>
      <c r="P105" s="16"/>
      <c r="Q105" s="18"/>
      <c r="R105" s="19">
        <f>(C105*D105*Q105/1000)</f>
        <v>0</v>
      </c>
      <c r="S105" s="20">
        <f t="shared" si="374"/>
        <v>1</v>
      </c>
      <c r="T105" s="19">
        <f t="shared" si="374"/>
        <v>0.14639999999999997</v>
      </c>
      <c r="U105" s="21">
        <f t="shared" si="375"/>
        <v>-1</v>
      </c>
      <c r="V105" s="19">
        <f t="shared" si="375"/>
        <v>-0.14639999999999997</v>
      </c>
    </row>
    <row r="106" spans="1:22">
      <c r="A106" s="36"/>
      <c r="B106" s="36"/>
      <c r="C106" s="37"/>
      <c r="D106" s="38"/>
      <c r="E106" s="31">
        <f t="shared" ref="E106:F106" si="376">SUM(E103:E105)</f>
        <v>60</v>
      </c>
      <c r="F106" s="38">
        <f t="shared" si="376"/>
        <v>7.7592000000000008</v>
      </c>
      <c r="G106" s="17"/>
      <c r="H106" s="31">
        <f t="shared" ref="H106" si="377">SUM(H103:H105)</f>
        <v>49</v>
      </c>
      <c r="I106" s="38">
        <f t="shared" ref="I106" si="378">SUM(I103:I105)</f>
        <v>6.4477000000000002</v>
      </c>
      <c r="J106" s="16"/>
      <c r="K106" s="31">
        <f t="shared" ref="K106" si="379">SUM(K103:K105)</f>
        <v>11</v>
      </c>
      <c r="L106" s="38">
        <f t="shared" ref="L106" si="380">SUM(L103:L105)</f>
        <v>1.3127199999999997</v>
      </c>
      <c r="M106" s="16"/>
      <c r="N106" s="31">
        <f t="shared" ref="N106" si="381">SUM(N103:N105)</f>
        <v>0</v>
      </c>
      <c r="O106" s="38">
        <f t="shared" ref="O106" si="382">SUM(O103:O105)</f>
        <v>0</v>
      </c>
      <c r="P106" s="16"/>
      <c r="Q106" s="31">
        <f t="shared" ref="Q106" si="383">SUM(Q103:Q105)</f>
        <v>0</v>
      </c>
      <c r="R106" s="38">
        <f t="shared" ref="R106" si="384">SUM(R103:R105)</f>
        <v>0</v>
      </c>
      <c r="S106" s="31">
        <f t="shared" ref="S106" si="385">SUM(S103:S105)</f>
        <v>60</v>
      </c>
      <c r="T106" s="38">
        <f t="shared" ref="T106" si="386">SUM(T103:T105)</f>
        <v>7.7604200000000008</v>
      </c>
      <c r="U106" s="31">
        <f t="shared" ref="U106" si="387">SUM(U103:U105)</f>
        <v>0</v>
      </c>
      <c r="V106" s="38">
        <f t="shared" ref="V106" si="388">SUM(V103:V105)</f>
        <v>-1.2200000000001099E-3</v>
      </c>
    </row>
    <row r="107" spans="1:22">
      <c r="A107" s="26" t="s">
        <v>14</v>
      </c>
      <c r="B107" s="26" t="s">
        <v>25</v>
      </c>
      <c r="C107" s="30">
        <v>13.4</v>
      </c>
      <c r="D107" s="27">
        <v>7.8</v>
      </c>
      <c r="E107" s="28">
        <v>4</v>
      </c>
      <c r="F107" s="16">
        <f>(C107*D107*E107/1000)</f>
        <v>0.41808000000000001</v>
      </c>
      <c r="G107" s="17" t="s">
        <v>288</v>
      </c>
      <c r="H107" s="18"/>
      <c r="I107" s="19">
        <f>(C107*D107*H107/1000)</f>
        <v>0</v>
      </c>
      <c r="J107" s="16"/>
      <c r="K107" s="18"/>
      <c r="L107" s="19">
        <f>(C107*D107*K107/1000)</f>
        <v>0</v>
      </c>
      <c r="M107" s="16"/>
      <c r="N107" s="18"/>
      <c r="O107" s="19">
        <f>(C107*D107*N107/1000)</f>
        <v>0</v>
      </c>
      <c r="P107" s="16"/>
      <c r="Q107" s="18"/>
      <c r="R107" s="19">
        <f>(C107*D107*Q107/1000)</f>
        <v>0</v>
      </c>
      <c r="S107" s="20">
        <f>+H107+K107+Q107+N107</f>
        <v>0</v>
      </c>
      <c r="T107" s="19">
        <f>+I107+L107+R107+O107</f>
        <v>0</v>
      </c>
      <c r="U107" s="21">
        <f>E107-S107</f>
        <v>4</v>
      </c>
      <c r="V107" s="19">
        <f>F107-T107</f>
        <v>0.41808000000000001</v>
      </c>
    </row>
    <row r="108" spans="1:22">
      <c r="A108" s="26" t="s">
        <v>14</v>
      </c>
      <c r="B108" s="26" t="s">
        <v>25</v>
      </c>
      <c r="C108" s="30">
        <v>13.4</v>
      </c>
      <c r="D108" s="27">
        <v>12</v>
      </c>
      <c r="E108" s="28"/>
      <c r="F108" s="16">
        <f>(C108*D108*E108/1000)</f>
        <v>0</v>
      </c>
      <c r="G108" s="17" t="s">
        <v>541</v>
      </c>
      <c r="H108" s="18">
        <v>4</v>
      </c>
      <c r="I108" s="19">
        <f>(C108*D108*H108/1000)</f>
        <v>0.64319999999999999</v>
      </c>
      <c r="J108" s="16"/>
      <c r="K108" s="18"/>
      <c r="L108" s="19">
        <f>(C108*D108*K108/1000)</f>
        <v>0</v>
      </c>
      <c r="M108" s="16"/>
      <c r="N108" s="18"/>
      <c r="O108" s="19">
        <f>(C108*D108*N108/1000)</f>
        <v>0</v>
      </c>
      <c r="P108" s="16"/>
      <c r="Q108" s="18"/>
      <c r="R108" s="19">
        <f>(C108*D108*Q108/1000)</f>
        <v>0</v>
      </c>
      <c r="S108" s="20">
        <f>+H108+K108+Q108+N108</f>
        <v>4</v>
      </c>
      <c r="T108" s="19">
        <f>+I108+L108+R108+O108</f>
        <v>0.64319999999999999</v>
      </c>
      <c r="U108" s="21">
        <f>E108-S108</f>
        <v>-4</v>
      </c>
      <c r="V108" s="19">
        <f>F108-T108</f>
        <v>-0.64319999999999999</v>
      </c>
    </row>
    <row r="109" spans="1:22">
      <c r="A109" s="36"/>
      <c r="B109" s="36"/>
      <c r="C109" s="37"/>
      <c r="D109" s="38"/>
      <c r="E109" s="31">
        <f t="shared" ref="E109:F109" si="389">SUM(E107:E108)</f>
        <v>4</v>
      </c>
      <c r="F109" s="38">
        <f t="shared" si="389"/>
        <v>0.41808000000000001</v>
      </c>
      <c r="G109" s="17"/>
      <c r="H109" s="31">
        <f t="shared" ref="H109" si="390">SUM(H107:H108)</f>
        <v>4</v>
      </c>
      <c r="I109" s="38">
        <f t="shared" ref="I109" si="391">SUM(I107:I108)</f>
        <v>0.64319999999999999</v>
      </c>
      <c r="J109" s="26"/>
      <c r="K109" s="31">
        <f t="shared" ref="K109" si="392">SUM(K107:K108)</f>
        <v>0</v>
      </c>
      <c r="L109" s="38">
        <f t="shared" ref="L109" si="393">SUM(L107:L108)</f>
        <v>0</v>
      </c>
      <c r="M109" s="26"/>
      <c r="N109" s="31">
        <f t="shared" ref="N109" si="394">SUM(N107:N108)</f>
        <v>0</v>
      </c>
      <c r="O109" s="38">
        <f t="shared" ref="O109" si="395">SUM(O107:O108)</f>
        <v>0</v>
      </c>
      <c r="P109" s="26"/>
      <c r="Q109" s="31">
        <f t="shared" ref="Q109" si="396">SUM(Q107:Q108)</f>
        <v>0</v>
      </c>
      <c r="R109" s="38">
        <f t="shared" ref="R109" si="397">SUM(R107:R108)</f>
        <v>0</v>
      </c>
      <c r="S109" s="31">
        <f t="shared" ref="S109" si="398">SUM(S107:S108)</f>
        <v>4</v>
      </c>
      <c r="T109" s="38">
        <f t="shared" ref="T109" si="399">SUM(T107:T108)</f>
        <v>0.64319999999999999</v>
      </c>
      <c r="U109" s="31">
        <f t="shared" ref="U109" si="400">SUM(U107:U108)</f>
        <v>0</v>
      </c>
      <c r="V109" s="38">
        <f t="shared" ref="V109" si="401">SUM(V107:V108)</f>
        <v>-0.22511999999999999</v>
      </c>
    </row>
    <row r="110" spans="1:22">
      <c r="A110" s="26" t="s">
        <v>14</v>
      </c>
      <c r="B110" s="26" t="s">
        <v>34</v>
      </c>
      <c r="C110" s="30">
        <v>5.76</v>
      </c>
      <c r="D110" s="27">
        <v>6.95</v>
      </c>
      <c r="E110" s="28">
        <v>712</v>
      </c>
      <c r="F110" s="16">
        <f>(C110*D110*E110/1000)</f>
        <v>28.502783999999995</v>
      </c>
      <c r="G110" s="17" t="s">
        <v>89</v>
      </c>
      <c r="H110" s="18">
        <f>216+417</f>
        <v>633</v>
      </c>
      <c r="I110" s="19">
        <f>(C110*D110*H110/1000)</f>
        <v>25.340255999999997</v>
      </c>
      <c r="J110" s="17" t="s">
        <v>288</v>
      </c>
      <c r="K110" s="18">
        <v>79</v>
      </c>
      <c r="L110" s="19">
        <f>(C110*D110*K110/1000)</f>
        <v>3.162528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 t="shared" ref="S110:T112" si="402">+H110+K110+Q110+N110</f>
        <v>712</v>
      </c>
      <c r="T110" s="19">
        <f t="shared" si="402"/>
        <v>28.502783999999998</v>
      </c>
      <c r="U110" s="21">
        <f t="shared" ref="U110:V112" si="403">E110-S110</f>
        <v>0</v>
      </c>
      <c r="V110" s="19">
        <f t="shared" si="403"/>
        <v>0</v>
      </c>
    </row>
    <row r="111" spans="1:22">
      <c r="A111" s="26" t="s">
        <v>14</v>
      </c>
      <c r="B111" s="26" t="s">
        <v>34</v>
      </c>
      <c r="C111" s="30">
        <v>5.76</v>
      </c>
      <c r="D111" s="27">
        <v>7.1</v>
      </c>
      <c r="E111" s="28">
        <v>8</v>
      </c>
      <c r="F111" s="16">
        <f>(C111*D111*E111/1000)</f>
        <v>0.32716799999999996</v>
      </c>
      <c r="G111" s="17" t="s">
        <v>526</v>
      </c>
      <c r="H111" s="18">
        <v>4</v>
      </c>
      <c r="I111" s="19">
        <f>(C111*D111*H111/1000)</f>
        <v>0.16358399999999998</v>
      </c>
      <c r="J111" s="17" t="s">
        <v>541</v>
      </c>
      <c r="K111" s="18">
        <v>4</v>
      </c>
      <c r="L111" s="19">
        <f>(C111*D111*K111/1000)</f>
        <v>0.16358399999999998</v>
      </c>
      <c r="M111" s="16"/>
      <c r="N111" s="18"/>
      <c r="O111" s="19">
        <f>(C111*D111*N111/1000)</f>
        <v>0</v>
      </c>
      <c r="P111" s="16"/>
      <c r="Q111" s="18"/>
      <c r="R111" s="19">
        <f>(C111*D111*Q111/1000)</f>
        <v>0</v>
      </c>
      <c r="S111" s="20">
        <f t="shared" si="402"/>
        <v>8</v>
      </c>
      <c r="T111" s="19">
        <f t="shared" si="402"/>
        <v>0.32716799999999996</v>
      </c>
      <c r="U111" s="21">
        <f t="shared" si="403"/>
        <v>0</v>
      </c>
      <c r="V111" s="19">
        <f t="shared" si="403"/>
        <v>0</v>
      </c>
    </row>
    <row r="112" spans="1:22">
      <c r="A112" s="26" t="s">
        <v>14</v>
      </c>
      <c r="B112" s="26" t="s">
        <v>34</v>
      </c>
      <c r="C112" s="30">
        <v>5.76</v>
      </c>
      <c r="D112" s="27">
        <v>11</v>
      </c>
      <c r="E112" s="28">
        <v>40</v>
      </c>
      <c r="F112" s="16">
        <f>(C112*D112*E112/1000)</f>
        <v>2.5344000000000002</v>
      </c>
      <c r="G112" s="17"/>
      <c r="H112" s="18">
        <v>40</v>
      </c>
      <c r="I112" s="19">
        <f>(C112*D112*H112/1000)</f>
        <v>2.5344000000000002</v>
      </c>
      <c r="J112" s="16"/>
      <c r="K112" s="18"/>
      <c r="L112" s="19">
        <f>(C112*D112*K112/1000)</f>
        <v>0</v>
      </c>
      <c r="M112" s="16"/>
      <c r="N112" s="18"/>
      <c r="O112" s="19">
        <f>(C112*D112*N112/1000)</f>
        <v>0</v>
      </c>
      <c r="P112" s="16"/>
      <c r="Q112" s="18"/>
      <c r="R112" s="19">
        <f>(C112*D112*Q112/1000)</f>
        <v>0</v>
      </c>
      <c r="S112" s="20">
        <f t="shared" si="402"/>
        <v>40</v>
      </c>
      <c r="T112" s="19">
        <f t="shared" si="402"/>
        <v>2.5344000000000002</v>
      </c>
      <c r="U112" s="21">
        <f t="shared" si="403"/>
        <v>0</v>
      </c>
      <c r="V112" s="19">
        <f t="shared" si="403"/>
        <v>0</v>
      </c>
    </row>
    <row r="113" spans="1:22">
      <c r="A113" s="36"/>
      <c r="B113" s="36"/>
      <c r="C113" s="37"/>
      <c r="D113" s="38"/>
      <c r="E113" s="31">
        <f t="shared" ref="E113:F113" si="404">SUM(E110:E112)</f>
        <v>760</v>
      </c>
      <c r="F113" s="38">
        <f t="shared" si="404"/>
        <v>31.364351999999997</v>
      </c>
      <c r="H113" s="31">
        <f t="shared" ref="H113" si="405">SUM(H110:H112)</f>
        <v>677</v>
      </c>
      <c r="I113" s="38">
        <f t="shared" ref="I113" si="406">SUM(I110:I112)</f>
        <v>28.038239999999998</v>
      </c>
      <c r="K113" s="31">
        <f t="shared" ref="K113" si="407">SUM(K110:K112)</f>
        <v>83</v>
      </c>
      <c r="L113" s="38">
        <f t="shared" ref="L113" si="408">SUM(L110:L112)</f>
        <v>3.3261120000000002</v>
      </c>
      <c r="N113" s="31">
        <f t="shared" ref="N113" si="409">SUM(N110:N112)</f>
        <v>0</v>
      </c>
      <c r="O113" s="38">
        <f t="shared" ref="O113" si="410">SUM(O110:O112)</f>
        <v>0</v>
      </c>
      <c r="Q113" s="31">
        <f t="shared" ref="Q113" si="411">SUM(Q110:Q112)</f>
        <v>0</v>
      </c>
      <c r="R113" s="38">
        <f t="shared" ref="R113" si="412">SUM(R110:R112)</f>
        <v>0</v>
      </c>
      <c r="S113" s="31">
        <f t="shared" ref="S113" si="413">SUM(S110:S112)</f>
        <v>760</v>
      </c>
      <c r="T113" s="38">
        <f t="shared" ref="T113" si="414">SUM(T110:T112)</f>
        <v>31.364352</v>
      </c>
      <c r="U113" s="31">
        <f t="shared" ref="U113" si="415">SUM(U110:U112)</f>
        <v>0</v>
      </c>
      <c r="V113" s="38">
        <f t="shared" ref="V113" si="416">SUM(V110:V112)</f>
        <v>0</v>
      </c>
    </row>
    <row r="114" spans="1:22">
      <c r="A114" s="26" t="s">
        <v>14</v>
      </c>
      <c r="B114" s="26" t="s">
        <v>35</v>
      </c>
      <c r="C114" s="30">
        <v>6.85</v>
      </c>
      <c r="D114" s="27">
        <v>12</v>
      </c>
      <c r="E114" s="28">
        <v>8</v>
      </c>
      <c r="F114" s="16">
        <f>(C114*D114*E114/1000)</f>
        <v>0.65759999999999996</v>
      </c>
      <c r="G114" s="16" t="s">
        <v>93</v>
      </c>
      <c r="H114" s="18">
        <v>8</v>
      </c>
      <c r="I114" s="19">
        <f>(C114*D114*H114/1000)</f>
        <v>0.65759999999999996</v>
      </c>
      <c r="J114" s="16"/>
      <c r="K114" s="18"/>
      <c r="L114" s="19">
        <f>(C114*D114*K114/1000)</f>
        <v>0</v>
      </c>
      <c r="M114" s="16"/>
      <c r="N114" s="18"/>
      <c r="O114" s="19">
        <f>(C114*D114*N114/1000)</f>
        <v>0</v>
      </c>
      <c r="P114" s="16"/>
      <c r="Q114" s="18"/>
      <c r="R114" s="19">
        <f>(C114*D114*Q114/1000)</f>
        <v>0</v>
      </c>
      <c r="S114" s="20">
        <f>+H114+K114+Q114+N114</f>
        <v>8</v>
      </c>
      <c r="T114" s="19">
        <f>+I114+L114+R114+O114</f>
        <v>0.65759999999999996</v>
      </c>
      <c r="U114" s="21">
        <f>E114-S114</f>
        <v>0</v>
      </c>
      <c r="V114" s="19">
        <f>F114-T114</f>
        <v>0</v>
      </c>
    </row>
    <row r="115" spans="1:22">
      <c r="A115" s="36"/>
      <c r="B115" s="36"/>
      <c r="C115" s="37"/>
      <c r="D115" s="38"/>
      <c r="E115" s="31">
        <f t="shared" ref="E115:F115" si="417">SUM(E114)</f>
        <v>8</v>
      </c>
      <c r="F115" s="38">
        <f t="shared" si="417"/>
        <v>0.65759999999999996</v>
      </c>
      <c r="G115" s="16" t="s">
        <v>541</v>
      </c>
      <c r="H115" s="31">
        <f t="shared" ref="H115" si="418">SUM(H114)</f>
        <v>8</v>
      </c>
      <c r="I115" s="38">
        <f t="shared" ref="I115" si="419">SUM(I114)</f>
        <v>0.65759999999999996</v>
      </c>
      <c r="K115" s="31">
        <f t="shared" ref="K115" si="420">SUM(K114)</f>
        <v>0</v>
      </c>
      <c r="L115" s="38">
        <f t="shared" ref="L115" si="421">SUM(L114)</f>
        <v>0</v>
      </c>
      <c r="N115" s="31">
        <f t="shared" ref="N115" si="422">SUM(N114)</f>
        <v>0</v>
      </c>
      <c r="O115" s="38">
        <f t="shared" ref="O115" si="423">SUM(O114)</f>
        <v>0</v>
      </c>
      <c r="Q115" s="31">
        <f t="shared" ref="Q115" si="424">SUM(Q114)</f>
        <v>0</v>
      </c>
      <c r="R115" s="38">
        <f t="shared" ref="R115" si="425">SUM(R114)</f>
        <v>0</v>
      </c>
      <c r="S115" s="31">
        <f t="shared" ref="S115" si="426">SUM(S114)</f>
        <v>8</v>
      </c>
      <c r="T115" s="38">
        <f t="shared" ref="T115" si="427">SUM(T114)</f>
        <v>0.65759999999999996</v>
      </c>
      <c r="U115" s="31">
        <f t="shared" ref="U115" si="428">SUM(U114)</f>
        <v>0</v>
      </c>
      <c r="V115" s="38">
        <f t="shared" ref="V115" si="429">SUM(V114)</f>
        <v>0</v>
      </c>
    </row>
    <row r="116" spans="1:22">
      <c r="A116" s="26" t="s">
        <v>14</v>
      </c>
      <c r="B116" s="26" t="s">
        <v>57</v>
      </c>
      <c r="C116" s="30">
        <v>6.17</v>
      </c>
      <c r="D116" s="27">
        <v>7.4</v>
      </c>
      <c r="E116" s="28">
        <v>160</v>
      </c>
      <c r="F116" s="16">
        <f>(C116*D116*E116/1000)</f>
        <v>7.3052800000000007</v>
      </c>
      <c r="G116" s="16" t="s">
        <v>88</v>
      </c>
      <c r="H116" s="18">
        <v>160</v>
      </c>
      <c r="I116" s="19">
        <f>(C116*D116*H116/1000)</f>
        <v>7.3052800000000007</v>
      </c>
      <c r="J116" s="17" t="s">
        <v>527</v>
      </c>
      <c r="K116" s="18"/>
      <c r="L116" s="19">
        <f>(C116*D116*K116/1000)</f>
        <v>0</v>
      </c>
      <c r="M116" s="16"/>
      <c r="N116" s="18"/>
      <c r="O116" s="19">
        <f>(C116*D116*N116/1000)</f>
        <v>0</v>
      </c>
      <c r="P116" s="16"/>
      <c r="Q116" s="18"/>
      <c r="R116" s="19">
        <f>(C116*D116*Q116/1000)</f>
        <v>0</v>
      </c>
      <c r="S116" s="20">
        <f t="shared" ref="S116:T118" si="430">+H116+K116+Q116+N116</f>
        <v>160</v>
      </c>
      <c r="T116" s="19">
        <f t="shared" si="430"/>
        <v>7.3052800000000007</v>
      </c>
      <c r="U116" s="21">
        <f t="shared" ref="U116:V118" si="431">E116-S116</f>
        <v>0</v>
      </c>
      <c r="V116" s="19">
        <f t="shared" si="431"/>
        <v>0</v>
      </c>
    </row>
    <row r="117" spans="1:22">
      <c r="A117" s="26" t="s">
        <v>14</v>
      </c>
      <c r="B117" s="26" t="s">
        <v>57</v>
      </c>
      <c r="C117" s="30">
        <v>6.17</v>
      </c>
      <c r="D117" s="27">
        <v>8.4</v>
      </c>
      <c r="E117" s="28">
        <v>24</v>
      </c>
      <c r="F117" s="16">
        <f>(C117*D117*E117/1000)</f>
        <v>1.2438720000000001</v>
      </c>
      <c r="G117" s="16" t="s">
        <v>525</v>
      </c>
      <c r="H117" s="18">
        <v>8</v>
      </c>
      <c r="I117" s="19">
        <f>(C117*D117*H117/1000)</f>
        <v>0.41462400000000005</v>
      </c>
      <c r="J117" s="17" t="s">
        <v>526</v>
      </c>
      <c r="K117" s="18">
        <v>16</v>
      </c>
      <c r="L117" s="19">
        <f>(C117*D117*K117/1000)</f>
        <v>0.8292480000000001</v>
      </c>
      <c r="M117" s="16"/>
      <c r="N117" s="18"/>
      <c r="O117" s="19">
        <f>(C117*D117*N117/1000)</f>
        <v>0</v>
      </c>
      <c r="P117" s="16"/>
      <c r="Q117" s="18"/>
      <c r="R117" s="19">
        <f>(C117*D117*Q117/1000)</f>
        <v>0</v>
      </c>
      <c r="S117" s="20">
        <f t="shared" si="430"/>
        <v>24</v>
      </c>
      <c r="T117" s="19">
        <f t="shared" si="430"/>
        <v>1.2438720000000001</v>
      </c>
      <c r="U117" s="21">
        <f t="shared" si="431"/>
        <v>0</v>
      </c>
      <c r="V117" s="19">
        <f t="shared" si="431"/>
        <v>0</v>
      </c>
    </row>
    <row r="118" spans="1:22">
      <c r="A118" s="26" t="s">
        <v>14</v>
      </c>
      <c r="B118" s="26" t="s">
        <v>57</v>
      </c>
      <c r="C118" s="30">
        <v>6.17</v>
      </c>
      <c r="D118" s="27">
        <v>11.55</v>
      </c>
      <c r="E118" s="28">
        <v>112</v>
      </c>
      <c r="F118" s="16">
        <f>(C118*D118*E118/1000)</f>
        <v>7.9815120000000004</v>
      </c>
      <c r="G118" s="17"/>
      <c r="H118" s="18">
        <v>47</v>
      </c>
      <c r="I118" s="19">
        <f>(C118*D118*H118/1000)</f>
        <v>3.3493845000000007</v>
      </c>
      <c r="J118" s="16"/>
      <c r="K118" s="18">
        <v>65</v>
      </c>
      <c r="L118" s="19">
        <f>(C118*D118*K118/1000)</f>
        <v>4.6321275000000002</v>
      </c>
      <c r="M118" s="16"/>
      <c r="N118" s="18"/>
      <c r="O118" s="19">
        <f>(C118*D118*N118/1000)</f>
        <v>0</v>
      </c>
      <c r="P118" s="16"/>
      <c r="Q118" s="18"/>
      <c r="R118" s="19">
        <f>(C118*D118*Q118/1000)</f>
        <v>0</v>
      </c>
      <c r="S118" s="20">
        <f t="shared" si="430"/>
        <v>112</v>
      </c>
      <c r="T118" s="19">
        <f t="shared" si="430"/>
        <v>7.9815120000000004</v>
      </c>
      <c r="U118" s="21">
        <f t="shared" si="431"/>
        <v>0</v>
      </c>
      <c r="V118" s="19">
        <f t="shared" si="431"/>
        <v>0</v>
      </c>
    </row>
    <row r="119" spans="1:22">
      <c r="A119" s="36"/>
      <c r="B119" s="36"/>
      <c r="C119" s="37"/>
      <c r="D119" s="38"/>
      <c r="E119" s="31">
        <f t="shared" ref="E119:F119" si="432">SUM(E116:E118)</f>
        <v>296</v>
      </c>
      <c r="F119" s="38">
        <f t="shared" si="432"/>
        <v>16.530664000000002</v>
      </c>
      <c r="H119" s="31">
        <f t="shared" ref="H119" si="433">SUM(H116:H118)</f>
        <v>215</v>
      </c>
      <c r="I119" s="38">
        <f t="shared" ref="I119" si="434">SUM(I116:I118)</f>
        <v>11.069288500000001</v>
      </c>
      <c r="K119" s="31">
        <f t="shared" ref="K119" si="435">SUM(K116:K118)</f>
        <v>81</v>
      </c>
      <c r="L119" s="38">
        <f t="shared" ref="L119" si="436">SUM(L116:L118)</f>
        <v>5.4613754999999999</v>
      </c>
      <c r="N119" s="31">
        <f t="shared" ref="N119" si="437">SUM(N116:N118)</f>
        <v>0</v>
      </c>
      <c r="O119" s="38">
        <f t="shared" ref="O119" si="438">SUM(O116:O118)</f>
        <v>0</v>
      </c>
      <c r="Q119" s="31">
        <f t="shared" ref="Q119" si="439">SUM(Q116:Q118)</f>
        <v>0</v>
      </c>
      <c r="R119" s="38">
        <f t="shared" ref="R119" si="440">SUM(R116:R118)</f>
        <v>0</v>
      </c>
      <c r="S119" s="31">
        <f t="shared" ref="S119" si="441">SUM(S116:S118)</f>
        <v>296</v>
      </c>
      <c r="T119" s="38">
        <f t="shared" ref="T119" si="442">SUM(T116:T118)</f>
        <v>16.530664000000002</v>
      </c>
      <c r="U119" s="31">
        <f t="shared" ref="U119" si="443">SUM(U116:U118)</f>
        <v>0</v>
      </c>
      <c r="V119" s="38">
        <f t="shared" ref="V119" si="444">SUM(V116:V118)</f>
        <v>0</v>
      </c>
    </row>
    <row r="120" spans="1:22">
      <c r="A120" s="26" t="s">
        <v>14</v>
      </c>
      <c r="B120" s="26" t="s">
        <v>58</v>
      </c>
      <c r="C120" s="30">
        <v>7.34</v>
      </c>
      <c r="D120" s="27">
        <v>7.55</v>
      </c>
      <c r="E120" s="28">
        <v>164</v>
      </c>
      <c r="F120" s="16">
        <f>(C120*D120*E120/1000)</f>
        <v>9.0883879999999984</v>
      </c>
      <c r="G120" s="16" t="s">
        <v>111</v>
      </c>
      <c r="H120" s="18">
        <v>80</v>
      </c>
      <c r="I120" s="19">
        <f>(C120*D120*H120/1000)</f>
        <v>4.4333599999999995</v>
      </c>
      <c r="J120" s="16" t="s">
        <v>88</v>
      </c>
      <c r="K120" s="18">
        <f>40+37+7</f>
        <v>84</v>
      </c>
      <c r="L120" s="19">
        <f>(C120*D120*K120/1000)</f>
        <v>4.6550279999999997</v>
      </c>
      <c r="M120" s="16"/>
      <c r="N120" s="18"/>
      <c r="O120" s="19">
        <f>(C120*D120*N120/1000)</f>
        <v>0</v>
      </c>
      <c r="P120" s="16"/>
      <c r="Q120" s="18"/>
      <c r="R120" s="19">
        <f>(C120*D120*Q120/1000)</f>
        <v>0</v>
      </c>
      <c r="S120" s="20">
        <f>+H120+K120+Q120+N120</f>
        <v>164</v>
      </c>
      <c r="T120" s="19">
        <f>+I120+L120+R120+O120</f>
        <v>9.0883879999999984</v>
      </c>
      <c r="U120" s="21">
        <f>E120-S120</f>
        <v>0</v>
      </c>
      <c r="V120" s="19">
        <f>F120-T120</f>
        <v>0</v>
      </c>
    </row>
    <row r="121" spans="1:22">
      <c r="A121" s="26" t="s">
        <v>14</v>
      </c>
      <c r="B121" s="26" t="s">
        <v>58</v>
      </c>
      <c r="C121" s="30">
        <v>7.34</v>
      </c>
      <c r="D121" s="27">
        <v>10.15</v>
      </c>
      <c r="E121" s="28">
        <v>80</v>
      </c>
      <c r="F121" s="16">
        <f>(C121*D121*E121/1000)</f>
        <v>5.9600799999999996</v>
      </c>
      <c r="G121" s="16" t="s">
        <v>525</v>
      </c>
      <c r="H121" s="18"/>
      <c r="I121" s="19">
        <f>(C121*D121*H121/1000)</f>
        <v>0</v>
      </c>
      <c r="J121" s="16" t="s">
        <v>525</v>
      </c>
      <c r="K121" s="18">
        <f>33+47</f>
        <v>80</v>
      </c>
      <c r="L121" s="19">
        <f>(C121*D121*K121/1000)</f>
        <v>5.9600799999999996</v>
      </c>
      <c r="M121" s="16"/>
      <c r="N121" s="18"/>
      <c r="O121" s="19">
        <f>(C121*D121*N121/1000)</f>
        <v>0</v>
      </c>
      <c r="P121" s="16"/>
      <c r="Q121" s="18"/>
      <c r="R121" s="19">
        <f>(C121*D121*Q121/1000)</f>
        <v>0</v>
      </c>
      <c r="S121" s="20">
        <f>+H121+K121+Q121+N121</f>
        <v>80</v>
      </c>
      <c r="T121" s="19">
        <f>+I121+L121+R121+O121</f>
        <v>5.9600799999999996</v>
      </c>
      <c r="U121" s="21">
        <f>E121-S121</f>
        <v>0</v>
      </c>
      <c r="V121" s="19">
        <f>F121-T121</f>
        <v>0</v>
      </c>
    </row>
    <row r="122" spans="1:22">
      <c r="A122" s="36"/>
      <c r="B122" s="36"/>
      <c r="C122" s="37"/>
      <c r="D122" s="38"/>
      <c r="E122" s="31">
        <f t="shared" ref="E122:F122" si="445">SUM(E120:E121)</f>
        <v>244</v>
      </c>
      <c r="F122" s="38">
        <f t="shared" si="445"/>
        <v>15.048467999999998</v>
      </c>
      <c r="H122" s="31">
        <f t="shared" ref="H122" si="446">SUM(H120:H121)</f>
        <v>80</v>
      </c>
      <c r="I122" s="38">
        <f t="shared" ref="I122" si="447">SUM(I120:I121)</f>
        <v>4.4333599999999995</v>
      </c>
      <c r="K122" s="31">
        <f t="shared" ref="K122" si="448">SUM(K120:K121)</f>
        <v>164</v>
      </c>
      <c r="L122" s="38">
        <f t="shared" ref="L122" si="449">SUM(L120:L121)</f>
        <v>10.615107999999999</v>
      </c>
      <c r="N122" s="31">
        <f t="shared" ref="N122" si="450">SUM(N120:N121)</f>
        <v>0</v>
      </c>
      <c r="O122" s="38">
        <f t="shared" ref="O122" si="451">SUM(O120:O121)</f>
        <v>0</v>
      </c>
      <c r="Q122" s="31">
        <f t="shared" ref="Q122" si="452">SUM(Q120:Q121)</f>
        <v>0</v>
      </c>
      <c r="R122" s="38">
        <f t="shared" ref="R122" si="453">SUM(R120:R121)</f>
        <v>0</v>
      </c>
      <c r="S122" s="31">
        <f t="shared" ref="S122" si="454">SUM(S120:S121)</f>
        <v>244</v>
      </c>
      <c r="T122" s="38">
        <f t="shared" ref="T122" si="455">SUM(T120:T121)</f>
        <v>15.048467999999998</v>
      </c>
      <c r="U122" s="31">
        <f t="shared" ref="U122" si="456">SUM(U120:U121)</f>
        <v>0</v>
      </c>
      <c r="V122" s="38">
        <f t="shared" ref="V122" si="457">SUM(V120:V121)</f>
        <v>0</v>
      </c>
    </row>
    <row r="123" spans="1:22">
      <c r="A123" s="26" t="s">
        <v>14</v>
      </c>
      <c r="B123" s="26" t="s">
        <v>505</v>
      </c>
      <c r="C123" s="30">
        <v>8.49</v>
      </c>
      <c r="D123" s="27">
        <v>7.6</v>
      </c>
      <c r="E123" s="28">
        <v>8</v>
      </c>
      <c r="F123" s="16">
        <f>(C123*D123*E123/1000)</f>
        <v>0.51619199999999998</v>
      </c>
      <c r="G123" s="16" t="s">
        <v>86</v>
      </c>
      <c r="H123" s="18">
        <v>8</v>
      </c>
      <c r="I123" s="19">
        <f>(C123*D123*H123/1000)</f>
        <v>0.51619199999999998</v>
      </c>
      <c r="J123" s="16"/>
      <c r="K123" s="18"/>
      <c r="L123" s="19">
        <f>(C123*D123*K123/1000)</f>
        <v>0</v>
      </c>
      <c r="M123" s="16"/>
      <c r="N123" s="18"/>
      <c r="O123" s="19">
        <f>(C123*D123*N123/1000)</f>
        <v>0</v>
      </c>
      <c r="P123" s="16"/>
      <c r="Q123" s="18"/>
      <c r="R123" s="19">
        <f>(C123*D123*Q123/1000)</f>
        <v>0</v>
      </c>
      <c r="S123" s="20">
        <f>+H123+K123+Q123+N123</f>
        <v>8</v>
      </c>
      <c r="T123" s="19">
        <f>+I123+L123+R123+O123</f>
        <v>0.51619199999999998</v>
      </c>
      <c r="U123" s="21">
        <f>E123-S123</f>
        <v>0</v>
      </c>
      <c r="V123" s="19">
        <f>F123-T123</f>
        <v>0</v>
      </c>
    </row>
    <row r="124" spans="1:22">
      <c r="A124" s="36"/>
      <c r="B124" s="36"/>
      <c r="C124" s="37"/>
      <c r="D124" s="38"/>
      <c r="E124" s="31">
        <f t="shared" ref="E124:F124" si="458">SUM(E123)</f>
        <v>8</v>
      </c>
      <c r="F124" s="38">
        <f t="shared" si="458"/>
        <v>0.51619199999999998</v>
      </c>
      <c r="G124" s="17" t="s">
        <v>529</v>
      </c>
      <c r="H124" s="31">
        <f t="shared" ref="H124" si="459">SUM(H123)</f>
        <v>8</v>
      </c>
      <c r="I124" s="38">
        <f t="shared" ref="I124" si="460">SUM(I123)</f>
        <v>0.51619199999999998</v>
      </c>
      <c r="K124" s="31">
        <f t="shared" ref="K124" si="461">SUM(K123)</f>
        <v>0</v>
      </c>
      <c r="L124" s="38">
        <f t="shared" ref="L124" si="462">SUM(L123)</f>
        <v>0</v>
      </c>
      <c r="N124" s="31">
        <f t="shared" ref="N124" si="463">SUM(N123)</f>
        <v>0</v>
      </c>
      <c r="O124" s="38">
        <f t="shared" ref="O124" si="464">SUM(O123)</f>
        <v>0</v>
      </c>
      <c r="Q124" s="31">
        <f t="shared" ref="Q124" si="465">SUM(Q123)</f>
        <v>0</v>
      </c>
      <c r="R124" s="38">
        <f t="shared" ref="R124" si="466">SUM(R123)</f>
        <v>0</v>
      </c>
      <c r="S124" s="31">
        <f t="shared" ref="S124" si="467">SUM(S123)</f>
        <v>8</v>
      </c>
      <c r="T124" s="38">
        <f t="shared" ref="T124" si="468">SUM(T123)</f>
        <v>0.51619199999999998</v>
      </c>
      <c r="U124" s="31">
        <f t="shared" ref="U124" si="469">SUM(U123)</f>
        <v>0</v>
      </c>
      <c r="V124" s="38">
        <f t="shared" ref="V124" si="470">SUM(V123)</f>
        <v>0</v>
      </c>
    </row>
    <row r="125" spans="1:22">
      <c r="A125" s="26" t="s">
        <v>14</v>
      </c>
      <c r="B125" s="26" t="s">
        <v>26</v>
      </c>
      <c r="C125" s="30">
        <v>8.3000000000000007</v>
      </c>
      <c r="D125" s="27">
        <v>10.199999999999999</v>
      </c>
      <c r="E125" s="28">
        <v>330</v>
      </c>
      <c r="F125" s="16">
        <f>(C125*D125*E125/1000)</f>
        <v>27.937799999999999</v>
      </c>
      <c r="G125" s="17" t="s">
        <v>89</v>
      </c>
      <c r="H125" s="18">
        <v>76</v>
      </c>
      <c r="I125" s="19">
        <f>(C125*D125*H125/1000)</f>
        <v>6.4341599999999994</v>
      </c>
      <c r="J125" s="16" t="s">
        <v>89</v>
      </c>
      <c r="K125" s="18">
        <f>130+106</f>
        <v>236</v>
      </c>
      <c r="L125" s="19">
        <f>(C125*D125*K125/1000)</f>
        <v>19.979759999999999</v>
      </c>
      <c r="M125" s="16" t="s">
        <v>93</v>
      </c>
      <c r="N125" s="18"/>
      <c r="O125" s="19">
        <f>(C125*D125*N125/1000)</f>
        <v>0</v>
      </c>
      <c r="P125" s="16" t="s">
        <v>93</v>
      </c>
      <c r="Q125" s="18"/>
      <c r="R125" s="19">
        <f>(C125*D125*Q125/1000)</f>
        <v>0</v>
      </c>
      <c r="S125" s="20">
        <f>+H125+K125+Q125+N125</f>
        <v>312</v>
      </c>
      <c r="T125" s="19">
        <f>+I125+L125+R125+O125</f>
        <v>26.413919999999997</v>
      </c>
      <c r="U125" s="21">
        <f>E125-S125</f>
        <v>18</v>
      </c>
      <c r="V125" s="19">
        <f>F125-T125</f>
        <v>1.5238800000000019</v>
      </c>
    </row>
    <row r="126" spans="1:22">
      <c r="A126" s="26" t="s">
        <v>14</v>
      </c>
      <c r="B126" s="26" t="s">
        <v>26</v>
      </c>
      <c r="C126" s="30">
        <v>8.3000000000000007</v>
      </c>
      <c r="D126" s="27">
        <v>11.35</v>
      </c>
      <c r="E126" s="28">
        <v>52</v>
      </c>
      <c r="F126" s="16">
        <f t="shared" ref="F126:F129" si="471">(C126*D126*E126/1000)</f>
        <v>4.8986599999999996</v>
      </c>
      <c r="G126" s="17" t="s">
        <v>517</v>
      </c>
      <c r="H126" s="18"/>
      <c r="I126" s="19">
        <f t="shared" ref="I126:I129" si="472">(C126*D126*H126/1000)</f>
        <v>0</v>
      </c>
      <c r="J126" s="16" t="s">
        <v>518</v>
      </c>
      <c r="K126" s="18"/>
      <c r="L126" s="19">
        <f t="shared" ref="L126:L129" si="473">(C126*D126*K126/1000)</f>
        <v>0</v>
      </c>
      <c r="M126" s="16" t="s">
        <v>522</v>
      </c>
      <c r="N126" s="18">
        <v>33</v>
      </c>
      <c r="O126" s="19">
        <f t="shared" ref="O126:O129" si="474">(C126*D126*N126/1000)</f>
        <v>3.108765</v>
      </c>
      <c r="P126" s="16" t="s">
        <v>523</v>
      </c>
      <c r="Q126" s="18">
        <v>32</v>
      </c>
      <c r="R126" s="19">
        <f t="shared" ref="R126:R129" si="475">(C126*D126*Q126/1000)</f>
        <v>3.0145599999999999</v>
      </c>
      <c r="S126" s="20">
        <f t="shared" ref="S126:S129" si="476">+H126+K126+Q126+N126</f>
        <v>65</v>
      </c>
      <c r="T126" s="19">
        <f t="shared" ref="T126:T129" si="477">+I126+L126+R126+O126</f>
        <v>6.1233249999999995</v>
      </c>
      <c r="U126" s="21">
        <f t="shared" ref="U126:U129" si="478">E126-S126</f>
        <v>-13</v>
      </c>
      <c r="V126" s="19">
        <f t="shared" ref="V126:V129" si="479">F126-T126</f>
        <v>-1.2246649999999999</v>
      </c>
    </row>
    <row r="127" spans="1:22">
      <c r="A127" s="26" t="s">
        <v>14</v>
      </c>
      <c r="B127" s="26" t="s">
        <v>26</v>
      </c>
      <c r="C127" s="30">
        <v>8.3000000000000007</v>
      </c>
      <c r="D127" s="27">
        <v>8</v>
      </c>
      <c r="E127" s="28"/>
      <c r="F127" s="16">
        <f t="shared" si="471"/>
        <v>0</v>
      </c>
      <c r="G127" s="17"/>
      <c r="H127" s="18"/>
      <c r="I127" s="19">
        <f t="shared" si="472"/>
        <v>0</v>
      </c>
      <c r="J127" s="16" t="s">
        <v>93</v>
      </c>
      <c r="K127" s="18"/>
      <c r="L127" s="19">
        <f t="shared" si="473"/>
        <v>0</v>
      </c>
      <c r="M127" s="16"/>
      <c r="N127" s="18"/>
      <c r="O127" s="19">
        <f t="shared" si="474"/>
        <v>0</v>
      </c>
      <c r="P127" s="16"/>
      <c r="Q127" s="18">
        <v>1</v>
      </c>
      <c r="R127" s="19">
        <f t="shared" si="475"/>
        <v>6.6400000000000001E-2</v>
      </c>
      <c r="S127" s="20">
        <f t="shared" si="476"/>
        <v>1</v>
      </c>
      <c r="T127" s="19">
        <f t="shared" si="477"/>
        <v>6.6400000000000001E-2</v>
      </c>
      <c r="U127" s="21">
        <f t="shared" si="478"/>
        <v>-1</v>
      </c>
      <c r="V127" s="19">
        <f t="shared" si="479"/>
        <v>-6.6400000000000001E-2</v>
      </c>
    </row>
    <row r="128" spans="1:22">
      <c r="A128" s="26" t="s">
        <v>14</v>
      </c>
      <c r="B128" s="26" t="s">
        <v>26</v>
      </c>
      <c r="C128" s="30">
        <v>8.3000000000000007</v>
      </c>
      <c r="D128" s="27">
        <v>8.6999999999999993</v>
      </c>
      <c r="E128" s="28"/>
      <c r="F128" s="16">
        <f t="shared" si="471"/>
        <v>0</v>
      </c>
      <c r="G128" s="17"/>
      <c r="H128" s="18"/>
      <c r="I128" s="19">
        <f t="shared" si="472"/>
        <v>0</v>
      </c>
      <c r="J128" s="16" t="s">
        <v>518</v>
      </c>
      <c r="K128" s="18"/>
      <c r="L128" s="19">
        <f t="shared" si="473"/>
        <v>0</v>
      </c>
      <c r="M128" s="16"/>
      <c r="N128" s="18"/>
      <c r="O128" s="19">
        <f t="shared" si="474"/>
        <v>0</v>
      </c>
      <c r="P128" s="16"/>
      <c r="Q128" s="18">
        <v>1</v>
      </c>
      <c r="R128" s="19">
        <f t="shared" si="475"/>
        <v>7.2209999999999996E-2</v>
      </c>
      <c r="S128" s="20">
        <f t="shared" si="476"/>
        <v>1</v>
      </c>
      <c r="T128" s="19">
        <f t="shared" si="477"/>
        <v>7.2209999999999996E-2</v>
      </c>
      <c r="U128" s="21">
        <f t="shared" si="478"/>
        <v>-1</v>
      </c>
      <c r="V128" s="19">
        <f t="shared" si="479"/>
        <v>-7.2209999999999996E-2</v>
      </c>
    </row>
    <row r="129" spans="1:22">
      <c r="A129" s="26" t="s">
        <v>14</v>
      </c>
      <c r="B129" s="26" t="s">
        <v>26</v>
      </c>
      <c r="C129" s="30">
        <v>8.3000000000000007</v>
      </c>
      <c r="D129" s="27">
        <v>9</v>
      </c>
      <c r="E129" s="28"/>
      <c r="F129" s="16">
        <f t="shared" si="471"/>
        <v>0</v>
      </c>
      <c r="G129" s="17"/>
      <c r="H129" s="18"/>
      <c r="I129" s="19">
        <f t="shared" si="472"/>
        <v>0</v>
      </c>
      <c r="J129" s="16"/>
      <c r="K129" s="18"/>
      <c r="L129" s="19">
        <f t="shared" si="473"/>
        <v>0</v>
      </c>
      <c r="M129" s="16"/>
      <c r="N129" s="18"/>
      <c r="O129" s="19">
        <f t="shared" si="474"/>
        <v>0</v>
      </c>
      <c r="P129" s="16"/>
      <c r="Q129" s="18">
        <v>1</v>
      </c>
      <c r="R129" s="19">
        <f t="shared" si="475"/>
        <v>7.4700000000000003E-2</v>
      </c>
      <c r="S129" s="20">
        <f t="shared" si="476"/>
        <v>1</v>
      </c>
      <c r="T129" s="19">
        <f t="shared" si="477"/>
        <v>7.4700000000000003E-2</v>
      </c>
      <c r="U129" s="21">
        <f t="shared" si="478"/>
        <v>-1</v>
      </c>
      <c r="V129" s="19">
        <f t="shared" si="479"/>
        <v>-7.4700000000000003E-2</v>
      </c>
    </row>
    <row r="130" spans="1:22">
      <c r="A130" s="26" t="s">
        <v>14</v>
      </c>
      <c r="B130" s="26" t="s">
        <v>26</v>
      </c>
      <c r="C130" s="30">
        <v>8.3000000000000007</v>
      </c>
      <c r="D130" s="27">
        <v>9.8000000000000007</v>
      </c>
      <c r="E130" s="28"/>
      <c r="F130" s="16">
        <f>(C130*D130*E130/1000)</f>
        <v>0</v>
      </c>
      <c r="G130" s="17"/>
      <c r="H130" s="18"/>
      <c r="I130" s="19">
        <f>(C130*D130*H130/1000)</f>
        <v>0</v>
      </c>
      <c r="J130" s="16"/>
      <c r="K130" s="18"/>
      <c r="L130" s="19">
        <f>(C130*D130*K130/1000)</f>
        <v>0</v>
      </c>
      <c r="M130" s="16"/>
      <c r="N130" s="18"/>
      <c r="O130" s="19">
        <f>(C130*D130*N130/1000)</f>
        <v>0</v>
      </c>
      <c r="P130" s="16"/>
      <c r="Q130" s="18">
        <v>3</v>
      </c>
      <c r="R130" s="19">
        <f>(C130*D130*Q130/1000)</f>
        <v>0.24402000000000004</v>
      </c>
      <c r="S130" s="20">
        <f>+H130+K130+Q130+N130</f>
        <v>3</v>
      </c>
      <c r="T130" s="19">
        <f>+I130+L130+R130+O130</f>
        <v>0.24402000000000004</v>
      </c>
      <c r="U130" s="21">
        <f>E130-S130</f>
        <v>-3</v>
      </c>
      <c r="V130" s="19">
        <f>F130-T130</f>
        <v>-0.24402000000000004</v>
      </c>
    </row>
    <row r="131" spans="1:22">
      <c r="A131" s="26" t="s">
        <v>14</v>
      </c>
      <c r="B131" s="26" t="s">
        <v>26</v>
      </c>
      <c r="C131" s="30">
        <v>8.3000000000000007</v>
      </c>
      <c r="D131" s="27">
        <v>10.1</v>
      </c>
      <c r="E131" s="28"/>
      <c r="F131" s="16">
        <f>(C131*D131*E131/1000)</f>
        <v>0</v>
      </c>
      <c r="G131" s="17"/>
      <c r="H131" s="18"/>
      <c r="I131" s="19">
        <f>(C131*D131*H131/1000)</f>
        <v>0</v>
      </c>
      <c r="J131" s="16"/>
      <c r="K131" s="18"/>
      <c r="L131" s="19">
        <f>(C131*D131*K131/1000)</f>
        <v>0</v>
      </c>
      <c r="M131" s="16"/>
      <c r="N131" s="18"/>
      <c r="O131" s="19">
        <f>(C131*D131*N131/1000)</f>
        <v>0</v>
      </c>
      <c r="P131" s="16"/>
      <c r="Q131" s="18">
        <v>2</v>
      </c>
      <c r="R131" s="19">
        <f>(C131*D131*Q131/1000)</f>
        <v>0.16766</v>
      </c>
      <c r="S131" s="20">
        <f>+H131+K131+Q131+N131</f>
        <v>2</v>
      </c>
      <c r="T131" s="19">
        <f>+I131+L131+R131+O131</f>
        <v>0.16766</v>
      </c>
      <c r="U131" s="21">
        <f>E131-S131</f>
        <v>-2</v>
      </c>
      <c r="V131" s="19">
        <f>F131-T131</f>
        <v>-0.16766</v>
      </c>
    </row>
    <row r="132" spans="1:22">
      <c r="A132" s="36"/>
      <c r="B132" s="36"/>
      <c r="C132" s="37"/>
      <c r="D132" s="38"/>
      <c r="E132" s="31">
        <f t="shared" ref="E132:F132" si="480">SUM(E125:E131)</f>
        <v>382</v>
      </c>
      <c r="F132" s="38">
        <f t="shared" si="480"/>
        <v>32.836460000000002</v>
      </c>
      <c r="H132" s="31">
        <f t="shared" ref="H132" si="481">SUM(H125:H131)</f>
        <v>76</v>
      </c>
      <c r="I132" s="38">
        <f t="shared" ref="I132" si="482">SUM(I125:I131)</f>
        <v>6.4341599999999994</v>
      </c>
      <c r="K132" s="31">
        <f t="shared" ref="K132" si="483">SUM(K125:K131)</f>
        <v>236</v>
      </c>
      <c r="L132" s="38">
        <f t="shared" ref="L132" si="484">SUM(L125:L131)</f>
        <v>19.979759999999999</v>
      </c>
      <c r="N132" s="31">
        <f t="shared" ref="N132" si="485">SUM(N125:N131)</f>
        <v>33</v>
      </c>
      <c r="O132" s="38">
        <f t="shared" ref="O132" si="486">SUM(O125:O131)</f>
        <v>3.108765</v>
      </c>
      <c r="Q132" s="31">
        <f t="shared" ref="Q132" si="487">SUM(Q125:Q131)</f>
        <v>40</v>
      </c>
      <c r="R132" s="38">
        <f t="shared" ref="R132" si="488">SUM(R125:R131)</f>
        <v>3.6395499999999998</v>
      </c>
      <c r="S132" s="31">
        <f t="shared" ref="S132" si="489">SUM(S125:S131)</f>
        <v>385</v>
      </c>
      <c r="T132" s="38">
        <f t="shared" ref="T132" si="490">SUM(T125:T131)</f>
        <v>33.162234999999995</v>
      </c>
      <c r="U132" s="31">
        <f t="shared" ref="U132" si="491">SUM(U125:U131)</f>
        <v>-3</v>
      </c>
      <c r="V132" s="38">
        <f t="shared" ref="V132" si="492">SUM(V125:V131)</f>
        <v>-0.32577499999999804</v>
      </c>
    </row>
    <row r="133" spans="1:22">
      <c r="A133" s="26" t="s">
        <v>14</v>
      </c>
      <c r="B133" s="26" t="s">
        <v>37</v>
      </c>
      <c r="C133" s="30">
        <v>9.61</v>
      </c>
      <c r="D133" s="27">
        <v>6.15</v>
      </c>
      <c r="E133" s="28">
        <v>160</v>
      </c>
      <c r="F133" s="16">
        <f>(C133*D133*E133/1000)</f>
        <v>9.4562399999999993</v>
      </c>
      <c r="G133" s="16" t="s">
        <v>89</v>
      </c>
      <c r="H133" s="18">
        <v>84</v>
      </c>
      <c r="I133" s="19">
        <f>(C133*D133*H133/1000)</f>
        <v>4.9645260000000002</v>
      </c>
      <c r="J133" s="16" t="s">
        <v>93</v>
      </c>
      <c r="K133" s="18">
        <v>76</v>
      </c>
      <c r="L133" s="19">
        <f>(C133*D133*K133/1000)</f>
        <v>4.491714</v>
      </c>
      <c r="M133" s="16" t="s">
        <v>93</v>
      </c>
      <c r="N133" s="18"/>
      <c r="O133" s="19">
        <f>(C133*D133*N133/1000)</f>
        <v>0</v>
      </c>
      <c r="P133" s="16"/>
      <c r="Q133" s="18"/>
      <c r="R133" s="19">
        <f>(C133*D133*Q133/1000)</f>
        <v>0</v>
      </c>
      <c r="S133" s="20">
        <f t="shared" ref="S133:T138" si="493">+H133+K133+Q133+N133</f>
        <v>160</v>
      </c>
      <c r="T133" s="19">
        <f t="shared" si="493"/>
        <v>9.4562400000000011</v>
      </c>
      <c r="U133" s="21">
        <f t="shared" ref="U133:V138" si="494">E133-S133</f>
        <v>0</v>
      </c>
      <c r="V133" s="19">
        <f t="shared" si="494"/>
        <v>0</v>
      </c>
    </row>
    <row r="134" spans="1:22">
      <c r="A134" s="26" t="s">
        <v>14</v>
      </c>
      <c r="B134" s="26" t="s">
        <v>37</v>
      </c>
      <c r="C134" s="30">
        <v>9.61</v>
      </c>
      <c r="D134" s="27">
        <v>6.8</v>
      </c>
      <c r="E134" s="28">
        <v>160</v>
      </c>
      <c r="F134" s="16">
        <f>(C134*D134*E134/1000)</f>
        <v>10.455680000000001</v>
      </c>
      <c r="G134" s="16" t="s">
        <v>518</v>
      </c>
      <c r="H134" s="18">
        <v>59</v>
      </c>
      <c r="I134" s="19">
        <f>(C134*D134*H134/1000)</f>
        <v>3.8555320000000002</v>
      </c>
      <c r="J134" s="16" t="s">
        <v>518</v>
      </c>
      <c r="K134" s="18">
        <v>100</v>
      </c>
      <c r="L134" s="19">
        <f>(C134*D134*K134/1000)</f>
        <v>6.5348000000000006</v>
      </c>
      <c r="M134" s="16" t="s">
        <v>523</v>
      </c>
      <c r="N134" s="18"/>
      <c r="O134" s="19">
        <f>(C134*D134*N134/1000)</f>
        <v>0</v>
      </c>
      <c r="P134" s="16"/>
      <c r="Q134" s="18"/>
      <c r="R134" s="19">
        <f>(C134*D134*Q134/1000)</f>
        <v>0</v>
      </c>
      <c r="S134" s="20">
        <f t="shared" si="493"/>
        <v>159</v>
      </c>
      <c r="T134" s="19">
        <f t="shared" si="493"/>
        <v>10.390332000000001</v>
      </c>
      <c r="U134" s="21">
        <f t="shared" si="494"/>
        <v>1</v>
      </c>
      <c r="V134" s="19">
        <f t="shared" si="494"/>
        <v>6.5348000000000184E-2</v>
      </c>
    </row>
    <row r="135" spans="1:22">
      <c r="A135" s="26" t="s">
        <v>14</v>
      </c>
      <c r="B135" s="26" t="s">
        <v>37</v>
      </c>
      <c r="C135" s="30">
        <v>9.61</v>
      </c>
      <c r="D135" s="27">
        <v>8</v>
      </c>
      <c r="E135" s="28">
        <v>52</v>
      </c>
      <c r="F135" s="16">
        <f>(C135*D135*E135/1000)</f>
        <v>3.99776</v>
      </c>
      <c r="G135" s="17"/>
      <c r="H135" s="18"/>
      <c r="I135" s="19">
        <f>(C135*D135*H135/1000)</f>
        <v>0</v>
      </c>
      <c r="J135" s="16"/>
      <c r="K135" s="18">
        <v>49</v>
      </c>
      <c r="L135" s="19">
        <f>(C135*D135*K135/1000)</f>
        <v>3.7671199999999998</v>
      </c>
      <c r="M135" s="16"/>
      <c r="N135" s="18"/>
      <c r="O135" s="19">
        <f>(C135*D135*N135/1000)</f>
        <v>0</v>
      </c>
      <c r="P135" s="16"/>
      <c r="Q135" s="18"/>
      <c r="R135" s="19">
        <f>(C135*D135*Q135/1000)</f>
        <v>0</v>
      </c>
      <c r="S135" s="20">
        <f t="shared" si="493"/>
        <v>49</v>
      </c>
      <c r="T135" s="19">
        <f t="shared" si="493"/>
        <v>3.7671199999999998</v>
      </c>
      <c r="U135" s="21">
        <f t="shared" si="494"/>
        <v>3</v>
      </c>
      <c r="V135" s="19">
        <f t="shared" si="494"/>
        <v>0.23064000000000018</v>
      </c>
    </row>
    <row r="136" spans="1:22">
      <c r="A136" s="26" t="s">
        <v>14</v>
      </c>
      <c r="B136" s="26" t="s">
        <v>37</v>
      </c>
      <c r="C136" s="30">
        <v>9.61</v>
      </c>
      <c r="D136" s="27">
        <v>12</v>
      </c>
      <c r="E136" s="28">
        <v>32</v>
      </c>
      <c r="F136" s="16">
        <f t="shared" ref="F136:F137" si="495">(C136*D136*E136/1000)</f>
        <v>3.6902399999999997</v>
      </c>
      <c r="G136" s="17"/>
      <c r="H136" s="18">
        <v>15</v>
      </c>
      <c r="I136" s="19">
        <f t="shared" ref="I136:I137" si="496">(C136*D136*H136/1000)</f>
        <v>1.7298</v>
      </c>
      <c r="J136" s="16"/>
      <c r="K136" s="18"/>
      <c r="L136" s="19">
        <f t="shared" ref="L136:L137" si="497">(C136*D136*K136/1000)</f>
        <v>0</v>
      </c>
      <c r="M136" s="16"/>
      <c r="N136" s="18">
        <v>19</v>
      </c>
      <c r="O136" s="19">
        <f t="shared" ref="O136:O137" si="498">(C136*D136*N136/1000)</f>
        <v>2.1910799999999999</v>
      </c>
      <c r="P136" s="16"/>
      <c r="Q136" s="18"/>
      <c r="R136" s="19">
        <f t="shared" ref="R136:R137" si="499">(C136*D136*Q136/1000)</f>
        <v>0</v>
      </c>
      <c r="S136" s="20">
        <f t="shared" ref="S136:S137" si="500">+H136+K136+Q136+N136</f>
        <v>34</v>
      </c>
      <c r="T136" s="19">
        <f t="shared" ref="T136:T137" si="501">+I136+L136+R136+O136</f>
        <v>3.9208799999999999</v>
      </c>
      <c r="U136" s="21">
        <f t="shared" ref="U136:U137" si="502">E136-S136</f>
        <v>-2</v>
      </c>
      <c r="V136" s="19">
        <f t="shared" ref="V136:V137" si="503">F136-T136</f>
        <v>-0.23064000000000018</v>
      </c>
    </row>
    <row r="137" spans="1:22">
      <c r="A137" s="26" t="s">
        <v>14</v>
      </c>
      <c r="B137" s="26" t="s">
        <v>37</v>
      </c>
      <c r="C137" s="30">
        <v>9.61</v>
      </c>
      <c r="D137" s="27">
        <v>11.9</v>
      </c>
      <c r="E137" s="28"/>
      <c r="F137" s="16">
        <f t="shared" si="495"/>
        <v>0</v>
      </c>
      <c r="G137" s="17"/>
      <c r="H137" s="18"/>
      <c r="I137" s="19">
        <f t="shared" si="496"/>
        <v>0</v>
      </c>
      <c r="J137" s="16"/>
      <c r="K137" s="18"/>
      <c r="L137" s="19">
        <f t="shared" si="497"/>
        <v>0</v>
      </c>
      <c r="M137" s="16"/>
      <c r="N137" s="18">
        <v>1</v>
      </c>
      <c r="O137" s="19">
        <f t="shared" si="498"/>
        <v>0.11435899999999999</v>
      </c>
      <c r="P137" s="16"/>
      <c r="Q137" s="18"/>
      <c r="R137" s="19">
        <f t="shared" si="499"/>
        <v>0</v>
      </c>
      <c r="S137" s="20">
        <f t="shared" si="500"/>
        <v>1</v>
      </c>
      <c r="T137" s="19">
        <f t="shared" si="501"/>
        <v>0.11435899999999999</v>
      </c>
      <c r="U137" s="21">
        <f t="shared" si="502"/>
        <v>-1</v>
      </c>
      <c r="V137" s="19">
        <f t="shared" si="503"/>
        <v>-0.11435899999999999</v>
      </c>
    </row>
    <row r="138" spans="1:22">
      <c r="A138" s="26" t="s">
        <v>14</v>
      </c>
      <c r="B138" s="26" t="s">
        <v>37</v>
      </c>
      <c r="C138" s="30">
        <v>9.61</v>
      </c>
      <c r="D138" s="27">
        <v>9.8000000000000007</v>
      </c>
      <c r="E138" s="28"/>
      <c r="F138" s="16">
        <f>(C138*D138*E138/1000)</f>
        <v>0</v>
      </c>
      <c r="G138" s="17"/>
      <c r="H138" s="18"/>
      <c r="I138" s="19">
        <f>(C138*D138*H138/1000)</f>
        <v>0</v>
      </c>
      <c r="J138" s="16"/>
      <c r="K138" s="18"/>
      <c r="L138" s="19">
        <f>(C138*D138*K138/1000)</f>
        <v>0</v>
      </c>
      <c r="M138" s="16"/>
      <c r="N138" s="18">
        <v>1</v>
      </c>
      <c r="O138" s="19">
        <f>(C138*D138*N138/1000)</f>
        <v>9.4177999999999998E-2</v>
      </c>
      <c r="P138" s="16"/>
      <c r="Q138" s="18"/>
      <c r="R138" s="19">
        <f>(C138*D138*Q138/1000)</f>
        <v>0</v>
      </c>
      <c r="S138" s="20">
        <f t="shared" si="493"/>
        <v>1</v>
      </c>
      <c r="T138" s="19">
        <f t="shared" si="493"/>
        <v>9.4177999999999998E-2</v>
      </c>
      <c r="U138" s="21">
        <f t="shared" si="494"/>
        <v>-1</v>
      </c>
      <c r="V138" s="19">
        <f t="shared" si="494"/>
        <v>-9.4177999999999998E-2</v>
      </c>
    </row>
    <row r="139" spans="1:22">
      <c r="A139" s="36"/>
      <c r="B139" s="36"/>
      <c r="C139" s="37"/>
      <c r="D139" s="38"/>
      <c r="E139" s="31">
        <f t="shared" ref="E139:F139" si="504">SUM(E133:E138)</f>
        <v>404</v>
      </c>
      <c r="F139" s="38">
        <f t="shared" si="504"/>
        <v>27.599920000000001</v>
      </c>
      <c r="H139" s="31">
        <f t="shared" ref="H139" si="505">SUM(H133:H138)</f>
        <v>158</v>
      </c>
      <c r="I139" s="38">
        <f t="shared" ref="I139" si="506">SUM(I133:I138)</f>
        <v>10.549858</v>
      </c>
      <c r="K139" s="31">
        <f t="shared" ref="K139" si="507">SUM(K133:K138)</f>
        <v>225</v>
      </c>
      <c r="L139" s="38">
        <f t="shared" ref="L139" si="508">SUM(L133:L138)</f>
        <v>14.793634000000001</v>
      </c>
      <c r="N139" s="31">
        <f t="shared" ref="N139" si="509">SUM(N133:N138)</f>
        <v>21</v>
      </c>
      <c r="O139" s="38">
        <f t="shared" ref="O139" si="510">SUM(O133:O138)</f>
        <v>2.3996169999999997</v>
      </c>
      <c r="Q139" s="31">
        <f t="shared" ref="Q139" si="511">SUM(Q133:Q138)</f>
        <v>0</v>
      </c>
      <c r="R139" s="38">
        <f t="shared" ref="R139" si="512">SUM(R133:R138)</f>
        <v>0</v>
      </c>
      <c r="S139" s="31">
        <f t="shared" ref="S139" si="513">SUM(S133:S138)</f>
        <v>404</v>
      </c>
      <c r="T139" s="38">
        <f t="shared" ref="T139" si="514">SUM(T133:T138)</f>
        <v>27.743109</v>
      </c>
      <c r="U139" s="31">
        <f t="shared" ref="U139" si="515">SUM(U133:U138)</f>
        <v>0</v>
      </c>
      <c r="V139" s="38">
        <f t="shared" ref="V139" si="516">SUM(V133:V138)</f>
        <v>-0.14318899999999979</v>
      </c>
    </row>
    <row r="140" spans="1:22">
      <c r="A140" s="33"/>
      <c r="B140" s="33"/>
      <c r="C140" s="34"/>
      <c r="D140" s="34"/>
      <c r="E140" s="34">
        <f>SUM(E6:E139)/2</f>
        <v>9326</v>
      </c>
      <c r="F140" s="35">
        <f>SUM(F6:F139)/2</f>
        <v>1234.3160949999995</v>
      </c>
      <c r="H140" s="34">
        <f>SUM(H6:H139)/2</f>
        <v>4595</v>
      </c>
      <c r="I140" s="35">
        <f>SUM(I6:I139)/2</f>
        <v>590.51422750000052</v>
      </c>
      <c r="K140" s="34">
        <f>SUM(K6:K139)/2</f>
        <v>2972</v>
      </c>
      <c r="L140" s="35">
        <f>SUM(L6:L139)/2</f>
        <v>381.44941150000011</v>
      </c>
      <c r="N140" s="34">
        <f>SUM(N6:N139)/2</f>
        <v>1271</v>
      </c>
      <c r="O140" s="35">
        <f>SUM(O6:O139)/2</f>
        <v>165.39960199999999</v>
      </c>
      <c r="Q140" s="34">
        <f t="shared" ref="Q140:V140" si="517">SUM(Q6:Q139)/2</f>
        <v>506</v>
      </c>
      <c r="R140" s="35">
        <f t="shared" si="517"/>
        <v>99.057850999999999</v>
      </c>
      <c r="S140" s="34">
        <f t="shared" si="517"/>
        <v>9344</v>
      </c>
      <c r="T140" s="35">
        <f t="shared" si="517"/>
        <v>1236.4210919999996</v>
      </c>
      <c r="U140" s="34">
        <f t="shared" si="517"/>
        <v>-18</v>
      </c>
      <c r="V140" s="35">
        <f t="shared" si="517"/>
        <v>-2.104997000000004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V219"/>
  <sheetViews>
    <sheetView zoomScale="75" zoomScaleNormal="75" workbookViewId="0">
      <pane ySplit="5" topLeftCell="A6" activePane="bottomLeft" state="frozen"/>
      <selection pane="bottomLeft" activeCell="P116" sqref="P116:P11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LOI-1049  02.11.23</v>
      </c>
      <c r="D1" s="1"/>
      <c r="E1" s="2"/>
      <c r="F1" s="2"/>
      <c r="G1" s="143" t="s">
        <v>500</v>
      </c>
      <c r="H1" s="144"/>
      <c r="I1" s="145" t="s">
        <v>501</v>
      </c>
      <c r="J1" s="144"/>
      <c r="K1" s="3"/>
      <c r="L1" s="4"/>
      <c r="M1" s="4"/>
      <c r="N1" s="3"/>
      <c r="O1" s="4"/>
      <c r="P1" s="146" t="str">
        <f>+F2</f>
        <v>LOI-1049  02.11.23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502</v>
      </c>
      <c r="B2" s="8"/>
      <c r="C2" s="9"/>
      <c r="D2" s="9"/>
      <c r="E2" s="10"/>
      <c r="F2" s="146" t="s">
        <v>510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LOI-1049  02.11.23</v>
      </c>
      <c r="V2" s="146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 hidden="1">
      <c r="A6" s="26" t="s">
        <v>13</v>
      </c>
      <c r="B6" s="26" t="s">
        <v>45</v>
      </c>
      <c r="C6" s="30">
        <v>9.26</v>
      </c>
      <c r="D6" s="27">
        <v>10.3</v>
      </c>
      <c r="E6" s="28">
        <v>194</v>
      </c>
      <c r="F6" s="16">
        <f t="shared" ref="F6:F7" si="0">(C6*D6*E6/1000)</f>
        <v>18.503331999999997</v>
      </c>
      <c r="G6" s="17" t="s">
        <v>455</v>
      </c>
      <c r="H6" s="18">
        <v>46</v>
      </c>
      <c r="I6" s="19">
        <f t="shared" ref="I6:I7" si="1">(C6*D6*H6/1000)</f>
        <v>4.3873879999999996</v>
      </c>
      <c r="J6" s="16" t="s">
        <v>318</v>
      </c>
      <c r="K6" s="18">
        <v>86</v>
      </c>
      <c r="L6" s="19">
        <f t="shared" ref="L6:L7" si="2">(C6*D6*K6/1000)</f>
        <v>8.2025079999999999</v>
      </c>
      <c r="M6" s="16" t="s">
        <v>86</v>
      </c>
      <c r="N6" s="18">
        <v>51</v>
      </c>
      <c r="O6" s="19">
        <f t="shared" ref="O6:O7" si="3">(C6*D6*N6/1000)</f>
        <v>4.8642780000000005</v>
      </c>
      <c r="P6" s="16" t="s">
        <v>111</v>
      </c>
      <c r="Q6" s="18">
        <v>4</v>
      </c>
      <c r="R6" s="19">
        <f t="shared" ref="R6:R7" si="4">(C6*D6*Q6/1000)</f>
        <v>0.38151200000000002</v>
      </c>
      <c r="S6" s="20">
        <f t="shared" ref="S6:S7" si="5">+H6+K6+Q6+N6</f>
        <v>187</v>
      </c>
      <c r="T6" s="19">
        <f t="shared" ref="T6:T7" si="6">+I6+L6+R6+O6</f>
        <v>17.835686000000003</v>
      </c>
      <c r="U6" s="21">
        <f t="shared" ref="U6:U7" si="7">E6-S6</f>
        <v>7</v>
      </c>
      <c r="V6" s="19">
        <f t="shared" ref="V6:V7" si="8">F6-T6</f>
        <v>0.66764599999999419</v>
      </c>
    </row>
    <row r="7" spans="1:22" hidden="1">
      <c r="A7" s="26" t="s">
        <v>13</v>
      </c>
      <c r="B7" s="26" t="s">
        <v>45</v>
      </c>
      <c r="C7" s="30">
        <v>9.26</v>
      </c>
      <c r="D7" s="27">
        <v>11.3</v>
      </c>
      <c r="E7" s="28">
        <v>39</v>
      </c>
      <c r="F7" s="16">
        <f t="shared" si="0"/>
        <v>4.0808819999999999</v>
      </c>
      <c r="G7" s="17" t="s">
        <v>548</v>
      </c>
      <c r="H7" s="18">
        <v>15</v>
      </c>
      <c r="I7" s="19">
        <f t="shared" si="1"/>
        <v>1.5695700000000001</v>
      </c>
      <c r="J7" s="16" t="s">
        <v>550</v>
      </c>
      <c r="K7" s="18"/>
      <c r="L7" s="19">
        <f t="shared" si="2"/>
        <v>0</v>
      </c>
      <c r="M7" s="16" t="s">
        <v>550</v>
      </c>
      <c r="N7" s="18">
        <v>31</v>
      </c>
      <c r="O7" s="19">
        <f t="shared" si="3"/>
        <v>3.2437780000000003</v>
      </c>
      <c r="P7" s="16" t="s">
        <v>577</v>
      </c>
      <c r="Q7" s="18"/>
      <c r="R7" s="19">
        <f t="shared" si="4"/>
        <v>0</v>
      </c>
      <c r="S7" s="20">
        <f t="shared" si="5"/>
        <v>46</v>
      </c>
      <c r="T7" s="19">
        <f t="shared" si="6"/>
        <v>4.8133480000000004</v>
      </c>
      <c r="U7" s="21">
        <f t="shared" si="7"/>
        <v>-7</v>
      </c>
      <c r="V7" s="19">
        <f t="shared" si="8"/>
        <v>-0.73246600000000051</v>
      </c>
    </row>
    <row r="8" spans="1:22" hidden="1">
      <c r="A8" s="26" t="s">
        <v>13</v>
      </c>
      <c r="B8" s="26" t="s">
        <v>45</v>
      </c>
      <c r="C8" s="30">
        <v>9.26</v>
      </c>
      <c r="D8" s="27">
        <v>11.8</v>
      </c>
      <c r="E8" s="28">
        <v>388</v>
      </c>
      <c r="F8" s="16">
        <f t="shared" ref="F8:F16" si="9">(C8*D8*E8/1000)</f>
        <v>42.395983999999999</v>
      </c>
      <c r="G8" s="17"/>
      <c r="H8" s="18">
        <v>91</v>
      </c>
      <c r="I8" s="19">
        <f t="shared" ref="I8:I16" si="10">(C8*D8*H8/1000)</f>
        <v>9.9433880000000006</v>
      </c>
      <c r="J8" s="16"/>
      <c r="K8" s="18">
        <f t="shared" ref="K8" si="11">45+175</f>
        <v>220</v>
      </c>
      <c r="L8" s="19">
        <f t="shared" ref="L8" si="12">(C8*D8*K8/1000)</f>
        <v>24.038959999999999</v>
      </c>
      <c r="M8" s="16" t="s">
        <v>293</v>
      </c>
      <c r="N8" s="18">
        <f t="shared" ref="N8" si="13">26+33</f>
        <v>59</v>
      </c>
      <c r="O8" s="19">
        <f t="shared" ref="O8:O16" si="14">(C8*D8*N8/1000)</f>
        <v>6.4468119999999995</v>
      </c>
      <c r="P8" s="16"/>
      <c r="Q8" s="18"/>
      <c r="R8" s="19">
        <f t="shared" ref="R8:R16" si="15">(C8*D8*Q8/1000)</f>
        <v>0</v>
      </c>
      <c r="S8" s="20">
        <f t="shared" ref="S8:S16" si="16">+H8+K8+Q8+N8</f>
        <v>370</v>
      </c>
      <c r="T8" s="19">
        <f t="shared" ref="T8:T16" si="17">+I8+L8+R8+O8</f>
        <v>40.429160000000003</v>
      </c>
      <c r="U8" s="21">
        <f t="shared" ref="U8:U16" si="18">E8-S8</f>
        <v>18</v>
      </c>
      <c r="V8" s="19">
        <f t="shared" ref="V8:V16" si="19">F8-T8</f>
        <v>1.9668239999999955</v>
      </c>
    </row>
    <row r="9" spans="1:22" hidden="1">
      <c r="A9" s="26" t="s">
        <v>13</v>
      </c>
      <c r="B9" s="26" t="s">
        <v>45</v>
      </c>
      <c r="C9" s="30">
        <v>9.26</v>
      </c>
      <c r="D9" s="27">
        <v>8.5</v>
      </c>
      <c r="E9" s="28"/>
      <c r="F9" s="16">
        <f t="shared" si="9"/>
        <v>0</v>
      </c>
      <c r="G9" s="17"/>
      <c r="H9" s="18"/>
      <c r="I9" s="19">
        <f t="shared" si="10"/>
        <v>0</v>
      </c>
      <c r="J9" s="16"/>
      <c r="K9" s="18"/>
      <c r="L9" s="19"/>
      <c r="M9" s="16" t="s">
        <v>553</v>
      </c>
      <c r="N9" s="18"/>
      <c r="O9" s="19">
        <f t="shared" si="14"/>
        <v>0</v>
      </c>
      <c r="P9" s="16"/>
      <c r="Q9" s="18">
        <v>2</v>
      </c>
      <c r="R9" s="19">
        <f t="shared" si="15"/>
        <v>0.15741999999999998</v>
      </c>
      <c r="S9" s="20">
        <f t="shared" si="16"/>
        <v>2</v>
      </c>
      <c r="T9" s="19">
        <f t="shared" si="17"/>
        <v>0.15741999999999998</v>
      </c>
      <c r="U9" s="21">
        <f t="shared" si="18"/>
        <v>-2</v>
      </c>
      <c r="V9" s="19">
        <f t="shared" si="19"/>
        <v>-0.15741999999999998</v>
      </c>
    </row>
    <row r="10" spans="1:22" hidden="1">
      <c r="A10" s="26" t="s">
        <v>13</v>
      </c>
      <c r="B10" s="26" t="s">
        <v>45</v>
      </c>
      <c r="C10" s="30">
        <v>9.26</v>
      </c>
      <c r="D10" s="27">
        <v>9.3000000000000007</v>
      </c>
      <c r="E10" s="28"/>
      <c r="F10" s="16">
        <f t="shared" si="9"/>
        <v>0</v>
      </c>
      <c r="G10" s="17"/>
      <c r="H10" s="18"/>
      <c r="I10" s="19">
        <f t="shared" si="10"/>
        <v>0</v>
      </c>
      <c r="J10" s="16"/>
      <c r="K10" s="18"/>
      <c r="L10" s="19"/>
      <c r="M10" s="16"/>
      <c r="N10" s="18"/>
      <c r="O10" s="19">
        <f t="shared" si="14"/>
        <v>0</v>
      </c>
      <c r="P10" s="16"/>
      <c r="Q10" s="18">
        <v>3</v>
      </c>
      <c r="R10" s="19">
        <f t="shared" si="15"/>
        <v>0.25835400000000003</v>
      </c>
      <c r="S10" s="20">
        <f t="shared" si="16"/>
        <v>3</v>
      </c>
      <c r="T10" s="19">
        <f t="shared" si="17"/>
        <v>0.25835400000000003</v>
      </c>
      <c r="U10" s="21">
        <f t="shared" si="18"/>
        <v>-3</v>
      </c>
      <c r="V10" s="19">
        <f t="shared" si="19"/>
        <v>-0.25835400000000003</v>
      </c>
    </row>
    <row r="11" spans="1:22" hidden="1">
      <c r="A11" s="26" t="s">
        <v>13</v>
      </c>
      <c r="B11" s="26" t="s">
        <v>45</v>
      </c>
      <c r="C11" s="30">
        <v>9.26</v>
      </c>
      <c r="D11" s="27">
        <v>10</v>
      </c>
      <c r="E11" s="28"/>
      <c r="F11" s="16">
        <f t="shared" si="9"/>
        <v>0</v>
      </c>
      <c r="G11" s="17"/>
      <c r="H11" s="18"/>
      <c r="I11" s="19">
        <f t="shared" si="10"/>
        <v>0</v>
      </c>
      <c r="J11" s="16"/>
      <c r="K11" s="18"/>
      <c r="L11" s="19"/>
      <c r="M11" s="16"/>
      <c r="N11" s="18"/>
      <c r="O11" s="19">
        <f t="shared" si="14"/>
        <v>0</v>
      </c>
      <c r="P11" s="16"/>
      <c r="Q11" s="18">
        <v>7</v>
      </c>
      <c r="R11" s="19">
        <f t="shared" si="15"/>
        <v>0.64819999999999989</v>
      </c>
      <c r="S11" s="20">
        <f t="shared" si="16"/>
        <v>7</v>
      </c>
      <c r="T11" s="19">
        <f t="shared" si="17"/>
        <v>0.64819999999999989</v>
      </c>
      <c r="U11" s="21">
        <f t="shared" si="18"/>
        <v>-7</v>
      </c>
      <c r="V11" s="19">
        <f t="shared" si="19"/>
        <v>-0.64819999999999989</v>
      </c>
    </row>
    <row r="12" spans="1:22" hidden="1">
      <c r="A12" s="26" t="s">
        <v>13</v>
      </c>
      <c r="B12" s="26" t="s">
        <v>45</v>
      </c>
      <c r="C12" s="30">
        <v>9.26</v>
      </c>
      <c r="D12" s="27">
        <v>10.9</v>
      </c>
      <c r="E12" s="28"/>
      <c r="F12" s="16">
        <f t="shared" si="9"/>
        <v>0</v>
      </c>
      <c r="G12" s="17"/>
      <c r="H12" s="18"/>
      <c r="I12" s="19">
        <f t="shared" si="10"/>
        <v>0</v>
      </c>
      <c r="J12" s="16"/>
      <c r="K12" s="18"/>
      <c r="L12" s="19"/>
      <c r="M12" s="16"/>
      <c r="N12" s="18"/>
      <c r="O12" s="19">
        <f t="shared" si="14"/>
        <v>0</v>
      </c>
      <c r="P12" s="16"/>
      <c r="Q12" s="18">
        <v>2</v>
      </c>
      <c r="R12" s="19">
        <f t="shared" si="15"/>
        <v>0.20186799999999999</v>
      </c>
      <c r="S12" s="20">
        <f t="shared" si="16"/>
        <v>2</v>
      </c>
      <c r="T12" s="19">
        <f t="shared" si="17"/>
        <v>0.20186799999999999</v>
      </c>
      <c r="U12" s="21">
        <f t="shared" si="18"/>
        <v>-2</v>
      </c>
      <c r="V12" s="19">
        <f t="shared" si="19"/>
        <v>-0.20186799999999999</v>
      </c>
    </row>
    <row r="13" spans="1:22" hidden="1">
      <c r="A13" s="26" t="s">
        <v>13</v>
      </c>
      <c r="B13" s="26" t="s">
        <v>45</v>
      </c>
      <c r="C13" s="30">
        <v>9.26</v>
      </c>
      <c r="D13" s="27">
        <v>11</v>
      </c>
      <c r="E13" s="28"/>
      <c r="F13" s="16">
        <f t="shared" si="9"/>
        <v>0</v>
      </c>
      <c r="G13" s="17"/>
      <c r="H13" s="18"/>
      <c r="I13" s="19">
        <f t="shared" si="10"/>
        <v>0</v>
      </c>
      <c r="J13" s="16"/>
      <c r="K13" s="18"/>
      <c r="L13" s="19"/>
      <c r="M13" s="16"/>
      <c r="N13" s="18"/>
      <c r="O13" s="19">
        <f t="shared" si="14"/>
        <v>0</v>
      </c>
      <c r="P13" s="16"/>
      <c r="Q13" s="18">
        <v>9</v>
      </c>
      <c r="R13" s="19">
        <f t="shared" si="15"/>
        <v>0.91674</v>
      </c>
      <c r="S13" s="20">
        <f t="shared" si="16"/>
        <v>9</v>
      </c>
      <c r="T13" s="19">
        <f t="shared" si="17"/>
        <v>0.91674</v>
      </c>
      <c r="U13" s="21">
        <f t="shared" si="18"/>
        <v>-9</v>
      </c>
      <c r="V13" s="19">
        <f t="shared" si="19"/>
        <v>-0.91674</v>
      </c>
    </row>
    <row r="14" spans="1:22" hidden="1">
      <c r="A14" s="26" t="s">
        <v>13</v>
      </c>
      <c r="B14" s="26" t="s">
        <v>45</v>
      </c>
      <c r="C14" s="30">
        <v>9.26</v>
      </c>
      <c r="D14" s="27">
        <v>9.8000000000000007</v>
      </c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/>
      <c r="L14" s="19"/>
      <c r="M14" s="16"/>
      <c r="N14" s="18"/>
      <c r="O14" s="19">
        <f t="shared" si="14"/>
        <v>0</v>
      </c>
      <c r="P14" s="16"/>
      <c r="Q14" s="18">
        <v>4</v>
      </c>
      <c r="R14" s="19">
        <f t="shared" si="15"/>
        <v>0.36299200000000004</v>
      </c>
      <c r="S14" s="20">
        <f t="shared" si="16"/>
        <v>4</v>
      </c>
      <c r="T14" s="19">
        <f t="shared" si="17"/>
        <v>0.36299200000000004</v>
      </c>
      <c r="U14" s="21">
        <f t="shared" si="18"/>
        <v>-4</v>
      </c>
      <c r="V14" s="19">
        <f t="shared" si="19"/>
        <v>-0.36299200000000004</v>
      </c>
    </row>
    <row r="15" spans="1:22" hidden="1">
      <c r="A15" s="26" t="s">
        <v>13</v>
      </c>
      <c r="B15" s="26" t="s">
        <v>45</v>
      </c>
      <c r="C15" s="30">
        <v>9.26</v>
      </c>
      <c r="D15" s="27">
        <v>9</v>
      </c>
      <c r="E15" s="28"/>
      <c r="F15" s="16">
        <f t="shared" si="9"/>
        <v>0</v>
      </c>
      <c r="G15" s="17"/>
      <c r="H15" s="18"/>
      <c r="I15" s="19">
        <f t="shared" si="10"/>
        <v>0</v>
      </c>
      <c r="J15" s="16"/>
      <c r="K15" s="18"/>
      <c r="L15" s="19"/>
      <c r="M15" s="16"/>
      <c r="N15" s="18"/>
      <c r="O15" s="19">
        <f t="shared" si="14"/>
        <v>0</v>
      </c>
      <c r="P15" s="16"/>
      <c r="Q15" s="18">
        <v>1</v>
      </c>
      <c r="R15" s="19">
        <f t="shared" si="15"/>
        <v>8.3339999999999997E-2</v>
      </c>
      <c r="S15" s="20">
        <f t="shared" si="16"/>
        <v>1</v>
      </c>
      <c r="T15" s="19">
        <f t="shared" si="17"/>
        <v>8.3339999999999997E-2</v>
      </c>
      <c r="U15" s="21">
        <f t="shared" si="18"/>
        <v>-1</v>
      </c>
      <c r="V15" s="19">
        <f t="shared" si="19"/>
        <v>-8.3339999999999997E-2</v>
      </c>
    </row>
    <row r="16" spans="1:22" hidden="1">
      <c r="A16" s="26" t="s">
        <v>13</v>
      </c>
      <c r="B16" s="26" t="s">
        <v>45</v>
      </c>
      <c r="C16" s="30">
        <v>9.26</v>
      </c>
      <c r="D16" s="27"/>
      <c r="E16" s="28"/>
      <c r="F16" s="16">
        <f t="shared" si="9"/>
        <v>0</v>
      </c>
      <c r="G16" s="17"/>
      <c r="H16" s="18"/>
      <c r="I16" s="19">
        <f t="shared" si="10"/>
        <v>0</v>
      </c>
      <c r="J16" s="16"/>
      <c r="K16" s="18"/>
      <c r="L16" s="19"/>
      <c r="M16" s="16"/>
      <c r="N16" s="18"/>
      <c r="O16" s="19">
        <f t="shared" si="14"/>
        <v>0</v>
      </c>
      <c r="P16" s="16"/>
      <c r="Q16" s="18"/>
      <c r="R16" s="19">
        <f t="shared" si="15"/>
        <v>0</v>
      </c>
      <c r="S16" s="20">
        <f t="shared" si="16"/>
        <v>0</v>
      </c>
      <c r="T16" s="19">
        <f t="shared" si="17"/>
        <v>0</v>
      </c>
      <c r="U16" s="21">
        <f t="shared" si="18"/>
        <v>0</v>
      </c>
      <c r="V16" s="19">
        <f t="shared" si="19"/>
        <v>0</v>
      </c>
    </row>
    <row r="17" spans="1:22" hidden="1">
      <c r="A17" s="36"/>
      <c r="B17" s="36"/>
      <c r="C17" s="37"/>
      <c r="D17" s="38"/>
      <c r="E17" s="31">
        <f>SUM(E6:E16)</f>
        <v>621</v>
      </c>
      <c r="F17" s="38">
        <f>SUM(F6:F16)</f>
        <v>64.980198000000001</v>
      </c>
      <c r="G17" s="17"/>
      <c r="H17" s="31">
        <f>SUM(H6:H16)</f>
        <v>152</v>
      </c>
      <c r="I17" s="38">
        <f>SUM(I6:I16)</f>
        <v>15.900346000000001</v>
      </c>
      <c r="J17" s="16"/>
      <c r="K17" s="31">
        <f>SUM(K6:K16)</f>
        <v>306</v>
      </c>
      <c r="L17" s="38">
        <f>SUM(L6:L16)</f>
        <v>32.241467999999998</v>
      </c>
      <c r="M17" s="16" t="s">
        <v>553</v>
      </c>
      <c r="N17" s="31">
        <f>SUM(N6:N16)</f>
        <v>141</v>
      </c>
      <c r="O17" s="38">
        <f>SUM(O6:O16)</f>
        <v>14.554868000000001</v>
      </c>
      <c r="P17" s="16"/>
      <c r="Q17" s="31">
        <f t="shared" ref="Q17:V17" si="20">SUM(Q6:Q16)</f>
        <v>32</v>
      </c>
      <c r="R17" s="38">
        <f t="shared" si="20"/>
        <v>3.0104260000000003</v>
      </c>
      <c r="S17" s="31">
        <f t="shared" si="20"/>
        <v>631</v>
      </c>
      <c r="T17" s="38">
        <f t="shared" si="20"/>
        <v>65.707108000000034</v>
      </c>
      <c r="U17" s="31">
        <f t="shared" si="20"/>
        <v>-10</v>
      </c>
      <c r="V17" s="141">
        <f t="shared" si="20"/>
        <v>-0.7269100000000106</v>
      </c>
    </row>
    <row r="18" spans="1:22" hidden="1">
      <c r="A18" s="26" t="s">
        <v>13</v>
      </c>
      <c r="B18" s="26" t="s">
        <v>46</v>
      </c>
      <c r="C18" s="30">
        <v>10.7</v>
      </c>
      <c r="D18" s="27">
        <v>10.4</v>
      </c>
      <c r="E18" s="28">
        <v>296</v>
      </c>
      <c r="F18" s="16">
        <f t="shared" ref="F18:F35" si="21">(C18*D18*E18/1000)</f>
        <v>32.938879999999997</v>
      </c>
      <c r="G18" s="17" t="s">
        <v>107</v>
      </c>
      <c r="H18" s="18">
        <v>8</v>
      </c>
      <c r="I18" s="19">
        <f t="shared" ref="I18:I35" si="22">(C18*D18*H18/1000)</f>
        <v>0.89024000000000003</v>
      </c>
      <c r="J18" s="16" t="s">
        <v>89</v>
      </c>
      <c r="K18" s="18">
        <v>74</v>
      </c>
      <c r="L18" s="19">
        <f t="shared" ref="L18:L35" si="23">(C18*D18*K18/1000)</f>
        <v>8.2347199999999994</v>
      </c>
      <c r="M18" s="16" t="s">
        <v>114</v>
      </c>
      <c r="N18" s="18">
        <f>117+5+26+32</f>
        <v>180</v>
      </c>
      <c r="O18" s="19">
        <f t="shared" ref="O18:O35" si="24">(C18*D18*N18/1000)</f>
        <v>20.0304</v>
      </c>
      <c r="P18" s="16" t="s">
        <v>205</v>
      </c>
      <c r="Q18" s="18"/>
      <c r="R18" s="19">
        <f t="shared" ref="R18:R35" si="25">(C18*D18*Q18/1000)</f>
        <v>0</v>
      </c>
      <c r="S18" s="20">
        <f t="shared" ref="S18:S35" si="26">+H18+K18+Q18+N18</f>
        <v>262</v>
      </c>
      <c r="T18" s="19">
        <f t="shared" ref="T18:T35" si="27">+I18+L18+R18+O18</f>
        <v>29.155360000000002</v>
      </c>
      <c r="U18" s="21">
        <f>E18-S18</f>
        <v>34</v>
      </c>
      <c r="V18" s="19">
        <f t="shared" ref="V18:V35" si="28">F18-T18</f>
        <v>3.7835199999999958</v>
      </c>
    </row>
    <row r="19" spans="1:22" hidden="1">
      <c r="A19" s="26" t="s">
        <v>13</v>
      </c>
      <c r="B19" s="26" t="s">
        <v>46</v>
      </c>
      <c r="C19" s="30">
        <v>10.7</v>
      </c>
      <c r="D19" s="27">
        <v>11.6</v>
      </c>
      <c r="E19" s="28">
        <v>693</v>
      </c>
      <c r="F19" s="16">
        <f t="shared" si="21"/>
        <v>86.015159999999995</v>
      </c>
      <c r="G19" s="17" t="s">
        <v>545</v>
      </c>
      <c r="H19" s="18">
        <f>21+178+36</f>
        <v>235</v>
      </c>
      <c r="I19" s="19">
        <f t="shared" si="22"/>
        <v>29.168199999999999</v>
      </c>
      <c r="J19" s="16" t="s">
        <v>545</v>
      </c>
      <c r="K19" s="18">
        <f>1+64+96</f>
        <v>161</v>
      </c>
      <c r="L19" s="19">
        <f t="shared" si="23"/>
        <v>19.983319999999999</v>
      </c>
      <c r="M19" s="16" t="s">
        <v>547</v>
      </c>
      <c r="N19" s="18">
        <f>47+166</f>
        <v>213</v>
      </c>
      <c r="O19" s="19">
        <f t="shared" si="24"/>
        <v>26.437559999999998</v>
      </c>
      <c r="P19" s="16" t="s">
        <v>565</v>
      </c>
      <c r="Q19" s="18"/>
      <c r="R19" s="19">
        <f t="shared" si="25"/>
        <v>0</v>
      </c>
      <c r="S19" s="20">
        <f t="shared" si="26"/>
        <v>609</v>
      </c>
      <c r="T19" s="19">
        <f t="shared" si="27"/>
        <v>75.589079999999996</v>
      </c>
      <c r="U19" s="21">
        <f>E19-S19</f>
        <v>84</v>
      </c>
      <c r="V19" s="19">
        <f t="shared" si="28"/>
        <v>10.426079999999999</v>
      </c>
    </row>
    <row r="20" spans="1:22" hidden="1">
      <c r="A20" s="26" t="s">
        <v>13</v>
      </c>
      <c r="B20" s="26" t="s">
        <v>46</v>
      </c>
      <c r="C20" s="30">
        <v>10.7</v>
      </c>
      <c r="D20" s="27">
        <v>12</v>
      </c>
      <c r="E20" s="28">
        <v>388</v>
      </c>
      <c r="F20" s="16">
        <f t="shared" ref="F20:F34" si="29">(C20*D20*E20/1000)</f>
        <v>49.819199999999988</v>
      </c>
      <c r="G20" s="17" t="s">
        <v>455</v>
      </c>
      <c r="H20" s="18">
        <f t="shared" ref="H20" si="30">44+17+21</f>
        <v>82</v>
      </c>
      <c r="I20" s="19">
        <f t="shared" ref="I20:I34" si="31">(C20*D20*H20/1000)</f>
        <v>10.528799999999997</v>
      </c>
      <c r="J20" s="16" t="s">
        <v>89</v>
      </c>
      <c r="K20" s="18">
        <f t="shared" ref="K20" si="32">181+6+94</f>
        <v>281</v>
      </c>
      <c r="L20" s="19">
        <f t="shared" ref="L20:L34" si="33">(C20*D20*K20/1000)</f>
        <v>36.080399999999997</v>
      </c>
      <c r="M20" s="16" t="s">
        <v>86</v>
      </c>
      <c r="N20" s="18">
        <v>76</v>
      </c>
      <c r="O20" s="19">
        <f t="shared" ref="O20:O34" si="34">(C20*D20*N20/1000)</f>
        <v>9.7583999999999982</v>
      </c>
      <c r="P20" s="16"/>
      <c r="Q20" s="18"/>
      <c r="R20" s="19">
        <f t="shared" ref="R20:R34" si="35">(C20*D20*Q20/1000)</f>
        <v>0</v>
      </c>
      <c r="S20" s="20">
        <f t="shared" ref="S20:S34" si="36">+H20+K20+Q20+N20</f>
        <v>439</v>
      </c>
      <c r="T20" s="19">
        <f t="shared" ref="T20:T34" si="37">+I20+L20+R20+O20</f>
        <v>56.367599999999996</v>
      </c>
      <c r="U20" s="21">
        <f t="shared" ref="U20:U34" si="38">E20-S20</f>
        <v>-51</v>
      </c>
      <c r="V20" s="19">
        <f t="shared" ref="V20:V34" si="39">F20-T20</f>
        <v>-6.548400000000008</v>
      </c>
    </row>
    <row r="21" spans="1:22" hidden="1">
      <c r="A21" s="26" t="s">
        <v>13</v>
      </c>
      <c r="B21" s="26" t="s">
        <v>46</v>
      </c>
      <c r="C21" s="30">
        <v>10.7</v>
      </c>
      <c r="D21" s="27">
        <v>10.5</v>
      </c>
      <c r="E21" s="28"/>
      <c r="F21" s="16">
        <f t="shared" si="29"/>
        <v>0</v>
      </c>
      <c r="G21" s="17"/>
      <c r="H21" s="18"/>
      <c r="I21" s="19">
        <f t="shared" si="31"/>
        <v>0</v>
      </c>
      <c r="J21" s="16"/>
      <c r="K21" s="18"/>
      <c r="L21" s="19">
        <f t="shared" si="33"/>
        <v>0</v>
      </c>
      <c r="M21" s="17" t="s">
        <v>89</v>
      </c>
      <c r="N21" s="18">
        <v>12</v>
      </c>
      <c r="O21" s="19">
        <f t="shared" si="34"/>
        <v>1.3481999999999998</v>
      </c>
      <c r="P21" s="16"/>
      <c r="Q21" s="18"/>
      <c r="R21" s="19">
        <f t="shared" si="35"/>
        <v>0</v>
      </c>
      <c r="S21" s="20">
        <f t="shared" si="36"/>
        <v>12</v>
      </c>
      <c r="T21" s="19">
        <f t="shared" si="37"/>
        <v>1.3481999999999998</v>
      </c>
      <c r="U21" s="21">
        <f t="shared" si="38"/>
        <v>-12</v>
      </c>
      <c r="V21" s="19">
        <f t="shared" si="39"/>
        <v>-1.3481999999999998</v>
      </c>
    </row>
    <row r="22" spans="1:22" hidden="1">
      <c r="A22" s="26" t="s">
        <v>13</v>
      </c>
      <c r="B22" s="26" t="s">
        <v>46</v>
      </c>
      <c r="C22" s="30">
        <v>10.7</v>
      </c>
      <c r="D22" s="27">
        <v>11.3</v>
      </c>
      <c r="E22" s="28"/>
      <c r="F22" s="16">
        <f t="shared" si="29"/>
        <v>0</v>
      </c>
      <c r="G22" s="17"/>
      <c r="H22" s="18"/>
      <c r="I22" s="19">
        <f t="shared" si="31"/>
        <v>0</v>
      </c>
      <c r="J22" s="16"/>
      <c r="K22" s="18"/>
      <c r="L22" s="19">
        <f t="shared" si="33"/>
        <v>0</v>
      </c>
      <c r="M22" s="17" t="s">
        <v>559</v>
      </c>
      <c r="N22" s="18">
        <v>10</v>
      </c>
      <c r="O22" s="19">
        <f t="shared" si="34"/>
        <v>1.2090999999999998</v>
      </c>
      <c r="P22" s="16"/>
      <c r="Q22" s="18"/>
      <c r="R22" s="19">
        <f t="shared" si="35"/>
        <v>0</v>
      </c>
      <c r="S22" s="20">
        <f t="shared" si="36"/>
        <v>10</v>
      </c>
      <c r="T22" s="19">
        <f t="shared" si="37"/>
        <v>1.2090999999999998</v>
      </c>
      <c r="U22" s="21">
        <f t="shared" si="38"/>
        <v>-10</v>
      </c>
      <c r="V22" s="19">
        <f t="shared" si="39"/>
        <v>-1.2090999999999998</v>
      </c>
    </row>
    <row r="23" spans="1:22" hidden="1">
      <c r="A23" s="26" t="s">
        <v>13</v>
      </c>
      <c r="B23" s="26" t="s">
        <v>46</v>
      </c>
      <c r="C23" s="30">
        <v>10.7</v>
      </c>
      <c r="D23" s="27">
        <v>7.4</v>
      </c>
      <c r="E23" s="28"/>
      <c r="F23" s="16">
        <f t="shared" si="29"/>
        <v>0</v>
      </c>
      <c r="G23" s="17"/>
      <c r="H23" s="18"/>
      <c r="I23" s="19">
        <f t="shared" si="31"/>
        <v>0</v>
      </c>
      <c r="J23" s="16"/>
      <c r="K23" s="18"/>
      <c r="L23" s="19">
        <f t="shared" si="33"/>
        <v>0</v>
      </c>
      <c r="M23" s="16" t="s">
        <v>560</v>
      </c>
      <c r="N23" s="18"/>
      <c r="O23" s="19">
        <f t="shared" si="34"/>
        <v>0</v>
      </c>
      <c r="P23" s="16"/>
      <c r="Q23" s="18">
        <v>1</v>
      </c>
      <c r="R23" s="19">
        <f t="shared" si="35"/>
        <v>7.9179999999999987E-2</v>
      </c>
      <c r="S23" s="20">
        <f t="shared" si="36"/>
        <v>1</v>
      </c>
      <c r="T23" s="19">
        <f t="shared" si="37"/>
        <v>7.9179999999999987E-2</v>
      </c>
      <c r="U23" s="21">
        <f t="shared" si="38"/>
        <v>-1</v>
      </c>
      <c r="V23" s="19">
        <f t="shared" si="39"/>
        <v>-7.9179999999999987E-2</v>
      </c>
    </row>
    <row r="24" spans="1:22" hidden="1">
      <c r="A24" s="26" t="s">
        <v>13</v>
      </c>
      <c r="B24" s="26" t="s">
        <v>46</v>
      </c>
      <c r="C24" s="30">
        <v>10.7</v>
      </c>
      <c r="D24" s="27">
        <v>8</v>
      </c>
      <c r="E24" s="28"/>
      <c r="F24" s="16">
        <f t="shared" si="29"/>
        <v>0</v>
      </c>
      <c r="G24" s="17"/>
      <c r="H24" s="18"/>
      <c r="I24" s="19">
        <f t="shared" si="31"/>
        <v>0</v>
      </c>
      <c r="J24" s="16"/>
      <c r="K24" s="18"/>
      <c r="L24" s="19">
        <f t="shared" si="33"/>
        <v>0</v>
      </c>
      <c r="M24" s="16" t="s">
        <v>561</v>
      </c>
      <c r="N24" s="18"/>
      <c r="O24" s="19">
        <f t="shared" si="34"/>
        <v>0</v>
      </c>
      <c r="P24" s="16"/>
      <c r="Q24" s="18">
        <v>1</v>
      </c>
      <c r="R24" s="19">
        <f t="shared" si="35"/>
        <v>8.5599999999999996E-2</v>
      </c>
      <c r="S24" s="20">
        <f t="shared" si="36"/>
        <v>1</v>
      </c>
      <c r="T24" s="19">
        <f t="shared" si="37"/>
        <v>8.5599999999999996E-2</v>
      </c>
      <c r="U24" s="21">
        <f t="shared" si="38"/>
        <v>-1</v>
      </c>
      <c r="V24" s="19">
        <f t="shared" si="39"/>
        <v>-8.5599999999999996E-2</v>
      </c>
    </row>
    <row r="25" spans="1:22" hidden="1">
      <c r="A25" s="26" t="s">
        <v>13</v>
      </c>
      <c r="B25" s="26" t="s">
        <v>46</v>
      </c>
      <c r="C25" s="30">
        <v>10.7</v>
      </c>
      <c r="D25" s="27">
        <v>8.1</v>
      </c>
      <c r="E25" s="28"/>
      <c r="F25" s="16">
        <f t="shared" si="29"/>
        <v>0</v>
      </c>
      <c r="G25" s="17"/>
      <c r="H25" s="18"/>
      <c r="I25" s="19">
        <f t="shared" si="31"/>
        <v>0</v>
      </c>
      <c r="J25" s="16"/>
      <c r="K25" s="18"/>
      <c r="L25" s="19">
        <f t="shared" si="33"/>
        <v>0</v>
      </c>
      <c r="M25" s="16"/>
      <c r="N25" s="18"/>
      <c r="O25" s="19">
        <f t="shared" si="34"/>
        <v>0</v>
      </c>
      <c r="P25" s="16"/>
      <c r="Q25" s="18">
        <v>1</v>
      </c>
      <c r="R25" s="19">
        <f t="shared" si="35"/>
        <v>8.6669999999999983E-2</v>
      </c>
      <c r="S25" s="20">
        <f t="shared" si="36"/>
        <v>1</v>
      </c>
      <c r="T25" s="19">
        <f t="shared" si="37"/>
        <v>8.6669999999999983E-2</v>
      </c>
      <c r="U25" s="21">
        <f t="shared" si="38"/>
        <v>-1</v>
      </c>
      <c r="V25" s="19">
        <f t="shared" si="39"/>
        <v>-8.6669999999999983E-2</v>
      </c>
    </row>
    <row r="26" spans="1:22" hidden="1">
      <c r="A26" s="26" t="s">
        <v>13</v>
      </c>
      <c r="B26" s="26" t="s">
        <v>46</v>
      </c>
      <c r="C26" s="30">
        <v>10.7</v>
      </c>
      <c r="D26" s="27">
        <v>9</v>
      </c>
      <c r="E26" s="28"/>
      <c r="F26" s="16">
        <f t="shared" si="29"/>
        <v>0</v>
      </c>
      <c r="G26" s="17"/>
      <c r="H26" s="18"/>
      <c r="I26" s="19">
        <f t="shared" si="31"/>
        <v>0</v>
      </c>
      <c r="J26" s="16"/>
      <c r="K26" s="18"/>
      <c r="L26" s="19">
        <f t="shared" si="33"/>
        <v>0</v>
      </c>
      <c r="M26" s="16"/>
      <c r="N26" s="18"/>
      <c r="O26" s="19">
        <f t="shared" si="34"/>
        <v>0</v>
      </c>
      <c r="P26" s="16"/>
      <c r="Q26" s="18">
        <v>1</v>
      </c>
      <c r="R26" s="19">
        <f t="shared" si="35"/>
        <v>9.6299999999999997E-2</v>
      </c>
      <c r="S26" s="20">
        <f t="shared" si="36"/>
        <v>1</v>
      </c>
      <c r="T26" s="19">
        <f t="shared" si="37"/>
        <v>9.6299999999999997E-2</v>
      </c>
      <c r="U26" s="21">
        <f t="shared" si="38"/>
        <v>-1</v>
      </c>
      <c r="V26" s="19">
        <f t="shared" si="39"/>
        <v>-9.6299999999999997E-2</v>
      </c>
    </row>
    <row r="27" spans="1:22" hidden="1">
      <c r="A27" s="26" t="s">
        <v>13</v>
      </c>
      <c r="B27" s="26" t="s">
        <v>46</v>
      </c>
      <c r="C27" s="30">
        <v>10.7</v>
      </c>
      <c r="D27" s="27">
        <v>9.1999999999999993</v>
      </c>
      <c r="E27" s="28"/>
      <c r="F27" s="16">
        <f t="shared" si="29"/>
        <v>0</v>
      </c>
      <c r="G27" s="17"/>
      <c r="H27" s="18"/>
      <c r="I27" s="19">
        <f t="shared" si="31"/>
        <v>0</v>
      </c>
      <c r="J27" s="16"/>
      <c r="K27" s="18"/>
      <c r="L27" s="19">
        <f t="shared" si="33"/>
        <v>0</v>
      </c>
      <c r="M27" s="16"/>
      <c r="N27" s="18"/>
      <c r="O27" s="19">
        <f t="shared" si="34"/>
        <v>0</v>
      </c>
      <c r="P27" s="16"/>
      <c r="Q27" s="18">
        <v>3</v>
      </c>
      <c r="R27" s="19">
        <f t="shared" si="35"/>
        <v>0.29531999999999992</v>
      </c>
      <c r="S27" s="20">
        <f t="shared" si="36"/>
        <v>3</v>
      </c>
      <c r="T27" s="19">
        <f t="shared" si="37"/>
        <v>0.29531999999999992</v>
      </c>
      <c r="U27" s="21">
        <f t="shared" si="38"/>
        <v>-3</v>
      </c>
      <c r="V27" s="19">
        <f t="shared" si="39"/>
        <v>-0.29531999999999992</v>
      </c>
    </row>
    <row r="28" spans="1:22" hidden="1">
      <c r="A28" s="26" t="s">
        <v>13</v>
      </c>
      <c r="B28" s="26" t="s">
        <v>46</v>
      </c>
      <c r="C28" s="30">
        <v>10.7</v>
      </c>
      <c r="D28" s="27">
        <v>9.3000000000000007</v>
      </c>
      <c r="E28" s="28"/>
      <c r="F28" s="16">
        <f t="shared" si="29"/>
        <v>0</v>
      </c>
      <c r="G28" s="17"/>
      <c r="H28" s="18"/>
      <c r="I28" s="19">
        <f t="shared" si="31"/>
        <v>0</v>
      </c>
      <c r="J28" s="16"/>
      <c r="K28" s="18"/>
      <c r="L28" s="19">
        <f t="shared" si="33"/>
        <v>0</v>
      </c>
      <c r="M28" s="16"/>
      <c r="N28" s="18"/>
      <c r="O28" s="19">
        <f t="shared" si="34"/>
        <v>0</v>
      </c>
      <c r="P28" s="16"/>
      <c r="Q28" s="18">
        <v>1</v>
      </c>
      <c r="R28" s="19">
        <f t="shared" si="35"/>
        <v>9.9510000000000001E-2</v>
      </c>
      <c r="S28" s="20">
        <f t="shared" si="36"/>
        <v>1</v>
      </c>
      <c r="T28" s="19">
        <f t="shared" si="37"/>
        <v>9.9510000000000001E-2</v>
      </c>
      <c r="U28" s="21">
        <f t="shared" si="38"/>
        <v>-1</v>
      </c>
      <c r="V28" s="19">
        <f t="shared" si="39"/>
        <v>-9.9510000000000001E-2</v>
      </c>
    </row>
    <row r="29" spans="1:22" hidden="1">
      <c r="A29" s="26" t="s">
        <v>13</v>
      </c>
      <c r="B29" s="26" t="s">
        <v>46</v>
      </c>
      <c r="C29" s="30">
        <v>10.7</v>
      </c>
      <c r="D29" s="27">
        <v>9.4</v>
      </c>
      <c r="E29" s="28"/>
      <c r="F29" s="16">
        <f t="shared" si="29"/>
        <v>0</v>
      </c>
      <c r="G29" s="17"/>
      <c r="H29" s="18"/>
      <c r="I29" s="19">
        <f t="shared" si="31"/>
        <v>0</v>
      </c>
      <c r="J29" s="16"/>
      <c r="K29" s="18"/>
      <c r="L29" s="19">
        <f t="shared" si="33"/>
        <v>0</v>
      </c>
      <c r="M29" s="16"/>
      <c r="N29" s="18"/>
      <c r="O29" s="19">
        <f t="shared" si="34"/>
        <v>0</v>
      </c>
      <c r="P29" s="16"/>
      <c r="Q29" s="18">
        <v>8</v>
      </c>
      <c r="R29" s="19">
        <f t="shared" si="35"/>
        <v>0.80464000000000002</v>
      </c>
      <c r="S29" s="20">
        <f t="shared" si="36"/>
        <v>8</v>
      </c>
      <c r="T29" s="19">
        <f t="shared" si="37"/>
        <v>0.80464000000000002</v>
      </c>
      <c r="U29" s="21">
        <f t="shared" si="38"/>
        <v>-8</v>
      </c>
      <c r="V29" s="19">
        <f t="shared" si="39"/>
        <v>-0.80464000000000002</v>
      </c>
    </row>
    <row r="30" spans="1:22" hidden="1">
      <c r="A30" s="26" t="s">
        <v>13</v>
      </c>
      <c r="B30" s="26" t="s">
        <v>46</v>
      </c>
      <c r="C30" s="30">
        <v>10.7</v>
      </c>
      <c r="D30" s="27">
        <v>9.6999999999999993</v>
      </c>
      <c r="E30" s="28"/>
      <c r="F30" s="16">
        <f t="shared" si="29"/>
        <v>0</v>
      </c>
      <c r="G30" s="17"/>
      <c r="H30" s="18"/>
      <c r="I30" s="19">
        <f t="shared" si="31"/>
        <v>0</v>
      </c>
      <c r="J30" s="16"/>
      <c r="K30" s="18"/>
      <c r="L30" s="19">
        <f t="shared" si="33"/>
        <v>0</v>
      </c>
      <c r="M30" s="16"/>
      <c r="N30" s="18"/>
      <c r="O30" s="19">
        <f t="shared" si="34"/>
        <v>0</v>
      </c>
      <c r="P30" s="16"/>
      <c r="Q30" s="18">
        <v>2</v>
      </c>
      <c r="R30" s="19">
        <f t="shared" si="35"/>
        <v>0.20757999999999999</v>
      </c>
      <c r="S30" s="20">
        <f t="shared" si="36"/>
        <v>2</v>
      </c>
      <c r="T30" s="19">
        <f t="shared" si="37"/>
        <v>0.20757999999999999</v>
      </c>
      <c r="U30" s="21">
        <f t="shared" si="38"/>
        <v>-2</v>
      </c>
      <c r="V30" s="19">
        <f t="shared" si="39"/>
        <v>-0.20757999999999999</v>
      </c>
    </row>
    <row r="31" spans="1:22" hidden="1">
      <c r="A31" s="26" t="s">
        <v>13</v>
      </c>
      <c r="B31" s="26" t="s">
        <v>46</v>
      </c>
      <c r="C31" s="30">
        <v>10.7</v>
      </c>
      <c r="D31" s="27">
        <v>9.9</v>
      </c>
      <c r="E31" s="28"/>
      <c r="F31" s="16">
        <f t="shared" si="29"/>
        <v>0</v>
      </c>
      <c r="G31" s="17"/>
      <c r="H31" s="18"/>
      <c r="I31" s="19">
        <f t="shared" si="31"/>
        <v>0</v>
      </c>
      <c r="J31" s="16"/>
      <c r="K31" s="18"/>
      <c r="L31" s="19">
        <f t="shared" si="33"/>
        <v>0</v>
      </c>
      <c r="M31" s="16"/>
      <c r="N31" s="18"/>
      <c r="O31" s="19">
        <f t="shared" si="34"/>
        <v>0</v>
      </c>
      <c r="P31" s="16"/>
      <c r="Q31" s="18">
        <v>2</v>
      </c>
      <c r="R31" s="19">
        <f t="shared" si="35"/>
        <v>0.21185999999999999</v>
      </c>
      <c r="S31" s="20">
        <f t="shared" si="36"/>
        <v>2</v>
      </c>
      <c r="T31" s="19">
        <f t="shared" si="37"/>
        <v>0.21185999999999999</v>
      </c>
      <c r="U31" s="21">
        <f t="shared" si="38"/>
        <v>-2</v>
      </c>
      <c r="V31" s="19">
        <f t="shared" si="39"/>
        <v>-0.21185999999999999</v>
      </c>
    </row>
    <row r="32" spans="1:22" hidden="1">
      <c r="A32" s="26" t="s">
        <v>13</v>
      </c>
      <c r="B32" s="26" t="s">
        <v>46</v>
      </c>
      <c r="C32" s="30">
        <v>10.7</v>
      </c>
      <c r="D32" s="27">
        <v>10.9</v>
      </c>
      <c r="E32" s="28"/>
      <c r="F32" s="16">
        <f t="shared" si="29"/>
        <v>0</v>
      </c>
      <c r="G32" s="17"/>
      <c r="H32" s="18"/>
      <c r="I32" s="19">
        <f t="shared" si="31"/>
        <v>0</v>
      </c>
      <c r="J32" s="16"/>
      <c r="K32" s="18"/>
      <c r="L32" s="19">
        <f t="shared" si="33"/>
        <v>0</v>
      </c>
      <c r="M32" s="16"/>
      <c r="N32" s="18"/>
      <c r="O32" s="19">
        <f t="shared" si="34"/>
        <v>0</v>
      </c>
      <c r="P32" s="16"/>
      <c r="Q32" s="18">
        <v>1</v>
      </c>
      <c r="R32" s="19">
        <f t="shared" si="35"/>
        <v>0.11663</v>
      </c>
      <c r="S32" s="20">
        <f t="shared" si="36"/>
        <v>1</v>
      </c>
      <c r="T32" s="19">
        <f t="shared" si="37"/>
        <v>0.11663</v>
      </c>
      <c r="U32" s="21">
        <f t="shared" si="38"/>
        <v>-1</v>
      </c>
      <c r="V32" s="19">
        <f t="shared" si="39"/>
        <v>-0.11663</v>
      </c>
    </row>
    <row r="33" spans="1:22" hidden="1">
      <c r="A33" s="26" t="s">
        <v>13</v>
      </c>
      <c r="B33" s="26" t="s">
        <v>46</v>
      </c>
      <c r="C33" s="30">
        <v>10.7</v>
      </c>
      <c r="D33" s="27">
        <v>11</v>
      </c>
      <c r="E33" s="28"/>
      <c r="F33" s="16">
        <f t="shared" si="29"/>
        <v>0</v>
      </c>
      <c r="G33" s="17"/>
      <c r="H33" s="18"/>
      <c r="I33" s="19">
        <f t="shared" si="31"/>
        <v>0</v>
      </c>
      <c r="J33" s="16"/>
      <c r="K33" s="18"/>
      <c r="L33" s="19">
        <f t="shared" si="33"/>
        <v>0</v>
      </c>
      <c r="M33" s="16"/>
      <c r="N33" s="18"/>
      <c r="O33" s="19">
        <f t="shared" si="34"/>
        <v>0</v>
      </c>
      <c r="P33" s="16"/>
      <c r="Q33" s="18">
        <v>18</v>
      </c>
      <c r="R33" s="19">
        <f t="shared" si="35"/>
        <v>2.1185999999999998</v>
      </c>
      <c r="S33" s="20">
        <f t="shared" si="36"/>
        <v>18</v>
      </c>
      <c r="T33" s="19">
        <f t="shared" si="37"/>
        <v>2.1185999999999998</v>
      </c>
      <c r="U33" s="21">
        <f t="shared" si="38"/>
        <v>-18</v>
      </c>
      <c r="V33" s="19">
        <f t="shared" si="39"/>
        <v>-2.1185999999999998</v>
      </c>
    </row>
    <row r="34" spans="1:22" hidden="1">
      <c r="A34" s="26" t="s">
        <v>13</v>
      </c>
      <c r="B34" s="26" t="s">
        <v>46</v>
      </c>
      <c r="C34" s="30">
        <v>10.7</v>
      </c>
      <c r="D34" s="27">
        <v>11.25</v>
      </c>
      <c r="E34" s="28"/>
      <c r="F34" s="16">
        <f t="shared" si="29"/>
        <v>0</v>
      </c>
      <c r="G34" s="17"/>
      <c r="H34" s="18"/>
      <c r="I34" s="19">
        <f t="shared" si="31"/>
        <v>0</v>
      </c>
      <c r="J34" s="16"/>
      <c r="K34" s="18"/>
      <c r="L34" s="19">
        <f t="shared" si="33"/>
        <v>0</v>
      </c>
      <c r="M34" s="16"/>
      <c r="N34" s="18"/>
      <c r="O34" s="19">
        <f t="shared" si="34"/>
        <v>0</v>
      </c>
      <c r="P34" s="16"/>
      <c r="Q34" s="18">
        <v>10</v>
      </c>
      <c r="R34" s="19">
        <f t="shared" si="35"/>
        <v>1.2037499999999999</v>
      </c>
      <c r="S34" s="20">
        <f t="shared" si="36"/>
        <v>10</v>
      </c>
      <c r="T34" s="19">
        <f t="shared" si="37"/>
        <v>1.2037499999999999</v>
      </c>
      <c r="U34" s="21">
        <f t="shared" si="38"/>
        <v>-10</v>
      </c>
      <c r="V34" s="19">
        <f t="shared" si="39"/>
        <v>-1.2037499999999999</v>
      </c>
    </row>
    <row r="35" spans="1:22" hidden="1">
      <c r="A35" s="26" t="s">
        <v>13</v>
      </c>
      <c r="B35" s="26" t="s">
        <v>46</v>
      </c>
      <c r="C35" s="30">
        <v>10.7</v>
      </c>
      <c r="D35" s="27"/>
      <c r="E35" s="28"/>
      <c r="F35" s="16">
        <f t="shared" si="21"/>
        <v>0</v>
      </c>
      <c r="G35" s="17"/>
      <c r="H35" s="18"/>
      <c r="I35" s="19">
        <f t="shared" si="22"/>
        <v>0</v>
      </c>
      <c r="J35" s="16"/>
      <c r="K35" s="18"/>
      <c r="L35" s="19">
        <f t="shared" si="23"/>
        <v>0</v>
      </c>
      <c r="M35" s="16"/>
      <c r="N35" s="18"/>
      <c r="O35" s="19">
        <f t="shared" si="24"/>
        <v>0</v>
      </c>
      <c r="P35" s="16"/>
      <c r="Q35" s="18"/>
      <c r="R35" s="19">
        <f t="shared" si="25"/>
        <v>0</v>
      </c>
      <c r="S35" s="20">
        <f t="shared" si="26"/>
        <v>0</v>
      </c>
      <c r="T35" s="19">
        <f t="shared" si="27"/>
        <v>0</v>
      </c>
      <c r="U35" s="21">
        <f>E35-S35</f>
        <v>0</v>
      </c>
      <c r="V35" s="19">
        <f t="shared" si="28"/>
        <v>0</v>
      </c>
    </row>
    <row r="36" spans="1:22" hidden="1">
      <c r="A36" s="36"/>
      <c r="B36" s="36"/>
      <c r="C36" s="37"/>
      <c r="D36" s="38"/>
      <c r="E36" s="31">
        <f t="shared" ref="E36:F36" si="40">SUM(E18:E35)</f>
        <v>1377</v>
      </c>
      <c r="F36" s="38">
        <f t="shared" si="40"/>
        <v>168.77323999999999</v>
      </c>
      <c r="G36" s="17"/>
      <c r="H36" s="31">
        <f t="shared" ref="H36:I36" si="41">SUM(H18:H35)</f>
        <v>325</v>
      </c>
      <c r="I36" s="38">
        <f t="shared" si="41"/>
        <v>40.587239999999994</v>
      </c>
      <c r="J36" s="16"/>
      <c r="K36" s="31">
        <f t="shared" ref="K36:L36" si="42">SUM(K18:K35)</f>
        <v>516</v>
      </c>
      <c r="L36" s="38">
        <f t="shared" si="42"/>
        <v>64.298439999999999</v>
      </c>
      <c r="M36" s="16"/>
      <c r="N36" s="31">
        <f t="shared" ref="N36:O36" si="43">SUM(N18:N35)</f>
        <v>491</v>
      </c>
      <c r="O36" s="38">
        <f t="shared" si="43"/>
        <v>58.783659999999998</v>
      </c>
      <c r="P36" s="16"/>
      <c r="Q36" s="31">
        <f t="shared" ref="Q36:V36" si="44">SUM(Q18:Q35)</f>
        <v>49</v>
      </c>
      <c r="R36" s="38">
        <f t="shared" si="44"/>
        <v>5.40564</v>
      </c>
      <c r="S36" s="31">
        <f t="shared" si="44"/>
        <v>1381</v>
      </c>
      <c r="T36" s="38">
        <f t="shared" si="44"/>
        <v>169.07498000000001</v>
      </c>
      <c r="U36" s="31">
        <f t="shared" si="44"/>
        <v>-4</v>
      </c>
      <c r="V36" s="38">
        <f t="shared" si="44"/>
        <v>-0.30174000000001389</v>
      </c>
    </row>
    <row r="37" spans="1:22" hidden="1">
      <c r="A37" s="26" t="s">
        <v>13</v>
      </c>
      <c r="B37" s="26" t="s">
        <v>61</v>
      </c>
      <c r="C37" s="30">
        <v>12.2</v>
      </c>
      <c r="D37" s="27">
        <v>10.5</v>
      </c>
      <c r="E37" s="28">
        <v>1169</v>
      </c>
      <c r="F37" s="16">
        <f t="shared" ref="F37:F39" si="45">(C37*D37*E37/1000)</f>
        <v>149.74889999999999</v>
      </c>
      <c r="G37" s="17" t="s">
        <v>88</v>
      </c>
      <c r="H37" s="18">
        <f>68+47+113+264</f>
        <v>492</v>
      </c>
      <c r="I37" s="19">
        <f t="shared" ref="I37:I47" si="46">(C37*D37*H37/1000)</f>
        <v>63.025199999999998</v>
      </c>
      <c r="J37" s="16" t="s">
        <v>93</v>
      </c>
      <c r="K37" s="18">
        <f>176+208+90</f>
        <v>474</v>
      </c>
      <c r="L37" s="19">
        <f t="shared" ref="L37:L47" si="47">(C37*D37*K37/1000)</f>
        <v>60.719399999999993</v>
      </c>
      <c r="M37" s="16" t="s">
        <v>293</v>
      </c>
      <c r="N37" s="18">
        <f>27+23+72+2</f>
        <v>124</v>
      </c>
      <c r="O37" s="19">
        <f t="shared" ref="O37:O47" si="48">(C37*D37*N37/1000)</f>
        <v>15.884399999999999</v>
      </c>
      <c r="P37" s="16" t="s">
        <v>205</v>
      </c>
      <c r="Q37" s="18">
        <v>25</v>
      </c>
      <c r="R37" s="19">
        <f t="shared" ref="R37:R39" si="49">(C37*D37*Q37/1000)</f>
        <v>3.2025000000000001</v>
      </c>
      <c r="S37" s="20">
        <f t="shared" ref="S37:S39" si="50">+H37+K37+Q37+N37</f>
        <v>1115</v>
      </c>
      <c r="T37" s="19">
        <f t="shared" ref="T37:T39" si="51">+I37+L37+R37+O37</f>
        <v>142.83150000000001</v>
      </c>
      <c r="U37" s="21">
        <f t="shared" ref="U37:U39" si="52">E37-S37</f>
        <v>54</v>
      </c>
      <c r="V37" s="19">
        <f t="shared" ref="V37:V39" si="53">F37-T37</f>
        <v>6.9173999999999864</v>
      </c>
    </row>
    <row r="38" spans="1:22" hidden="1">
      <c r="A38" s="26" t="s">
        <v>13</v>
      </c>
      <c r="B38" s="26" t="s">
        <v>61</v>
      </c>
      <c r="C38" s="30">
        <v>12.2</v>
      </c>
      <c r="D38" s="27">
        <v>11.25</v>
      </c>
      <c r="E38" s="28">
        <v>587</v>
      </c>
      <c r="F38" s="16">
        <f t="shared" si="45"/>
        <v>80.565749999999994</v>
      </c>
      <c r="G38" s="17" t="s">
        <v>541</v>
      </c>
      <c r="H38" s="18">
        <f>91+135+21</f>
        <v>247</v>
      </c>
      <c r="I38" s="19">
        <f t="shared" si="46"/>
        <v>33.900750000000002</v>
      </c>
      <c r="J38" s="16" t="s">
        <v>549</v>
      </c>
      <c r="K38" s="18">
        <f>69+23+93+76</f>
        <v>261</v>
      </c>
      <c r="L38" s="19">
        <f t="shared" si="47"/>
        <v>35.822249999999997</v>
      </c>
      <c r="M38" s="16" t="s">
        <v>553</v>
      </c>
      <c r="N38" s="18">
        <f>22+3+3</f>
        <v>28</v>
      </c>
      <c r="O38" s="19">
        <f t="shared" si="48"/>
        <v>3.843</v>
      </c>
      <c r="P38" s="16" t="s">
        <v>565</v>
      </c>
      <c r="Q38" s="18">
        <v>3</v>
      </c>
      <c r="R38" s="19">
        <f t="shared" si="49"/>
        <v>0.41175</v>
      </c>
      <c r="S38" s="20">
        <f t="shared" si="50"/>
        <v>539</v>
      </c>
      <c r="T38" s="19">
        <f t="shared" si="51"/>
        <v>73.97775</v>
      </c>
      <c r="U38" s="21">
        <f t="shared" si="52"/>
        <v>48</v>
      </c>
      <c r="V38" s="19">
        <f t="shared" si="53"/>
        <v>6.5879999999999939</v>
      </c>
    </row>
    <row r="39" spans="1:22" hidden="1">
      <c r="A39" s="26" t="s">
        <v>13</v>
      </c>
      <c r="B39" s="26" t="s">
        <v>61</v>
      </c>
      <c r="C39" s="30">
        <v>12.2</v>
      </c>
      <c r="D39" s="27">
        <v>11.5</v>
      </c>
      <c r="E39" s="28">
        <v>466</v>
      </c>
      <c r="F39" s="16">
        <f t="shared" si="45"/>
        <v>65.379799999999989</v>
      </c>
      <c r="G39" s="16" t="s">
        <v>150</v>
      </c>
      <c r="H39" s="18">
        <f>28+196</f>
        <v>224</v>
      </c>
      <c r="I39" s="19">
        <f t="shared" si="46"/>
        <v>31.427199999999996</v>
      </c>
      <c r="J39" s="16" t="s">
        <v>548</v>
      </c>
      <c r="K39" s="18">
        <f>62+185</f>
        <v>247</v>
      </c>
      <c r="L39" s="19">
        <f t="shared" si="47"/>
        <v>34.6541</v>
      </c>
      <c r="M39" s="16" t="s">
        <v>89</v>
      </c>
      <c r="N39" s="18">
        <f>18+5</f>
        <v>23</v>
      </c>
      <c r="O39" s="19">
        <f t="shared" si="48"/>
        <v>3.2268999999999997</v>
      </c>
      <c r="P39" s="17" t="s">
        <v>318</v>
      </c>
      <c r="Q39" s="18">
        <v>6</v>
      </c>
      <c r="R39" s="19">
        <f t="shared" si="49"/>
        <v>0.84179999999999999</v>
      </c>
      <c r="S39" s="20">
        <f t="shared" si="50"/>
        <v>500</v>
      </c>
      <c r="T39" s="19">
        <f t="shared" si="51"/>
        <v>70.150000000000006</v>
      </c>
      <c r="U39" s="21">
        <f t="shared" si="52"/>
        <v>-34</v>
      </c>
      <c r="V39" s="19">
        <f t="shared" si="53"/>
        <v>-4.7702000000000169</v>
      </c>
    </row>
    <row r="40" spans="1:22" hidden="1">
      <c r="A40" s="26" t="s">
        <v>13</v>
      </c>
      <c r="B40" s="26" t="s">
        <v>61</v>
      </c>
      <c r="C40" s="30">
        <v>12.2</v>
      </c>
      <c r="D40" s="27">
        <v>10</v>
      </c>
      <c r="E40" s="28"/>
      <c r="F40" s="16"/>
      <c r="G40" s="16" t="s">
        <v>542</v>
      </c>
      <c r="H40" s="18"/>
      <c r="I40" s="19">
        <f t="shared" si="46"/>
        <v>0</v>
      </c>
      <c r="J40" s="16" t="s">
        <v>107</v>
      </c>
      <c r="K40" s="18"/>
      <c r="L40" s="19">
        <f t="shared" si="47"/>
        <v>0</v>
      </c>
      <c r="M40" s="16" t="s">
        <v>556</v>
      </c>
      <c r="N40" s="18">
        <v>1</v>
      </c>
      <c r="O40" s="19">
        <f t="shared" si="48"/>
        <v>0.122</v>
      </c>
      <c r="P40" s="17" t="s">
        <v>566</v>
      </c>
      <c r="Q40" s="18"/>
      <c r="R40" s="19">
        <f t="shared" ref="R40:R47" si="54">(C40*D40*Q40/1000)</f>
        <v>0</v>
      </c>
      <c r="S40" s="20">
        <f t="shared" ref="S40:S47" si="55">+H40+K40+Q40+N40</f>
        <v>1</v>
      </c>
      <c r="T40" s="19">
        <f t="shared" ref="T40:T47" si="56">+I40+L40+R40+O40</f>
        <v>0.122</v>
      </c>
      <c r="U40" s="21">
        <f t="shared" ref="U40:U47" si="57">E40-S40</f>
        <v>-1</v>
      </c>
      <c r="V40" s="19">
        <f t="shared" ref="V40:V47" si="58">F40-T40</f>
        <v>-0.122</v>
      </c>
    </row>
    <row r="41" spans="1:22" hidden="1">
      <c r="A41" s="26" t="s">
        <v>13</v>
      </c>
      <c r="B41" s="26" t="s">
        <v>61</v>
      </c>
      <c r="C41" s="30">
        <v>12.2</v>
      </c>
      <c r="D41" s="27">
        <v>12</v>
      </c>
      <c r="E41" s="28"/>
      <c r="F41" s="16"/>
      <c r="G41" s="16" t="s">
        <v>150</v>
      </c>
      <c r="H41" s="18"/>
      <c r="I41" s="19">
        <f t="shared" si="46"/>
        <v>0</v>
      </c>
      <c r="J41" s="16" t="s">
        <v>93</v>
      </c>
      <c r="K41" s="18"/>
      <c r="L41" s="19">
        <f t="shared" si="47"/>
        <v>0</v>
      </c>
      <c r="M41" s="16" t="s">
        <v>111</v>
      </c>
      <c r="N41" s="18">
        <v>14</v>
      </c>
      <c r="O41" s="19">
        <f t="shared" si="48"/>
        <v>2.0495999999999994</v>
      </c>
      <c r="P41" s="16"/>
      <c r="Q41" s="18">
        <v>2</v>
      </c>
      <c r="R41" s="19">
        <f>(C41*D41*Q41/1000)</f>
        <v>0.29279999999999995</v>
      </c>
      <c r="S41" s="20">
        <f t="shared" si="55"/>
        <v>16</v>
      </c>
      <c r="T41" s="19">
        <f t="shared" si="56"/>
        <v>2.3423999999999996</v>
      </c>
      <c r="U41" s="21">
        <f t="shared" si="57"/>
        <v>-16</v>
      </c>
      <c r="V41" s="19">
        <f t="shared" si="58"/>
        <v>-2.3423999999999996</v>
      </c>
    </row>
    <row r="42" spans="1:22" hidden="1">
      <c r="A42" s="26" t="s">
        <v>13</v>
      </c>
      <c r="B42" s="26" t="s">
        <v>61</v>
      </c>
      <c r="C42" s="30">
        <v>12.2</v>
      </c>
      <c r="D42" s="27">
        <v>11.8</v>
      </c>
      <c r="E42" s="28"/>
      <c r="F42" s="16"/>
      <c r="G42" s="16" t="s">
        <v>288</v>
      </c>
      <c r="H42" s="18"/>
      <c r="I42" s="19">
        <f t="shared" si="46"/>
        <v>0</v>
      </c>
      <c r="J42" s="16" t="s">
        <v>548</v>
      </c>
      <c r="K42" s="18"/>
      <c r="L42" s="19">
        <f t="shared" si="47"/>
        <v>0</v>
      </c>
      <c r="M42" s="17" t="s">
        <v>89</v>
      </c>
      <c r="N42" s="18">
        <v>2</v>
      </c>
      <c r="O42" s="19">
        <f t="shared" si="48"/>
        <v>0.28792000000000001</v>
      </c>
      <c r="P42" s="16"/>
      <c r="Q42" s="18"/>
      <c r="R42" s="19">
        <f t="shared" si="54"/>
        <v>0</v>
      </c>
      <c r="S42" s="20">
        <f t="shared" si="55"/>
        <v>2</v>
      </c>
      <c r="T42" s="19">
        <f t="shared" si="56"/>
        <v>0.28792000000000001</v>
      </c>
      <c r="U42" s="21">
        <f t="shared" si="57"/>
        <v>-2</v>
      </c>
      <c r="V42" s="19">
        <f t="shared" si="58"/>
        <v>-0.28792000000000001</v>
      </c>
    </row>
    <row r="43" spans="1:22" hidden="1">
      <c r="A43" s="26" t="s">
        <v>13</v>
      </c>
      <c r="B43" s="26" t="s">
        <v>61</v>
      </c>
      <c r="C43" s="30">
        <v>12.2</v>
      </c>
      <c r="D43" s="27">
        <v>11</v>
      </c>
      <c r="E43" s="28"/>
      <c r="F43" s="16"/>
      <c r="G43" s="16" t="s">
        <v>288</v>
      </c>
      <c r="H43" s="18"/>
      <c r="I43" s="19">
        <f t="shared" si="46"/>
        <v>0</v>
      </c>
      <c r="J43" s="16" t="s">
        <v>86</v>
      </c>
      <c r="K43" s="18"/>
      <c r="L43" s="19">
        <f t="shared" si="47"/>
        <v>0</v>
      </c>
      <c r="M43" s="17" t="s">
        <v>559</v>
      </c>
      <c r="N43" s="18">
        <v>1</v>
      </c>
      <c r="O43" s="19">
        <f t="shared" si="48"/>
        <v>0.13419999999999999</v>
      </c>
      <c r="P43" s="16"/>
      <c r="Q43" s="18"/>
      <c r="R43" s="19">
        <f t="shared" si="54"/>
        <v>0</v>
      </c>
      <c r="S43" s="20">
        <f t="shared" si="55"/>
        <v>1</v>
      </c>
      <c r="T43" s="19">
        <f t="shared" si="56"/>
        <v>0.13419999999999999</v>
      </c>
      <c r="U43" s="21">
        <f t="shared" si="57"/>
        <v>-1</v>
      </c>
      <c r="V43" s="19">
        <f t="shared" si="58"/>
        <v>-0.13419999999999999</v>
      </c>
    </row>
    <row r="44" spans="1:22" hidden="1">
      <c r="A44" s="26" t="s">
        <v>13</v>
      </c>
      <c r="B44" s="26" t="s">
        <v>61</v>
      </c>
      <c r="C44" s="30">
        <v>12.2</v>
      </c>
      <c r="D44" s="27">
        <v>10.1</v>
      </c>
      <c r="E44" s="28"/>
      <c r="F44" s="16"/>
      <c r="G44" s="16" t="s">
        <v>545</v>
      </c>
      <c r="H44" s="18"/>
      <c r="I44" s="19">
        <f t="shared" si="46"/>
        <v>0</v>
      </c>
      <c r="J44" s="16" t="s">
        <v>550</v>
      </c>
      <c r="K44" s="18"/>
      <c r="L44" s="19">
        <f t="shared" si="47"/>
        <v>0</v>
      </c>
      <c r="M44" s="16" t="s">
        <v>560</v>
      </c>
      <c r="N44" s="18"/>
      <c r="O44" s="19">
        <f t="shared" si="48"/>
        <v>0</v>
      </c>
      <c r="P44" s="16"/>
      <c r="Q44" s="18">
        <v>1</v>
      </c>
      <c r="R44" s="19">
        <f t="shared" si="54"/>
        <v>0.12321999999999998</v>
      </c>
      <c r="S44" s="20">
        <f t="shared" si="55"/>
        <v>1</v>
      </c>
      <c r="T44" s="19">
        <f t="shared" si="56"/>
        <v>0.12321999999999998</v>
      </c>
      <c r="U44" s="21">
        <f t="shared" si="57"/>
        <v>-1</v>
      </c>
      <c r="V44" s="19">
        <f t="shared" si="58"/>
        <v>-0.12321999999999998</v>
      </c>
    </row>
    <row r="45" spans="1:22" hidden="1">
      <c r="A45" s="26" t="s">
        <v>13</v>
      </c>
      <c r="B45" s="26" t="s">
        <v>61</v>
      </c>
      <c r="C45" s="30">
        <v>12.2</v>
      </c>
      <c r="D45" s="27">
        <v>7.13</v>
      </c>
      <c r="E45" s="28"/>
      <c r="F45" s="16"/>
      <c r="G45" s="16"/>
      <c r="H45" s="18"/>
      <c r="I45" s="19">
        <f t="shared" ref="I45:I46" si="59">(C45*D45*H45/1000)</f>
        <v>0</v>
      </c>
      <c r="J45" s="16"/>
      <c r="K45" s="18"/>
      <c r="L45" s="19">
        <f t="shared" ref="L45:L46" si="60">(C45*D45*K45/1000)</f>
        <v>0</v>
      </c>
      <c r="M45" s="16" t="s">
        <v>150</v>
      </c>
      <c r="N45" s="18"/>
      <c r="O45" s="19">
        <f t="shared" ref="O45:O46" si="61">(C45*D45*N45/1000)</f>
        <v>0</v>
      </c>
      <c r="P45" s="16"/>
      <c r="Q45" s="18">
        <f>8+36</f>
        <v>44</v>
      </c>
      <c r="R45" s="19">
        <f t="shared" ref="R45:R46" si="62">(C45*D45*Q45/1000)</f>
        <v>3.8273839999999995</v>
      </c>
      <c r="S45" s="20">
        <f t="shared" ref="S45:S46" si="63">+H45+K45+Q45+N45</f>
        <v>44</v>
      </c>
      <c r="T45" s="19">
        <f t="shared" ref="T45:T46" si="64">+I45+L45+R45+O45</f>
        <v>3.8273839999999995</v>
      </c>
      <c r="U45" s="21">
        <f t="shared" ref="U45:U46" si="65">E45-S45</f>
        <v>-44</v>
      </c>
      <c r="V45" s="19">
        <f t="shared" ref="V45:V46" si="66">F45-T45</f>
        <v>-3.8273839999999995</v>
      </c>
    </row>
    <row r="46" spans="1:22" hidden="1">
      <c r="A46" s="26" t="s">
        <v>13</v>
      </c>
      <c r="B46" s="26" t="s">
        <v>61</v>
      </c>
      <c r="C46" s="30">
        <v>12.2</v>
      </c>
      <c r="D46" s="27">
        <v>10.25</v>
      </c>
      <c r="E46" s="28"/>
      <c r="F46" s="16"/>
      <c r="G46" s="16"/>
      <c r="H46" s="18"/>
      <c r="I46" s="19">
        <f t="shared" si="59"/>
        <v>0</v>
      </c>
      <c r="J46" s="16"/>
      <c r="K46" s="18"/>
      <c r="L46" s="19">
        <f t="shared" si="60"/>
        <v>0</v>
      </c>
      <c r="M46" s="16" t="s">
        <v>562</v>
      </c>
      <c r="N46" s="18"/>
      <c r="O46" s="19">
        <f t="shared" si="61"/>
        <v>0</v>
      </c>
      <c r="P46" s="16"/>
      <c r="Q46" s="18">
        <v>15</v>
      </c>
      <c r="R46" s="19">
        <f t="shared" si="62"/>
        <v>1.87575</v>
      </c>
      <c r="S46" s="20">
        <f t="shared" si="63"/>
        <v>15</v>
      </c>
      <c r="T46" s="19">
        <f t="shared" si="64"/>
        <v>1.87575</v>
      </c>
      <c r="U46" s="21">
        <f t="shared" si="65"/>
        <v>-15</v>
      </c>
      <c r="V46" s="19">
        <f t="shared" si="66"/>
        <v>-1.87575</v>
      </c>
    </row>
    <row r="47" spans="1:22" hidden="1">
      <c r="A47" s="26" t="s">
        <v>13</v>
      </c>
      <c r="B47" s="26" t="s">
        <v>61</v>
      </c>
      <c r="C47" s="30">
        <v>12.2</v>
      </c>
      <c r="D47" s="27">
        <v>10.4</v>
      </c>
      <c r="E47" s="28"/>
      <c r="F47" s="16"/>
      <c r="G47" s="16"/>
      <c r="H47" s="18"/>
      <c r="I47" s="19">
        <f t="shared" si="46"/>
        <v>0</v>
      </c>
      <c r="J47" s="16"/>
      <c r="K47" s="18"/>
      <c r="L47" s="19">
        <f t="shared" si="47"/>
        <v>0</v>
      </c>
      <c r="M47" s="16"/>
      <c r="N47" s="18"/>
      <c r="O47" s="19">
        <f t="shared" si="48"/>
        <v>0</v>
      </c>
      <c r="P47" s="16"/>
      <c r="Q47" s="18">
        <v>2</v>
      </c>
      <c r="R47" s="19">
        <f t="shared" si="54"/>
        <v>0.25375999999999999</v>
      </c>
      <c r="S47" s="20">
        <f t="shared" si="55"/>
        <v>2</v>
      </c>
      <c r="T47" s="19">
        <f t="shared" si="56"/>
        <v>0.25375999999999999</v>
      </c>
      <c r="U47" s="21">
        <f t="shared" si="57"/>
        <v>-2</v>
      </c>
      <c r="V47" s="19">
        <f t="shared" si="58"/>
        <v>-0.25375999999999999</v>
      </c>
    </row>
    <row r="48" spans="1:22" hidden="1">
      <c r="A48" s="36"/>
      <c r="B48" s="36"/>
      <c r="C48" s="37"/>
      <c r="D48" s="38"/>
      <c r="E48" s="31">
        <f>SUM(E37:E47)</f>
        <v>2222</v>
      </c>
      <c r="F48" s="38">
        <f>SUM(F37:F47)</f>
        <v>295.69444999999996</v>
      </c>
      <c r="G48" s="16"/>
      <c r="H48" s="31">
        <f>SUM(H37:H47)</f>
        <v>963</v>
      </c>
      <c r="I48" s="38">
        <f>SUM(I37:I47)</f>
        <v>128.35315</v>
      </c>
      <c r="J48" s="16"/>
      <c r="K48" s="31">
        <f>SUM(K37:K47)</f>
        <v>982</v>
      </c>
      <c r="L48" s="38">
        <f>SUM(L37:L47)</f>
        <v>131.19574999999998</v>
      </c>
      <c r="M48" s="16"/>
      <c r="N48" s="31">
        <f>SUM(N37:N47)</f>
        <v>193</v>
      </c>
      <c r="O48" s="38">
        <f>SUM(O37:O47)</f>
        <v>25.548019999999998</v>
      </c>
      <c r="P48" s="16"/>
      <c r="Q48" s="31">
        <f t="shared" ref="Q48:V48" si="67">SUM(Q37:Q47)</f>
        <v>98</v>
      </c>
      <c r="R48" s="38">
        <f t="shared" si="67"/>
        <v>10.828963999999999</v>
      </c>
      <c r="S48" s="31">
        <f t="shared" si="67"/>
        <v>2236</v>
      </c>
      <c r="T48" s="38">
        <f t="shared" si="67"/>
        <v>295.925884</v>
      </c>
      <c r="U48" s="31">
        <f t="shared" si="67"/>
        <v>-14</v>
      </c>
      <c r="V48" s="38">
        <f t="shared" si="67"/>
        <v>-0.231434000000035</v>
      </c>
    </row>
    <row r="49" spans="1:22" hidden="1">
      <c r="A49" s="26" t="s">
        <v>13</v>
      </c>
      <c r="B49" s="26" t="s">
        <v>25</v>
      </c>
      <c r="C49" s="30">
        <v>13.4</v>
      </c>
      <c r="D49" s="27">
        <v>11.3</v>
      </c>
      <c r="E49" s="28">
        <v>388</v>
      </c>
      <c r="F49" s="16">
        <f>(C49*D49*E49/1000)</f>
        <v>58.750960000000006</v>
      </c>
      <c r="G49" s="17" t="s">
        <v>89</v>
      </c>
      <c r="H49" s="18">
        <f>215+40+99</f>
        <v>354</v>
      </c>
      <c r="I49" s="19">
        <f>(C49*D49*H49/1000)</f>
        <v>53.602680000000007</v>
      </c>
      <c r="J49" s="16" t="s">
        <v>560</v>
      </c>
      <c r="K49" s="18"/>
      <c r="L49" s="19">
        <f>(C49*D49*K49/1000)</f>
        <v>0</v>
      </c>
      <c r="M49" s="16" t="s">
        <v>150</v>
      </c>
      <c r="N49" s="18">
        <v>4</v>
      </c>
      <c r="O49" s="19">
        <f>(C49*D49*N49/1000)</f>
        <v>0.60568000000000011</v>
      </c>
      <c r="P49" s="16"/>
      <c r="Q49" s="18"/>
      <c r="R49" s="19">
        <f>(C49*D49*Q49/1000)</f>
        <v>0</v>
      </c>
      <c r="S49" s="20">
        <f>+H49+K49+Q49+N49</f>
        <v>358</v>
      </c>
      <c r="T49" s="19">
        <f>+I49+L49+R49+O49</f>
        <v>54.208360000000006</v>
      </c>
      <c r="U49" s="21">
        <f>E49-S49</f>
        <v>30</v>
      </c>
      <c r="V49" s="19">
        <f>F49-T49</f>
        <v>4.5426000000000002</v>
      </c>
    </row>
    <row r="50" spans="1:22" hidden="1">
      <c r="A50" s="26" t="s">
        <v>13</v>
      </c>
      <c r="B50" s="26" t="s">
        <v>25</v>
      </c>
      <c r="C50" s="30">
        <v>13.4</v>
      </c>
      <c r="D50" s="27">
        <v>12</v>
      </c>
      <c r="E50" s="28"/>
      <c r="F50" s="16">
        <f t="shared" ref="F50:F60" si="68">(C50*D50*E50/1000)</f>
        <v>0</v>
      </c>
      <c r="G50" s="17" t="s">
        <v>531</v>
      </c>
      <c r="H50" s="18"/>
      <c r="I50" s="19">
        <f t="shared" ref="I50:I60" si="69">(C50*D50*H50/1000)</f>
        <v>0</v>
      </c>
      <c r="J50" s="16" t="s">
        <v>561</v>
      </c>
      <c r="K50" s="18">
        <v>7</v>
      </c>
      <c r="L50" s="19">
        <f t="shared" ref="L50:L60" si="70">(C50*D50*K50/1000)</f>
        <v>1.1256000000000002</v>
      </c>
      <c r="M50" s="16" t="s">
        <v>562</v>
      </c>
      <c r="N50" s="18">
        <v>1</v>
      </c>
      <c r="O50" s="19">
        <f t="shared" ref="O50:O60" si="71">(C50*D50*N50/1000)</f>
        <v>0.1608</v>
      </c>
      <c r="P50" s="16"/>
      <c r="Q50" s="18"/>
      <c r="R50" s="19">
        <f t="shared" ref="R50:R60" si="72">(C50*D50*Q50/1000)</f>
        <v>0</v>
      </c>
      <c r="S50" s="20">
        <f t="shared" ref="S50:S60" si="73">+H50+K50+Q50+N50</f>
        <v>8</v>
      </c>
      <c r="T50" s="19">
        <f t="shared" ref="T50:T60" si="74">+I50+L50+R50+O50</f>
        <v>1.2864000000000002</v>
      </c>
      <c r="U50" s="21">
        <f t="shared" ref="U50:U60" si="75">E50-S50</f>
        <v>-8</v>
      </c>
      <c r="V50" s="19">
        <f t="shared" ref="V50:V60" si="76">F50-T50</f>
        <v>-1.2864000000000002</v>
      </c>
    </row>
    <row r="51" spans="1:22" hidden="1">
      <c r="A51" s="26" t="s">
        <v>13</v>
      </c>
      <c r="B51" s="26" t="s">
        <v>25</v>
      </c>
      <c r="C51" s="30">
        <v>13.4</v>
      </c>
      <c r="D51" s="27">
        <v>10.5</v>
      </c>
      <c r="E51" s="28"/>
      <c r="F51" s="16">
        <f t="shared" si="68"/>
        <v>0</v>
      </c>
      <c r="G51" s="16" t="s">
        <v>88</v>
      </c>
      <c r="H51" s="18"/>
      <c r="I51" s="19">
        <f t="shared" si="69"/>
        <v>0</v>
      </c>
      <c r="J51" s="16"/>
      <c r="K51" s="18">
        <v>4</v>
      </c>
      <c r="L51" s="19">
        <f t="shared" si="70"/>
        <v>0.56280000000000008</v>
      </c>
      <c r="M51" s="16"/>
      <c r="N51" s="18">
        <v>2</v>
      </c>
      <c r="O51" s="19">
        <f t="shared" si="71"/>
        <v>0.28140000000000004</v>
      </c>
      <c r="P51" s="16"/>
      <c r="Q51" s="18"/>
      <c r="R51" s="19">
        <f t="shared" si="72"/>
        <v>0</v>
      </c>
      <c r="S51" s="20">
        <f t="shared" si="73"/>
        <v>6</v>
      </c>
      <c r="T51" s="19">
        <f t="shared" si="74"/>
        <v>0.84420000000000006</v>
      </c>
      <c r="U51" s="21">
        <f t="shared" si="75"/>
        <v>-6</v>
      </c>
      <c r="V51" s="19">
        <f t="shared" si="76"/>
        <v>-0.84420000000000006</v>
      </c>
    </row>
    <row r="52" spans="1:22" hidden="1">
      <c r="A52" s="26" t="s">
        <v>13</v>
      </c>
      <c r="B52" s="26" t="s">
        <v>25</v>
      </c>
      <c r="C52" s="30">
        <v>13.4</v>
      </c>
      <c r="D52" s="27">
        <v>9</v>
      </c>
      <c r="E52" s="28"/>
      <c r="F52" s="16">
        <f t="shared" si="68"/>
        <v>0</v>
      </c>
      <c r="G52" s="16" t="s">
        <v>540</v>
      </c>
      <c r="H52" s="18"/>
      <c r="I52" s="19">
        <f t="shared" si="69"/>
        <v>0</v>
      </c>
      <c r="J52" s="16"/>
      <c r="K52" s="18">
        <v>1</v>
      </c>
      <c r="L52" s="19">
        <f t="shared" si="70"/>
        <v>0.12060000000000001</v>
      </c>
      <c r="M52" s="16"/>
      <c r="N52" s="18"/>
      <c r="O52" s="19">
        <f t="shared" si="71"/>
        <v>0</v>
      </c>
      <c r="P52" s="16"/>
      <c r="Q52" s="18"/>
      <c r="R52" s="19">
        <f t="shared" si="72"/>
        <v>0</v>
      </c>
      <c r="S52" s="20">
        <f t="shared" si="73"/>
        <v>1</v>
      </c>
      <c r="T52" s="19">
        <f t="shared" si="74"/>
        <v>0.12060000000000001</v>
      </c>
      <c r="U52" s="21">
        <f t="shared" si="75"/>
        <v>-1</v>
      </c>
      <c r="V52" s="19">
        <f t="shared" si="76"/>
        <v>-0.12060000000000001</v>
      </c>
    </row>
    <row r="53" spans="1:22" hidden="1">
      <c r="A53" s="26" t="s">
        <v>13</v>
      </c>
      <c r="B53" s="26" t="s">
        <v>25</v>
      </c>
      <c r="C53" s="30">
        <v>13.4</v>
      </c>
      <c r="D53" s="27">
        <v>8.6</v>
      </c>
      <c r="E53" s="28"/>
      <c r="F53" s="16">
        <f t="shared" si="68"/>
        <v>0</v>
      </c>
      <c r="G53" s="16" t="s">
        <v>86</v>
      </c>
      <c r="H53" s="18"/>
      <c r="I53" s="19">
        <f t="shared" si="69"/>
        <v>0</v>
      </c>
      <c r="J53" s="16"/>
      <c r="K53" s="18">
        <v>1</v>
      </c>
      <c r="L53" s="19">
        <f t="shared" si="70"/>
        <v>0.11524</v>
      </c>
      <c r="M53" s="16"/>
      <c r="N53" s="18"/>
      <c r="O53" s="19">
        <f t="shared" si="71"/>
        <v>0</v>
      </c>
      <c r="P53" s="16"/>
      <c r="Q53" s="18"/>
      <c r="R53" s="19">
        <f t="shared" si="72"/>
        <v>0</v>
      </c>
      <c r="S53" s="20">
        <f t="shared" si="73"/>
        <v>1</v>
      </c>
      <c r="T53" s="19">
        <f t="shared" si="74"/>
        <v>0.11524</v>
      </c>
      <c r="U53" s="21">
        <f t="shared" si="75"/>
        <v>-1</v>
      </c>
      <c r="V53" s="19">
        <f t="shared" si="76"/>
        <v>-0.11524</v>
      </c>
    </row>
    <row r="54" spans="1:22" hidden="1">
      <c r="A54" s="26" t="s">
        <v>13</v>
      </c>
      <c r="B54" s="26" t="s">
        <v>25</v>
      </c>
      <c r="C54" s="30">
        <v>13.4</v>
      </c>
      <c r="D54" s="27">
        <v>8</v>
      </c>
      <c r="E54" s="28"/>
      <c r="F54" s="16">
        <f t="shared" si="68"/>
        <v>0</v>
      </c>
      <c r="G54" s="16" t="s">
        <v>555</v>
      </c>
      <c r="H54" s="18"/>
      <c r="I54" s="19">
        <f t="shared" si="69"/>
        <v>0</v>
      </c>
      <c r="J54" s="16"/>
      <c r="K54" s="18">
        <v>2</v>
      </c>
      <c r="L54" s="19">
        <f t="shared" si="70"/>
        <v>0.21440000000000001</v>
      </c>
      <c r="M54" s="16"/>
      <c r="N54" s="18"/>
      <c r="O54" s="19">
        <f t="shared" si="71"/>
        <v>0</v>
      </c>
      <c r="P54" s="16"/>
      <c r="Q54" s="18"/>
      <c r="R54" s="19">
        <f t="shared" si="72"/>
        <v>0</v>
      </c>
      <c r="S54" s="20">
        <f t="shared" si="73"/>
        <v>2</v>
      </c>
      <c r="T54" s="19">
        <f t="shared" si="74"/>
        <v>0.21440000000000001</v>
      </c>
      <c r="U54" s="21">
        <f t="shared" si="75"/>
        <v>-2</v>
      </c>
      <c r="V54" s="19">
        <f t="shared" si="76"/>
        <v>-0.21440000000000001</v>
      </c>
    </row>
    <row r="55" spans="1:22" hidden="1">
      <c r="A55" s="26" t="s">
        <v>13</v>
      </c>
      <c r="B55" s="26" t="s">
        <v>25</v>
      </c>
      <c r="C55" s="30">
        <v>13.4</v>
      </c>
      <c r="D55" s="27">
        <v>9.5</v>
      </c>
      <c r="E55" s="28"/>
      <c r="F55" s="16">
        <f t="shared" si="68"/>
        <v>0</v>
      </c>
      <c r="G55" s="16" t="s">
        <v>560</v>
      </c>
      <c r="H55" s="18"/>
      <c r="I55" s="19">
        <f t="shared" si="69"/>
        <v>0</v>
      </c>
      <c r="J55" s="16"/>
      <c r="K55" s="18"/>
      <c r="L55" s="19">
        <f t="shared" si="70"/>
        <v>0</v>
      </c>
      <c r="M55" s="16"/>
      <c r="N55" s="18">
        <v>1</v>
      </c>
      <c r="O55" s="19">
        <f t="shared" si="71"/>
        <v>0.1273</v>
      </c>
      <c r="P55" s="16"/>
      <c r="Q55" s="18"/>
      <c r="R55" s="19">
        <f t="shared" si="72"/>
        <v>0</v>
      </c>
      <c r="S55" s="20">
        <f t="shared" si="73"/>
        <v>1</v>
      </c>
      <c r="T55" s="19">
        <f t="shared" si="74"/>
        <v>0.1273</v>
      </c>
      <c r="U55" s="21">
        <f t="shared" si="75"/>
        <v>-1</v>
      </c>
      <c r="V55" s="19">
        <f t="shared" si="76"/>
        <v>-0.1273</v>
      </c>
    </row>
    <row r="56" spans="1:22" hidden="1">
      <c r="A56" s="26" t="s">
        <v>13</v>
      </c>
      <c r="B56" s="26" t="s">
        <v>25</v>
      </c>
      <c r="C56" s="30">
        <v>13.4</v>
      </c>
      <c r="D56" s="27">
        <v>10.4</v>
      </c>
      <c r="E56" s="28"/>
      <c r="F56" s="16">
        <f t="shared" si="68"/>
        <v>0</v>
      </c>
      <c r="G56" s="16" t="s">
        <v>561</v>
      </c>
      <c r="H56" s="18"/>
      <c r="I56" s="19">
        <f t="shared" si="69"/>
        <v>0</v>
      </c>
      <c r="J56" s="16"/>
      <c r="K56" s="18"/>
      <c r="L56" s="19">
        <f t="shared" si="70"/>
        <v>0</v>
      </c>
      <c r="M56" s="16"/>
      <c r="N56" s="18">
        <v>1</v>
      </c>
      <c r="O56" s="19">
        <f t="shared" si="71"/>
        <v>0.13936000000000001</v>
      </c>
      <c r="P56" s="16"/>
      <c r="Q56" s="18"/>
      <c r="R56" s="19">
        <f t="shared" si="72"/>
        <v>0</v>
      </c>
      <c r="S56" s="20">
        <f t="shared" si="73"/>
        <v>1</v>
      </c>
      <c r="T56" s="19">
        <f t="shared" si="74"/>
        <v>0.13936000000000001</v>
      </c>
      <c r="U56" s="21">
        <f t="shared" si="75"/>
        <v>-1</v>
      </c>
      <c r="V56" s="19">
        <f t="shared" si="76"/>
        <v>-0.13936000000000001</v>
      </c>
    </row>
    <row r="57" spans="1:22" hidden="1">
      <c r="A57" s="26" t="s">
        <v>13</v>
      </c>
      <c r="B57" s="26" t="s">
        <v>25</v>
      </c>
      <c r="C57" s="30">
        <v>13.4</v>
      </c>
      <c r="D57" s="27">
        <v>11.2</v>
      </c>
      <c r="E57" s="28"/>
      <c r="F57" s="16">
        <f t="shared" ref="F57:F59" si="77">(C57*D57*E57/1000)</f>
        <v>0</v>
      </c>
      <c r="G57" s="17"/>
      <c r="H57" s="18"/>
      <c r="I57" s="19">
        <f t="shared" ref="I57:I59" si="78">(C57*D57*H57/1000)</f>
        <v>0</v>
      </c>
      <c r="J57" s="16"/>
      <c r="K57" s="18"/>
      <c r="L57" s="19">
        <f t="shared" ref="L57:L59" si="79">(C57*D57*K57/1000)</f>
        <v>0</v>
      </c>
      <c r="M57" s="16"/>
      <c r="N57" s="18">
        <v>4</v>
      </c>
      <c r="O57" s="19">
        <f t="shared" ref="O57:O59" si="80">(C57*D57*N57/1000)</f>
        <v>0.60031999999999996</v>
      </c>
      <c r="P57" s="16"/>
      <c r="Q57" s="18"/>
      <c r="R57" s="19">
        <f t="shared" ref="R57:R59" si="81">(C57*D57*Q57/1000)</f>
        <v>0</v>
      </c>
      <c r="S57" s="20">
        <f t="shared" ref="S57:S59" si="82">+H57+K57+Q57+N57</f>
        <v>4</v>
      </c>
      <c r="T57" s="19">
        <f t="shared" ref="T57:T59" si="83">+I57+L57+R57+O57</f>
        <v>0.60031999999999996</v>
      </c>
      <c r="U57" s="21">
        <f t="shared" ref="U57:U59" si="84">E57-S57</f>
        <v>-4</v>
      </c>
      <c r="V57" s="19">
        <f t="shared" ref="V57:V59" si="85">F57-T57</f>
        <v>-0.60031999999999996</v>
      </c>
    </row>
    <row r="58" spans="1:22" hidden="1">
      <c r="A58" s="26" t="s">
        <v>13</v>
      </c>
      <c r="B58" s="26" t="s">
        <v>25</v>
      </c>
      <c r="C58" s="30">
        <v>13.4</v>
      </c>
      <c r="D58" s="27">
        <v>11</v>
      </c>
      <c r="E58" s="28"/>
      <c r="F58" s="16">
        <f t="shared" si="77"/>
        <v>0</v>
      </c>
      <c r="G58" s="17"/>
      <c r="H58" s="18"/>
      <c r="I58" s="19">
        <f t="shared" si="78"/>
        <v>0</v>
      </c>
      <c r="J58" s="16"/>
      <c r="K58" s="18"/>
      <c r="L58" s="19">
        <f t="shared" si="79"/>
        <v>0</v>
      </c>
      <c r="M58" s="16"/>
      <c r="N58" s="18">
        <v>8</v>
      </c>
      <c r="O58" s="19">
        <f t="shared" si="80"/>
        <v>1.1792</v>
      </c>
      <c r="P58" s="16"/>
      <c r="Q58" s="18"/>
      <c r="R58" s="19">
        <f t="shared" si="81"/>
        <v>0</v>
      </c>
      <c r="S58" s="20">
        <f t="shared" si="82"/>
        <v>8</v>
      </c>
      <c r="T58" s="19">
        <f t="shared" si="83"/>
        <v>1.1792</v>
      </c>
      <c r="U58" s="21">
        <f t="shared" si="84"/>
        <v>-8</v>
      </c>
      <c r="V58" s="19">
        <f t="shared" si="85"/>
        <v>-1.1792</v>
      </c>
    </row>
    <row r="59" spans="1:22" hidden="1">
      <c r="A59" s="26" t="s">
        <v>13</v>
      </c>
      <c r="B59" s="26" t="s">
        <v>25</v>
      </c>
      <c r="C59" s="30">
        <v>13.4</v>
      </c>
      <c r="D59" s="27"/>
      <c r="E59" s="28"/>
      <c r="F59" s="16">
        <f t="shared" si="77"/>
        <v>0</v>
      </c>
      <c r="G59" s="17"/>
      <c r="H59" s="18"/>
      <c r="I59" s="19">
        <f t="shared" si="78"/>
        <v>0</v>
      </c>
      <c r="J59" s="16"/>
      <c r="K59" s="18"/>
      <c r="L59" s="19">
        <f t="shared" si="79"/>
        <v>0</v>
      </c>
      <c r="M59" s="16"/>
      <c r="N59" s="18"/>
      <c r="O59" s="19">
        <f t="shared" si="80"/>
        <v>0</v>
      </c>
      <c r="P59" s="16"/>
      <c r="Q59" s="18"/>
      <c r="R59" s="19">
        <f t="shared" si="81"/>
        <v>0</v>
      </c>
      <c r="S59" s="20">
        <f t="shared" si="82"/>
        <v>0</v>
      </c>
      <c r="T59" s="19">
        <f t="shared" si="83"/>
        <v>0</v>
      </c>
      <c r="U59" s="21">
        <f t="shared" si="84"/>
        <v>0</v>
      </c>
      <c r="V59" s="19">
        <f t="shared" si="85"/>
        <v>0</v>
      </c>
    </row>
    <row r="60" spans="1:22" hidden="1">
      <c r="A60" s="26" t="s">
        <v>13</v>
      </c>
      <c r="B60" s="26" t="s">
        <v>25</v>
      </c>
      <c r="C60" s="30">
        <v>13.4</v>
      </c>
      <c r="D60" s="27"/>
      <c r="E60" s="28"/>
      <c r="F60" s="16">
        <f t="shared" si="68"/>
        <v>0</v>
      </c>
      <c r="G60" s="17"/>
      <c r="H60" s="18"/>
      <c r="I60" s="19">
        <f t="shared" si="69"/>
        <v>0</v>
      </c>
      <c r="J60" s="16"/>
      <c r="K60" s="18"/>
      <c r="L60" s="19">
        <f t="shared" si="70"/>
        <v>0</v>
      </c>
      <c r="M60" s="16"/>
      <c r="N60" s="18"/>
      <c r="O60" s="19">
        <f t="shared" si="71"/>
        <v>0</v>
      </c>
      <c r="P60" s="16"/>
      <c r="Q60" s="18"/>
      <c r="R60" s="19">
        <f t="shared" si="72"/>
        <v>0</v>
      </c>
      <c r="S60" s="20">
        <f t="shared" si="73"/>
        <v>0</v>
      </c>
      <c r="T60" s="19">
        <f t="shared" si="74"/>
        <v>0</v>
      </c>
      <c r="U60" s="21">
        <f t="shared" si="75"/>
        <v>0</v>
      </c>
      <c r="V60" s="19">
        <f t="shared" si="76"/>
        <v>0</v>
      </c>
    </row>
    <row r="61" spans="1:22" hidden="1">
      <c r="A61" s="36"/>
      <c r="B61" s="36"/>
      <c r="C61" s="37"/>
      <c r="D61" s="38"/>
      <c r="E61" s="31">
        <f t="shared" ref="E61:F61" si="86">SUM(E49:E60)</f>
        <v>388</v>
      </c>
      <c r="F61" s="38">
        <f t="shared" si="86"/>
        <v>58.750960000000006</v>
      </c>
      <c r="G61" s="17"/>
      <c r="H61" s="31">
        <f t="shared" ref="H61" si="87">SUM(H49:H60)</f>
        <v>354</v>
      </c>
      <c r="I61" s="38">
        <f t="shared" ref="I61" si="88">SUM(I49:I60)</f>
        <v>53.602680000000007</v>
      </c>
      <c r="J61" s="16"/>
      <c r="K61" s="31">
        <f t="shared" ref="K61" si="89">SUM(K49:K60)</f>
        <v>15</v>
      </c>
      <c r="L61" s="38">
        <f t="shared" ref="L61" si="90">SUM(L49:L60)</f>
        <v>2.1386400000000001</v>
      </c>
      <c r="M61" s="16"/>
      <c r="N61" s="31">
        <f t="shared" ref="N61" si="91">SUM(N49:N60)</f>
        <v>21</v>
      </c>
      <c r="O61" s="38">
        <f t="shared" ref="O61" si="92">SUM(O49:O60)</f>
        <v>3.0940599999999998</v>
      </c>
      <c r="P61" s="16"/>
      <c r="Q61" s="31">
        <f t="shared" ref="Q61" si="93">SUM(Q49:Q60)</f>
        <v>0</v>
      </c>
      <c r="R61" s="38">
        <f t="shared" ref="R61" si="94">SUM(R49:R60)</f>
        <v>0</v>
      </c>
      <c r="S61" s="31">
        <f t="shared" ref="S61" si="95">SUM(S49:S60)</f>
        <v>390</v>
      </c>
      <c r="T61" s="38">
        <f t="shared" ref="T61" si="96">SUM(T49:T60)</f>
        <v>58.835380000000008</v>
      </c>
      <c r="U61" s="31">
        <f t="shared" ref="U61" si="97">SUM(U49:U60)</f>
        <v>-2</v>
      </c>
      <c r="V61" s="38">
        <f t="shared" ref="V61" si="98">SUM(V49:V60)</f>
        <v>-8.441999999999994E-2</v>
      </c>
    </row>
    <row r="62" spans="1:22" hidden="1">
      <c r="A62" s="26" t="s">
        <v>13</v>
      </c>
      <c r="B62" s="26" t="s">
        <v>47</v>
      </c>
      <c r="C62" s="30">
        <v>18.2</v>
      </c>
      <c r="D62" s="27">
        <v>11.35</v>
      </c>
      <c r="E62" s="28">
        <v>194</v>
      </c>
      <c r="F62" s="16">
        <f>(C62*D62*E62/1000)</f>
        <v>40.074580000000005</v>
      </c>
      <c r="G62" s="16" t="s">
        <v>111</v>
      </c>
      <c r="H62" s="18">
        <v>90</v>
      </c>
      <c r="I62" s="19">
        <f>(C62*D62*H62/1000)</f>
        <v>18.5913</v>
      </c>
      <c r="J62" s="16" t="s">
        <v>111</v>
      </c>
      <c r="K62" s="18">
        <v>71</v>
      </c>
      <c r="L62" s="19">
        <f>(C62*D62*K62/1000)</f>
        <v>14.666469999999999</v>
      </c>
      <c r="M62" s="16" t="s">
        <v>205</v>
      </c>
      <c r="N62" s="18">
        <f>15+9</f>
        <v>24</v>
      </c>
      <c r="O62" s="19">
        <f>(C62*D62*N62/1000)</f>
        <v>4.9576799999999999</v>
      </c>
      <c r="P62" s="16" t="s">
        <v>111</v>
      </c>
      <c r="Q62" s="18">
        <v>8</v>
      </c>
      <c r="R62" s="19">
        <f>(C62*D62*Q62/1000)</f>
        <v>1.65256</v>
      </c>
      <c r="S62" s="20">
        <f>+H62+K62+Q62+N62</f>
        <v>193</v>
      </c>
      <c r="T62" s="19">
        <f>+I62+L62+R62+O62</f>
        <v>39.868009999999998</v>
      </c>
      <c r="U62" s="21">
        <f>E62-S62</f>
        <v>1</v>
      </c>
      <c r="V62" s="19">
        <f>F62-T62</f>
        <v>0.20657000000000636</v>
      </c>
    </row>
    <row r="63" spans="1:22" hidden="1">
      <c r="A63" s="26" t="s">
        <v>13</v>
      </c>
      <c r="B63" s="26" t="s">
        <v>47</v>
      </c>
      <c r="C63" s="30">
        <v>18.2</v>
      </c>
      <c r="D63" s="27">
        <v>11.7</v>
      </c>
      <c r="E63" s="28"/>
      <c r="F63" s="16">
        <f>(C63*D63*E63/1000)</f>
        <v>0</v>
      </c>
      <c r="G63" s="16" t="s">
        <v>564</v>
      </c>
      <c r="H63" s="18">
        <v>1</v>
      </c>
      <c r="I63" s="19">
        <f>(C63*D63*H63/1000)</f>
        <v>0.21293999999999996</v>
      </c>
      <c r="J63" s="16" t="s">
        <v>564</v>
      </c>
      <c r="K63" s="18"/>
      <c r="L63" s="19">
        <f>(C63*D63*K63/1000)</f>
        <v>0</v>
      </c>
      <c r="M63" s="16" t="s">
        <v>565</v>
      </c>
      <c r="N63" s="18"/>
      <c r="O63" s="19">
        <f>(C63*D63*N63/1000)</f>
        <v>0</v>
      </c>
      <c r="P63" s="16" t="s">
        <v>577</v>
      </c>
      <c r="Q63" s="18">
        <v>1</v>
      </c>
      <c r="R63" s="19">
        <f>(C63*D63*Q63/1000)</f>
        <v>0.21293999999999996</v>
      </c>
      <c r="S63" s="20">
        <f>+H63+K63+Q63+N63</f>
        <v>2</v>
      </c>
      <c r="T63" s="19">
        <f>+I63+L63+R63+O63</f>
        <v>0.42587999999999993</v>
      </c>
      <c r="U63" s="21">
        <f>E63-S63</f>
        <v>-2</v>
      </c>
      <c r="V63" s="19">
        <f>F63-T63</f>
        <v>-0.42587999999999993</v>
      </c>
    </row>
    <row r="64" spans="1:22" hidden="1">
      <c r="A64" s="36"/>
      <c r="B64" s="36"/>
      <c r="C64" s="37"/>
      <c r="D64" s="38"/>
      <c r="E64" s="31">
        <f t="shared" ref="E64:F64" si="99">SUM(E62:E63)</f>
        <v>194</v>
      </c>
      <c r="F64" s="38">
        <f t="shared" si="99"/>
        <v>40.074580000000005</v>
      </c>
      <c r="G64" s="16"/>
      <c r="H64" s="31">
        <f t="shared" ref="H64" si="100">SUM(H62:H63)</f>
        <v>91</v>
      </c>
      <c r="I64" s="38">
        <f t="shared" ref="I64" si="101">SUM(I62:I63)</f>
        <v>18.80424</v>
      </c>
      <c r="J64" s="16"/>
      <c r="K64" s="31">
        <f t="shared" ref="K64" si="102">SUM(K62:K63)</f>
        <v>71</v>
      </c>
      <c r="L64" s="38">
        <f t="shared" ref="L64" si="103">SUM(L62:L63)</f>
        <v>14.666469999999999</v>
      </c>
      <c r="M64" s="16"/>
      <c r="N64" s="31">
        <f t="shared" ref="N64" si="104">SUM(N62:N63)</f>
        <v>24</v>
      </c>
      <c r="O64" s="38">
        <f t="shared" ref="O64" si="105">SUM(O62:O63)</f>
        <v>4.9576799999999999</v>
      </c>
      <c r="P64" s="16"/>
      <c r="Q64" s="31">
        <f t="shared" ref="Q64" si="106">SUM(Q62:Q63)</f>
        <v>9</v>
      </c>
      <c r="R64" s="38">
        <f t="shared" ref="R64" si="107">SUM(R62:R63)</f>
        <v>1.8654999999999999</v>
      </c>
      <c r="S64" s="31">
        <f t="shared" ref="S64" si="108">SUM(S62:S63)</f>
        <v>195</v>
      </c>
      <c r="T64" s="38">
        <f t="shared" ref="T64" si="109">SUM(T62:T63)</f>
        <v>40.293889999999998</v>
      </c>
      <c r="U64" s="31">
        <f t="shared" ref="U64" si="110">SUM(U62:U63)</f>
        <v>-1</v>
      </c>
      <c r="V64" s="38">
        <f t="shared" ref="V64" si="111">SUM(V62:V63)</f>
        <v>-0.21930999999999357</v>
      </c>
    </row>
    <row r="65" spans="1:22" hidden="1">
      <c r="A65" s="26" t="s">
        <v>13</v>
      </c>
      <c r="B65" s="26" t="s">
        <v>504</v>
      </c>
      <c r="C65" s="30">
        <v>19.899999999999999</v>
      </c>
      <c r="D65" s="27">
        <v>7.3</v>
      </c>
      <c r="E65" s="28">
        <v>16</v>
      </c>
      <c r="F65" s="16">
        <f t="shared" ref="F65:F66" si="112">(C65*D65*E65/1000)</f>
        <v>2.3243199999999997</v>
      </c>
      <c r="G65" s="16" t="s">
        <v>111</v>
      </c>
      <c r="H65" s="18">
        <v>13</v>
      </c>
      <c r="I65" s="19">
        <f t="shared" ref="I65:I66" si="113">(C65*D65*H65/1000)</f>
        <v>1.8885099999999997</v>
      </c>
      <c r="J65" s="16" t="s">
        <v>205</v>
      </c>
      <c r="K65" s="18"/>
      <c r="L65" s="19">
        <f t="shared" ref="L65:L66" si="114">(C65*D65*K65/1000)</f>
        <v>0</v>
      </c>
      <c r="M65" s="17" t="s">
        <v>318</v>
      </c>
      <c r="N65" s="18"/>
      <c r="O65" s="19">
        <f t="shared" ref="O65:O66" si="115">(C65*D65*N65/1000)</f>
        <v>0</v>
      </c>
      <c r="P65" s="16" t="s">
        <v>111</v>
      </c>
      <c r="Q65" s="18">
        <v>4</v>
      </c>
      <c r="R65" s="19">
        <f t="shared" ref="R65:R66" si="116">(C65*D65*Q65/1000)</f>
        <v>0.58107999999999993</v>
      </c>
      <c r="S65" s="20">
        <f t="shared" ref="S65:S66" si="117">+H65+K65+Q65+N65</f>
        <v>17</v>
      </c>
      <c r="T65" s="19">
        <f t="shared" ref="T65:T66" si="118">+I65+L65+R65+O65</f>
        <v>2.4695899999999997</v>
      </c>
      <c r="U65" s="21">
        <f t="shared" ref="U65:U66" si="119">E65-S65</f>
        <v>-1</v>
      </c>
      <c r="V65" s="19">
        <f t="shared" ref="V65:V66" si="120">F65-T65</f>
        <v>-0.14527000000000001</v>
      </c>
    </row>
    <row r="66" spans="1:22" hidden="1">
      <c r="A66" s="26" t="s">
        <v>13</v>
      </c>
      <c r="B66" s="26" t="s">
        <v>504</v>
      </c>
      <c r="C66" s="30">
        <v>19.899999999999999</v>
      </c>
      <c r="D66" s="27">
        <v>11</v>
      </c>
      <c r="E66" s="28">
        <v>40</v>
      </c>
      <c r="F66" s="16">
        <f t="shared" si="112"/>
        <v>8.7560000000000002</v>
      </c>
      <c r="G66" s="16" t="s">
        <v>564</v>
      </c>
      <c r="H66" s="18">
        <v>12</v>
      </c>
      <c r="I66" s="19">
        <f t="shared" si="113"/>
        <v>2.6267999999999998</v>
      </c>
      <c r="J66" s="16" t="s">
        <v>565</v>
      </c>
      <c r="K66" s="18">
        <v>3</v>
      </c>
      <c r="L66" s="19">
        <f t="shared" si="114"/>
        <v>0.65669999999999995</v>
      </c>
      <c r="M66" s="17" t="s">
        <v>566</v>
      </c>
      <c r="N66" s="18">
        <f>9+10</f>
        <v>19</v>
      </c>
      <c r="O66" s="19">
        <f t="shared" si="115"/>
        <v>4.1590999999999996</v>
      </c>
      <c r="P66" s="16" t="s">
        <v>577</v>
      </c>
      <c r="Q66" s="18">
        <v>2</v>
      </c>
      <c r="R66" s="19">
        <f t="shared" si="116"/>
        <v>0.43779999999999997</v>
      </c>
      <c r="S66" s="20">
        <f t="shared" si="117"/>
        <v>36</v>
      </c>
      <c r="T66" s="19">
        <f t="shared" si="118"/>
        <v>7.880399999999999</v>
      </c>
      <c r="U66" s="21">
        <f t="shared" si="119"/>
        <v>4</v>
      </c>
      <c r="V66" s="19">
        <f t="shared" si="120"/>
        <v>0.87560000000000127</v>
      </c>
    </row>
    <row r="67" spans="1:22" hidden="1">
      <c r="A67" s="26" t="s">
        <v>13</v>
      </c>
      <c r="B67" s="26" t="s">
        <v>504</v>
      </c>
      <c r="C67" s="30">
        <v>19.899999999999999</v>
      </c>
      <c r="D67" s="27">
        <v>11.6</v>
      </c>
      <c r="E67" s="28">
        <v>11</v>
      </c>
      <c r="F67" s="16">
        <f t="shared" ref="F67:F69" si="121">(C67*D67*E67/1000)</f>
        <v>2.5392399999999999</v>
      </c>
      <c r="G67" s="17"/>
      <c r="H67" s="18"/>
      <c r="I67" s="19">
        <f t="shared" ref="I67:I69" si="122">(C67*D67*H67/1000)</f>
        <v>0</v>
      </c>
      <c r="J67" s="16"/>
      <c r="K67" s="18">
        <v>8</v>
      </c>
      <c r="L67" s="19">
        <f t="shared" ref="L67:L69" si="123">(C67*D67*K67/1000)</f>
        <v>1.8467199999999997</v>
      </c>
      <c r="M67" s="16"/>
      <c r="N67" s="18">
        <v>5</v>
      </c>
      <c r="O67" s="19">
        <f t="shared" ref="O67:O69" si="124">(C67*D67*N67/1000)</f>
        <v>1.1541999999999999</v>
      </c>
      <c r="P67" s="16"/>
      <c r="Q67" s="18"/>
      <c r="R67" s="19">
        <f t="shared" ref="R67:R69" si="125">(C67*D67*Q67/1000)</f>
        <v>0</v>
      </c>
      <c r="S67" s="20">
        <f t="shared" ref="S67:S69" si="126">+H67+K67+Q67+N67</f>
        <v>13</v>
      </c>
      <c r="T67" s="19">
        <f t="shared" ref="T67:T69" si="127">+I67+L67+R67+O67</f>
        <v>3.0009199999999998</v>
      </c>
      <c r="U67" s="21">
        <f t="shared" ref="U67:U69" si="128">E67-S67</f>
        <v>-2</v>
      </c>
      <c r="V67" s="19">
        <f t="shared" ref="V67:V69" si="129">F67-T67</f>
        <v>-0.46167999999999987</v>
      </c>
    </row>
    <row r="68" spans="1:22" hidden="1">
      <c r="A68" s="26" t="s">
        <v>13</v>
      </c>
      <c r="B68" s="26" t="s">
        <v>504</v>
      </c>
      <c r="C68" s="30">
        <v>19.899999999999999</v>
      </c>
      <c r="D68" s="27">
        <v>6.9</v>
      </c>
      <c r="E68" s="28"/>
      <c r="F68" s="16">
        <f t="shared" si="121"/>
        <v>0</v>
      </c>
      <c r="G68" s="17"/>
      <c r="H68" s="18"/>
      <c r="I68" s="19">
        <f t="shared" si="122"/>
        <v>0</v>
      </c>
      <c r="J68" s="16"/>
      <c r="K68" s="18"/>
      <c r="L68" s="19">
        <f t="shared" si="123"/>
        <v>0</v>
      </c>
      <c r="M68" s="16"/>
      <c r="N68" s="18"/>
      <c r="O68" s="19">
        <f t="shared" si="124"/>
        <v>0</v>
      </c>
      <c r="P68" s="16"/>
      <c r="Q68" s="18">
        <v>1</v>
      </c>
      <c r="R68" s="19">
        <f t="shared" si="125"/>
        <v>0.13731000000000002</v>
      </c>
      <c r="S68" s="20">
        <f t="shared" si="126"/>
        <v>1</v>
      </c>
      <c r="T68" s="19">
        <f t="shared" si="127"/>
        <v>0.13731000000000002</v>
      </c>
      <c r="U68" s="21">
        <f t="shared" si="128"/>
        <v>-1</v>
      </c>
      <c r="V68" s="19">
        <f t="shared" si="129"/>
        <v>-0.13731000000000002</v>
      </c>
    </row>
    <row r="69" spans="1:22" hidden="1">
      <c r="A69" s="26" t="s">
        <v>13</v>
      </c>
      <c r="B69" s="26" t="s">
        <v>504</v>
      </c>
      <c r="C69" s="30">
        <v>19.899999999999999</v>
      </c>
      <c r="D69" s="27">
        <v>10.5</v>
      </c>
      <c r="E69" s="28"/>
      <c r="F69" s="16">
        <f t="shared" si="121"/>
        <v>0</v>
      </c>
      <c r="G69" s="17"/>
      <c r="H69" s="18"/>
      <c r="I69" s="19">
        <f t="shared" si="122"/>
        <v>0</v>
      </c>
      <c r="J69" s="16"/>
      <c r="K69" s="18"/>
      <c r="L69" s="19">
        <f t="shared" si="123"/>
        <v>0</v>
      </c>
      <c r="M69" s="16"/>
      <c r="N69" s="18"/>
      <c r="O69" s="19">
        <f t="shared" si="124"/>
        <v>0</v>
      </c>
      <c r="P69" s="16"/>
      <c r="Q69" s="18">
        <v>2</v>
      </c>
      <c r="R69" s="19">
        <f t="shared" si="125"/>
        <v>0.41789999999999999</v>
      </c>
      <c r="S69" s="20">
        <f t="shared" si="126"/>
        <v>2</v>
      </c>
      <c r="T69" s="19">
        <f t="shared" si="127"/>
        <v>0.41789999999999999</v>
      </c>
      <c r="U69" s="21">
        <f t="shared" si="128"/>
        <v>-2</v>
      </c>
      <c r="V69" s="19">
        <f t="shared" si="129"/>
        <v>-0.41789999999999999</v>
      </c>
    </row>
    <row r="70" spans="1:22" hidden="1">
      <c r="A70" s="36"/>
      <c r="B70" s="36"/>
      <c r="C70" s="37"/>
      <c r="D70" s="38"/>
      <c r="E70" s="31">
        <f>SUM(E65:E69)</f>
        <v>67</v>
      </c>
      <c r="F70" s="38">
        <f>SUM(F65:F69)</f>
        <v>13.61956</v>
      </c>
      <c r="G70" s="17"/>
      <c r="H70" s="31">
        <f>SUM(H65:H69)</f>
        <v>25</v>
      </c>
      <c r="I70" s="38">
        <f>SUM(I65:I69)</f>
        <v>4.5153099999999995</v>
      </c>
      <c r="J70" s="16"/>
      <c r="K70" s="31">
        <f>SUM(K65:K69)</f>
        <v>11</v>
      </c>
      <c r="L70" s="38">
        <f>SUM(L65:L69)</f>
        <v>2.5034199999999998</v>
      </c>
      <c r="M70" s="16"/>
      <c r="N70" s="31">
        <f>SUM(N65:N69)</f>
        <v>24</v>
      </c>
      <c r="O70" s="38">
        <f>SUM(O65:O69)</f>
        <v>5.3132999999999999</v>
      </c>
      <c r="P70" s="16"/>
      <c r="Q70" s="31">
        <f t="shared" ref="Q70:V70" si="130">SUM(Q65:Q69)</f>
        <v>9</v>
      </c>
      <c r="R70" s="38">
        <f t="shared" si="130"/>
        <v>1.5740899999999998</v>
      </c>
      <c r="S70" s="31">
        <f t="shared" si="130"/>
        <v>69</v>
      </c>
      <c r="T70" s="38">
        <f t="shared" si="130"/>
        <v>13.906119999999998</v>
      </c>
      <c r="U70" s="31">
        <f t="shared" si="130"/>
        <v>-2</v>
      </c>
      <c r="V70" s="141">
        <f t="shared" si="130"/>
        <v>-0.28655999999999859</v>
      </c>
    </row>
    <row r="71" spans="1:22" hidden="1">
      <c r="A71" s="26" t="s">
        <v>13</v>
      </c>
      <c r="B71" s="26" t="s">
        <v>49</v>
      </c>
      <c r="C71" s="30">
        <v>14.7</v>
      </c>
      <c r="D71" s="27">
        <v>8.6</v>
      </c>
      <c r="E71" s="28">
        <v>97</v>
      </c>
      <c r="F71" s="16">
        <f>(C71*D71*E71/1000)</f>
        <v>12.262739999999997</v>
      </c>
      <c r="G71" s="16" t="s">
        <v>205</v>
      </c>
      <c r="H71" s="18">
        <v>33</v>
      </c>
      <c r="I71" s="19">
        <f>(C71*D71*H71/1000)</f>
        <v>4.1718599999999997</v>
      </c>
      <c r="J71" s="17" t="s">
        <v>318</v>
      </c>
      <c r="K71" s="18">
        <v>50</v>
      </c>
      <c r="L71" s="19">
        <f>(C71*D71*K71/1000)</f>
        <v>6.3209999999999988</v>
      </c>
      <c r="M71" s="16" t="s">
        <v>111</v>
      </c>
      <c r="N71" s="18">
        <v>14</v>
      </c>
      <c r="O71" s="19">
        <f>(C71*D71*N71/1000)</f>
        <v>1.7698799999999999</v>
      </c>
      <c r="P71" s="16"/>
      <c r="Q71" s="18"/>
      <c r="R71" s="19">
        <f>(C71*D71*Q71/1000)</f>
        <v>0</v>
      </c>
      <c r="S71" s="20">
        <f>+H71+K71+Q71+N71</f>
        <v>97</v>
      </c>
      <c r="T71" s="19">
        <f>+I71+L71+R71+O71</f>
        <v>12.262739999999999</v>
      </c>
      <c r="U71" s="21">
        <f>E71-S71</f>
        <v>0</v>
      </c>
      <c r="V71" s="19">
        <f>F71-T71</f>
        <v>0</v>
      </c>
    </row>
    <row r="72" spans="1:22" hidden="1">
      <c r="A72" s="36"/>
      <c r="B72" s="36"/>
      <c r="C72" s="37"/>
      <c r="D72" s="38"/>
      <c r="E72" s="31">
        <f t="shared" ref="E72:F72" si="131">SUM(E71)</f>
        <v>97</v>
      </c>
      <c r="F72" s="38">
        <f t="shared" si="131"/>
        <v>12.262739999999997</v>
      </c>
      <c r="G72" s="16" t="s">
        <v>565</v>
      </c>
      <c r="H72" s="31">
        <f t="shared" ref="H72:I72" si="132">SUM(H71)</f>
        <v>33</v>
      </c>
      <c r="I72" s="38">
        <f t="shared" si="132"/>
        <v>4.1718599999999997</v>
      </c>
      <c r="J72" s="17" t="s">
        <v>566</v>
      </c>
      <c r="K72" s="31">
        <f t="shared" ref="K72:L72" si="133">SUM(K71)</f>
        <v>50</v>
      </c>
      <c r="L72" s="38">
        <f t="shared" si="133"/>
        <v>6.3209999999999988</v>
      </c>
      <c r="M72" s="16" t="s">
        <v>577</v>
      </c>
      <c r="N72" s="31">
        <f t="shared" ref="N72:O72" si="134">SUM(N71)</f>
        <v>14</v>
      </c>
      <c r="O72" s="38">
        <f t="shared" si="134"/>
        <v>1.7698799999999999</v>
      </c>
      <c r="P72" s="16"/>
      <c r="Q72" s="31">
        <f t="shared" ref="Q72:V72" si="135">SUM(Q71)</f>
        <v>0</v>
      </c>
      <c r="R72" s="38">
        <f t="shared" si="135"/>
        <v>0</v>
      </c>
      <c r="S72" s="31">
        <f t="shared" si="135"/>
        <v>97</v>
      </c>
      <c r="T72" s="38">
        <f t="shared" si="135"/>
        <v>12.262739999999999</v>
      </c>
      <c r="U72" s="31">
        <f t="shared" si="135"/>
        <v>0</v>
      </c>
      <c r="V72" s="141">
        <f t="shared" si="135"/>
        <v>0</v>
      </c>
    </row>
    <row r="73" spans="1:22" hidden="1">
      <c r="A73" s="26" t="s">
        <v>13</v>
      </c>
      <c r="B73" s="26" t="s">
        <v>50</v>
      </c>
      <c r="C73" s="30">
        <v>16.5</v>
      </c>
      <c r="D73" s="27">
        <v>7.4</v>
      </c>
      <c r="E73" s="28">
        <v>1164</v>
      </c>
      <c r="F73" s="16">
        <f t="shared" ref="F73" si="136">(C73*D73*E73/1000)</f>
        <v>142.12440000000004</v>
      </c>
      <c r="G73" s="16" t="s">
        <v>93</v>
      </c>
      <c r="H73" s="18">
        <v>910</v>
      </c>
      <c r="I73" s="19">
        <f t="shared" ref="I73" si="137">(C73*D73*H73/1000)</f>
        <v>111.11100000000002</v>
      </c>
      <c r="J73" s="16" t="s">
        <v>114</v>
      </c>
      <c r="K73" s="18">
        <f>184+17</f>
        <v>201</v>
      </c>
      <c r="L73" s="19">
        <f t="shared" ref="L73" si="138">(C73*D73*K73/1000)</f>
        <v>24.542100000000001</v>
      </c>
      <c r="M73" s="16" t="s">
        <v>205</v>
      </c>
      <c r="N73" s="18">
        <v>46</v>
      </c>
      <c r="O73" s="19">
        <f t="shared" ref="O73" si="139">(C73*D73*N73/1000)</f>
        <v>5.6166</v>
      </c>
      <c r="P73" s="16" t="s">
        <v>585</v>
      </c>
      <c r="Q73" s="18">
        <v>7</v>
      </c>
      <c r="R73" s="19">
        <f t="shared" ref="R73" si="140">(C73*D73*Q73/1000)</f>
        <v>0.85470000000000002</v>
      </c>
      <c r="S73" s="20">
        <f t="shared" ref="S73" si="141">+H73+K73+Q73+N73</f>
        <v>1164</v>
      </c>
      <c r="T73" s="19">
        <f t="shared" ref="T73" si="142">+I73+L73+R73+O73</f>
        <v>142.12440000000004</v>
      </c>
      <c r="U73" s="21">
        <f t="shared" ref="U73" si="143">E73-S73</f>
        <v>0</v>
      </c>
      <c r="V73" s="19">
        <f t="shared" ref="V73" si="144">F73-T73</f>
        <v>0</v>
      </c>
    </row>
    <row r="74" spans="1:22" hidden="1">
      <c r="A74" s="26" t="s">
        <v>13</v>
      </c>
      <c r="B74" s="26" t="s">
        <v>50</v>
      </c>
      <c r="C74" s="30">
        <v>16.5</v>
      </c>
      <c r="D74" s="27">
        <v>11.15</v>
      </c>
      <c r="E74" s="28">
        <v>582</v>
      </c>
      <c r="F74" s="16">
        <f t="shared" ref="F74:F83" si="145">(C74*D74*E74/1000)</f>
        <v>107.07344999999999</v>
      </c>
      <c r="G74" s="16" t="s">
        <v>93</v>
      </c>
      <c r="H74" s="18">
        <v>140</v>
      </c>
      <c r="I74" s="19">
        <f t="shared" ref="I74:I83" si="146">(C74*D74*H74/1000)</f>
        <v>25.756499999999999</v>
      </c>
      <c r="J74" s="16" t="s">
        <v>564</v>
      </c>
      <c r="K74" s="18">
        <f t="shared" ref="K74" si="147">80+94+54+35+91</f>
        <v>354</v>
      </c>
      <c r="L74" s="19">
        <f t="shared" ref="L74:L83" si="148">(C74*D74*K74/1000)</f>
        <v>65.12715</v>
      </c>
      <c r="M74" s="16" t="s">
        <v>565</v>
      </c>
      <c r="N74" s="18">
        <f>36+11</f>
        <v>47</v>
      </c>
      <c r="O74" s="19">
        <f t="shared" ref="O74:O83" si="149">(C74*D74*N74/1000)</f>
        <v>8.6468249999999998</v>
      </c>
      <c r="P74" s="16" t="s">
        <v>584</v>
      </c>
      <c r="Q74" s="18">
        <v>3</v>
      </c>
      <c r="R74" s="19">
        <f t="shared" ref="R74:R83" si="150">(C74*D74*Q74/1000)</f>
        <v>0.551925</v>
      </c>
      <c r="S74" s="20">
        <f t="shared" ref="S74:S83" si="151">+H74+K74+Q74+N74</f>
        <v>544</v>
      </c>
      <c r="T74" s="19">
        <f t="shared" ref="T74:T83" si="152">+I74+L74+R74+O74</f>
        <v>100.08240000000001</v>
      </c>
      <c r="U74" s="21">
        <f t="shared" ref="U74:U83" si="153">E74-S74</f>
        <v>38</v>
      </c>
      <c r="V74" s="19">
        <f t="shared" ref="V74:V83" si="154">F74-T74</f>
        <v>6.9910499999999871</v>
      </c>
    </row>
    <row r="75" spans="1:22" hidden="1">
      <c r="A75" s="26" t="s">
        <v>13</v>
      </c>
      <c r="B75" s="26" t="s">
        <v>50</v>
      </c>
      <c r="C75" s="30">
        <v>16.5</v>
      </c>
      <c r="D75" s="27">
        <v>5.665</v>
      </c>
      <c r="E75" s="28"/>
      <c r="F75" s="16">
        <f t="shared" si="145"/>
        <v>0</v>
      </c>
      <c r="G75" s="16"/>
      <c r="H75" s="18"/>
      <c r="I75" s="19">
        <f t="shared" si="146"/>
        <v>0</v>
      </c>
      <c r="J75" s="16"/>
      <c r="K75" s="18"/>
      <c r="L75" s="19">
        <f t="shared" si="148"/>
        <v>0</v>
      </c>
      <c r="M75" s="16" t="s">
        <v>111</v>
      </c>
      <c r="N75" s="18">
        <v>12</v>
      </c>
      <c r="O75" s="19">
        <f t="shared" si="149"/>
        <v>1.1216700000000002</v>
      </c>
      <c r="P75" s="16"/>
      <c r="Q75" s="18">
        <v>64</v>
      </c>
      <c r="R75" s="19">
        <f t="shared" si="150"/>
        <v>5.98224</v>
      </c>
      <c r="S75" s="20">
        <f t="shared" si="151"/>
        <v>76</v>
      </c>
      <c r="T75" s="19">
        <f t="shared" si="152"/>
        <v>7.1039099999999999</v>
      </c>
      <c r="U75" s="21">
        <f t="shared" si="153"/>
        <v>-76</v>
      </c>
      <c r="V75" s="19">
        <f t="shared" si="154"/>
        <v>-7.1039099999999999</v>
      </c>
    </row>
    <row r="76" spans="1:22" hidden="1">
      <c r="A76" s="26" t="s">
        <v>13</v>
      </c>
      <c r="B76" s="26" t="s">
        <v>50</v>
      </c>
      <c r="C76" s="30">
        <v>16.5</v>
      </c>
      <c r="D76" s="27"/>
      <c r="E76" s="28"/>
      <c r="F76" s="16">
        <f t="shared" si="145"/>
        <v>0</v>
      </c>
      <c r="G76" s="16"/>
      <c r="H76" s="18"/>
      <c r="I76" s="19">
        <f t="shared" si="146"/>
        <v>0</v>
      </c>
      <c r="J76" s="16"/>
      <c r="K76" s="18"/>
      <c r="L76" s="19">
        <f t="shared" si="148"/>
        <v>0</v>
      </c>
      <c r="M76" s="16" t="s">
        <v>566</v>
      </c>
      <c r="N76" s="18"/>
      <c r="O76" s="19">
        <f t="shared" si="149"/>
        <v>0</v>
      </c>
      <c r="P76" s="16"/>
      <c r="Q76" s="18"/>
      <c r="R76" s="19">
        <f t="shared" si="150"/>
        <v>0</v>
      </c>
      <c r="S76" s="20">
        <f t="shared" si="151"/>
        <v>0</v>
      </c>
      <c r="T76" s="19">
        <f t="shared" si="152"/>
        <v>0</v>
      </c>
      <c r="U76" s="21">
        <f t="shared" si="153"/>
        <v>0</v>
      </c>
      <c r="V76" s="19">
        <f t="shared" si="154"/>
        <v>0</v>
      </c>
    </row>
    <row r="77" spans="1:22" hidden="1">
      <c r="A77" s="26" t="s">
        <v>13</v>
      </c>
      <c r="B77" s="26" t="s">
        <v>50</v>
      </c>
      <c r="C77" s="30">
        <v>16.5</v>
      </c>
      <c r="D77" s="27"/>
      <c r="E77" s="28"/>
      <c r="F77" s="16">
        <f t="shared" si="145"/>
        <v>0</v>
      </c>
      <c r="G77" s="16"/>
      <c r="H77" s="18"/>
      <c r="I77" s="19">
        <f t="shared" si="146"/>
        <v>0</v>
      </c>
      <c r="J77" s="16"/>
      <c r="K77" s="18"/>
      <c r="L77" s="19">
        <f t="shared" si="148"/>
        <v>0</v>
      </c>
      <c r="M77" s="16"/>
      <c r="N77" s="18"/>
      <c r="O77" s="19">
        <f t="shared" si="149"/>
        <v>0</v>
      </c>
      <c r="P77" s="16"/>
      <c r="Q77" s="18"/>
      <c r="R77" s="19">
        <f t="shared" si="150"/>
        <v>0</v>
      </c>
      <c r="S77" s="20">
        <f t="shared" si="151"/>
        <v>0</v>
      </c>
      <c r="T77" s="19">
        <f t="shared" si="152"/>
        <v>0</v>
      </c>
      <c r="U77" s="21">
        <f t="shared" si="153"/>
        <v>0</v>
      </c>
      <c r="V77" s="19">
        <f t="shared" si="154"/>
        <v>0</v>
      </c>
    </row>
    <row r="78" spans="1:22" hidden="1">
      <c r="A78" s="26" t="s">
        <v>13</v>
      </c>
      <c r="B78" s="26" t="s">
        <v>50</v>
      </c>
      <c r="C78" s="30">
        <v>16.5</v>
      </c>
      <c r="D78" s="27"/>
      <c r="E78" s="28"/>
      <c r="F78" s="16">
        <f t="shared" si="145"/>
        <v>0</v>
      </c>
      <c r="G78" s="16"/>
      <c r="H78" s="18"/>
      <c r="I78" s="19">
        <f t="shared" si="146"/>
        <v>0</v>
      </c>
      <c r="J78" s="16"/>
      <c r="K78" s="18"/>
      <c r="L78" s="19">
        <f t="shared" si="148"/>
        <v>0</v>
      </c>
      <c r="M78" s="16"/>
      <c r="N78" s="18"/>
      <c r="O78" s="19">
        <f t="shared" si="149"/>
        <v>0</v>
      </c>
      <c r="P78" s="16"/>
      <c r="Q78" s="18"/>
      <c r="R78" s="19">
        <f t="shared" si="150"/>
        <v>0</v>
      </c>
      <c r="S78" s="20">
        <f t="shared" si="151"/>
        <v>0</v>
      </c>
      <c r="T78" s="19">
        <f t="shared" si="152"/>
        <v>0</v>
      </c>
      <c r="U78" s="21">
        <f t="shared" si="153"/>
        <v>0</v>
      </c>
      <c r="V78" s="19">
        <f t="shared" si="154"/>
        <v>0</v>
      </c>
    </row>
    <row r="79" spans="1:22" hidden="1">
      <c r="A79" s="26" t="s">
        <v>13</v>
      </c>
      <c r="B79" s="26" t="s">
        <v>50</v>
      </c>
      <c r="C79" s="30">
        <v>16.5</v>
      </c>
      <c r="D79" s="27"/>
      <c r="E79" s="28"/>
      <c r="F79" s="16">
        <f t="shared" si="145"/>
        <v>0</v>
      </c>
      <c r="G79" s="16"/>
      <c r="H79" s="18"/>
      <c r="I79" s="19">
        <f t="shared" si="146"/>
        <v>0</v>
      </c>
      <c r="J79" s="16"/>
      <c r="K79" s="18"/>
      <c r="L79" s="19">
        <f t="shared" si="148"/>
        <v>0</v>
      </c>
      <c r="M79" s="16"/>
      <c r="N79" s="18"/>
      <c r="O79" s="19">
        <f t="shared" si="149"/>
        <v>0</v>
      </c>
      <c r="P79" s="16"/>
      <c r="Q79" s="18"/>
      <c r="R79" s="19">
        <f t="shared" si="150"/>
        <v>0</v>
      </c>
      <c r="S79" s="20">
        <f t="shared" si="151"/>
        <v>0</v>
      </c>
      <c r="T79" s="19">
        <f t="shared" si="152"/>
        <v>0</v>
      </c>
      <c r="U79" s="21">
        <f t="shared" si="153"/>
        <v>0</v>
      </c>
      <c r="V79" s="19">
        <f t="shared" si="154"/>
        <v>0</v>
      </c>
    </row>
    <row r="80" spans="1:22" hidden="1">
      <c r="A80" s="26" t="s">
        <v>13</v>
      </c>
      <c r="B80" s="26" t="s">
        <v>50</v>
      </c>
      <c r="C80" s="30">
        <v>16.5</v>
      </c>
      <c r="D80" s="27"/>
      <c r="E80" s="28"/>
      <c r="F80" s="16">
        <f t="shared" si="145"/>
        <v>0</v>
      </c>
      <c r="G80" s="16"/>
      <c r="H80" s="18"/>
      <c r="I80" s="19">
        <f t="shared" si="146"/>
        <v>0</v>
      </c>
      <c r="J80" s="16"/>
      <c r="K80" s="18"/>
      <c r="L80" s="19">
        <f t="shared" si="148"/>
        <v>0</v>
      </c>
      <c r="M80" s="16"/>
      <c r="N80" s="18"/>
      <c r="O80" s="19">
        <f t="shared" si="149"/>
        <v>0</v>
      </c>
      <c r="P80" s="16"/>
      <c r="Q80" s="18"/>
      <c r="R80" s="19">
        <f t="shared" si="150"/>
        <v>0</v>
      </c>
      <c r="S80" s="20">
        <f t="shared" si="151"/>
        <v>0</v>
      </c>
      <c r="T80" s="19">
        <f t="shared" si="152"/>
        <v>0</v>
      </c>
      <c r="U80" s="21">
        <f t="shared" si="153"/>
        <v>0</v>
      </c>
      <c r="V80" s="19">
        <f t="shared" si="154"/>
        <v>0</v>
      </c>
    </row>
    <row r="81" spans="1:22" hidden="1">
      <c r="A81" s="26" t="s">
        <v>13</v>
      </c>
      <c r="B81" s="26" t="s">
        <v>50</v>
      </c>
      <c r="C81" s="30">
        <v>16.5</v>
      </c>
      <c r="D81" s="27"/>
      <c r="E81" s="28"/>
      <c r="F81" s="16">
        <f t="shared" si="145"/>
        <v>0</v>
      </c>
      <c r="G81" s="16"/>
      <c r="H81" s="18"/>
      <c r="I81" s="19">
        <f t="shared" si="146"/>
        <v>0</v>
      </c>
      <c r="J81" s="16"/>
      <c r="K81" s="18"/>
      <c r="L81" s="19">
        <f t="shared" si="148"/>
        <v>0</v>
      </c>
      <c r="M81" s="16"/>
      <c r="N81" s="18"/>
      <c r="O81" s="19">
        <f t="shared" si="149"/>
        <v>0</v>
      </c>
      <c r="P81" s="16"/>
      <c r="Q81" s="18"/>
      <c r="R81" s="19">
        <f t="shared" si="150"/>
        <v>0</v>
      </c>
      <c r="S81" s="20">
        <f t="shared" si="151"/>
        <v>0</v>
      </c>
      <c r="T81" s="19">
        <f t="shared" si="152"/>
        <v>0</v>
      </c>
      <c r="U81" s="21">
        <f t="shared" si="153"/>
        <v>0</v>
      </c>
      <c r="V81" s="19">
        <f t="shared" si="154"/>
        <v>0</v>
      </c>
    </row>
    <row r="82" spans="1:22" hidden="1">
      <c r="A82" s="26" t="s">
        <v>13</v>
      </c>
      <c r="B82" s="26" t="s">
        <v>50</v>
      </c>
      <c r="C82" s="30">
        <v>16.5</v>
      </c>
      <c r="D82" s="27"/>
      <c r="E82" s="28"/>
      <c r="F82" s="16">
        <f t="shared" si="145"/>
        <v>0</v>
      </c>
      <c r="G82" s="16"/>
      <c r="H82" s="18"/>
      <c r="I82" s="19">
        <f t="shared" si="146"/>
        <v>0</v>
      </c>
      <c r="J82" s="16"/>
      <c r="K82" s="18"/>
      <c r="L82" s="19">
        <f t="shared" si="148"/>
        <v>0</v>
      </c>
      <c r="M82" s="16"/>
      <c r="N82" s="18"/>
      <c r="O82" s="19">
        <f t="shared" si="149"/>
        <v>0</v>
      </c>
      <c r="P82" s="16"/>
      <c r="Q82" s="18"/>
      <c r="R82" s="19">
        <f t="shared" si="150"/>
        <v>0</v>
      </c>
      <c r="S82" s="20">
        <f t="shared" si="151"/>
        <v>0</v>
      </c>
      <c r="T82" s="19">
        <f t="shared" si="152"/>
        <v>0</v>
      </c>
      <c r="U82" s="21">
        <f t="shared" si="153"/>
        <v>0</v>
      </c>
      <c r="V82" s="19">
        <f t="shared" si="154"/>
        <v>0</v>
      </c>
    </row>
    <row r="83" spans="1:22" hidden="1">
      <c r="A83" s="26" t="s">
        <v>13</v>
      </c>
      <c r="B83" s="26" t="s">
        <v>50</v>
      </c>
      <c r="C83" s="30">
        <v>16.5</v>
      </c>
      <c r="D83" s="27"/>
      <c r="E83" s="28"/>
      <c r="F83" s="16">
        <f t="shared" si="145"/>
        <v>0</v>
      </c>
      <c r="G83" s="16"/>
      <c r="H83" s="18"/>
      <c r="I83" s="19">
        <f t="shared" si="146"/>
        <v>0</v>
      </c>
      <c r="J83" s="16"/>
      <c r="K83" s="18"/>
      <c r="L83" s="19">
        <f t="shared" si="148"/>
        <v>0</v>
      </c>
      <c r="M83" s="16"/>
      <c r="N83" s="18"/>
      <c r="O83" s="19">
        <f t="shared" si="149"/>
        <v>0</v>
      </c>
      <c r="P83" s="16"/>
      <c r="Q83" s="18"/>
      <c r="R83" s="19">
        <f t="shared" si="150"/>
        <v>0</v>
      </c>
      <c r="S83" s="20">
        <f t="shared" si="151"/>
        <v>0</v>
      </c>
      <c r="T83" s="19">
        <f t="shared" si="152"/>
        <v>0</v>
      </c>
      <c r="U83" s="21">
        <f t="shared" si="153"/>
        <v>0</v>
      </c>
      <c r="V83" s="19">
        <f t="shared" si="154"/>
        <v>0</v>
      </c>
    </row>
    <row r="84" spans="1:22" hidden="1">
      <c r="A84" s="26"/>
      <c r="B84" s="26"/>
      <c r="C84" s="30"/>
      <c r="D84" s="27"/>
      <c r="E84" s="28"/>
      <c r="F84" s="16"/>
      <c r="G84" s="16" t="s">
        <v>523</v>
      </c>
      <c r="H84" s="18"/>
      <c r="I84" s="19"/>
      <c r="J84" s="16" t="s">
        <v>205</v>
      </c>
      <c r="K84" s="18"/>
      <c r="L84" s="19"/>
      <c r="M84" s="16"/>
      <c r="N84" s="18"/>
      <c r="O84" s="19"/>
      <c r="P84" s="16"/>
      <c r="Q84" s="18"/>
      <c r="R84" s="19"/>
      <c r="S84" s="20"/>
      <c r="T84" s="19"/>
      <c r="U84" s="21"/>
      <c r="V84" s="19"/>
    </row>
    <row r="85" spans="1:22" hidden="1">
      <c r="A85" s="26"/>
      <c r="B85" s="26"/>
      <c r="C85" s="30"/>
      <c r="D85" s="27"/>
      <c r="E85" s="28"/>
      <c r="F85" s="16"/>
      <c r="G85" s="16" t="s">
        <v>88</v>
      </c>
      <c r="H85" s="18"/>
      <c r="I85" s="19"/>
      <c r="J85" s="16" t="s">
        <v>564</v>
      </c>
      <c r="K85" s="18"/>
      <c r="L85" s="19"/>
      <c r="M85" s="16"/>
      <c r="N85" s="18"/>
      <c r="O85" s="19"/>
      <c r="P85" s="16"/>
      <c r="Q85" s="18"/>
      <c r="R85" s="19"/>
      <c r="S85" s="20"/>
      <c r="T85" s="19"/>
      <c r="U85" s="21"/>
      <c r="V85" s="19"/>
    </row>
    <row r="86" spans="1:22" hidden="1">
      <c r="A86" s="26"/>
      <c r="B86" s="26"/>
      <c r="C86" s="30"/>
      <c r="D86" s="27"/>
      <c r="E86" s="28"/>
      <c r="F86" s="16"/>
      <c r="G86" s="16" t="s">
        <v>530</v>
      </c>
      <c r="H86" s="18"/>
      <c r="I86" s="19"/>
      <c r="J86" s="16" t="s">
        <v>111</v>
      </c>
      <c r="K86" s="18"/>
      <c r="L86" s="19"/>
      <c r="M86" s="16"/>
      <c r="N86" s="18"/>
      <c r="O86" s="19"/>
      <c r="P86" s="16"/>
      <c r="Q86" s="18"/>
      <c r="R86" s="19"/>
      <c r="S86" s="20"/>
      <c r="T86" s="19"/>
      <c r="U86" s="21"/>
      <c r="V86" s="19"/>
    </row>
    <row r="87" spans="1:22" hidden="1">
      <c r="A87" s="26"/>
      <c r="B87" s="26"/>
      <c r="C87" s="30"/>
      <c r="D87" s="27"/>
      <c r="E87" s="28"/>
      <c r="F87" s="16"/>
      <c r="G87" s="16" t="s">
        <v>150</v>
      </c>
      <c r="H87" s="18"/>
      <c r="I87" s="19"/>
      <c r="J87" s="16" t="s">
        <v>564</v>
      </c>
      <c r="K87" s="18"/>
      <c r="L87" s="19"/>
      <c r="M87" s="16"/>
      <c r="N87" s="18"/>
      <c r="O87" s="19"/>
      <c r="P87" s="16"/>
      <c r="Q87" s="18"/>
      <c r="R87" s="19"/>
      <c r="S87" s="20"/>
      <c r="T87" s="19"/>
      <c r="U87" s="21"/>
      <c r="V87" s="19"/>
    </row>
    <row r="88" spans="1:22" hidden="1">
      <c r="A88" s="26"/>
      <c r="B88" s="26"/>
      <c r="C88" s="30"/>
      <c r="D88" s="27"/>
      <c r="E88" s="28"/>
      <c r="F88" s="16"/>
      <c r="G88" s="16" t="s">
        <v>563</v>
      </c>
      <c r="H88" s="18"/>
      <c r="I88" s="19"/>
      <c r="J88" s="16" t="s">
        <v>111</v>
      </c>
      <c r="K88" s="18"/>
      <c r="L88" s="19"/>
      <c r="M88" s="16"/>
      <c r="N88" s="18"/>
      <c r="O88" s="19"/>
      <c r="P88" s="16"/>
      <c r="Q88" s="18"/>
      <c r="R88" s="19"/>
      <c r="S88" s="20"/>
      <c r="T88" s="19"/>
      <c r="U88" s="21"/>
      <c r="V88" s="19"/>
    </row>
    <row r="89" spans="1:22" hidden="1">
      <c r="A89" s="26"/>
      <c r="B89" s="26"/>
      <c r="C89" s="30"/>
      <c r="D89" s="27"/>
      <c r="E89" s="28"/>
      <c r="F89" s="16"/>
      <c r="G89" s="16" t="s">
        <v>562</v>
      </c>
      <c r="H89" s="18"/>
      <c r="I89" s="19"/>
      <c r="J89" s="16" t="s">
        <v>564</v>
      </c>
      <c r="K89" s="18"/>
      <c r="L89" s="19"/>
      <c r="M89" s="16"/>
      <c r="N89" s="18"/>
      <c r="O89" s="19"/>
      <c r="P89" s="16"/>
      <c r="Q89" s="18"/>
      <c r="R89" s="19"/>
      <c r="S89" s="20"/>
      <c r="T89" s="19"/>
      <c r="U89" s="21"/>
      <c r="V89" s="19"/>
    </row>
    <row r="90" spans="1:22" hidden="1">
      <c r="A90" s="26"/>
      <c r="B90" s="26"/>
      <c r="C90" s="30"/>
      <c r="D90" s="27"/>
      <c r="E90" s="28"/>
      <c r="F90" s="16"/>
      <c r="G90" s="16"/>
      <c r="H90" s="18"/>
      <c r="I90" s="19"/>
      <c r="J90" s="16"/>
      <c r="K90" s="18"/>
      <c r="L90" s="19"/>
      <c r="M90" s="16"/>
      <c r="N90" s="18"/>
      <c r="O90" s="19"/>
      <c r="P90" s="16"/>
      <c r="Q90" s="18"/>
      <c r="R90" s="19"/>
      <c r="S90" s="20"/>
      <c r="T90" s="19"/>
      <c r="U90" s="21"/>
      <c r="V90" s="19"/>
    </row>
    <row r="91" spans="1:22" hidden="1">
      <c r="A91" s="26"/>
      <c r="B91" s="26"/>
      <c r="C91" s="30"/>
      <c r="D91" s="27"/>
      <c r="E91" s="28"/>
      <c r="F91" s="16"/>
      <c r="G91" s="16"/>
      <c r="H91" s="18"/>
      <c r="I91" s="19"/>
      <c r="J91" s="16"/>
      <c r="K91" s="18"/>
      <c r="L91" s="19"/>
      <c r="M91" s="16"/>
      <c r="N91" s="18"/>
      <c r="O91" s="19"/>
      <c r="P91" s="16"/>
      <c r="Q91" s="18"/>
      <c r="R91" s="19"/>
      <c r="S91" s="20"/>
      <c r="T91" s="19"/>
      <c r="U91" s="21"/>
      <c r="V91" s="19"/>
    </row>
    <row r="92" spans="1:22" hidden="1">
      <c r="A92" s="26"/>
      <c r="B92" s="26"/>
      <c r="C92" s="30"/>
      <c r="D92" s="27"/>
      <c r="E92" s="28"/>
      <c r="F92" s="16"/>
      <c r="G92" s="16"/>
      <c r="H92" s="18"/>
      <c r="I92" s="19"/>
      <c r="J92" s="16"/>
      <c r="K92" s="18"/>
      <c r="L92" s="19"/>
      <c r="M92" s="16"/>
      <c r="N92" s="18"/>
      <c r="O92" s="19"/>
      <c r="P92" s="16"/>
      <c r="Q92" s="18"/>
      <c r="R92" s="19"/>
      <c r="S92" s="20"/>
      <c r="T92" s="19"/>
      <c r="U92" s="21"/>
      <c r="V92" s="19"/>
    </row>
    <row r="93" spans="1:22" hidden="1">
      <c r="A93" s="36"/>
      <c r="B93" s="36"/>
      <c r="C93" s="37"/>
      <c r="D93" s="38"/>
      <c r="E93" s="31">
        <f>SUM(E73:E92)</f>
        <v>1746</v>
      </c>
      <c r="F93" s="38">
        <f>SUM(F73:F92)</f>
        <v>249.19785000000002</v>
      </c>
      <c r="G93" s="16"/>
      <c r="H93" s="31">
        <f>SUM(H73:H92)</f>
        <v>1050</v>
      </c>
      <c r="I93" s="38">
        <f>SUM(I73:I92)</f>
        <v>136.86750000000001</v>
      </c>
      <c r="J93" s="16"/>
      <c r="K93" s="31">
        <f>SUM(K73:K92)</f>
        <v>555</v>
      </c>
      <c r="L93" s="38">
        <f>SUM(L73:L92)</f>
        <v>89.669250000000005</v>
      </c>
      <c r="M93" s="16"/>
      <c r="N93" s="31">
        <f>SUM(N73:N92)</f>
        <v>105</v>
      </c>
      <c r="O93" s="38">
        <f>SUM(O73:O92)</f>
        <v>15.385095</v>
      </c>
      <c r="P93" s="16"/>
      <c r="Q93" s="31">
        <f t="shared" ref="Q93:V93" si="155">SUM(Q73:Q92)</f>
        <v>74</v>
      </c>
      <c r="R93" s="38">
        <f>SUM(R73:R92)</f>
        <v>7.388865</v>
      </c>
      <c r="S93" s="31">
        <f t="shared" si="155"/>
        <v>1784</v>
      </c>
      <c r="T93" s="38">
        <f t="shared" si="155"/>
        <v>249.31071000000006</v>
      </c>
      <c r="U93" s="31">
        <f t="shared" si="155"/>
        <v>-38</v>
      </c>
      <c r="V93" s="141">
        <f t="shared" si="155"/>
        <v>-0.11286000000001284</v>
      </c>
    </row>
    <row r="94" spans="1:22" hidden="1">
      <c r="A94" s="26" t="s">
        <v>13</v>
      </c>
      <c r="B94" s="26" t="s">
        <v>53</v>
      </c>
      <c r="C94" s="30">
        <v>23.6</v>
      </c>
      <c r="D94" s="27">
        <v>10.4</v>
      </c>
      <c r="E94" s="28">
        <v>200</v>
      </c>
      <c r="F94" s="16">
        <f t="shared" ref="F94:F95" si="156">(C94*D94*E94/1000)</f>
        <v>49.088000000000008</v>
      </c>
      <c r="G94" s="17" t="s">
        <v>318</v>
      </c>
      <c r="H94" s="18">
        <v>128</v>
      </c>
      <c r="I94" s="19">
        <f t="shared" ref="I94:I95" si="157">(C94*D94*H94/1000)</f>
        <v>31.416320000000002</v>
      </c>
      <c r="J94" s="16" t="s">
        <v>114</v>
      </c>
      <c r="K94" s="18">
        <v>42</v>
      </c>
      <c r="L94" s="19">
        <f t="shared" ref="L94:L95" si="158">(C94*D94*K94/1000)</f>
        <v>10.308480000000001</v>
      </c>
      <c r="M94" s="16" t="s">
        <v>89</v>
      </c>
      <c r="N94" s="18">
        <f>10+12</f>
        <v>22</v>
      </c>
      <c r="O94" s="19">
        <f t="shared" ref="O94:O95" si="159">(C94*D94*N94/1000)</f>
        <v>5.39968</v>
      </c>
      <c r="P94" s="16" t="s">
        <v>150</v>
      </c>
      <c r="Q94" s="18">
        <v>6</v>
      </c>
      <c r="R94" s="19">
        <f t="shared" ref="R94:R95" si="160">(C94*D94*Q94/1000)</f>
        <v>1.4726400000000002</v>
      </c>
      <c r="S94" s="20">
        <f t="shared" ref="S94:S95" si="161">+H94+K94+Q94+N94</f>
        <v>198</v>
      </c>
      <c r="T94" s="19">
        <f t="shared" ref="T94:T95" si="162">+I94+L94+R94+O94</f>
        <v>48.597120000000004</v>
      </c>
      <c r="U94" s="21">
        <f t="shared" ref="U94:U95" si="163">E94-S94</f>
        <v>2</v>
      </c>
      <c r="V94" s="19">
        <f t="shared" ref="V94:V95" si="164">F94-T94</f>
        <v>0.4908800000000042</v>
      </c>
    </row>
    <row r="95" spans="1:22" hidden="1">
      <c r="A95" s="26" t="s">
        <v>13</v>
      </c>
      <c r="B95" s="26" t="s">
        <v>53</v>
      </c>
      <c r="C95" s="30">
        <v>23.6</v>
      </c>
      <c r="D95" s="27">
        <v>11.5</v>
      </c>
      <c r="E95" s="28">
        <v>4</v>
      </c>
      <c r="F95" s="16">
        <f t="shared" si="156"/>
        <v>1.0856000000000001</v>
      </c>
      <c r="G95" s="17" t="s">
        <v>547</v>
      </c>
      <c r="H95" s="18"/>
      <c r="I95" s="19">
        <f t="shared" si="157"/>
        <v>0</v>
      </c>
      <c r="J95" s="16" t="s">
        <v>553</v>
      </c>
      <c r="K95" s="18"/>
      <c r="L95" s="19">
        <f t="shared" si="158"/>
        <v>0</v>
      </c>
      <c r="M95" s="16" t="s">
        <v>111</v>
      </c>
      <c r="N95" s="18"/>
      <c r="O95" s="19">
        <f t="shared" si="159"/>
        <v>0</v>
      </c>
      <c r="P95" s="16" t="s">
        <v>562</v>
      </c>
      <c r="Q95" s="18">
        <v>6</v>
      </c>
      <c r="R95" s="19">
        <f t="shared" si="160"/>
        <v>1.6284000000000001</v>
      </c>
      <c r="S95" s="20">
        <f t="shared" si="161"/>
        <v>6</v>
      </c>
      <c r="T95" s="19">
        <f t="shared" si="162"/>
        <v>1.6284000000000001</v>
      </c>
      <c r="U95" s="21">
        <f t="shared" si="163"/>
        <v>-2</v>
      </c>
      <c r="V95" s="19">
        <f t="shared" si="164"/>
        <v>-0.54279999999999995</v>
      </c>
    </row>
    <row r="96" spans="1:22" hidden="1">
      <c r="A96" s="36"/>
      <c r="B96" s="36"/>
      <c r="C96" s="37"/>
      <c r="D96" s="38"/>
      <c r="E96" s="31">
        <f t="shared" ref="E96:F96" si="165">SUM(E94:E95)</f>
        <v>204</v>
      </c>
      <c r="F96" s="38">
        <f t="shared" si="165"/>
        <v>50.173600000000008</v>
      </c>
      <c r="G96" s="17"/>
      <c r="H96" s="31">
        <f t="shared" ref="H96:I96" si="166">SUM(H94:H95)</f>
        <v>128</v>
      </c>
      <c r="I96" s="38">
        <f t="shared" si="166"/>
        <v>31.416320000000002</v>
      </c>
      <c r="J96" s="16"/>
      <c r="K96" s="31">
        <f t="shared" ref="K96:L96" si="167">SUM(K94:K95)</f>
        <v>42</v>
      </c>
      <c r="L96" s="38">
        <f t="shared" si="167"/>
        <v>10.308480000000001</v>
      </c>
      <c r="M96" s="16" t="s">
        <v>559</v>
      </c>
      <c r="N96" s="31">
        <f t="shared" ref="N96:O96" si="168">SUM(N94:N95)</f>
        <v>22</v>
      </c>
      <c r="O96" s="38">
        <f t="shared" si="168"/>
        <v>5.39968</v>
      </c>
      <c r="P96" s="16"/>
      <c r="Q96" s="31">
        <f t="shared" ref="Q96:V96" si="169">SUM(Q94:Q95)</f>
        <v>12</v>
      </c>
      <c r="R96" s="38">
        <f t="shared" si="169"/>
        <v>3.1010400000000002</v>
      </c>
      <c r="S96" s="31">
        <f t="shared" si="169"/>
        <v>204</v>
      </c>
      <c r="T96" s="38">
        <f t="shared" si="169"/>
        <v>50.225520000000003</v>
      </c>
      <c r="U96" s="31">
        <f t="shared" si="169"/>
        <v>0</v>
      </c>
      <c r="V96" s="38">
        <f t="shared" si="169"/>
        <v>-5.1919999999995747E-2</v>
      </c>
    </row>
    <row r="97" spans="1:22" hidden="1">
      <c r="A97" s="26" t="s">
        <v>13</v>
      </c>
      <c r="B97" s="26" t="s">
        <v>212</v>
      </c>
      <c r="C97" s="30">
        <v>29.5</v>
      </c>
      <c r="D97" s="27">
        <v>10.9</v>
      </c>
      <c r="E97" s="28">
        <v>198</v>
      </c>
      <c r="F97" s="16">
        <f t="shared" ref="F97:F101" si="170">(C97*D97*E97/1000)</f>
        <v>63.666899999999998</v>
      </c>
      <c r="G97" s="17" t="s">
        <v>288</v>
      </c>
      <c r="H97" s="18">
        <f>31+72</f>
        <v>103</v>
      </c>
      <c r="I97" s="19">
        <f t="shared" ref="I97:I101" si="171">(C97*D97*H97/1000)</f>
        <v>33.11965</v>
      </c>
      <c r="J97" s="16" t="s">
        <v>114</v>
      </c>
      <c r="K97" s="18">
        <v>40</v>
      </c>
      <c r="L97" s="19">
        <f t="shared" ref="L97:L101" si="172">(C97*D97*K97/1000)</f>
        <v>12.862</v>
      </c>
      <c r="M97" s="16" t="s">
        <v>86</v>
      </c>
      <c r="N97" s="18">
        <f>9+27+16</f>
        <v>52</v>
      </c>
      <c r="O97" s="19">
        <f t="shared" ref="O97:O101" si="173">(C97*D97*N97/1000)</f>
        <v>16.720600000000001</v>
      </c>
      <c r="P97" s="16"/>
      <c r="Q97" s="18"/>
      <c r="R97" s="19">
        <f t="shared" ref="R97:R101" si="174">(C97*D97*Q97/1000)</f>
        <v>0</v>
      </c>
      <c r="S97" s="20">
        <f t="shared" ref="S97:S101" si="175">+H97+K97+Q97+N97</f>
        <v>195</v>
      </c>
      <c r="T97" s="19">
        <f t="shared" ref="T97:T101" si="176">+I97+L97+R97+O97</f>
        <v>62.702250000000006</v>
      </c>
      <c r="U97" s="21">
        <f t="shared" ref="U97:U101" si="177">E97-S97</f>
        <v>3</v>
      </c>
      <c r="V97" s="19">
        <f t="shared" ref="V97:V101" si="178">F97-T97</f>
        <v>0.96464999999999179</v>
      </c>
    </row>
    <row r="98" spans="1:22" hidden="1">
      <c r="A98" s="26" t="s">
        <v>13</v>
      </c>
      <c r="B98" s="26" t="s">
        <v>212</v>
      </c>
      <c r="C98" s="30">
        <v>29.5</v>
      </c>
      <c r="D98" s="27">
        <v>11.9</v>
      </c>
      <c r="E98" s="28">
        <v>16</v>
      </c>
      <c r="F98" s="16">
        <f t="shared" ref="F98:F100" si="179">(C98*D98*E98/1000)</f>
        <v>5.6168000000000005</v>
      </c>
      <c r="G98" s="17" t="s">
        <v>542</v>
      </c>
      <c r="H98" s="18"/>
      <c r="I98" s="19">
        <f t="shared" ref="I98:I100" si="180">(C98*D98*H98/1000)</f>
        <v>0</v>
      </c>
      <c r="J98" s="16"/>
      <c r="K98" s="18"/>
      <c r="L98" s="19">
        <f t="shared" ref="L98:L100" si="181">(C98*D98*K98/1000)</f>
        <v>0</v>
      </c>
      <c r="M98" s="16" t="s">
        <v>550</v>
      </c>
      <c r="N98" s="18">
        <f>9+4</f>
        <v>13</v>
      </c>
      <c r="O98" s="19">
        <f>(C98*D98*N98/1000)</f>
        <v>4.5636500000000009</v>
      </c>
      <c r="P98" s="16"/>
      <c r="Q98" s="18"/>
      <c r="R98" s="19">
        <f t="shared" ref="R98:R100" si="182">(C98*D98*Q98/1000)</f>
        <v>0</v>
      </c>
      <c r="S98" s="20">
        <f t="shared" ref="S98:S100" si="183">+H98+K98+Q98+N98</f>
        <v>13</v>
      </c>
      <c r="T98" s="19">
        <f t="shared" ref="T98:T100" si="184">+I98+L98+R98+O98</f>
        <v>4.5636500000000009</v>
      </c>
      <c r="U98" s="21">
        <f t="shared" ref="U98:U100" si="185">E98-S98</f>
        <v>3</v>
      </c>
      <c r="V98" s="19">
        <f t="shared" ref="V98:V100" si="186">F98-T98</f>
        <v>1.0531499999999996</v>
      </c>
    </row>
    <row r="99" spans="1:22" hidden="1">
      <c r="A99" s="26" t="s">
        <v>13</v>
      </c>
      <c r="B99" s="26" t="s">
        <v>212</v>
      </c>
      <c r="C99" s="30">
        <v>29.5</v>
      </c>
      <c r="D99" s="27">
        <v>10.7</v>
      </c>
      <c r="E99" s="28"/>
      <c r="F99" s="16">
        <f t="shared" si="179"/>
        <v>0</v>
      </c>
      <c r="G99" s="17"/>
      <c r="H99" s="18"/>
      <c r="I99" s="19">
        <f t="shared" si="180"/>
        <v>0</v>
      </c>
      <c r="J99" s="16"/>
      <c r="K99" s="18"/>
      <c r="L99" s="19">
        <f t="shared" si="181"/>
        <v>0</v>
      </c>
      <c r="M99" s="16" t="s">
        <v>93</v>
      </c>
      <c r="N99" s="18">
        <v>8</v>
      </c>
      <c r="O99" s="19">
        <f t="shared" ref="O99:O100" si="187">(C99*D99*N99/1000)</f>
        <v>2.5251999999999999</v>
      </c>
      <c r="P99" s="16"/>
      <c r="Q99" s="18"/>
      <c r="R99" s="19">
        <f t="shared" si="182"/>
        <v>0</v>
      </c>
      <c r="S99" s="20">
        <f t="shared" si="183"/>
        <v>8</v>
      </c>
      <c r="T99" s="19">
        <f t="shared" si="184"/>
        <v>2.5251999999999999</v>
      </c>
      <c r="U99" s="21">
        <f t="shared" si="185"/>
        <v>-8</v>
      </c>
      <c r="V99" s="19">
        <f t="shared" si="186"/>
        <v>-2.5251999999999999</v>
      </c>
    </row>
    <row r="100" spans="1:22" hidden="1">
      <c r="A100" s="26" t="s">
        <v>13</v>
      </c>
      <c r="B100" s="26" t="s">
        <v>212</v>
      </c>
      <c r="C100" s="30">
        <v>29.5</v>
      </c>
      <c r="D100" s="27"/>
      <c r="E100" s="28"/>
      <c r="F100" s="16">
        <f t="shared" si="179"/>
        <v>0</v>
      </c>
      <c r="G100" s="17"/>
      <c r="H100" s="18"/>
      <c r="I100" s="19">
        <f t="shared" si="180"/>
        <v>0</v>
      </c>
      <c r="J100" s="16"/>
      <c r="K100" s="18"/>
      <c r="L100" s="19">
        <f t="shared" si="181"/>
        <v>0</v>
      </c>
      <c r="M100" s="16" t="s">
        <v>550</v>
      </c>
      <c r="N100" s="18"/>
      <c r="O100" s="19">
        <f t="shared" si="187"/>
        <v>0</v>
      </c>
      <c r="P100" s="16"/>
      <c r="Q100" s="18"/>
      <c r="R100" s="19">
        <f t="shared" si="182"/>
        <v>0</v>
      </c>
      <c r="S100" s="20">
        <f t="shared" si="183"/>
        <v>0</v>
      </c>
      <c r="T100" s="19">
        <f t="shared" si="184"/>
        <v>0</v>
      </c>
      <c r="U100" s="21">
        <f t="shared" si="185"/>
        <v>0</v>
      </c>
      <c r="V100" s="19">
        <f t="shared" si="186"/>
        <v>0</v>
      </c>
    </row>
    <row r="101" spans="1:22" hidden="1">
      <c r="A101" s="26" t="s">
        <v>13</v>
      </c>
      <c r="B101" s="26" t="s">
        <v>212</v>
      </c>
      <c r="C101" s="30">
        <v>29.5</v>
      </c>
      <c r="D101" s="27"/>
      <c r="E101" s="28"/>
      <c r="F101" s="16">
        <f t="shared" si="170"/>
        <v>0</v>
      </c>
      <c r="G101" s="17"/>
      <c r="H101" s="18"/>
      <c r="I101" s="19">
        <f t="shared" si="171"/>
        <v>0</v>
      </c>
      <c r="J101" s="16"/>
      <c r="K101" s="18"/>
      <c r="L101" s="19">
        <f t="shared" si="172"/>
        <v>0</v>
      </c>
      <c r="M101" s="16"/>
      <c r="N101" s="18"/>
      <c r="O101" s="19">
        <f t="shared" si="173"/>
        <v>0</v>
      </c>
      <c r="P101" s="16"/>
      <c r="Q101" s="18"/>
      <c r="R101" s="19">
        <f t="shared" si="174"/>
        <v>0</v>
      </c>
      <c r="S101" s="20">
        <f t="shared" si="175"/>
        <v>0</v>
      </c>
      <c r="T101" s="19">
        <f t="shared" si="176"/>
        <v>0</v>
      </c>
      <c r="U101" s="21">
        <f t="shared" si="177"/>
        <v>0</v>
      </c>
      <c r="V101" s="19">
        <f t="shared" si="178"/>
        <v>0</v>
      </c>
    </row>
    <row r="102" spans="1:22" hidden="1">
      <c r="A102" s="36"/>
      <c r="B102" s="36"/>
      <c r="C102" s="37"/>
      <c r="D102" s="38"/>
      <c r="E102" s="31">
        <f t="shared" ref="E102:F102" si="188">SUM(E97:E101)</f>
        <v>214</v>
      </c>
      <c r="F102" s="38">
        <f t="shared" si="188"/>
        <v>69.283699999999996</v>
      </c>
      <c r="G102" s="17"/>
      <c r="H102" s="31">
        <f t="shared" ref="H102:I102" si="189">SUM(H97:H101)</f>
        <v>103</v>
      </c>
      <c r="I102" s="38">
        <f t="shared" si="189"/>
        <v>33.11965</v>
      </c>
      <c r="J102" s="16"/>
      <c r="K102" s="31">
        <f t="shared" ref="K102:L102" si="190">SUM(K97:K101)</f>
        <v>40</v>
      </c>
      <c r="L102" s="38">
        <f t="shared" si="190"/>
        <v>12.862</v>
      </c>
      <c r="M102" s="16"/>
      <c r="N102" s="31">
        <f t="shared" ref="N102:O102" si="191">SUM(N97:N101)</f>
        <v>73</v>
      </c>
      <c r="O102" s="38">
        <f t="shared" si="191"/>
        <v>23.809449999999998</v>
      </c>
      <c r="P102" s="16"/>
      <c r="Q102" s="31">
        <f t="shared" ref="Q102:V102" si="192">SUM(Q97:Q101)</f>
        <v>0</v>
      </c>
      <c r="R102" s="38">
        <f t="shared" si="192"/>
        <v>0</v>
      </c>
      <c r="S102" s="31">
        <f t="shared" si="192"/>
        <v>216</v>
      </c>
      <c r="T102" s="38">
        <f t="shared" si="192"/>
        <v>69.7911</v>
      </c>
      <c r="U102" s="31">
        <f t="shared" si="192"/>
        <v>-2</v>
      </c>
      <c r="V102" s="38">
        <f t="shared" si="192"/>
        <v>-0.50740000000000851</v>
      </c>
    </row>
    <row r="103" spans="1:22" hidden="1">
      <c r="A103" s="26" t="s">
        <v>13</v>
      </c>
      <c r="B103" s="26" t="s">
        <v>75</v>
      </c>
      <c r="C103" s="30">
        <v>31.6</v>
      </c>
      <c r="D103" s="27">
        <v>10.1</v>
      </c>
      <c r="E103" s="28">
        <v>389</v>
      </c>
      <c r="F103" s="16">
        <f t="shared" ref="F103:F104" si="193">(C103*D103*E103/1000)</f>
        <v>124.15324000000001</v>
      </c>
      <c r="G103" s="17" t="s">
        <v>93</v>
      </c>
      <c r="H103" s="18">
        <f>164+64</f>
        <v>228</v>
      </c>
      <c r="I103" s="19">
        <f t="shared" ref="I103:I104" si="194">(C103*D103*H103/1000)</f>
        <v>72.768480000000011</v>
      </c>
      <c r="J103" s="16" t="s">
        <v>318</v>
      </c>
      <c r="K103" s="18">
        <f>52+8+23+45</f>
        <v>128</v>
      </c>
      <c r="L103" s="19">
        <f t="shared" ref="L103:L104" si="195">(C103*D103*K103/1000)</f>
        <v>40.85248</v>
      </c>
      <c r="M103" s="17" t="s">
        <v>318</v>
      </c>
      <c r="N103" s="18"/>
      <c r="O103" s="19">
        <f t="shared" ref="O103:O110" si="196">(C103*D103*N103/1000)</f>
        <v>0</v>
      </c>
      <c r="P103" s="16" t="s">
        <v>205</v>
      </c>
      <c r="Q103" s="18">
        <v>11</v>
      </c>
      <c r="R103" s="19">
        <f t="shared" ref="R103:R110" si="197">(C103*D103*Q103/1000)</f>
        <v>3.5107600000000003</v>
      </c>
      <c r="S103" s="20">
        <f t="shared" ref="S103:S104" si="198">+H103+K103+Q103+N103</f>
        <v>367</v>
      </c>
      <c r="T103" s="19">
        <f t="shared" ref="T103:T104" si="199">+I103+L103+R103+O103</f>
        <v>117.13172000000002</v>
      </c>
      <c r="U103" s="21">
        <f t="shared" ref="U103:U104" si="200">E103-S103</f>
        <v>22</v>
      </c>
      <c r="V103" s="19">
        <f t="shared" ref="V103:V110" si="201">F103-T103</f>
        <v>7.0215199999999953</v>
      </c>
    </row>
    <row r="104" spans="1:22" hidden="1">
      <c r="A104" s="26" t="s">
        <v>13</v>
      </c>
      <c r="B104" s="26" t="s">
        <v>75</v>
      </c>
      <c r="C104" s="30">
        <v>31.6</v>
      </c>
      <c r="D104" s="27">
        <v>11.9</v>
      </c>
      <c r="E104" s="28">
        <v>38</v>
      </c>
      <c r="F104" s="16">
        <f t="shared" si="193"/>
        <v>14.28952</v>
      </c>
      <c r="G104" s="16" t="s">
        <v>107</v>
      </c>
      <c r="H104" s="18">
        <v>8</v>
      </c>
      <c r="I104" s="19">
        <f t="shared" si="194"/>
        <v>3.0083200000000003</v>
      </c>
      <c r="J104" s="16" t="s">
        <v>550</v>
      </c>
      <c r="K104" s="18">
        <f>19+6</f>
        <v>25</v>
      </c>
      <c r="L104" s="19">
        <f t="shared" si="195"/>
        <v>9.4009999999999998</v>
      </c>
      <c r="M104" s="17" t="s">
        <v>566</v>
      </c>
      <c r="N104" s="18">
        <v>2</v>
      </c>
      <c r="O104" s="19">
        <f t="shared" si="196"/>
        <v>0.75208000000000008</v>
      </c>
      <c r="P104" s="16" t="s">
        <v>584</v>
      </c>
      <c r="Q104" s="18">
        <v>1</v>
      </c>
      <c r="R104" s="19">
        <f t="shared" si="197"/>
        <v>0.37604000000000004</v>
      </c>
      <c r="S104" s="20">
        <f t="shared" si="198"/>
        <v>36</v>
      </c>
      <c r="T104" s="19">
        <f t="shared" si="199"/>
        <v>13.53744</v>
      </c>
      <c r="U104" s="21">
        <f t="shared" si="200"/>
        <v>2</v>
      </c>
      <c r="V104" s="19">
        <f t="shared" si="201"/>
        <v>0.75207999999999942</v>
      </c>
    </row>
    <row r="105" spans="1:22" hidden="1">
      <c r="A105" s="26" t="s">
        <v>13</v>
      </c>
      <c r="B105" s="26" t="s">
        <v>75</v>
      </c>
      <c r="C105" s="30">
        <v>31.6</v>
      </c>
      <c r="D105" s="27">
        <v>8.14</v>
      </c>
      <c r="E105" s="28"/>
      <c r="F105" s="16"/>
      <c r="G105" s="16" t="s">
        <v>547</v>
      </c>
      <c r="H105" s="18"/>
      <c r="I105" s="19"/>
      <c r="J105" s="16" t="s">
        <v>89</v>
      </c>
      <c r="K105" s="18"/>
      <c r="L105" s="19"/>
      <c r="M105" s="16"/>
      <c r="N105" s="18">
        <v>11</v>
      </c>
      <c r="O105" s="19">
        <f t="shared" si="196"/>
        <v>2.8294640000000002</v>
      </c>
      <c r="P105" s="16"/>
      <c r="Q105" s="18"/>
      <c r="R105" s="19">
        <f t="shared" si="197"/>
        <v>0</v>
      </c>
      <c r="S105" s="20">
        <f t="shared" ref="S105:S110" si="202">+H105+K105+Q105+N105</f>
        <v>11</v>
      </c>
      <c r="T105" s="19">
        <f t="shared" ref="T105:T110" si="203">+I105+L105+R105+O105</f>
        <v>2.8294640000000002</v>
      </c>
      <c r="U105" s="21">
        <f t="shared" ref="U105:U110" si="204">E105-S105</f>
        <v>-11</v>
      </c>
      <c r="V105" s="19">
        <f t="shared" si="201"/>
        <v>-2.8294640000000002</v>
      </c>
    </row>
    <row r="106" spans="1:22" hidden="1">
      <c r="A106" s="26" t="s">
        <v>13</v>
      </c>
      <c r="B106" s="26" t="s">
        <v>75</v>
      </c>
      <c r="C106" s="30">
        <v>31.6</v>
      </c>
      <c r="D106" s="27">
        <v>6.1449999999999996</v>
      </c>
      <c r="E106" s="28"/>
      <c r="F106" s="16"/>
      <c r="G106" s="16" t="s">
        <v>114</v>
      </c>
      <c r="H106" s="18"/>
      <c r="I106" s="19"/>
      <c r="J106" s="16" t="s">
        <v>556</v>
      </c>
      <c r="K106" s="18"/>
      <c r="L106" s="19"/>
      <c r="M106" s="16"/>
      <c r="N106" s="18">
        <v>18</v>
      </c>
      <c r="O106" s="19">
        <f t="shared" si="196"/>
        <v>3.495276</v>
      </c>
      <c r="P106" s="16"/>
      <c r="Q106" s="18">
        <v>2</v>
      </c>
      <c r="R106" s="19">
        <f t="shared" si="197"/>
        <v>0.38836399999999999</v>
      </c>
      <c r="S106" s="20">
        <f t="shared" si="202"/>
        <v>20</v>
      </c>
      <c r="T106" s="19">
        <f t="shared" si="203"/>
        <v>3.8836400000000002</v>
      </c>
      <c r="U106" s="21">
        <f t="shared" si="204"/>
        <v>-20</v>
      </c>
      <c r="V106" s="19">
        <f t="shared" si="201"/>
        <v>-3.8836400000000002</v>
      </c>
    </row>
    <row r="107" spans="1:22" hidden="1">
      <c r="A107" s="26" t="s">
        <v>13</v>
      </c>
      <c r="B107" s="26" t="s">
        <v>75</v>
      </c>
      <c r="C107" s="30">
        <v>31.6</v>
      </c>
      <c r="D107" s="27">
        <v>9.3000000000000007</v>
      </c>
      <c r="E107" s="28"/>
      <c r="F107" s="16"/>
      <c r="G107" s="16" t="s">
        <v>548</v>
      </c>
      <c r="H107" s="18"/>
      <c r="I107" s="19"/>
      <c r="J107" s="17" t="s">
        <v>150</v>
      </c>
      <c r="K107" s="18"/>
      <c r="L107" s="19"/>
      <c r="M107" s="16"/>
      <c r="N107" s="18"/>
      <c r="O107" s="19">
        <f t="shared" si="196"/>
        <v>0</v>
      </c>
      <c r="P107" s="16"/>
      <c r="Q107" s="18">
        <v>1</v>
      </c>
      <c r="R107" s="19">
        <f t="shared" si="197"/>
        <v>0.29388000000000003</v>
      </c>
      <c r="S107" s="20">
        <f t="shared" si="202"/>
        <v>1</v>
      </c>
      <c r="T107" s="19">
        <f t="shared" si="203"/>
        <v>0.29388000000000003</v>
      </c>
      <c r="U107" s="21">
        <f t="shared" si="204"/>
        <v>-1</v>
      </c>
      <c r="V107" s="19">
        <f t="shared" si="201"/>
        <v>-0.29388000000000003</v>
      </c>
    </row>
    <row r="108" spans="1:22" hidden="1">
      <c r="A108" s="26" t="s">
        <v>13</v>
      </c>
      <c r="B108" s="26" t="s">
        <v>75</v>
      </c>
      <c r="C108" s="30">
        <v>31.6</v>
      </c>
      <c r="D108" s="27">
        <v>9.5</v>
      </c>
      <c r="E108" s="28"/>
      <c r="F108" s="16"/>
      <c r="G108" s="16" t="s">
        <v>93</v>
      </c>
      <c r="H108" s="18"/>
      <c r="I108" s="19"/>
      <c r="J108" s="17" t="s">
        <v>555</v>
      </c>
      <c r="K108" s="18"/>
      <c r="L108" s="19"/>
      <c r="M108" s="16"/>
      <c r="N108" s="18"/>
      <c r="O108" s="19">
        <f t="shared" si="196"/>
        <v>0</v>
      </c>
      <c r="P108" s="16"/>
      <c r="Q108" s="18">
        <v>1</v>
      </c>
      <c r="R108" s="19">
        <f t="shared" si="197"/>
        <v>0.30019999999999997</v>
      </c>
      <c r="S108" s="20">
        <f t="shared" si="202"/>
        <v>1</v>
      </c>
      <c r="T108" s="19">
        <f t="shared" si="203"/>
        <v>0.30019999999999997</v>
      </c>
      <c r="U108" s="21">
        <f t="shared" si="204"/>
        <v>-1</v>
      </c>
      <c r="V108" s="19">
        <f t="shared" si="201"/>
        <v>-0.30019999999999997</v>
      </c>
    </row>
    <row r="109" spans="1:22" hidden="1">
      <c r="A109" s="26" t="s">
        <v>13</v>
      </c>
      <c r="B109" s="26" t="s">
        <v>75</v>
      </c>
      <c r="C109" s="30">
        <v>31.6</v>
      </c>
      <c r="D109" s="27">
        <v>9.6999999999999993</v>
      </c>
      <c r="E109" s="28"/>
      <c r="F109" s="16"/>
      <c r="G109" s="16" t="s">
        <v>550</v>
      </c>
      <c r="H109" s="18"/>
      <c r="I109" s="19"/>
      <c r="J109" s="16" t="s">
        <v>111</v>
      </c>
      <c r="K109" s="18"/>
      <c r="L109" s="19"/>
      <c r="M109" s="16"/>
      <c r="N109" s="18"/>
      <c r="O109" s="19">
        <f t="shared" si="196"/>
        <v>0</v>
      </c>
      <c r="P109" s="16"/>
      <c r="Q109" s="18">
        <v>1</v>
      </c>
      <c r="R109" s="19">
        <f t="shared" si="197"/>
        <v>0.30651999999999996</v>
      </c>
      <c r="S109" s="20">
        <f t="shared" si="202"/>
        <v>1</v>
      </c>
      <c r="T109" s="19">
        <f t="shared" si="203"/>
        <v>0.30651999999999996</v>
      </c>
      <c r="U109" s="21">
        <f t="shared" si="204"/>
        <v>-1</v>
      </c>
      <c r="V109" s="19">
        <f t="shared" si="201"/>
        <v>-0.30651999999999996</v>
      </c>
    </row>
    <row r="110" spans="1:22" hidden="1">
      <c r="A110" s="26" t="s">
        <v>13</v>
      </c>
      <c r="B110" s="26" t="s">
        <v>75</v>
      </c>
      <c r="C110" s="30">
        <v>31.6</v>
      </c>
      <c r="D110" s="27">
        <v>9.1999999999999993</v>
      </c>
      <c r="E110" s="28"/>
      <c r="F110" s="16"/>
      <c r="G110" s="17"/>
      <c r="H110" s="18"/>
      <c r="I110" s="19"/>
      <c r="J110" s="16" t="s">
        <v>559</v>
      </c>
      <c r="K110" s="18"/>
      <c r="L110" s="19"/>
      <c r="M110" s="16"/>
      <c r="N110" s="18"/>
      <c r="O110" s="19">
        <f t="shared" si="196"/>
        <v>0</v>
      </c>
      <c r="P110" s="16"/>
      <c r="Q110" s="18">
        <v>2</v>
      </c>
      <c r="R110" s="19">
        <f t="shared" si="197"/>
        <v>0.58143999999999996</v>
      </c>
      <c r="S110" s="20">
        <f t="shared" si="202"/>
        <v>2</v>
      </c>
      <c r="T110" s="19">
        <f t="shared" si="203"/>
        <v>0.58143999999999996</v>
      </c>
      <c r="U110" s="21">
        <f t="shared" si="204"/>
        <v>-2</v>
      </c>
      <c r="V110" s="19">
        <f t="shared" si="201"/>
        <v>-0.58143999999999996</v>
      </c>
    </row>
    <row r="111" spans="1:22" hidden="1">
      <c r="A111" s="36"/>
      <c r="B111" s="36"/>
      <c r="C111" s="37"/>
      <c r="D111" s="38"/>
      <c r="E111" s="31">
        <f t="shared" ref="E111:F111" si="205">SUM(E103:E110)</f>
        <v>427</v>
      </c>
      <c r="F111" s="38">
        <f t="shared" si="205"/>
        <v>138.44276000000002</v>
      </c>
      <c r="G111" s="26"/>
      <c r="H111" s="31">
        <f t="shared" ref="H111" si="206">SUM(H103:H110)</f>
        <v>236</v>
      </c>
      <c r="I111" s="38">
        <f t="shared" ref="I111" si="207">SUM(I103:I110)</f>
        <v>75.776800000000009</v>
      </c>
      <c r="J111" s="26"/>
      <c r="K111" s="31">
        <f t="shared" ref="K111" si="208">SUM(K103:K110)</f>
        <v>153</v>
      </c>
      <c r="L111" s="38">
        <f t="shared" ref="L111" si="209">SUM(L103:L110)</f>
        <v>50.253479999999996</v>
      </c>
      <c r="M111" s="26"/>
      <c r="N111" s="31">
        <f t="shared" ref="N111" si="210">SUM(N103:N110)</f>
        <v>31</v>
      </c>
      <c r="O111" s="38">
        <f t="shared" ref="O111" si="211">SUM(O103:O110)</f>
        <v>7.0768199999999997</v>
      </c>
      <c r="P111" s="26"/>
      <c r="Q111" s="31">
        <f t="shared" ref="Q111" si="212">SUM(Q103:Q110)</f>
        <v>19</v>
      </c>
      <c r="R111" s="38">
        <f t="shared" ref="R111" si="213">SUM(R103:R110)</f>
        <v>5.7572039999999998</v>
      </c>
      <c r="S111" s="31">
        <f t="shared" ref="S111" si="214">SUM(S103:S110)</f>
        <v>439</v>
      </c>
      <c r="T111" s="38">
        <f t="shared" ref="T111" si="215">SUM(T103:T110)</f>
        <v>138.864304</v>
      </c>
      <c r="U111" s="31">
        <f t="shared" ref="U111" si="216">SUM(U103:U110)</f>
        <v>-12</v>
      </c>
      <c r="V111" s="141">
        <f t="shared" ref="V111" si="217">SUM(V103:V110)</f>
        <v>-0.42154400000000514</v>
      </c>
    </row>
    <row r="112" spans="1:22">
      <c r="A112" s="26" t="s">
        <v>13</v>
      </c>
      <c r="B112" s="26" t="s">
        <v>126</v>
      </c>
      <c r="C112" s="30">
        <v>33.799999999999997</v>
      </c>
      <c r="D112" s="27">
        <v>8.1</v>
      </c>
      <c r="E112" s="28">
        <v>388</v>
      </c>
      <c r="F112" s="16">
        <f t="shared" ref="F112:F119" si="218">(C112*D112*E112/1000)</f>
        <v>106.22663999999999</v>
      </c>
      <c r="G112" s="16" t="s">
        <v>93</v>
      </c>
      <c r="H112" s="18">
        <f>110+12</f>
        <v>122</v>
      </c>
      <c r="I112" s="19">
        <f t="shared" ref="I112:I119" si="219">(C112*D112*H112/1000)</f>
        <v>33.401159999999997</v>
      </c>
      <c r="J112" s="16" t="s">
        <v>318</v>
      </c>
      <c r="K112" s="18">
        <f>22+83+67+56</f>
        <v>228</v>
      </c>
      <c r="L112" s="19">
        <f t="shared" ref="L112:L119" si="220">(C112*D112*K112/1000)</f>
        <v>62.421839999999996</v>
      </c>
      <c r="M112" s="16" t="s">
        <v>111</v>
      </c>
      <c r="N112" s="18">
        <v>17</v>
      </c>
      <c r="O112" s="19">
        <f t="shared" ref="O112:O119" si="221">(C112*D112*N112/1000)</f>
        <v>4.654259999999999</v>
      </c>
      <c r="P112" s="16" t="s">
        <v>318</v>
      </c>
      <c r="Q112" s="18">
        <f>13+6+3</f>
        <v>22</v>
      </c>
      <c r="R112" s="19">
        <f t="shared" ref="R112:R119" si="222">(C112*D112*Q112/1000)</f>
        <v>6.0231599999999998</v>
      </c>
      <c r="S112" s="20">
        <f t="shared" ref="S112:S119" si="223">+H112+K112+Q112+N112</f>
        <v>389</v>
      </c>
      <c r="T112" s="19">
        <f>+I112+L112+R112+O112</f>
        <v>106.50041999999999</v>
      </c>
      <c r="U112" s="21">
        <f t="shared" ref="U112:U119" si="224">E112-S112</f>
        <v>-1</v>
      </c>
      <c r="V112" s="19">
        <f t="shared" ref="V112:V119" si="225">F112-T112</f>
        <v>-0.27378000000000213</v>
      </c>
    </row>
    <row r="113" spans="1:22">
      <c r="A113" s="26" t="s">
        <v>13</v>
      </c>
      <c r="B113" s="26" t="s">
        <v>126</v>
      </c>
      <c r="C113" s="30">
        <v>33.799999999999997</v>
      </c>
      <c r="D113" s="27">
        <v>9.3000000000000007</v>
      </c>
      <c r="E113" s="28">
        <v>194</v>
      </c>
      <c r="F113" s="16">
        <f t="shared" si="218"/>
        <v>60.981959999999994</v>
      </c>
      <c r="G113" s="16" t="s">
        <v>325</v>
      </c>
      <c r="H113" s="18">
        <f>106+8</f>
        <v>114</v>
      </c>
      <c r="I113" s="19">
        <f t="shared" si="219"/>
        <v>35.834759999999996</v>
      </c>
      <c r="J113" s="16" t="s">
        <v>550</v>
      </c>
      <c r="K113" s="18">
        <v>44</v>
      </c>
      <c r="L113" s="19">
        <f t="shared" si="220"/>
        <v>13.830959999999999</v>
      </c>
      <c r="M113" s="16" t="s">
        <v>559</v>
      </c>
      <c r="N113" s="18">
        <v>4</v>
      </c>
      <c r="O113" s="19">
        <f t="shared" si="221"/>
        <v>1.2573599999999998</v>
      </c>
      <c r="P113" s="16" t="s">
        <v>566</v>
      </c>
      <c r="Q113" s="18">
        <f>1+3</f>
        <v>4</v>
      </c>
      <c r="R113" s="19">
        <f t="shared" si="222"/>
        <v>1.2573599999999998</v>
      </c>
      <c r="S113" s="20">
        <f t="shared" si="223"/>
        <v>166</v>
      </c>
      <c r="T113" s="19">
        <f t="shared" ref="T113:T119" si="226">+I113+L113+R113+O113</f>
        <v>52.18043999999999</v>
      </c>
      <c r="U113" s="21">
        <f t="shared" si="224"/>
        <v>28</v>
      </c>
      <c r="V113" s="19">
        <f t="shared" si="225"/>
        <v>8.8015200000000036</v>
      </c>
    </row>
    <row r="114" spans="1:22">
      <c r="A114" s="26" t="s">
        <v>13</v>
      </c>
      <c r="B114" s="26" t="s">
        <v>126</v>
      </c>
      <c r="C114" s="30">
        <v>33.799999999999997</v>
      </c>
      <c r="D114" s="27">
        <v>11.9</v>
      </c>
      <c r="E114" s="28">
        <v>39</v>
      </c>
      <c r="F114" s="16">
        <f t="shared" ref="F114:F118" si="227">(C114*D114*E114/1000)</f>
        <v>15.686579999999998</v>
      </c>
      <c r="G114" s="16" t="s">
        <v>545</v>
      </c>
      <c r="H114" s="18"/>
      <c r="I114" s="19">
        <f t="shared" ref="I114:I118" si="228">(C114*D114*H114/1000)</f>
        <v>0</v>
      </c>
      <c r="J114" s="16" t="s">
        <v>205</v>
      </c>
      <c r="K114" s="18">
        <v>39</v>
      </c>
      <c r="L114" s="19">
        <f t="shared" ref="L114:L118" si="229">(C114*D114*K114/1000)</f>
        <v>15.686579999999998</v>
      </c>
      <c r="M114" s="16"/>
      <c r="N114" s="18"/>
      <c r="O114" s="19">
        <f t="shared" ref="O114:O118" si="230">(C114*D114*N114/1000)</f>
        <v>0</v>
      </c>
      <c r="P114" s="16" t="s">
        <v>111</v>
      </c>
      <c r="Q114" s="18"/>
      <c r="R114" s="19">
        <f t="shared" ref="R114:R118" si="231">(C114*D114*Q114/1000)</f>
        <v>0</v>
      </c>
      <c r="S114" s="20">
        <f t="shared" ref="S114:S118" si="232">+H114+K114+Q114+N114</f>
        <v>39</v>
      </c>
      <c r="T114" s="19">
        <f t="shared" ref="T114:T118" si="233">+I114+L114+R114+O114</f>
        <v>15.686579999999998</v>
      </c>
      <c r="U114" s="21">
        <f t="shared" ref="U114:U118" si="234">E114-S114</f>
        <v>0</v>
      </c>
      <c r="V114" s="19">
        <f t="shared" ref="V114:V118" si="235">F114-T114</f>
        <v>0</v>
      </c>
    </row>
    <row r="115" spans="1:22">
      <c r="A115" s="26" t="s">
        <v>13</v>
      </c>
      <c r="B115" s="26" t="s">
        <v>126</v>
      </c>
      <c r="C115" s="30">
        <v>33.799999999999997</v>
      </c>
      <c r="D115" s="27">
        <v>4.7519999999999998</v>
      </c>
      <c r="E115" s="28"/>
      <c r="F115" s="16">
        <f t="shared" si="227"/>
        <v>0</v>
      </c>
      <c r="G115" s="16" t="s">
        <v>107</v>
      </c>
      <c r="H115" s="18"/>
      <c r="I115" s="19">
        <f t="shared" si="228"/>
        <v>0</v>
      </c>
      <c r="J115" s="16" t="s">
        <v>553</v>
      </c>
      <c r="K115" s="18"/>
      <c r="L115" s="19">
        <f t="shared" si="229"/>
        <v>0</v>
      </c>
      <c r="M115" s="16" t="s">
        <v>205</v>
      </c>
      <c r="N115" s="18">
        <v>12</v>
      </c>
      <c r="O115" s="19">
        <f t="shared" si="230"/>
        <v>1.9274111999999999</v>
      </c>
      <c r="P115" s="16" t="s">
        <v>577</v>
      </c>
      <c r="Q115" s="18">
        <f>13+1+29</f>
        <v>43</v>
      </c>
      <c r="R115" s="19">
        <f t="shared" si="231"/>
        <v>6.9065567999999997</v>
      </c>
      <c r="S115" s="20">
        <f t="shared" si="232"/>
        <v>55</v>
      </c>
      <c r="T115" s="19">
        <f t="shared" si="233"/>
        <v>8.8339679999999987</v>
      </c>
      <c r="U115" s="21">
        <f t="shared" si="234"/>
        <v>-55</v>
      </c>
      <c r="V115" s="19">
        <f t="shared" si="235"/>
        <v>-8.8339679999999987</v>
      </c>
    </row>
    <row r="116" spans="1:22">
      <c r="A116" s="26" t="s">
        <v>13</v>
      </c>
      <c r="B116" s="26" t="s">
        <v>126</v>
      </c>
      <c r="C116" s="30">
        <v>33.799999999999997</v>
      </c>
      <c r="D116" s="27">
        <v>9.1999999999999993</v>
      </c>
      <c r="E116" s="28"/>
      <c r="F116" s="16">
        <f t="shared" si="227"/>
        <v>0</v>
      </c>
      <c r="G116" s="16" t="s">
        <v>547</v>
      </c>
      <c r="H116" s="18"/>
      <c r="I116" s="19">
        <f t="shared" si="228"/>
        <v>0</v>
      </c>
      <c r="J116" s="16" t="s">
        <v>89</v>
      </c>
      <c r="K116" s="18"/>
      <c r="L116" s="19">
        <f t="shared" si="229"/>
        <v>0</v>
      </c>
      <c r="M116" s="16" t="s">
        <v>584</v>
      </c>
      <c r="N116" s="18"/>
      <c r="O116" s="19">
        <f t="shared" si="230"/>
        <v>0</v>
      </c>
      <c r="P116" s="17" t="s">
        <v>89</v>
      </c>
      <c r="Q116" s="18">
        <v>1</v>
      </c>
      <c r="R116" s="19">
        <f t="shared" si="231"/>
        <v>0.3109599999999999</v>
      </c>
      <c r="S116" s="20">
        <f t="shared" si="232"/>
        <v>1</v>
      </c>
      <c r="T116" s="19">
        <f t="shared" si="233"/>
        <v>0.3109599999999999</v>
      </c>
      <c r="U116" s="21">
        <f t="shared" si="234"/>
        <v>-1</v>
      </c>
      <c r="V116" s="19">
        <f t="shared" si="235"/>
        <v>-0.3109599999999999</v>
      </c>
    </row>
    <row r="117" spans="1:22">
      <c r="A117" s="26" t="s">
        <v>13</v>
      </c>
      <c r="B117" s="26" t="s">
        <v>126</v>
      </c>
      <c r="C117" s="30">
        <v>33.799999999999997</v>
      </c>
      <c r="D117" s="27"/>
      <c r="E117" s="28"/>
      <c r="F117" s="16">
        <f t="shared" si="227"/>
        <v>0</v>
      </c>
      <c r="G117" s="16" t="s">
        <v>114</v>
      </c>
      <c r="H117" s="18"/>
      <c r="I117" s="19">
        <f t="shared" si="228"/>
        <v>0</v>
      </c>
      <c r="J117" s="16" t="s">
        <v>555</v>
      </c>
      <c r="K117" s="18"/>
      <c r="L117" s="19">
        <f t="shared" si="229"/>
        <v>0</v>
      </c>
      <c r="M117" s="16"/>
      <c r="N117" s="18"/>
      <c r="O117" s="19">
        <f t="shared" si="230"/>
        <v>0</v>
      </c>
      <c r="P117" t="s">
        <v>587</v>
      </c>
      <c r="Q117" s="18"/>
      <c r="R117" s="19">
        <f t="shared" si="231"/>
        <v>0</v>
      </c>
      <c r="S117" s="20">
        <f t="shared" si="232"/>
        <v>0</v>
      </c>
      <c r="T117" s="19">
        <f t="shared" si="233"/>
        <v>0</v>
      </c>
      <c r="U117" s="21">
        <f t="shared" si="234"/>
        <v>0</v>
      </c>
      <c r="V117" s="19">
        <f t="shared" si="235"/>
        <v>0</v>
      </c>
    </row>
    <row r="118" spans="1:22">
      <c r="A118" s="26" t="s">
        <v>13</v>
      </c>
      <c r="B118" s="26" t="s">
        <v>126</v>
      </c>
      <c r="C118" s="30">
        <v>33.799999999999997</v>
      </c>
      <c r="D118" s="27"/>
      <c r="E118" s="28"/>
      <c r="F118" s="16">
        <f t="shared" si="227"/>
        <v>0</v>
      </c>
      <c r="G118" s="16" t="s">
        <v>548</v>
      </c>
      <c r="H118" s="18"/>
      <c r="I118" s="19">
        <f t="shared" si="228"/>
        <v>0</v>
      </c>
      <c r="J118" s="16" t="s">
        <v>89</v>
      </c>
      <c r="K118" s="18"/>
      <c r="L118" s="19">
        <f t="shared" si="229"/>
        <v>0</v>
      </c>
      <c r="M118" s="16"/>
      <c r="N118" s="18"/>
      <c r="O118" s="19">
        <f t="shared" si="230"/>
        <v>0</v>
      </c>
      <c r="P118" s="16"/>
      <c r="Q118" s="18"/>
      <c r="R118" s="19">
        <f t="shared" si="231"/>
        <v>0</v>
      </c>
      <c r="S118" s="20">
        <f t="shared" si="232"/>
        <v>0</v>
      </c>
      <c r="T118" s="19">
        <f t="shared" si="233"/>
        <v>0</v>
      </c>
      <c r="U118" s="21">
        <f t="shared" si="234"/>
        <v>0</v>
      </c>
      <c r="V118" s="19">
        <f t="shared" si="235"/>
        <v>0</v>
      </c>
    </row>
    <row r="119" spans="1:22">
      <c r="A119" s="26" t="s">
        <v>13</v>
      </c>
      <c r="B119" s="26" t="s">
        <v>126</v>
      </c>
      <c r="C119" s="30">
        <v>33.799999999999997</v>
      </c>
      <c r="D119" s="27"/>
      <c r="E119" s="28"/>
      <c r="F119" s="16">
        <f t="shared" si="218"/>
        <v>0</v>
      </c>
      <c r="G119" s="16" t="s">
        <v>551</v>
      </c>
      <c r="H119" s="18"/>
      <c r="I119" s="19">
        <f t="shared" si="219"/>
        <v>0</v>
      </c>
      <c r="J119" s="16" t="s">
        <v>557</v>
      </c>
      <c r="K119" s="18"/>
      <c r="L119" s="19">
        <f t="shared" si="220"/>
        <v>0</v>
      </c>
      <c r="M119" s="16"/>
      <c r="N119" s="18"/>
      <c r="O119" s="19">
        <f t="shared" si="221"/>
        <v>0</v>
      </c>
      <c r="P119" s="16"/>
      <c r="Q119" s="18"/>
      <c r="R119" s="19">
        <f t="shared" si="222"/>
        <v>0</v>
      </c>
      <c r="S119" s="20">
        <f t="shared" si="223"/>
        <v>0</v>
      </c>
      <c r="T119" s="19">
        <f t="shared" si="226"/>
        <v>0</v>
      </c>
      <c r="U119" s="21">
        <f t="shared" si="224"/>
        <v>0</v>
      </c>
      <c r="V119" s="19">
        <f t="shared" si="225"/>
        <v>0</v>
      </c>
    </row>
    <row r="120" spans="1:22">
      <c r="A120" s="36"/>
      <c r="B120" s="36"/>
      <c r="C120" s="37"/>
      <c r="D120" s="38"/>
      <c r="E120" s="31">
        <f t="shared" ref="E120:F120" si="236">SUM(E112:E119)</f>
        <v>621</v>
      </c>
      <c r="F120" s="38">
        <f t="shared" si="236"/>
        <v>182.89517999999998</v>
      </c>
      <c r="G120" s="16" t="s">
        <v>552</v>
      </c>
      <c r="H120" s="31">
        <f t="shared" ref="H120:I120" si="237">SUM(H112:H119)</f>
        <v>236</v>
      </c>
      <c r="I120" s="38">
        <f t="shared" si="237"/>
        <v>69.235919999999993</v>
      </c>
      <c r="J120" s="16"/>
      <c r="K120" s="31">
        <f t="shared" ref="K120:L120" si="238">SUM(K112:K119)</f>
        <v>311</v>
      </c>
      <c r="L120" s="38">
        <f t="shared" si="238"/>
        <v>91.939379999999986</v>
      </c>
      <c r="M120" s="16"/>
      <c r="N120" s="31">
        <f t="shared" ref="N120:O120" si="239">SUM(N112:N119)</f>
        <v>33</v>
      </c>
      <c r="O120" s="38">
        <f t="shared" si="239"/>
        <v>7.8390311999999991</v>
      </c>
      <c r="P120" s="16"/>
      <c r="Q120" s="31">
        <f>SUM(Q112:Q119)</f>
        <v>70</v>
      </c>
      <c r="R120" s="38">
        <f>SUM(R112:R119)</f>
        <v>14.4980368</v>
      </c>
      <c r="S120" s="31">
        <f t="shared" ref="S120:V120" si="240">SUM(S112:S119)</f>
        <v>650</v>
      </c>
      <c r="T120" s="38">
        <f>SUM(T112:T119)</f>
        <v>183.51236799999998</v>
      </c>
      <c r="U120" s="31">
        <f t="shared" si="240"/>
        <v>-29</v>
      </c>
      <c r="V120" s="141">
        <f t="shared" si="240"/>
        <v>-0.61718799999999718</v>
      </c>
    </row>
    <row r="121" spans="1:22" hidden="1">
      <c r="A121" s="26" t="s">
        <v>13</v>
      </c>
      <c r="B121" s="26" t="s">
        <v>35</v>
      </c>
      <c r="C121" s="30">
        <v>6.85</v>
      </c>
      <c r="D121" s="27">
        <v>11.65</v>
      </c>
      <c r="E121" s="28">
        <v>131</v>
      </c>
      <c r="F121" s="16">
        <f>(C121*D121*E121/1000)</f>
        <v>10.454127499999998</v>
      </c>
      <c r="G121" s="17" t="s">
        <v>150</v>
      </c>
      <c r="H121" s="18">
        <v>97</v>
      </c>
      <c r="I121" s="19">
        <f>(C121*D121*H121/1000)</f>
        <v>7.7408424999999994</v>
      </c>
      <c r="J121" s="17" t="s">
        <v>89</v>
      </c>
      <c r="K121" s="18">
        <v>22</v>
      </c>
      <c r="L121" s="19">
        <f>(C121*D121*K121/1000)</f>
        <v>1.755655</v>
      </c>
      <c r="M121" s="16" t="s">
        <v>560</v>
      </c>
      <c r="N121" s="18"/>
      <c r="O121" s="19">
        <f>(C121*D121*N121/1000)</f>
        <v>0</v>
      </c>
      <c r="P121" s="16"/>
      <c r="Q121" s="18"/>
      <c r="R121" s="19">
        <f>(C121*D121*Q121/1000)</f>
        <v>0</v>
      </c>
      <c r="S121" s="20">
        <f>+H121+K121+Q121+N121</f>
        <v>119</v>
      </c>
      <c r="T121" s="19">
        <f>+I121+L121+R121+O121</f>
        <v>9.4964975000000003</v>
      </c>
      <c r="U121" s="21">
        <f>E121-S121</f>
        <v>12</v>
      </c>
      <c r="V121" s="19">
        <f>F121-T121</f>
        <v>0.9576299999999982</v>
      </c>
    </row>
    <row r="122" spans="1:22" hidden="1">
      <c r="A122" s="26" t="s">
        <v>13</v>
      </c>
      <c r="B122" s="26" t="s">
        <v>35</v>
      </c>
      <c r="C122" s="30">
        <v>6.85</v>
      </c>
      <c r="D122" s="27">
        <v>6</v>
      </c>
      <c r="E122" s="28"/>
      <c r="F122" s="16">
        <f t="shared" ref="F122:F129" si="241">(C122*D122*E122/1000)</f>
        <v>0</v>
      </c>
      <c r="G122" s="17" t="s">
        <v>555</v>
      </c>
      <c r="H122" s="18"/>
      <c r="I122" s="19">
        <f t="shared" ref="I122:I129" si="242">(C122*D122*H122/1000)</f>
        <v>0</v>
      </c>
      <c r="J122" s="17" t="s">
        <v>559</v>
      </c>
      <c r="K122" s="18"/>
      <c r="L122" s="19">
        <f t="shared" ref="L122:L129" si="243">(C122*D122*K122/1000)</f>
        <v>0</v>
      </c>
      <c r="M122" s="16" t="s">
        <v>561</v>
      </c>
      <c r="N122" s="18">
        <v>1</v>
      </c>
      <c r="O122" s="19">
        <f t="shared" ref="O122:O129" si="244">(C122*D122*N122/1000)</f>
        <v>4.1099999999999998E-2</v>
      </c>
      <c r="P122" s="16"/>
      <c r="Q122" s="18"/>
      <c r="R122" s="19">
        <f t="shared" ref="R122:R129" si="245">(C122*D122*Q122/1000)</f>
        <v>0</v>
      </c>
      <c r="S122" s="20">
        <f t="shared" ref="S122:S129" si="246">+H122+K122+Q122+N122</f>
        <v>1</v>
      </c>
      <c r="T122" s="19">
        <f t="shared" ref="T122:T129" si="247">+I122+L122+R122+O122</f>
        <v>4.1099999999999998E-2</v>
      </c>
      <c r="U122" s="21">
        <f t="shared" ref="U122:U129" si="248">E122-S122</f>
        <v>-1</v>
      </c>
      <c r="V122" s="19">
        <f t="shared" ref="V122:V129" si="249">F122-T122</f>
        <v>-4.1099999999999998E-2</v>
      </c>
    </row>
    <row r="123" spans="1:22" hidden="1">
      <c r="A123" s="26" t="s">
        <v>13</v>
      </c>
      <c r="B123" s="26" t="s">
        <v>35</v>
      </c>
      <c r="C123" s="30">
        <v>6.85</v>
      </c>
      <c r="D123" s="27">
        <v>11</v>
      </c>
      <c r="E123" s="28"/>
      <c r="F123" s="16">
        <f t="shared" si="241"/>
        <v>0</v>
      </c>
      <c r="G123" s="17"/>
      <c r="H123" s="18"/>
      <c r="I123" s="19">
        <f t="shared" si="242"/>
        <v>0</v>
      </c>
      <c r="J123" s="17"/>
      <c r="K123" s="18"/>
      <c r="L123" s="19">
        <f t="shared" si="243"/>
        <v>0</v>
      </c>
      <c r="M123" s="16"/>
      <c r="N123" s="18">
        <v>5</v>
      </c>
      <c r="O123" s="19">
        <f t="shared" si="244"/>
        <v>0.37674999999999997</v>
      </c>
      <c r="P123" s="16"/>
      <c r="Q123" s="18"/>
      <c r="R123" s="19">
        <f t="shared" si="245"/>
        <v>0</v>
      </c>
      <c r="S123" s="20">
        <f t="shared" si="246"/>
        <v>5</v>
      </c>
      <c r="T123" s="19">
        <f t="shared" si="247"/>
        <v>0.37674999999999997</v>
      </c>
      <c r="U123" s="21">
        <f t="shared" si="248"/>
        <v>-5</v>
      </c>
      <c r="V123" s="19">
        <f t="shared" si="249"/>
        <v>-0.37674999999999997</v>
      </c>
    </row>
    <row r="124" spans="1:22" hidden="1">
      <c r="A124" s="26" t="s">
        <v>13</v>
      </c>
      <c r="B124" s="26" t="s">
        <v>35</v>
      </c>
      <c r="C124" s="30">
        <v>6.85</v>
      </c>
      <c r="D124" s="27">
        <v>10.5</v>
      </c>
      <c r="E124" s="28"/>
      <c r="F124" s="16">
        <f t="shared" si="241"/>
        <v>0</v>
      </c>
      <c r="G124" s="17"/>
      <c r="H124" s="18"/>
      <c r="I124" s="19">
        <f t="shared" si="242"/>
        <v>0</v>
      </c>
      <c r="J124" s="17"/>
      <c r="K124" s="18"/>
      <c r="L124" s="19">
        <f t="shared" si="243"/>
        <v>0</v>
      </c>
      <c r="M124" s="16"/>
      <c r="N124" s="18">
        <v>2</v>
      </c>
      <c r="O124" s="19">
        <f t="shared" si="244"/>
        <v>0.14385000000000001</v>
      </c>
      <c r="P124" s="16"/>
      <c r="Q124" s="18"/>
      <c r="R124" s="19">
        <f t="shared" si="245"/>
        <v>0</v>
      </c>
      <c r="S124" s="20">
        <f t="shared" si="246"/>
        <v>2</v>
      </c>
      <c r="T124" s="19">
        <f t="shared" si="247"/>
        <v>0.14385000000000001</v>
      </c>
      <c r="U124" s="21">
        <f t="shared" si="248"/>
        <v>-2</v>
      </c>
      <c r="V124" s="19">
        <f t="shared" si="249"/>
        <v>-0.14385000000000001</v>
      </c>
    </row>
    <row r="125" spans="1:22" hidden="1">
      <c r="A125" s="26" t="s">
        <v>13</v>
      </c>
      <c r="B125" s="26" t="s">
        <v>35</v>
      </c>
      <c r="C125" s="30">
        <v>6.85</v>
      </c>
      <c r="D125" s="27">
        <v>11.7</v>
      </c>
      <c r="E125" s="28"/>
      <c r="F125" s="16">
        <f t="shared" si="241"/>
        <v>0</v>
      </c>
      <c r="G125" s="17"/>
      <c r="H125" s="18"/>
      <c r="I125" s="19">
        <f t="shared" si="242"/>
        <v>0</v>
      </c>
      <c r="J125" s="17"/>
      <c r="K125" s="18"/>
      <c r="L125" s="19">
        <f t="shared" si="243"/>
        <v>0</v>
      </c>
      <c r="M125" s="16"/>
      <c r="N125" s="18">
        <v>4</v>
      </c>
      <c r="O125" s="19">
        <f t="shared" si="244"/>
        <v>0.32057999999999998</v>
      </c>
      <c r="P125" s="16"/>
      <c r="Q125" s="18"/>
      <c r="R125" s="19">
        <f t="shared" si="245"/>
        <v>0</v>
      </c>
      <c r="S125" s="20">
        <f t="shared" si="246"/>
        <v>4</v>
      </c>
      <c r="T125" s="19">
        <f t="shared" si="247"/>
        <v>0.32057999999999998</v>
      </c>
      <c r="U125" s="21">
        <f t="shared" si="248"/>
        <v>-4</v>
      </c>
      <c r="V125" s="19">
        <f t="shared" si="249"/>
        <v>-0.32057999999999998</v>
      </c>
    </row>
    <row r="126" spans="1:22" hidden="1">
      <c r="A126" s="26" t="s">
        <v>13</v>
      </c>
      <c r="B126" s="26" t="s">
        <v>35</v>
      </c>
      <c r="C126" s="30">
        <v>6.85</v>
      </c>
      <c r="D126" s="27">
        <v>10.5</v>
      </c>
      <c r="E126" s="28"/>
      <c r="F126" s="16">
        <f t="shared" si="241"/>
        <v>0</v>
      </c>
      <c r="G126" s="17"/>
      <c r="H126" s="18"/>
      <c r="I126" s="19">
        <f t="shared" si="242"/>
        <v>0</v>
      </c>
      <c r="J126" s="17"/>
      <c r="K126" s="18"/>
      <c r="L126" s="19">
        <f t="shared" si="243"/>
        <v>0</v>
      </c>
      <c r="M126" s="16"/>
      <c r="N126" s="18">
        <v>1</v>
      </c>
      <c r="O126" s="19">
        <f t="shared" si="244"/>
        <v>7.1925000000000003E-2</v>
      </c>
      <c r="P126" s="16"/>
      <c r="Q126" s="18"/>
      <c r="R126" s="19">
        <f t="shared" si="245"/>
        <v>0</v>
      </c>
      <c r="S126" s="20">
        <f t="shared" si="246"/>
        <v>1</v>
      </c>
      <c r="T126" s="19">
        <f t="shared" si="247"/>
        <v>7.1925000000000003E-2</v>
      </c>
      <c r="U126" s="21">
        <f t="shared" si="248"/>
        <v>-1</v>
      </c>
      <c r="V126" s="19">
        <f t="shared" si="249"/>
        <v>-7.1925000000000003E-2</v>
      </c>
    </row>
    <row r="127" spans="1:22" hidden="1">
      <c r="A127" s="26" t="s">
        <v>13</v>
      </c>
      <c r="B127" s="26" t="s">
        <v>35</v>
      </c>
      <c r="C127" s="30">
        <v>6.85</v>
      </c>
      <c r="D127" s="27">
        <v>9.8000000000000007</v>
      </c>
      <c r="E127" s="28"/>
      <c r="F127" s="16">
        <f t="shared" si="241"/>
        <v>0</v>
      </c>
      <c r="G127" s="17"/>
      <c r="H127" s="18"/>
      <c r="I127" s="19">
        <f t="shared" si="242"/>
        <v>0</v>
      </c>
      <c r="J127" s="17"/>
      <c r="K127" s="18"/>
      <c r="L127" s="19">
        <f t="shared" si="243"/>
        <v>0</v>
      </c>
      <c r="M127" s="16"/>
      <c r="N127" s="18">
        <v>1</v>
      </c>
      <c r="O127" s="19">
        <f t="shared" si="244"/>
        <v>6.7129999999999995E-2</v>
      </c>
      <c r="P127" s="16"/>
      <c r="Q127" s="18"/>
      <c r="R127" s="19">
        <f t="shared" si="245"/>
        <v>0</v>
      </c>
      <c r="S127" s="20">
        <f t="shared" si="246"/>
        <v>1</v>
      </c>
      <c r="T127" s="19">
        <f t="shared" si="247"/>
        <v>6.7129999999999995E-2</v>
      </c>
      <c r="U127" s="21">
        <f t="shared" si="248"/>
        <v>-1</v>
      </c>
      <c r="V127" s="19">
        <f t="shared" si="249"/>
        <v>-6.7129999999999995E-2</v>
      </c>
    </row>
    <row r="128" spans="1:22" hidden="1">
      <c r="A128" s="26" t="s">
        <v>13</v>
      </c>
      <c r="B128" s="26" t="s">
        <v>35</v>
      </c>
      <c r="C128" s="30">
        <v>6.85</v>
      </c>
      <c r="D128" s="27"/>
      <c r="E128" s="28"/>
      <c r="F128" s="16">
        <f t="shared" si="241"/>
        <v>0</v>
      </c>
      <c r="G128" s="17"/>
      <c r="H128" s="18"/>
      <c r="I128" s="19">
        <f t="shared" si="242"/>
        <v>0</v>
      </c>
      <c r="J128" s="17"/>
      <c r="K128" s="18"/>
      <c r="L128" s="19">
        <f t="shared" si="243"/>
        <v>0</v>
      </c>
      <c r="M128" s="16"/>
      <c r="N128" s="18"/>
      <c r="O128" s="19">
        <f t="shared" si="244"/>
        <v>0</v>
      </c>
      <c r="P128" s="16"/>
      <c r="Q128" s="18"/>
      <c r="R128" s="19">
        <f t="shared" si="245"/>
        <v>0</v>
      </c>
      <c r="S128" s="20">
        <f t="shared" si="246"/>
        <v>0</v>
      </c>
      <c r="T128" s="19">
        <f t="shared" si="247"/>
        <v>0</v>
      </c>
      <c r="U128" s="21">
        <f t="shared" si="248"/>
        <v>0</v>
      </c>
      <c r="V128" s="19">
        <f t="shared" si="249"/>
        <v>0</v>
      </c>
    </row>
    <row r="129" spans="1:22" hidden="1">
      <c r="A129" s="26" t="s">
        <v>13</v>
      </c>
      <c r="B129" s="26" t="s">
        <v>35</v>
      </c>
      <c r="C129" s="30">
        <v>6.85</v>
      </c>
      <c r="D129" s="27"/>
      <c r="E129" s="28"/>
      <c r="F129" s="16">
        <f t="shared" si="241"/>
        <v>0</v>
      </c>
      <c r="G129" s="17"/>
      <c r="H129" s="18"/>
      <c r="I129" s="19">
        <f t="shared" si="242"/>
        <v>0</v>
      </c>
      <c r="J129" s="17"/>
      <c r="K129" s="18"/>
      <c r="L129" s="19">
        <f t="shared" si="243"/>
        <v>0</v>
      </c>
      <c r="M129" s="16"/>
      <c r="N129" s="18"/>
      <c r="O129" s="19">
        <f t="shared" si="244"/>
        <v>0</v>
      </c>
      <c r="P129" s="16"/>
      <c r="Q129" s="18"/>
      <c r="R129" s="19">
        <f t="shared" si="245"/>
        <v>0</v>
      </c>
      <c r="S129" s="20">
        <f t="shared" si="246"/>
        <v>0</v>
      </c>
      <c r="T129" s="19">
        <f t="shared" si="247"/>
        <v>0</v>
      </c>
      <c r="U129" s="21">
        <f t="shared" si="248"/>
        <v>0</v>
      </c>
      <c r="V129" s="19">
        <f t="shared" si="249"/>
        <v>0</v>
      </c>
    </row>
    <row r="130" spans="1:22" hidden="1">
      <c r="A130" s="36"/>
      <c r="B130" s="36"/>
      <c r="C130" s="37"/>
      <c r="D130" s="38"/>
      <c r="E130" s="31">
        <f t="shared" ref="E130:F130" si="250">SUM(E121:E129)</f>
        <v>131</v>
      </c>
      <c r="F130" s="38">
        <f t="shared" si="250"/>
        <v>10.454127499999998</v>
      </c>
      <c r="G130" s="17"/>
      <c r="H130" s="31">
        <f t="shared" ref="H130" si="251">SUM(H121:H129)</f>
        <v>97</v>
      </c>
      <c r="I130" s="38">
        <f t="shared" ref="I130" si="252">SUM(I121:I129)</f>
        <v>7.7408424999999994</v>
      </c>
      <c r="J130" s="17"/>
      <c r="K130" s="31">
        <f t="shared" ref="K130" si="253">SUM(K121:K129)</f>
        <v>22</v>
      </c>
      <c r="L130" s="38">
        <f t="shared" ref="L130" si="254">SUM(L121:L129)</f>
        <v>1.755655</v>
      </c>
      <c r="M130" s="16"/>
      <c r="N130" s="31">
        <f t="shared" ref="N130" si="255">SUM(N121:N129)</f>
        <v>14</v>
      </c>
      <c r="O130" s="38">
        <f t="shared" ref="O130" si="256">SUM(O121:O129)</f>
        <v>1.0213349999999999</v>
      </c>
      <c r="P130" s="16"/>
      <c r="Q130" s="31">
        <f t="shared" ref="Q130" si="257">SUM(Q121:Q129)</f>
        <v>0</v>
      </c>
      <c r="R130" s="38">
        <f t="shared" ref="R130" si="258">SUM(R121:R129)</f>
        <v>0</v>
      </c>
      <c r="S130" s="31">
        <f t="shared" ref="S130" si="259">SUM(S121:S129)</f>
        <v>133</v>
      </c>
      <c r="T130" s="38">
        <f t="shared" ref="T130" si="260">SUM(T121:T129)</f>
        <v>10.517832500000001</v>
      </c>
      <c r="U130" s="31">
        <f t="shared" ref="U130" si="261">SUM(U121:U129)</f>
        <v>-2</v>
      </c>
      <c r="V130" s="38">
        <f t="shared" ref="V130" si="262">SUM(V121:V129)</f>
        <v>-6.3705000000001857E-2</v>
      </c>
    </row>
    <row r="131" spans="1:22" hidden="1">
      <c r="A131" s="26" t="s">
        <v>13</v>
      </c>
      <c r="B131" s="26" t="s">
        <v>58</v>
      </c>
      <c r="C131" s="30">
        <v>7.36</v>
      </c>
      <c r="D131" s="27">
        <v>8.25</v>
      </c>
      <c r="E131" s="28">
        <v>388</v>
      </c>
      <c r="F131" s="16">
        <f>(C131*D131*E131/1000)</f>
        <v>23.559360000000002</v>
      </c>
      <c r="G131" s="16" t="s">
        <v>89</v>
      </c>
      <c r="H131" s="18">
        <v>210</v>
      </c>
      <c r="I131" s="19">
        <f>(C131*D131*H131/1000)</f>
        <v>12.751200000000001</v>
      </c>
      <c r="J131" s="16" t="s">
        <v>111</v>
      </c>
      <c r="K131" s="18"/>
      <c r="L131" s="19">
        <f>(C131*D131*K131/1000)</f>
        <v>0</v>
      </c>
      <c r="M131" s="17" t="s">
        <v>89</v>
      </c>
      <c r="N131" s="18">
        <v>167</v>
      </c>
      <c r="O131" s="19">
        <f>(C131*D131*N131/1000)</f>
        <v>10.140240000000002</v>
      </c>
      <c r="P131" s="16" t="s">
        <v>111</v>
      </c>
      <c r="Q131" s="18">
        <v>11</v>
      </c>
      <c r="R131" s="19">
        <f>(C131*D131*Q131/1000)</f>
        <v>0.66792000000000007</v>
      </c>
      <c r="S131" s="20">
        <f>+H131+K131+Q131+N131</f>
        <v>388</v>
      </c>
      <c r="T131" s="19">
        <f>+I131+L131+R131+O131</f>
        <v>23.559360000000005</v>
      </c>
      <c r="U131" s="21">
        <f>E131-S131</f>
        <v>0</v>
      </c>
      <c r="V131" s="19">
        <f>F131-T131</f>
        <v>0</v>
      </c>
    </row>
    <row r="132" spans="1:22" hidden="1">
      <c r="A132" s="26" t="s">
        <v>13</v>
      </c>
      <c r="B132" s="26" t="s">
        <v>58</v>
      </c>
      <c r="C132" s="30">
        <v>7.36</v>
      </c>
      <c r="D132" s="27">
        <v>10</v>
      </c>
      <c r="E132" s="28">
        <v>194</v>
      </c>
      <c r="F132" s="16">
        <f t="shared" ref="F132:F136" si="263">(C132*D132*E132/1000)</f>
        <v>14.278400000000001</v>
      </c>
      <c r="G132" s="16" t="s">
        <v>557</v>
      </c>
      <c r="H132" s="18">
        <v>59</v>
      </c>
      <c r="I132" s="19">
        <f t="shared" ref="I132:I136" si="264">(C132*D132*H132/1000)</f>
        <v>4.3424000000000005</v>
      </c>
      <c r="J132" s="16" t="s">
        <v>559</v>
      </c>
      <c r="K132" s="18">
        <v>38</v>
      </c>
      <c r="L132" s="19">
        <f t="shared" ref="L132:L136" si="265">(C132*D132*K132/1000)</f>
        <v>2.7968000000000002</v>
      </c>
      <c r="M132" s="17" t="s">
        <v>559</v>
      </c>
      <c r="N132" s="18">
        <v>54</v>
      </c>
      <c r="O132" s="19">
        <f t="shared" ref="O132:O136" si="266">(C132*D132*N132/1000)</f>
        <v>3.9744000000000006</v>
      </c>
      <c r="P132" s="16" t="s">
        <v>577</v>
      </c>
      <c r="Q132" s="18"/>
      <c r="R132" s="19">
        <f t="shared" ref="R132:R136" si="267">(C132*D132*Q132/1000)</f>
        <v>0</v>
      </c>
      <c r="S132" s="20">
        <f t="shared" ref="S132:S136" si="268">+H132+K132+Q132+N132</f>
        <v>151</v>
      </c>
      <c r="T132" s="19">
        <f t="shared" ref="T132:T136" si="269">+I132+L132+R132+O132</f>
        <v>11.113600000000002</v>
      </c>
      <c r="U132" s="21">
        <f t="shared" ref="U132:U136" si="270">E132-S132</f>
        <v>43</v>
      </c>
      <c r="V132" s="19">
        <f t="shared" ref="V132:V136" si="271">F132-T132</f>
        <v>3.1647999999999996</v>
      </c>
    </row>
    <row r="133" spans="1:22" hidden="1">
      <c r="A133" s="26" t="s">
        <v>13</v>
      </c>
      <c r="B133" s="26" t="s">
        <v>58</v>
      </c>
      <c r="C133" s="30">
        <v>7.36</v>
      </c>
      <c r="D133" s="27">
        <v>10.3</v>
      </c>
      <c r="E133" s="28"/>
      <c r="F133" s="16">
        <f t="shared" si="263"/>
        <v>0</v>
      </c>
      <c r="G133" s="16"/>
      <c r="H133" s="18"/>
      <c r="I133" s="19">
        <f t="shared" si="264"/>
        <v>0</v>
      </c>
      <c r="J133" s="16"/>
      <c r="K133" s="18"/>
      <c r="L133" s="19">
        <f t="shared" si="265"/>
        <v>0</v>
      </c>
      <c r="M133" s="17"/>
      <c r="N133" s="18"/>
      <c r="O133" s="19">
        <f t="shared" si="266"/>
        <v>0</v>
      </c>
      <c r="P133" s="16"/>
      <c r="Q133" s="18">
        <v>30</v>
      </c>
      <c r="R133" s="19">
        <f t="shared" si="267"/>
        <v>2.2742400000000003</v>
      </c>
      <c r="S133" s="20">
        <f t="shared" si="268"/>
        <v>30</v>
      </c>
      <c r="T133" s="19">
        <f t="shared" si="269"/>
        <v>2.2742400000000003</v>
      </c>
      <c r="U133" s="21">
        <f t="shared" si="270"/>
        <v>-30</v>
      </c>
      <c r="V133" s="19">
        <f t="shared" si="271"/>
        <v>-2.2742400000000003</v>
      </c>
    </row>
    <row r="134" spans="1:22" hidden="1">
      <c r="A134" s="26" t="s">
        <v>13</v>
      </c>
      <c r="B134" s="26" t="s">
        <v>58</v>
      </c>
      <c r="C134" s="30">
        <v>7.36</v>
      </c>
      <c r="D134" s="27">
        <v>11</v>
      </c>
      <c r="E134" s="28"/>
      <c r="F134" s="16">
        <f t="shared" si="263"/>
        <v>0</v>
      </c>
      <c r="G134" s="16"/>
      <c r="H134" s="18"/>
      <c r="I134" s="19">
        <f t="shared" si="264"/>
        <v>0</v>
      </c>
      <c r="J134" s="16"/>
      <c r="K134" s="18"/>
      <c r="L134" s="19">
        <f t="shared" si="265"/>
        <v>0</v>
      </c>
      <c r="M134" s="17"/>
      <c r="N134" s="18"/>
      <c r="O134" s="19">
        <f t="shared" si="266"/>
        <v>0</v>
      </c>
      <c r="P134" s="16"/>
      <c r="Q134" s="18">
        <v>8</v>
      </c>
      <c r="R134" s="19">
        <f t="shared" si="267"/>
        <v>0.64768000000000003</v>
      </c>
      <c r="S134" s="20">
        <f t="shared" si="268"/>
        <v>8</v>
      </c>
      <c r="T134" s="19">
        <f t="shared" si="269"/>
        <v>0.64768000000000003</v>
      </c>
      <c r="U134" s="21">
        <f t="shared" si="270"/>
        <v>-8</v>
      </c>
      <c r="V134" s="19">
        <f t="shared" si="271"/>
        <v>-0.64768000000000003</v>
      </c>
    </row>
    <row r="135" spans="1:22" hidden="1">
      <c r="A135" s="26" t="s">
        <v>13</v>
      </c>
      <c r="B135" s="26" t="s">
        <v>58</v>
      </c>
      <c r="C135" s="30">
        <v>7.36</v>
      </c>
      <c r="D135" s="27">
        <v>11.5</v>
      </c>
      <c r="E135" s="28"/>
      <c r="F135" s="16">
        <f t="shared" si="263"/>
        <v>0</v>
      </c>
      <c r="G135" s="16"/>
      <c r="H135" s="18"/>
      <c r="I135" s="19">
        <f t="shared" si="264"/>
        <v>0</v>
      </c>
      <c r="J135" s="16"/>
      <c r="K135" s="18"/>
      <c r="L135" s="19">
        <f t="shared" si="265"/>
        <v>0</v>
      </c>
      <c r="M135" s="17"/>
      <c r="N135" s="18"/>
      <c r="O135" s="19">
        <f t="shared" si="266"/>
        <v>0</v>
      </c>
      <c r="P135" s="16"/>
      <c r="Q135" s="18">
        <v>5</v>
      </c>
      <c r="R135" s="19">
        <f t="shared" si="267"/>
        <v>0.42319999999999997</v>
      </c>
      <c r="S135" s="20">
        <f t="shared" si="268"/>
        <v>5</v>
      </c>
      <c r="T135" s="19">
        <f t="shared" si="269"/>
        <v>0.42319999999999997</v>
      </c>
      <c r="U135" s="21">
        <f t="shared" si="270"/>
        <v>-5</v>
      </c>
      <c r="V135" s="19">
        <f t="shared" si="271"/>
        <v>-0.42319999999999997</v>
      </c>
    </row>
    <row r="136" spans="1:22" hidden="1">
      <c r="A136" s="26" t="s">
        <v>13</v>
      </c>
      <c r="B136" s="26" t="s">
        <v>58</v>
      </c>
      <c r="C136" s="30">
        <v>7.36</v>
      </c>
      <c r="D136" s="27"/>
      <c r="E136" s="28"/>
      <c r="F136" s="16">
        <f t="shared" si="263"/>
        <v>0</v>
      </c>
      <c r="G136" s="16"/>
      <c r="H136" s="18"/>
      <c r="I136" s="19">
        <f t="shared" si="264"/>
        <v>0</v>
      </c>
      <c r="J136" s="16"/>
      <c r="K136" s="18"/>
      <c r="L136" s="19">
        <f t="shared" si="265"/>
        <v>0</v>
      </c>
      <c r="M136" s="17"/>
      <c r="N136" s="18"/>
      <c r="O136" s="19">
        <f t="shared" si="266"/>
        <v>0</v>
      </c>
      <c r="P136" s="16"/>
      <c r="Q136" s="18"/>
      <c r="R136" s="19">
        <f t="shared" si="267"/>
        <v>0</v>
      </c>
      <c r="S136" s="20">
        <f t="shared" si="268"/>
        <v>0</v>
      </c>
      <c r="T136" s="19">
        <f t="shared" si="269"/>
        <v>0</v>
      </c>
      <c r="U136" s="21">
        <f t="shared" si="270"/>
        <v>0</v>
      </c>
      <c r="V136" s="19">
        <f t="shared" si="271"/>
        <v>0</v>
      </c>
    </row>
    <row r="137" spans="1:22" hidden="1">
      <c r="A137" s="36"/>
      <c r="B137" s="36"/>
      <c r="C137" s="37"/>
      <c r="D137" s="38"/>
      <c r="E137" s="31">
        <f>SUM(E131:E136)</f>
        <v>582</v>
      </c>
      <c r="F137" s="38">
        <f>SUM(F131:F136)</f>
        <v>37.837760000000003</v>
      </c>
      <c r="G137" s="17"/>
      <c r="H137" s="31">
        <f>SUM(H131:H136)</f>
        <v>269</v>
      </c>
      <c r="I137" s="38">
        <f>SUM(I131:I136)</f>
        <v>17.093600000000002</v>
      </c>
      <c r="J137" s="16"/>
      <c r="K137" s="31">
        <f>SUM(K131:K136)</f>
        <v>38</v>
      </c>
      <c r="L137" s="38">
        <f>SUM(L131:L136)</f>
        <v>2.7968000000000002</v>
      </c>
      <c r="M137" s="16"/>
      <c r="N137" s="31">
        <f>SUM(N131:N136)</f>
        <v>221</v>
      </c>
      <c r="O137" s="38">
        <f>SUM(O131:O136)</f>
        <v>14.114640000000003</v>
      </c>
      <c r="P137" s="16"/>
      <c r="Q137" s="31">
        <f t="shared" ref="Q137:V137" si="272">SUM(Q131:Q136)</f>
        <v>54</v>
      </c>
      <c r="R137" s="38">
        <f t="shared" si="272"/>
        <v>4.0130400000000002</v>
      </c>
      <c r="S137" s="31">
        <f t="shared" si="272"/>
        <v>582</v>
      </c>
      <c r="T137" s="38">
        <f t="shared" si="272"/>
        <v>38.018080000000005</v>
      </c>
      <c r="U137" s="31">
        <f t="shared" si="272"/>
        <v>0</v>
      </c>
      <c r="V137" s="141">
        <f t="shared" si="272"/>
        <v>-0.18032000000000065</v>
      </c>
    </row>
    <row r="138" spans="1:22" hidden="1">
      <c r="A138" s="26" t="s">
        <v>13</v>
      </c>
      <c r="B138" s="26" t="s">
        <v>505</v>
      </c>
      <c r="C138" s="30">
        <v>8.49</v>
      </c>
      <c r="D138" s="27">
        <v>10</v>
      </c>
      <c r="E138" s="28">
        <v>15</v>
      </c>
      <c r="F138" s="16">
        <f>(C138*D138*E138/1000)</f>
        <v>1.2735000000000001</v>
      </c>
      <c r="G138" s="16" t="s">
        <v>150</v>
      </c>
      <c r="H138" s="18">
        <v>14</v>
      </c>
      <c r="I138" s="19">
        <f>(C138*D138*H138/1000)</f>
        <v>1.1886000000000001</v>
      </c>
      <c r="J138" s="16"/>
      <c r="K138" s="18"/>
      <c r="L138" s="19">
        <f>(C138*D138*K138/1000)</f>
        <v>0</v>
      </c>
      <c r="M138" s="16"/>
      <c r="N138" s="18"/>
      <c r="O138" s="19">
        <f>(C138*D138*N138/1000)</f>
        <v>0</v>
      </c>
      <c r="P138" s="16"/>
      <c r="Q138" s="18"/>
      <c r="R138" s="19">
        <f>(C138*D138*Q138/1000)</f>
        <v>0</v>
      </c>
      <c r="S138" s="20">
        <f>+H138+K138+Q138+N138</f>
        <v>14</v>
      </c>
      <c r="T138" s="19">
        <f>+I138+L138+R138+O138</f>
        <v>1.1886000000000001</v>
      </c>
      <c r="U138" s="21">
        <f>E138-S138</f>
        <v>1</v>
      </c>
      <c r="V138" s="19">
        <f>F138-T138</f>
        <v>8.4899999999999975E-2</v>
      </c>
    </row>
    <row r="139" spans="1:22" hidden="1">
      <c r="A139" s="26" t="s">
        <v>13</v>
      </c>
      <c r="B139" s="26" t="s">
        <v>505</v>
      </c>
      <c r="C139" s="30">
        <v>8.49</v>
      </c>
      <c r="D139" s="27">
        <v>10.5</v>
      </c>
      <c r="E139" s="28"/>
      <c r="F139" s="16">
        <f>(C139*D139*E139/1000)</f>
        <v>0</v>
      </c>
      <c r="G139" s="16" t="s">
        <v>562</v>
      </c>
      <c r="H139" s="18">
        <v>1</v>
      </c>
      <c r="I139" s="19">
        <f>(C139*D139*H139/1000)</f>
        <v>8.9145000000000002E-2</v>
      </c>
      <c r="J139" s="16"/>
      <c r="K139" s="18"/>
      <c r="L139" s="19">
        <f>(C139*D139*K139/1000)</f>
        <v>0</v>
      </c>
      <c r="M139" s="16"/>
      <c r="N139" s="18"/>
      <c r="O139" s="19">
        <f>(C139*D139*N139/1000)</f>
        <v>0</v>
      </c>
      <c r="P139" s="16"/>
      <c r="Q139" s="18"/>
      <c r="R139" s="19">
        <f>(C139*D139*Q139/1000)</f>
        <v>0</v>
      </c>
      <c r="S139" s="20">
        <f>+H139+K139+Q139+N139</f>
        <v>1</v>
      </c>
      <c r="T139" s="19">
        <f>+I139+L139+R139+O139</f>
        <v>8.9145000000000002E-2</v>
      </c>
      <c r="U139" s="21">
        <f>E139-S139</f>
        <v>-1</v>
      </c>
      <c r="V139" s="19">
        <f>F139-T139</f>
        <v>-8.9145000000000002E-2</v>
      </c>
    </row>
    <row r="140" spans="1:22" hidden="1">
      <c r="A140" s="36"/>
      <c r="B140" s="36"/>
      <c r="C140" s="37"/>
      <c r="D140" s="38"/>
      <c r="E140" s="31">
        <f t="shared" ref="E140:F140" si="273">SUM(E138:E139)</f>
        <v>15</v>
      </c>
      <c r="F140" s="38">
        <f t="shared" si="273"/>
        <v>1.2735000000000001</v>
      </c>
      <c r="G140" s="16"/>
      <c r="H140" s="31">
        <f t="shared" ref="H140" si="274">SUM(H138:H139)</f>
        <v>15</v>
      </c>
      <c r="I140" s="38">
        <f t="shared" ref="I140" si="275">SUM(I138:I139)</f>
        <v>1.2777450000000001</v>
      </c>
      <c r="J140" s="26"/>
      <c r="K140" s="31">
        <f t="shared" ref="K140" si="276">SUM(K138:K139)</f>
        <v>0</v>
      </c>
      <c r="L140" s="38">
        <f t="shared" ref="L140" si="277">SUM(L138:L139)</f>
        <v>0</v>
      </c>
      <c r="M140" s="26"/>
      <c r="N140" s="31">
        <f t="shared" ref="N140" si="278">SUM(N138:N139)</f>
        <v>0</v>
      </c>
      <c r="O140" s="38">
        <f t="shared" ref="O140" si="279">SUM(O138:O139)</f>
        <v>0</v>
      </c>
      <c r="P140" s="26"/>
      <c r="Q140" s="31">
        <f t="shared" ref="Q140" si="280">SUM(Q138:Q139)</f>
        <v>0</v>
      </c>
      <c r="R140" s="38">
        <f t="shared" ref="R140" si="281">SUM(R138:R139)</f>
        <v>0</v>
      </c>
      <c r="S140" s="31">
        <f t="shared" ref="S140" si="282">SUM(S138:S139)</f>
        <v>15</v>
      </c>
      <c r="T140" s="38">
        <f t="shared" ref="T140" si="283">SUM(T138:T139)</f>
        <v>1.2777450000000001</v>
      </c>
      <c r="U140" s="31">
        <f t="shared" ref="U140" si="284">SUM(U138:U139)</f>
        <v>0</v>
      </c>
      <c r="V140" s="38">
        <f t="shared" ref="V140" si="285">SUM(V138:V139)</f>
        <v>-4.2450000000000265E-3</v>
      </c>
    </row>
    <row r="141" spans="1:22" hidden="1">
      <c r="A141" s="26" t="s">
        <v>13</v>
      </c>
      <c r="B141" s="26" t="s">
        <v>26</v>
      </c>
      <c r="C141" s="30">
        <v>8.3000000000000007</v>
      </c>
      <c r="D141" s="27">
        <v>8.1</v>
      </c>
      <c r="E141" s="28">
        <v>388</v>
      </c>
      <c r="F141" s="16">
        <f>(C141*D141*E141/1000)</f>
        <v>26.085240000000002</v>
      </c>
      <c r="G141" s="17" t="s">
        <v>93</v>
      </c>
      <c r="H141" s="18">
        <f>113+44</f>
        <v>157</v>
      </c>
      <c r="I141" s="19">
        <f>(C141*D141*H141/1000)</f>
        <v>10.555110000000001</v>
      </c>
      <c r="J141" s="16" t="s">
        <v>93</v>
      </c>
      <c r="K141" s="18">
        <v>192</v>
      </c>
      <c r="L141" s="19">
        <f>(C141*D141*K141/1000)</f>
        <v>12.908160000000001</v>
      </c>
      <c r="M141" s="16" t="s">
        <v>111</v>
      </c>
      <c r="N141" s="18"/>
      <c r="O141" s="19">
        <f>(C141*D141*N141/1000)</f>
        <v>0</v>
      </c>
      <c r="P141" s="17" t="s">
        <v>318</v>
      </c>
      <c r="Q141" s="18"/>
      <c r="R141" s="19">
        <f>(C141*D141*Q141/1000)</f>
        <v>0</v>
      </c>
      <c r="S141" s="20">
        <f>+H141+K141+Q141+N141</f>
        <v>349</v>
      </c>
      <c r="T141" s="19">
        <f>+I141+L141+R141+O141</f>
        <v>23.463270000000001</v>
      </c>
      <c r="U141" s="21">
        <f>E141-S141</f>
        <v>39</v>
      </c>
      <c r="V141" s="19">
        <f>F141-T141</f>
        <v>2.621970000000001</v>
      </c>
    </row>
    <row r="142" spans="1:22" hidden="1">
      <c r="A142" s="26" t="s">
        <v>13</v>
      </c>
      <c r="B142" s="26" t="s">
        <v>26</v>
      </c>
      <c r="C142" s="30">
        <v>8.3000000000000007</v>
      </c>
      <c r="D142" s="27">
        <v>12</v>
      </c>
      <c r="E142" s="28">
        <v>388</v>
      </c>
      <c r="F142" s="16">
        <f t="shared" ref="F142:F145" si="286">(C142*D142*E142/1000)</f>
        <v>38.644800000000004</v>
      </c>
      <c r="G142" s="17" t="s">
        <v>553</v>
      </c>
      <c r="H142" s="18">
        <f t="shared" ref="H142" si="287">29+115</f>
        <v>144</v>
      </c>
      <c r="I142" s="19">
        <f t="shared" ref="I142:I145" si="288">(C142*D142*H142/1000)</f>
        <v>14.342400000000001</v>
      </c>
      <c r="J142" s="16" t="s">
        <v>555</v>
      </c>
      <c r="K142" s="18">
        <f t="shared" ref="K142" si="289">8+184</f>
        <v>192</v>
      </c>
      <c r="L142" s="19">
        <f t="shared" ref="L142:L145" si="290">(C142*D142*K142/1000)</f>
        <v>19.123200000000001</v>
      </c>
      <c r="M142" s="16" t="s">
        <v>556</v>
      </c>
      <c r="N142" s="18">
        <v>52</v>
      </c>
      <c r="O142" s="19">
        <f t="shared" ref="O142:O145" si="291">(C142*D142*N142/1000)</f>
        <v>5.1792000000000007</v>
      </c>
      <c r="P142" s="17" t="s">
        <v>566</v>
      </c>
      <c r="Q142" s="18">
        <v>18</v>
      </c>
      <c r="R142" s="19">
        <f t="shared" ref="R142:R145" si="292">(C142*D142*Q142/1000)</f>
        <v>1.7928000000000002</v>
      </c>
      <c r="S142" s="20">
        <f t="shared" ref="S142:S145" si="293">+H142+K142+Q142+N142</f>
        <v>406</v>
      </c>
      <c r="T142" s="19">
        <f t="shared" ref="T142:T145" si="294">+I142+L142+R142+O142</f>
        <v>40.437600000000003</v>
      </c>
      <c r="U142" s="21">
        <f t="shared" ref="U142:U145" si="295">E142-S142</f>
        <v>-18</v>
      </c>
      <c r="V142" s="19">
        <f t="shared" ref="V142:V145" si="296">F142-T142</f>
        <v>-1.7927999999999997</v>
      </c>
    </row>
    <row r="143" spans="1:22" hidden="1">
      <c r="A143" s="26" t="s">
        <v>13</v>
      </c>
      <c r="B143" s="26" t="s">
        <v>26</v>
      </c>
      <c r="C143" s="30">
        <v>8.3000000000000007</v>
      </c>
      <c r="D143" s="27">
        <v>7.7</v>
      </c>
      <c r="E143" s="28"/>
      <c r="F143" s="16">
        <f t="shared" si="286"/>
        <v>0</v>
      </c>
      <c r="G143" s="17"/>
      <c r="H143" s="18"/>
      <c r="I143" s="19">
        <f t="shared" si="288"/>
        <v>0</v>
      </c>
      <c r="J143" s="16"/>
      <c r="K143" s="18"/>
      <c r="L143" s="19">
        <f t="shared" si="290"/>
        <v>0</v>
      </c>
      <c r="M143" s="16"/>
      <c r="N143" s="18"/>
      <c r="O143" s="19">
        <f t="shared" si="291"/>
        <v>0</v>
      </c>
      <c r="P143" s="17"/>
      <c r="Q143" s="18">
        <v>10</v>
      </c>
      <c r="R143" s="19">
        <f t="shared" si="292"/>
        <v>0.6391</v>
      </c>
      <c r="S143" s="20">
        <f t="shared" si="293"/>
        <v>10</v>
      </c>
      <c r="T143" s="19">
        <f t="shared" si="294"/>
        <v>0.6391</v>
      </c>
      <c r="U143" s="21">
        <f t="shared" si="295"/>
        <v>-10</v>
      </c>
      <c r="V143" s="19">
        <f t="shared" si="296"/>
        <v>-0.6391</v>
      </c>
    </row>
    <row r="144" spans="1:22" hidden="1">
      <c r="A144" s="26" t="s">
        <v>13</v>
      </c>
      <c r="B144" s="26" t="s">
        <v>26</v>
      </c>
      <c r="C144" s="30">
        <v>8.3000000000000007</v>
      </c>
      <c r="D144" s="27">
        <v>7.5</v>
      </c>
      <c r="E144" s="28"/>
      <c r="F144" s="16">
        <f t="shared" si="286"/>
        <v>0</v>
      </c>
      <c r="G144" s="17"/>
      <c r="H144" s="18"/>
      <c r="I144" s="19">
        <f t="shared" si="288"/>
        <v>0</v>
      </c>
      <c r="J144" s="16"/>
      <c r="K144" s="18"/>
      <c r="L144" s="19">
        <f t="shared" si="290"/>
        <v>0</v>
      </c>
      <c r="M144" s="16"/>
      <c r="N144" s="18"/>
      <c r="O144" s="19">
        <f t="shared" si="291"/>
        <v>0</v>
      </c>
      <c r="P144" s="17"/>
      <c r="Q144" s="18">
        <v>3</v>
      </c>
      <c r="R144" s="19">
        <f t="shared" si="292"/>
        <v>0.18675000000000003</v>
      </c>
      <c r="S144" s="20">
        <f t="shared" si="293"/>
        <v>3</v>
      </c>
      <c r="T144" s="19">
        <f t="shared" si="294"/>
        <v>0.18675000000000003</v>
      </c>
      <c r="U144" s="21">
        <f t="shared" si="295"/>
        <v>-3</v>
      </c>
      <c r="V144" s="19">
        <f t="shared" si="296"/>
        <v>-0.18675000000000003</v>
      </c>
    </row>
    <row r="145" spans="1:22" hidden="1">
      <c r="A145" s="26" t="s">
        <v>13</v>
      </c>
      <c r="B145" s="26" t="s">
        <v>26</v>
      </c>
      <c r="C145" s="30">
        <v>8.3000000000000007</v>
      </c>
      <c r="D145" s="27">
        <v>9.6</v>
      </c>
      <c r="E145" s="28"/>
      <c r="F145" s="16">
        <f t="shared" si="286"/>
        <v>0</v>
      </c>
      <c r="G145" s="17"/>
      <c r="H145" s="18"/>
      <c r="I145" s="19">
        <f t="shared" si="288"/>
        <v>0</v>
      </c>
      <c r="J145" s="16"/>
      <c r="K145" s="18"/>
      <c r="L145" s="19">
        <f t="shared" si="290"/>
        <v>0</v>
      </c>
      <c r="M145" s="16"/>
      <c r="N145" s="18"/>
      <c r="O145" s="19">
        <f t="shared" si="291"/>
        <v>0</v>
      </c>
      <c r="P145" s="17"/>
      <c r="Q145" s="18">
        <v>4</v>
      </c>
      <c r="R145" s="19">
        <f t="shared" si="292"/>
        <v>0.31872</v>
      </c>
      <c r="S145" s="20">
        <f t="shared" si="293"/>
        <v>4</v>
      </c>
      <c r="T145" s="19">
        <f t="shared" si="294"/>
        <v>0.31872</v>
      </c>
      <c r="U145" s="21">
        <f t="shared" si="295"/>
        <v>-4</v>
      </c>
      <c r="V145" s="19">
        <f t="shared" si="296"/>
        <v>-0.31872</v>
      </c>
    </row>
    <row r="146" spans="1:22" hidden="1">
      <c r="A146" s="26" t="s">
        <v>13</v>
      </c>
      <c r="B146" s="26" t="s">
        <v>26</v>
      </c>
      <c r="C146" s="30">
        <v>8.3000000000000007</v>
      </c>
      <c r="D146" s="27"/>
      <c r="E146" s="28"/>
      <c r="F146" s="16">
        <f>(C146*D146*E146/1000)</f>
        <v>0</v>
      </c>
      <c r="G146" s="17"/>
      <c r="H146" s="18"/>
      <c r="I146" s="19">
        <f>(C146*D146*H146/1000)</f>
        <v>0</v>
      </c>
      <c r="J146" s="16"/>
      <c r="K146" s="18"/>
      <c r="L146" s="19">
        <f>(C146*D146*K146/1000)</f>
        <v>0</v>
      </c>
      <c r="M146" s="16"/>
      <c r="N146" s="18"/>
      <c r="O146" s="19">
        <f>(C146*D146*N146/1000)</f>
        <v>0</v>
      </c>
      <c r="P146" s="17"/>
      <c r="Q146" s="18"/>
      <c r="R146" s="19">
        <f>(C146*D146*Q146/1000)</f>
        <v>0</v>
      </c>
      <c r="S146" s="20">
        <f>+H146+K146+Q146+N146</f>
        <v>0</v>
      </c>
      <c r="T146" s="19">
        <f>+I146+L146+R146+O146</f>
        <v>0</v>
      </c>
      <c r="U146" s="21">
        <f>E146-S146</f>
        <v>0</v>
      </c>
      <c r="V146" s="19">
        <f>F146-T146</f>
        <v>0</v>
      </c>
    </row>
    <row r="147" spans="1:22" hidden="1">
      <c r="A147" s="36"/>
      <c r="B147" s="36"/>
      <c r="C147" s="37"/>
      <c r="D147" s="38"/>
      <c r="E147" s="31">
        <f t="shared" ref="E147:F147" si="297">SUM(E141:E146)</f>
        <v>776</v>
      </c>
      <c r="F147" s="38">
        <f t="shared" si="297"/>
        <v>64.730040000000002</v>
      </c>
      <c r="G147" s="17"/>
      <c r="H147" s="31">
        <f t="shared" ref="H147:I147" si="298">SUM(H141:H146)</f>
        <v>301</v>
      </c>
      <c r="I147" s="38">
        <f t="shared" si="298"/>
        <v>24.897510000000004</v>
      </c>
      <c r="J147" s="16"/>
      <c r="K147" s="31">
        <f t="shared" ref="K147:L147" si="299">SUM(K141:K146)</f>
        <v>384</v>
      </c>
      <c r="L147" s="38">
        <f t="shared" si="299"/>
        <v>32.031359999999999</v>
      </c>
      <c r="M147" s="16"/>
      <c r="N147" s="31">
        <f t="shared" ref="N147:O147" si="300">SUM(N141:N146)</f>
        <v>52</v>
      </c>
      <c r="O147" s="38">
        <f t="shared" si="300"/>
        <v>5.1792000000000007</v>
      </c>
      <c r="P147" s="16"/>
      <c r="Q147" s="31">
        <f t="shared" ref="Q147:V147" si="301">SUM(Q141:Q146)</f>
        <v>35</v>
      </c>
      <c r="R147" s="38">
        <f t="shared" si="301"/>
        <v>2.93737</v>
      </c>
      <c r="S147" s="31">
        <f t="shared" si="301"/>
        <v>772</v>
      </c>
      <c r="T147" s="38">
        <f t="shared" si="301"/>
        <v>65.045440000000013</v>
      </c>
      <c r="U147" s="31">
        <f t="shared" si="301"/>
        <v>4</v>
      </c>
      <c r="V147" s="38">
        <f t="shared" si="301"/>
        <v>-0.31539999999999874</v>
      </c>
    </row>
    <row r="148" spans="1:22" hidden="1">
      <c r="A148" s="26" t="s">
        <v>13</v>
      </c>
      <c r="B148" s="26" t="s">
        <v>37</v>
      </c>
      <c r="C148" s="30">
        <v>9.61</v>
      </c>
      <c r="D148" s="27">
        <v>9.4</v>
      </c>
      <c r="E148" s="28">
        <v>388</v>
      </c>
      <c r="F148" s="16">
        <f>(C148*D148*E148/1000)</f>
        <v>35.049592000000004</v>
      </c>
      <c r="G148" s="17" t="s">
        <v>93</v>
      </c>
      <c r="H148" s="18">
        <v>60</v>
      </c>
      <c r="I148" s="19">
        <f>(C148*D148*H148/1000)</f>
        <v>5.4200400000000002</v>
      </c>
      <c r="J148" s="16" t="s">
        <v>114</v>
      </c>
      <c r="K148" s="18">
        <f>126+15</f>
        <v>141</v>
      </c>
      <c r="L148" s="19">
        <f>(C148*D148*K148/1000)</f>
        <v>12.737094000000001</v>
      </c>
      <c r="M148" s="16" t="s">
        <v>293</v>
      </c>
      <c r="N148" s="18">
        <f>125+44</f>
        <v>169</v>
      </c>
      <c r="O148" s="19">
        <f>(C148*D148*N148/1000)</f>
        <v>15.266446</v>
      </c>
      <c r="P148" s="16" t="s">
        <v>111</v>
      </c>
      <c r="Q148" s="18">
        <v>9</v>
      </c>
      <c r="R148" s="19">
        <f>(C148*D148*Q148/1000)</f>
        <v>0.81300600000000012</v>
      </c>
      <c r="S148" s="20">
        <f>+H148+K148+Q148+N148</f>
        <v>379</v>
      </c>
      <c r="T148" s="19">
        <f>+I148+L148+R148+O148</f>
        <v>34.236586000000003</v>
      </c>
      <c r="U148" s="21">
        <f>E148-S148</f>
        <v>9</v>
      </c>
      <c r="V148" s="19">
        <f>F148-T148</f>
        <v>0.81300600000000145</v>
      </c>
    </row>
    <row r="149" spans="1:22" hidden="1">
      <c r="A149" s="26" t="s">
        <v>13</v>
      </c>
      <c r="B149" s="26" t="s">
        <v>37</v>
      </c>
      <c r="C149" s="30">
        <v>9.61</v>
      </c>
      <c r="D149" s="27">
        <v>10.6</v>
      </c>
      <c r="E149" s="28">
        <v>194</v>
      </c>
      <c r="F149" s="16">
        <f t="shared" ref="F149:F159" si="302">(C149*D149*E149/1000)</f>
        <v>19.762003999999997</v>
      </c>
      <c r="G149" s="17" t="s">
        <v>553</v>
      </c>
      <c r="H149" s="18">
        <v>19</v>
      </c>
      <c r="I149" s="19">
        <f t="shared" ref="I149:I159" si="303">(C149*D149*H149/1000)</f>
        <v>1.9354539999999998</v>
      </c>
      <c r="J149" s="16" t="s">
        <v>553</v>
      </c>
      <c r="K149" s="18">
        <v>91</v>
      </c>
      <c r="L149" s="19">
        <f t="shared" ref="L149:L159" si="304">(C149*D149*K149/1000)</f>
        <v>9.2698059999999991</v>
      </c>
      <c r="M149" s="16" t="s">
        <v>553</v>
      </c>
      <c r="N149" s="18">
        <f>30+30</f>
        <v>60</v>
      </c>
      <c r="O149" s="19">
        <f t="shared" ref="O149:O159" si="305">(C149*D149*N149/1000)</f>
        <v>6.1119599999999989</v>
      </c>
      <c r="P149" s="16" t="s">
        <v>577</v>
      </c>
      <c r="Q149" s="18">
        <v>2</v>
      </c>
      <c r="R149" s="19">
        <f t="shared" ref="R149:R159" si="306">(C149*D149*Q149/1000)</f>
        <v>0.20373199999999997</v>
      </c>
      <c r="S149" s="20">
        <f t="shared" ref="S149:S159" si="307">+H149+K149+Q149+N149</f>
        <v>172</v>
      </c>
      <c r="T149" s="19">
        <f t="shared" ref="T149:T159" si="308">+I149+L149+R149+O149</f>
        <v>17.520951999999998</v>
      </c>
      <c r="U149" s="21">
        <f t="shared" ref="U149:U159" si="309">E149-S149</f>
        <v>22</v>
      </c>
      <c r="V149" s="19">
        <f t="shared" ref="V149:V159" si="310">F149-T149</f>
        <v>2.2410519999999998</v>
      </c>
    </row>
    <row r="150" spans="1:22" hidden="1">
      <c r="A150" s="26" t="s">
        <v>13</v>
      </c>
      <c r="B150" s="26" t="s">
        <v>37</v>
      </c>
      <c r="C150" s="30">
        <v>9.61</v>
      </c>
      <c r="D150" s="27">
        <v>12</v>
      </c>
      <c r="E150" s="28"/>
      <c r="F150" s="16">
        <f t="shared" si="302"/>
        <v>0</v>
      </c>
      <c r="G150" s="17"/>
      <c r="H150" s="18"/>
      <c r="I150" s="19">
        <f t="shared" si="303"/>
        <v>0</v>
      </c>
      <c r="J150" s="16"/>
      <c r="K150" s="18"/>
      <c r="L150" s="19">
        <f t="shared" si="304"/>
        <v>0</v>
      </c>
      <c r="M150" s="16" t="s">
        <v>111</v>
      </c>
      <c r="N150" s="18"/>
      <c r="O150" s="19">
        <f t="shared" si="305"/>
        <v>0</v>
      </c>
      <c r="P150" s="16"/>
      <c r="Q150" s="18">
        <v>6</v>
      </c>
      <c r="R150" s="19">
        <f t="shared" si="306"/>
        <v>0.69191999999999998</v>
      </c>
      <c r="S150" s="20">
        <f t="shared" si="307"/>
        <v>6</v>
      </c>
      <c r="T150" s="19">
        <f t="shared" si="308"/>
        <v>0.69191999999999998</v>
      </c>
      <c r="U150" s="21">
        <f t="shared" si="309"/>
        <v>-6</v>
      </c>
      <c r="V150" s="19">
        <f t="shared" si="310"/>
        <v>-0.69191999999999998</v>
      </c>
    </row>
    <row r="151" spans="1:22" hidden="1">
      <c r="A151" s="26" t="s">
        <v>13</v>
      </c>
      <c r="B151" s="26" t="s">
        <v>37</v>
      </c>
      <c r="C151" s="30">
        <v>9.61</v>
      </c>
      <c r="D151" s="27">
        <v>7.7</v>
      </c>
      <c r="E151" s="28"/>
      <c r="F151" s="16">
        <f t="shared" si="302"/>
        <v>0</v>
      </c>
      <c r="G151" s="17"/>
      <c r="H151" s="18"/>
      <c r="I151" s="19">
        <f t="shared" si="303"/>
        <v>0</v>
      </c>
      <c r="J151" s="16"/>
      <c r="K151" s="18"/>
      <c r="L151" s="19">
        <f t="shared" si="304"/>
        <v>0</v>
      </c>
      <c r="M151" s="16" t="s">
        <v>556</v>
      </c>
      <c r="N151" s="18"/>
      <c r="O151" s="19">
        <f t="shared" si="305"/>
        <v>0</v>
      </c>
      <c r="P151" s="16"/>
      <c r="Q151" s="18">
        <v>5</v>
      </c>
      <c r="R151" s="19">
        <f t="shared" si="306"/>
        <v>0.36998500000000001</v>
      </c>
      <c r="S151" s="20">
        <f t="shared" si="307"/>
        <v>5</v>
      </c>
      <c r="T151" s="19">
        <f t="shared" si="308"/>
        <v>0.36998500000000001</v>
      </c>
      <c r="U151" s="21">
        <f t="shared" si="309"/>
        <v>-5</v>
      </c>
      <c r="V151" s="19">
        <f t="shared" si="310"/>
        <v>-0.36998500000000001</v>
      </c>
    </row>
    <row r="152" spans="1:22" hidden="1">
      <c r="A152" s="26" t="s">
        <v>13</v>
      </c>
      <c r="B152" s="26" t="s">
        <v>37</v>
      </c>
      <c r="C152" s="30">
        <v>9.61</v>
      </c>
      <c r="D152" s="27">
        <v>10.199999999999999</v>
      </c>
      <c r="E152" s="28"/>
      <c r="F152" s="16">
        <f t="shared" si="302"/>
        <v>0</v>
      </c>
      <c r="G152" s="17"/>
      <c r="H152" s="18"/>
      <c r="I152" s="19">
        <f t="shared" si="303"/>
        <v>0</v>
      </c>
      <c r="J152" s="16"/>
      <c r="K152" s="18"/>
      <c r="L152" s="19">
        <f t="shared" si="304"/>
        <v>0</v>
      </c>
      <c r="M152" s="16"/>
      <c r="N152" s="18"/>
      <c r="O152" s="19">
        <f t="shared" si="305"/>
        <v>0</v>
      </c>
      <c r="P152" s="16"/>
      <c r="Q152" s="18">
        <v>2</v>
      </c>
      <c r="R152" s="19">
        <f t="shared" si="306"/>
        <v>0.196044</v>
      </c>
      <c r="S152" s="20">
        <f t="shared" si="307"/>
        <v>2</v>
      </c>
      <c r="T152" s="19">
        <f t="shared" si="308"/>
        <v>0.196044</v>
      </c>
      <c r="U152" s="21">
        <f t="shared" si="309"/>
        <v>-2</v>
      </c>
      <c r="V152" s="19">
        <f t="shared" si="310"/>
        <v>-0.196044</v>
      </c>
    </row>
    <row r="153" spans="1:22" hidden="1">
      <c r="A153" s="26" t="s">
        <v>13</v>
      </c>
      <c r="B153" s="26" t="s">
        <v>37</v>
      </c>
      <c r="C153" s="30">
        <v>9.61</v>
      </c>
      <c r="D153" s="27">
        <v>9</v>
      </c>
      <c r="E153" s="28"/>
      <c r="F153" s="16">
        <f t="shared" si="302"/>
        <v>0</v>
      </c>
      <c r="G153" s="17"/>
      <c r="H153" s="18"/>
      <c r="I153" s="19">
        <f t="shared" si="303"/>
        <v>0</v>
      </c>
      <c r="J153" s="16"/>
      <c r="K153" s="18"/>
      <c r="L153" s="19">
        <f t="shared" si="304"/>
        <v>0</v>
      </c>
      <c r="M153" s="16"/>
      <c r="N153" s="18"/>
      <c r="O153" s="19">
        <f t="shared" si="305"/>
        <v>0</v>
      </c>
      <c r="P153" s="16"/>
      <c r="Q153" s="18">
        <v>8</v>
      </c>
      <c r="R153" s="19">
        <f t="shared" si="306"/>
        <v>0.69191999999999998</v>
      </c>
      <c r="S153" s="20">
        <f t="shared" si="307"/>
        <v>8</v>
      </c>
      <c r="T153" s="19">
        <f t="shared" si="308"/>
        <v>0.69191999999999998</v>
      </c>
      <c r="U153" s="21">
        <f t="shared" si="309"/>
        <v>-8</v>
      </c>
      <c r="V153" s="19">
        <f t="shared" si="310"/>
        <v>-0.69191999999999998</v>
      </c>
    </row>
    <row r="154" spans="1:22" hidden="1">
      <c r="A154" s="26" t="s">
        <v>13</v>
      </c>
      <c r="B154" s="26" t="s">
        <v>37</v>
      </c>
      <c r="C154" s="30">
        <v>9.61</v>
      </c>
      <c r="D154" s="27">
        <v>8.5</v>
      </c>
      <c r="E154" s="28"/>
      <c r="F154" s="16">
        <f t="shared" si="302"/>
        <v>0</v>
      </c>
      <c r="G154" s="17"/>
      <c r="H154" s="18"/>
      <c r="I154" s="19">
        <f t="shared" si="303"/>
        <v>0</v>
      </c>
      <c r="J154" s="16"/>
      <c r="K154" s="18"/>
      <c r="L154" s="19">
        <f t="shared" si="304"/>
        <v>0</v>
      </c>
      <c r="M154" s="16"/>
      <c r="N154" s="18"/>
      <c r="O154" s="19">
        <f t="shared" si="305"/>
        <v>0</v>
      </c>
      <c r="P154" s="16"/>
      <c r="Q154" s="18">
        <v>3</v>
      </c>
      <c r="R154" s="19">
        <f t="shared" si="306"/>
        <v>0.245055</v>
      </c>
      <c r="S154" s="20">
        <f t="shared" si="307"/>
        <v>3</v>
      </c>
      <c r="T154" s="19">
        <f t="shared" si="308"/>
        <v>0.245055</v>
      </c>
      <c r="U154" s="21">
        <f t="shared" si="309"/>
        <v>-3</v>
      </c>
      <c r="V154" s="19">
        <f t="shared" si="310"/>
        <v>-0.245055</v>
      </c>
    </row>
    <row r="155" spans="1:22" hidden="1">
      <c r="A155" s="26" t="s">
        <v>13</v>
      </c>
      <c r="B155" s="26" t="s">
        <v>37</v>
      </c>
      <c r="C155" s="30">
        <v>9.61</v>
      </c>
      <c r="D155" s="27">
        <v>7.9</v>
      </c>
      <c r="E155" s="28"/>
      <c r="F155" s="16">
        <f t="shared" si="302"/>
        <v>0</v>
      </c>
      <c r="G155" s="17"/>
      <c r="H155" s="18"/>
      <c r="I155" s="19">
        <f t="shared" si="303"/>
        <v>0</v>
      </c>
      <c r="J155" s="16"/>
      <c r="K155" s="18"/>
      <c r="L155" s="19">
        <f t="shared" si="304"/>
        <v>0</v>
      </c>
      <c r="M155" s="16"/>
      <c r="N155" s="18"/>
      <c r="O155" s="19">
        <f t="shared" si="305"/>
        <v>0</v>
      </c>
      <c r="P155" s="16"/>
      <c r="Q155" s="18">
        <v>1</v>
      </c>
      <c r="R155" s="19">
        <f t="shared" si="306"/>
        <v>7.5919E-2</v>
      </c>
      <c r="S155" s="20">
        <f t="shared" si="307"/>
        <v>1</v>
      </c>
      <c r="T155" s="19">
        <f t="shared" si="308"/>
        <v>7.5919E-2</v>
      </c>
      <c r="U155" s="21">
        <f t="shared" si="309"/>
        <v>-1</v>
      </c>
      <c r="V155" s="19">
        <f t="shared" si="310"/>
        <v>-7.5919E-2</v>
      </c>
    </row>
    <row r="156" spans="1:22" hidden="1">
      <c r="A156" s="26" t="s">
        <v>13</v>
      </c>
      <c r="B156" s="26" t="s">
        <v>37</v>
      </c>
      <c r="C156" s="30">
        <v>9.61</v>
      </c>
      <c r="D156" s="27">
        <v>8.8000000000000007</v>
      </c>
      <c r="E156" s="28"/>
      <c r="F156" s="16">
        <f t="shared" si="302"/>
        <v>0</v>
      </c>
      <c r="G156" s="17"/>
      <c r="H156" s="18"/>
      <c r="I156" s="19">
        <f t="shared" si="303"/>
        <v>0</v>
      </c>
      <c r="J156" s="16"/>
      <c r="K156" s="18"/>
      <c r="L156" s="19">
        <f t="shared" si="304"/>
        <v>0</v>
      </c>
      <c r="M156" s="16"/>
      <c r="N156" s="18"/>
      <c r="O156" s="19">
        <f t="shared" si="305"/>
        <v>0</v>
      </c>
      <c r="P156" s="16"/>
      <c r="Q156" s="18">
        <v>5</v>
      </c>
      <c r="R156" s="19">
        <f t="shared" si="306"/>
        <v>0.42283999999999999</v>
      </c>
      <c r="S156" s="20">
        <f t="shared" si="307"/>
        <v>5</v>
      </c>
      <c r="T156" s="19">
        <f t="shared" si="308"/>
        <v>0.42283999999999999</v>
      </c>
      <c r="U156" s="21">
        <f t="shared" si="309"/>
        <v>-5</v>
      </c>
      <c r="V156" s="19">
        <f t="shared" si="310"/>
        <v>-0.42283999999999999</v>
      </c>
    </row>
    <row r="157" spans="1:22" hidden="1">
      <c r="A157" s="26" t="s">
        <v>13</v>
      </c>
      <c r="B157" s="26" t="s">
        <v>37</v>
      </c>
      <c r="C157" s="30">
        <v>9.61</v>
      </c>
      <c r="D157" s="27">
        <v>8</v>
      </c>
      <c r="E157" s="28"/>
      <c r="F157" s="16">
        <f t="shared" si="302"/>
        <v>0</v>
      </c>
      <c r="G157" s="17"/>
      <c r="H157" s="18"/>
      <c r="I157" s="19">
        <f t="shared" si="303"/>
        <v>0</v>
      </c>
      <c r="J157" s="16"/>
      <c r="K157" s="18"/>
      <c r="L157" s="19">
        <f t="shared" si="304"/>
        <v>0</v>
      </c>
      <c r="M157" s="16"/>
      <c r="N157" s="18"/>
      <c r="O157" s="19">
        <f t="shared" si="305"/>
        <v>0</v>
      </c>
      <c r="P157" s="16"/>
      <c r="Q157" s="18">
        <v>5</v>
      </c>
      <c r="R157" s="19">
        <f t="shared" si="306"/>
        <v>0.38439999999999996</v>
      </c>
      <c r="S157" s="20">
        <f t="shared" si="307"/>
        <v>5</v>
      </c>
      <c r="T157" s="19">
        <f t="shared" si="308"/>
        <v>0.38439999999999996</v>
      </c>
      <c r="U157" s="21">
        <f t="shared" si="309"/>
        <v>-5</v>
      </c>
      <c r="V157" s="19">
        <f t="shared" si="310"/>
        <v>-0.38439999999999996</v>
      </c>
    </row>
    <row r="158" spans="1:22" hidden="1">
      <c r="A158" s="26" t="s">
        <v>13</v>
      </c>
      <c r="B158" s="26" t="s">
        <v>37</v>
      </c>
      <c r="C158" s="30">
        <v>9.61</v>
      </c>
      <c r="D158" s="27">
        <v>6.9</v>
      </c>
      <c r="E158" s="28"/>
      <c r="F158" s="16">
        <f t="shared" si="302"/>
        <v>0</v>
      </c>
      <c r="G158" s="17"/>
      <c r="H158" s="18"/>
      <c r="I158" s="19">
        <f t="shared" si="303"/>
        <v>0</v>
      </c>
      <c r="J158" s="16"/>
      <c r="K158" s="18"/>
      <c r="L158" s="19">
        <f t="shared" si="304"/>
        <v>0</v>
      </c>
      <c r="M158" s="16"/>
      <c r="N158" s="18"/>
      <c r="O158" s="19">
        <f t="shared" si="305"/>
        <v>0</v>
      </c>
      <c r="P158" s="16"/>
      <c r="Q158" s="18">
        <v>1</v>
      </c>
      <c r="R158" s="19">
        <f t="shared" si="306"/>
        <v>6.6308999999999993E-2</v>
      </c>
      <c r="S158" s="20">
        <f t="shared" si="307"/>
        <v>1</v>
      </c>
      <c r="T158" s="19">
        <f t="shared" si="308"/>
        <v>6.6308999999999993E-2</v>
      </c>
      <c r="U158" s="21">
        <f t="shared" si="309"/>
        <v>-1</v>
      </c>
      <c r="V158" s="19">
        <f t="shared" si="310"/>
        <v>-6.6308999999999993E-2</v>
      </c>
    </row>
    <row r="159" spans="1:22" hidden="1">
      <c r="A159" s="26" t="s">
        <v>13</v>
      </c>
      <c r="B159" s="26" t="s">
        <v>37</v>
      </c>
      <c r="C159" s="30">
        <v>9.61</v>
      </c>
      <c r="D159" s="27"/>
      <c r="E159" s="28"/>
      <c r="F159" s="16">
        <f t="shared" si="302"/>
        <v>0</v>
      </c>
      <c r="G159" s="17"/>
      <c r="H159" s="18"/>
      <c r="I159" s="19">
        <f t="shared" si="303"/>
        <v>0</v>
      </c>
      <c r="J159" s="16"/>
      <c r="K159" s="18"/>
      <c r="L159" s="19">
        <f t="shared" si="304"/>
        <v>0</v>
      </c>
      <c r="M159" s="16"/>
      <c r="N159" s="18"/>
      <c r="O159" s="19">
        <f t="shared" si="305"/>
        <v>0</v>
      </c>
      <c r="P159" s="16"/>
      <c r="Q159" s="18"/>
      <c r="R159" s="19">
        <f t="shared" si="306"/>
        <v>0</v>
      </c>
      <c r="S159" s="20">
        <f t="shared" si="307"/>
        <v>0</v>
      </c>
      <c r="T159" s="19">
        <f t="shared" si="308"/>
        <v>0</v>
      </c>
      <c r="U159" s="21">
        <f t="shared" si="309"/>
        <v>0</v>
      </c>
      <c r="V159" s="19">
        <f t="shared" si="310"/>
        <v>0</v>
      </c>
    </row>
    <row r="160" spans="1:22" hidden="1">
      <c r="A160" s="36"/>
      <c r="B160" s="36"/>
      <c r="C160" s="37"/>
      <c r="D160" s="38"/>
      <c r="E160" s="31">
        <f>SUM(E148:E159)</f>
        <v>582</v>
      </c>
      <c r="F160" s="38">
        <f>SUM(F148:F159)</f>
        <v>54.811596000000002</v>
      </c>
      <c r="G160" s="17"/>
      <c r="H160" s="31">
        <f>SUM(H148:H159)</f>
        <v>79</v>
      </c>
      <c r="I160" s="38">
        <f>SUM(I148:I159)</f>
        <v>7.3554940000000002</v>
      </c>
      <c r="J160" s="16"/>
      <c r="K160" s="31">
        <f>SUM(K148:K159)</f>
        <v>232</v>
      </c>
      <c r="L160" s="38">
        <f>SUM(L148:L159)</f>
        <v>22.006900000000002</v>
      </c>
      <c r="M160" s="16"/>
      <c r="N160" s="31">
        <f>SUM(N148:N159)</f>
        <v>229</v>
      </c>
      <c r="O160" s="38">
        <f>SUM(O148:O159)</f>
        <v>21.378405999999998</v>
      </c>
      <c r="P160" s="16"/>
      <c r="Q160" s="31">
        <f t="shared" ref="Q160:V160" si="311">SUM(Q148:Q159)</f>
        <v>47</v>
      </c>
      <c r="R160" s="38">
        <f t="shared" si="311"/>
        <v>4.1611300000000009</v>
      </c>
      <c r="S160" s="31">
        <f t="shared" si="311"/>
        <v>587</v>
      </c>
      <c r="T160" s="38">
        <f t="shared" si="311"/>
        <v>54.90193</v>
      </c>
      <c r="U160" s="31">
        <f t="shared" si="311"/>
        <v>-5</v>
      </c>
      <c r="V160" s="141">
        <f t="shared" si="311"/>
        <v>-9.0333999999998735E-2</v>
      </c>
    </row>
    <row r="161" spans="1:22" hidden="1">
      <c r="A161" s="26" t="s">
        <v>14</v>
      </c>
      <c r="B161" s="26" t="s">
        <v>45</v>
      </c>
      <c r="C161" s="30">
        <v>9.26</v>
      </c>
      <c r="D161" s="27">
        <v>6.35</v>
      </c>
      <c r="E161" s="28">
        <v>388</v>
      </c>
      <c r="F161" s="16">
        <f>(C161*D161*E161/1000)</f>
        <v>22.814787999999997</v>
      </c>
      <c r="G161" s="17" t="s">
        <v>89</v>
      </c>
      <c r="H161" s="18">
        <v>37</v>
      </c>
      <c r="I161" s="19">
        <f>(C161*D161*H161/1000)</f>
        <v>2.1756369999999996</v>
      </c>
      <c r="J161" s="16" t="s">
        <v>89</v>
      </c>
      <c r="K161" s="18">
        <f>92+185</f>
        <v>277</v>
      </c>
      <c r="L161" s="19">
        <f>(C161*D161*K161/1000)</f>
        <v>16.287876999999998</v>
      </c>
      <c r="M161" s="16" t="s">
        <v>89</v>
      </c>
      <c r="N161" s="18">
        <v>26</v>
      </c>
      <c r="O161" s="19">
        <f>(C161*D161*N161/1000)</f>
        <v>1.5288259999999998</v>
      </c>
      <c r="P161" s="16" t="s">
        <v>293</v>
      </c>
      <c r="Q161" s="18">
        <v>41</v>
      </c>
      <c r="R161" s="19">
        <f>(C161*D161*Q161/1000)</f>
        <v>2.410841</v>
      </c>
      <c r="S161" s="20">
        <f t="shared" ref="S161:T172" si="312">+H161+K161+Q161+N161</f>
        <v>381</v>
      </c>
      <c r="T161" s="19">
        <f t="shared" si="312"/>
        <v>22.403180999999996</v>
      </c>
      <c r="U161" s="21">
        <f t="shared" ref="U161:V172" si="313">E161-S161</f>
        <v>7</v>
      </c>
      <c r="V161" s="19">
        <f t="shared" si="313"/>
        <v>0.41160700000000006</v>
      </c>
    </row>
    <row r="162" spans="1:22" hidden="1">
      <c r="A162" s="26" t="s">
        <v>14</v>
      </c>
      <c r="B162" s="26" t="s">
        <v>45</v>
      </c>
      <c r="C162" s="30">
        <v>9.26</v>
      </c>
      <c r="D162" s="27">
        <v>6.5</v>
      </c>
      <c r="E162" s="28">
        <v>776</v>
      </c>
      <c r="F162" s="16">
        <f>(C162*D162*E162/1000)</f>
        <v>46.707439999999998</v>
      </c>
      <c r="G162" s="17" t="s">
        <v>455</v>
      </c>
      <c r="H162" s="18">
        <v>104</v>
      </c>
      <c r="I162" s="19">
        <f>(C162*D162*H162/1000)</f>
        <v>6.25976</v>
      </c>
      <c r="J162" s="16" t="s">
        <v>550</v>
      </c>
      <c r="K162" s="18">
        <f>224+145</f>
        <v>369</v>
      </c>
      <c r="L162" s="19">
        <f>(C162*D162*K162/1000)</f>
        <v>22.21011</v>
      </c>
      <c r="M162" s="16" t="s">
        <v>553</v>
      </c>
      <c r="N162" s="18">
        <v>219</v>
      </c>
      <c r="O162" s="19">
        <f>(C162*D162*N162/1000)</f>
        <v>13.181609999999999</v>
      </c>
      <c r="P162" s="16" t="s">
        <v>553</v>
      </c>
      <c r="Q162" s="18">
        <f>66+5+1</f>
        <v>72</v>
      </c>
      <c r="R162" s="19">
        <f>(C162*D162*Q162/1000)</f>
        <v>4.3336800000000002</v>
      </c>
      <c r="S162" s="20">
        <f t="shared" si="312"/>
        <v>764</v>
      </c>
      <c r="T162" s="19">
        <f t="shared" si="312"/>
        <v>45.98516</v>
      </c>
      <c r="U162" s="21">
        <f t="shared" si="313"/>
        <v>12</v>
      </c>
      <c r="V162" s="19">
        <f t="shared" si="313"/>
        <v>0.72227999999999781</v>
      </c>
    </row>
    <row r="163" spans="1:22" hidden="1">
      <c r="A163" s="26" t="s">
        <v>14</v>
      </c>
      <c r="B163" s="26" t="s">
        <v>45</v>
      </c>
      <c r="C163" s="30">
        <v>9.26</v>
      </c>
      <c r="D163" s="27">
        <v>9.15</v>
      </c>
      <c r="E163" s="28">
        <v>776</v>
      </c>
      <c r="F163" s="16">
        <f t="shared" ref="F163:F171" si="314">(C163*D163*E163/1000)</f>
        <v>65.749703999999994</v>
      </c>
      <c r="G163" s="17" t="s">
        <v>548</v>
      </c>
      <c r="H163" s="18">
        <f t="shared" ref="H163" si="315">51+19</f>
        <v>70</v>
      </c>
      <c r="I163" s="19">
        <f t="shared" ref="I163:I171" si="316">(C163*D163*H163/1000)</f>
        <v>5.9310299999999998</v>
      </c>
      <c r="J163" s="16" t="s">
        <v>89</v>
      </c>
      <c r="K163" s="18">
        <f t="shared" ref="K163" si="317">163+142</f>
        <v>305</v>
      </c>
      <c r="L163" s="19">
        <f t="shared" ref="L163:L171" si="318">(C163*D163*K163/1000)</f>
        <v>25.842345000000002</v>
      </c>
      <c r="M163" s="16" t="s">
        <v>560</v>
      </c>
      <c r="N163" s="18">
        <v>195</v>
      </c>
      <c r="O163" s="19">
        <f t="shared" ref="O163:O171" si="319">(C163*D163*N163/1000)</f>
        <v>16.522154999999998</v>
      </c>
      <c r="P163" s="16" t="s">
        <v>89</v>
      </c>
      <c r="Q163" s="18">
        <f t="shared" ref="Q163" si="320">40+106</f>
        <v>146</v>
      </c>
      <c r="R163" s="19">
        <f t="shared" ref="R163:R171" si="321">(C163*D163*Q163/1000)</f>
        <v>12.370433999999999</v>
      </c>
      <c r="S163" s="20">
        <f t="shared" ref="S163:S171" si="322">+H163+K163+Q163+N163</f>
        <v>716</v>
      </c>
      <c r="T163" s="19">
        <f t="shared" ref="T163:T171" si="323">+I163+L163+R163+O163</f>
        <v>60.665964000000002</v>
      </c>
      <c r="U163" s="21">
        <f t="shared" ref="U163:U171" si="324">E163-S163</f>
        <v>60</v>
      </c>
      <c r="V163" s="19">
        <f t="shared" ref="V163:V171" si="325">F163-T163</f>
        <v>5.0837399999999917</v>
      </c>
    </row>
    <row r="164" spans="1:22" hidden="1">
      <c r="A164" s="26" t="s">
        <v>14</v>
      </c>
      <c r="B164" s="26" t="s">
        <v>45</v>
      </c>
      <c r="C164" s="30">
        <v>9.26</v>
      </c>
      <c r="D164" s="27">
        <v>9.6999999999999993</v>
      </c>
      <c r="E164" s="28"/>
      <c r="F164" s="16">
        <f t="shared" si="314"/>
        <v>0</v>
      </c>
      <c r="G164" s="17"/>
      <c r="H164" s="18"/>
      <c r="I164" s="19">
        <f t="shared" si="316"/>
        <v>0</v>
      </c>
      <c r="J164" s="16" t="s">
        <v>550</v>
      </c>
      <c r="K164" s="18"/>
      <c r="L164" s="19">
        <f t="shared" si="318"/>
        <v>0</v>
      </c>
      <c r="M164" s="16" t="s">
        <v>561</v>
      </c>
      <c r="N164" s="18">
        <v>22</v>
      </c>
      <c r="O164" s="19">
        <f t="shared" si="319"/>
        <v>1.9760839999999997</v>
      </c>
      <c r="P164" s="16" t="s">
        <v>555</v>
      </c>
      <c r="Q164" s="18">
        <v>14</v>
      </c>
      <c r="R164" s="19">
        <f t="shared" si="321"/>
        <v>1.2575079999999998</v>
      </c>
      <c r="S164" s="20">
        <f t="shared" si="322"/>
        <v>36</v>
      </c>
      <c r="T164" s="19">
        <f t="shared" si="323"/>
        <v>3.2335919999999998</v>
      </c>
      <c r="U164" s="21">
        <f t="shared" si="324"/>
        <v>-36</v>
      </c>
      <c r="V164" s="19">
        <f t="shared" si="325"/>
        <v>-3.2335919999999998</v>
      </c>
    </row>
    <row r="165" spans="1:22" hidden="1">
      <c r="A165" s="26" t="s">
        <v>14</v>
      </c>
      <c r="B165" s="26" t="s">
        <v>45</v>
      </c>
      <c r="C165" s="30">
        <v>9.26</v>
      </c>
      <c r="D165" s="27">
        <v>9</v>
      </c>
      <c r="E165" s="28"/>
      <c r="F165" s="16">
        <f t="shared" ref="F165:F167" si="326">(C165*D165*E165/1000)</f>
        <v>0</v>
      </c>
      <c r="G165" s="17"/>
      <c r="H165" s="18"/>
      <c r="I165" s="19">
        <f t="shared" ref="I165:I167" si="327">(C165*D165*H165/1000)</f>
        <v>0</v>
      </c>
      <c r="J165" s="16"/>
      <c r="K165" s="18"/>
      <c r="L165" s="19">
        <f t="shared" ref="L165:L167" si="328">(C165*D165*K165/1000)</f>
        <v>0</v>
      </c>
      <c r="M165" s="16"/>
      <c r="N165" s="18">
        <v>4</v>
      </c>
      <c r="O165" s="19">
        <f t="shared" ref="O165:O167" si="329">(C165*D165*N165/1000)</f>
        <v>0.33335999999999999</v>
      </c>
      <c r="P165" s="16" t="s">
        <v>150</v>
      </c>
      <c r="Q165" s="18"/>
      <c r="R165" s="19">
        <f t="shared" ref="R165:R167" si="330">(C165*D165*Q165/1000)</f>
        <v>0</v>
      </c>
      <c r="S165" s="20">
        <f t="shared" ref="S165:S167" si="331">+H165+K165+Q165+N165</f>
        <v>4</v>
      </c>
      <c r="T165" s="19">
        <f t="shared" ref="T165:T167" si="332">+I165+L165+R165+O165</f>
        <v>0.33335999999999999</v>
      </c>
      <c r="U165" s="21">
        <f t="shared" ref="U165:U167" si="333">E165-S165</f>
        <v>-4</v>
      </c>
      <c r="V165" s="19">
        <f t="shared" ref="V165:V167" si="334">F165-T165</f>
        <v>-0.33335999999999999</v>
      </c>
    </row>
    <row r="166" spans="1:22" hidden="1">
      <c r="A166" s="26" t="s">
        <v>14</v>
      </c>
      <c r="B166" s="26" t="s">
        <v>45</v>
      </c>
      <c r="C166" s="30">
        <v>9.26</v>
      </c>
      <c r="D166" s="27">
        <v>8.8000000000000007</v>
      </c>
      <c r="E166" s="28"/>
      <c r="F166" s="16">
        <f t="shared" si="326"/>
        <v>0</v>
      </c>
      <c r="G166" s="17"/>
      <c r="H166" s="18"/>
      <c r="I166" s="19">
        <f t="shared" si="327"/>
        <v>0</v>
      </c>
      <c r="J166" s="16"/>
      <c r="K166" s="18"/>
      <c r="L166" s="19">
        <f t="shared" si="328"/>
        <v>0</v>
      </c>
      <c r="M166" s="16"/>
      <c r="N166" s="18">
        <v>2</v>
      </c>
      <c r="O166" s="19">
        <f t="shared" si="329"/>
        <v>0.16297600000000001</v>
      </c>
      <c r="P166" s="16" t="s">
        <v>562</v>
      </c>
      <c r="Q166" s="18"/>
      <c r="R166" s="19">
        <f t="shared" si="330"/>
        <v>0</v>
      </c>
      <c r="S166" s="20">
        <f t="shared" si="331"/>
        <v>2</v>
      </c>
      <c r="T166" s="19">
        <f t="shared" si="332"/>
        <v>0.16297600000000001</v>
      </c>
      <c r="U166" s="21">
        <f t="shared" si="333"/>
        <v>-2</v>
      </c>
      <c r="V166" s="19">
        <f t="shared" si="334"/>
        <v>-0.16297600000000001</v>
      </c>
    </row>
    <row r="167" spans="1:22" hidden="1">
      <c r="A167" s="26" t="s">
        <v>14</v>
      </c>
      <c r="B167" s="26" t="s">
        <v>45</v>
      </c>
      <c r="C167" s="30">
        <v>9.26</v>
      </c>
      <c r="D167" s="27">
        <v>7.4</v>
      </c>
      <c r="E167" s="28"/>
      <c r="F167" s="16">
        <f t="shared" si="326"/>
        <v>0</v>
      </c>
      <c r="G167" s="17"/>
      <c r="H167" s="18"/>
      <c r="I167" s="19">
        <f t="shared" si="327"/>
        <v>0</v>
      </c>
      <c r="J167" s="16"/>
      <c r="K167" s="18"/>
      <c r="L167" s="19">
        <f t="shared" si="328"/>
        <v>0</v>
      </c>
      <c r="M167" s="16"/>
      <c r="N167" s="18">
        <v>1</v>
      </c>
      <c r="O167" s="19">
        <f t="shared" si="329"/>
        <v>6.8524000000000002E-2</v>
      </c>
      <c r="P167" s="16"/>
      <c r="Q167" s="18"/>
      <c r="R167" s="19">
        <f t="shared" si="330"/>
        <v>0</v>
      </c>
      <c r="S167" s="20">
        <f t="shared" si="331"/>
        <v>1</v>
      </c>
      <c r="T167" s="19">
        <f t="shared" si="332"/>
        <v>6.8524000000000002E-2</v>
      </c>
      <c r="U167" s="21">
        <f t="shared" si="333"/>
        <v>-1</v>
      </c>
      <c r="V167" s="19">
        <f t="shared" si="334"/>
        <v>-6.8524000000000002E-2</v>
      </c>
    </row>
    <row r="168" spans="1:22" hidden="1">
      <c r="A168" s="26" t="s">
        <v>14</v>
      </c>
      <c r="B168" s="26" t="s">
        <v>45</v>
      </c>
      <c r="C168" s="30">
        <v>9.26</v>
      </c>
      <c r="D168" s="27">
        <v>8</v>
      </c>
      <c r="E168" s="28"/>
      <c r="F168" s="16">
        <f t="shared" si="314"/>
        <v>0</v>
      </c>
      <c r="G168" s="17"/>
      <c r="H168" s="18"/>
      <c r="I168" s="19">
        <f t="shared" si="316"/>
        <v>0</v>
      </c>
      <c r="J168" s="16"/>
      <c r="K168" s="18"/>
      <c r="L168" s="19">
        <f t="shared" si="318"/>
        <v>0</v>
      </c>
      <c r="M168" s="16"/>
      <c r="N168" s="18"/>
      <c r="O168" s="19">
        <f t="shared" si="319"/>
        <v>0</v>
      </c>
      <c r="P168" s="16"/>
      <c r="Q168" s="18">
        <v>2</v>
      </c>
      <c r="R168" s="19">
        <f t="shared" si="321"/>
        <v>0.14815999999999999</v>
      </c>
      <c r="S168" s="20">
        <f t="shared" si="322"/>
        <v>2</v>
      </c>
      <c r="T168" s="19">
        <f t="shared" si="323"/>
        <v>0.14815999999999999</v>
      </c>
      <c r="U168" s="21">
        <f t="shared" si="324"/>
        <v>-2</v>
      </c>
      <c r="V168" s="19">
        <f t="shared" si="325"/>
        <v>-0.14815999999999999</v>
      </c>
    </row>
    <row r="169" spans="1:22" hidden="1">
      <c r="A169" s="26" t="s">
        <v>14</v>
      </c>
      <c r="B169" s="26" t="s">
        <v>45</v>
      </c>
      <c r="C169" s="30">
        <v>9.26</v>
      </c>
      <c r="D169" s="27">
        <v>8.5</v>
      </c>
      <c r="E169" s="28"/>
      <c r="F169" s="16">
        <f t="shared" si="314"/>
        <v>0</v>
      </c>
      <c r="G169" s="17"/>
      <c r="H169" s="18"/>
      <c r="I169" s="19">
        <f t="shared" si="316"/>
        <v>0</v>
      </c>
      <c r="J169" s="16"/>
      <c r="K169" s="18"/>
      <c r="L169" s="19">
        <f t="shared" si="318"/>
        <v>0</v>
      </c>
      <c r="M169" s="16"/>
      <c r="N169" s="18"/>
      <c r="O169" s="19">
        <f t="shared" si="319"/>
        <v>0</v>
      </c>
      <c r="P169" s="16"/>
      <c r="Q169" s="18">
        <v>3</v>
      </c>
      <c r="R169" s="19">
        <f t="shared" si="321"/>
        <v>0.23613000000000001</v>
      </c>
      <c r="S169" s="20">
        <f t="shared" si="322"/>
        <v>3</v>
      </c>
      <c r="T169" s="19">
        <f t="shared" si="323"/>
        <v>0.23613000000000001</v>
      </c>
      <c r="U169" s="21">
        <f t="shared" si="324"/>
        <v>-3</v>
      </c>
      <c r="V169" s="19">
        <f t="shared" si="325"/>
        <v>-0.23613000000000001</v>
      </c>
    </row>
    <row r="170" spans="1:22" hidden="1">
      <c r="A170" s="26" t="s">
        <v>14</v>
      </c>
      <c r="B170" s="26" t="s">
        <v>45</v>
      </c>
      <c r="C170" s="30">
        <v>9.26</v>
      </c>
      <c r="D170" s="27">
        <v>8.6</v>
      </c>
      <c r="E170" s="28"/>
      <c r="F170" s="16">
        <f t="shared" si="314"/>
        <v>0</v>
      </c>
      <c r="G170" s="17"/>
      <c r="H170" s="18"/>
      <c r="I170" s="19">
        <f t="shared" si="316"/>
        <v>0</v>
      </c>
      <c r="J170" s="16"/>
      <c r="K170" s="18"/>
      <c r="L170" s="19">
        <f t="shared" si="318"/>
        <v>0</v>
      </c>
      <c r="M170" s="16"/>
      <c r="N170" s="18"/>
      <c r="O170" s="19">
        <f t="shared" si="319"/>
        <v>0</v>
      </c>
      <c r="P170" s="16"/>
      <c r="Q170" s="18">
        <v>1</v>
      </c>
      <c r="R170" s="19">
        <f t="shared" si="321"/>
        <v>7.9635999999999998E-2</v>
      </c>
      <c r="S170" s="20">
        <f t="shared" si="322"/>
        <v>1</v>
      </c>
      <c r="T170" s="19">
        <f t="shared" si="323"/>
        <v>7.9635999999999998E-2</v>
      </c>
      <c r="U170" s="21">
        <f t="shared" si="324"/>
        <v>-1</v>
      </c>
      <c r="V170" s="19">
        <f t="shared" si="325"/>
        <v>-7.9635999999999998E-2</v>
      </c>
    </row>
    <row r="171" spans="1:22" hidden="1">
      <c r="A171" s="26" t="s">
        <v>14</v>
      </c>
      <c r="B171" s="26" t="s">
        <v>45</v>
      </c>
      <c r="C171" s="30">
        <v>9.26</v>
      </c>
      <c r="D171" s="27">
        <v>8.9</v>
      </c>
      <c r="E171" s="28"/>
      <c r="F171" s="16">
        <f t="shared" si="314"/>
        <v>0</v>
      </c>
      <c r="G171" s="17"/>
      <c r="H171" s="18"/>
      <c r="I171" s="19">
        <f t="shared" si="316"/>
        <v>0</v>
      </c>
      <c r="J171" s="16"/>
      <c r="K171" s="18"/>
      <c r="L171" s="19">
        <f t="shared" si="318"/>
        <v>0</v>
      </c>
      <c r="M171" s="16"/>
      <c r="N171" s="18"/>
      <c r="O171" s="19">
        <f t="shared" si="319"/>
        <v>0</v>
      </c>
      <c r="P171" s="16"/>
      <c r="Q171" s="18">
        <v>5</v>
      </c>
      <c r="R171" s="19">
        <f t="shared" si="321"/>
        <v>0.41206999999999999</v>
      </c>
      <c r="S171" s="20">
        <f t="shared" si="322"/>
        <v>5</v>
      </c>
      <c r="T171" s="19">
        <f t="shared" si="323"/>
        <v>0.41206999999999999</v>
      </c>
      <c r="U171" s="21">
        <f t="shared" si="324"/>
        <v>-5</v>
      </c>
      <c r="V171" s="19">
        <f t="shared" si="325"/>
        <v>-0.41206999999999999</v>
      </c>
    </row>
    <row r="172" spans="1:22" hidden="1">
      <c r="A172" s="26" t="s">
        <v>14</v>
      </c>
      <c r="B172" s="26" t="s">
        <v>45</v>
      </c>
      <c r="C172" s="30">
        <v>9.26</v>
      </c>
      <c r="D172" s="27">
        <v>10.5</v>
      </c>
      <c r="E172" s="28"/>
      <c r="F172" s="16">
        <f>(C172*D172*E172/1000)</f>
        <v>0</v>
      </c>
      <c r="G172" s="17"/>
      <c r="H172" s="18"/>
      <c r="I172" s="19">
        <f>(C172*D172*H172/1000)</f>
        <v>0</v>
      </c>
      <c r="J172" s="16"/>
      <c r="K172" s="18"/>
      <c r="L172" s="19">
        <f>(C172*D172*K172/1000)</f>
        <v>0</v>
      </c>
      <c r="M172" s="16"/>
      <c r="N172" s="18"/>
      <c r="O172" s="19">
        <f>(C172*D172*N172/1000)</f>
        <v>0</v>
      </c>
      <c r="P172" s="16"/>
      <c r="Q172" s="18">
        <v>24</v>
      </c>
      <c r="R172" s="19">
        <f>(C172*D172*Q172/1000)</f>
        <v>2.33352</v>
      </c>
      <c r="S172" s="20">
        <f t="shared" si="312"/>
        <v>24</v>
      </c>
      <c r="T172" s="19">
        <f t="shared" si="312"/>
        <v>2.33352</v>
      </c>
      <c r="U172" s="21">
        <f t="shared" si="313"/>
        <v>-24</v>
      </c>
      <c r="V172" s="19">
        <f t="shared" si="313"/>
        <v>-2.33352</v>
      </c>
    </row>
    <row r="173" spans="1:22" hidden="1">
      <c r="A173" s="36"/>
      <c r="B173" s="36"/>
      <c r="C173" s="37"/>
      <c r="D173" s="38"/>
      <c r="E173" s="31">
        <f t="shared" ref="E173:F173" si="335">SUM(E161:E172)</f>
        <v>1940</v>
      </c>
      <c r="F173" s="38">
        <f t="shared" si="335"/>
        <v>135.27193199999999</v>
      </c>
      <c r="G173" s="17"/>
      <c r="H173" s="31">
        <f t="shared" ref="H173:I173" si="336">SUM(H161:H172)</f>
        <v>211</v>
      </c>
      <c r="I173" s="38">
        <f t="shared" si="336"/>
        <v>14.366427</v>
      </c>
      <c r="J173" s="16"/>
      <c r="K173" s="31">
        <f t="shared" ref="K173:L173" si="337">SUM(K161:K172)</f>
        <v>951</v>
      </c>
      <c r="L173" s="38">
        <f t="shared" si="337"/>
        <v>64.340331999999989</v>
      </c>
      <c r="M173" s="16"/>
      <c r="N173" s="31">
        <f t="shared" ref="N173:O173" si="338">SUM(N161:N172)</f>
        <v>469</v>
      </c>
      <c r="O173" s="38">
        <f t="shared" si="338"/>
        <v>33.773534999999995</v>
      </c>
      <c r="P173" s="16"/>
      <c r="Q173" s="31">
        <f t="shared" ref="Q173:V173" si="339">SUM(Q161:Q172)</f>
        <v>308</v>
      </c>
      <c r="R173" s="38">
        <f t="shared" si="339"/>
        <v>23.581979000000004</v>
      </c>
      <c r="S173" s="31">
        <f t="shared" si="339"/>
        <v>1939</v>
      </c>
      <c r="T173" s="38">
        <f t="shared" si="339"/>
        <v>136.06227299999995</v>
      </c>
      <c r="U173" s="31">
        <f t="shared" si="339"/>
        <v>1</v>
      </c>
      <c r="V173" s="38">
        <f t="shared" si="339"/>
        <v>-0.79034100000001017</v>
      </c>
    </row>
    <row r="174" spans="1:22" hidden="1">
      <c r="A174" s="26" t="s">
        <v>14</v>
      </c>
      <c r="B174" s="26" t="s">
        <v>46</v>
      </c>
      <c r="C174" s="30">
        <v>10.7</v>
      </c>
      <c r="D174" s="27">
        <v>6.5</v>
      </c>
      <c r="E174" s="28">
        <v>388</v>
      </c>
      <c r="F174" s="16">
        <f>(C174*D174*E174/1000)</f>
        <v>26.985399999999998</v>
      </c>
      <c r="G174" s="16" t="s">
        <v>205</v>
      </c>
      <c r="H174" s="18">
        <v>147</v>
      </c>
      <c r="I174" s="19">
        <f>(C174*D174*H174/1000)</f>
        <v>10.223850000000001</v>
      </c>
      <c r="J174" s="17" t="s">
        <v>111</v>
      </c>
      <c r="K174" s="18">
        <f>92+123</f>
        <v>215</v>
      </c>
      <c r="L174" s="19">
        <f>(C174*D174*K174/1000)</f>
        <v>14.953250000000001</v>
      </c>
      <c r="M174" s="16" t="s">
        <v>560</v>
      </c>
      <c r="N174" s="18"/>
      <c r="O174" s="19">
        <f>(C174*D174*N174/1000)</f>
        <v>0</v>
      </c>
      <c r="P174" s="16"/>
      <c r="Q174" s="18"/>
      <c r="R174" s="19">
        <f>(C174*D174*Q174/1000)</f>
        <v>0</v>
      </c>
      <c r="S174" s="20">
        <f>+H174+K174+Q174+N174</f>
        <v>362</v>
      </c>
      <c r="T174" s="19">
        <f>+I174+L174+R174+O174</f>
        <v>25.177100000000003</v>
      </c>
      <c r="U174" s="21">
        <f>E174-S174</f>
        <v>26</v>
      </c>
      <c r="V174" s="19">
        <f>F174-T174</f>
        <v>1.8082999999999956</v>
      </c>
    </row>
    <row r="175" spans="1:22" hidden="1">
      <c r="A175" s="26" t="s">
        <v>14</v>
      </c>
      <c r="B175" s="26" t="s">
        <v>46</v>
      </c>
      <c r="C175" s="30">
        <v>10.7</v>
      </c>
      <c r="D175" s="27">
        <v>8.75</v>
      </c>
      <c r="E175" s="28"/>
      <c r="F175" s="16">
        <f>(C175*D175*E175/1000)</f>
        <v>0</v>
      </c>
      <c r="G175" s="16" t="s">
        <v>550</v>
      </c>
      <c r="H175" s="18"/>
      <c r="I175" s="19">
        <f>(C175*D175*H175/1000)</f>
        <v>0</v>
      </c>
      <c r="J175" s="17" t="s">
        <v>553</v>
      </c>
      <c r="K175" s="18"/>
      <c r="L175" s="19">
        <f>(C175*D175*K175/1000)</f>
        <v>0</v>
      </c>
      <c r="M175" s="16" t="s">
        <v>561</v>
      </c>
      <c r="N175" s="18">
        <v>20</v>
      </c>
      <c r="O175" s="19">
        <f>(C175*D175*N175/1000)</f>
        <v>1.8725000000000001</v>
      </c>
      <c r="P175" s="16"/>
      <c r="Q175" s="18"/>
      <c r="R175" s="19">
        <f>(C175*D175*Q175/1000)</f>
        <v>0</v>
      </c>
      <c r="S175" s="20">
        <f>+H175+K175+Q175+N175</f>
        <v>20</v>
      </c>
      <c r="T175" s="19">
        <f>+I175+L175+R175+O175</f>
        <v>1.8725000000000001</v>
      </c>
      <c r="U175" s="21">
        <f>E175-S175</f>
        <v>-20</v>
      </c>
      <c r="V175" s="19">
        <f>F175-T175</f>
        <v>-1.8725000000000001</v>
      </c>
    </row>
    <row r="176" spans="1:22" hidden="1">
      <c r="A176" s="36"/>
      <c r="B176" s="36"/>
      <c r="C176" s="37"/>
      <c r="D176" s="38"/>
      <c r="E176" s="31">
        <f t="shared" ref="E176:F176" si="340">SUM(E174:E175)</f>
        <v>388</v>
      </c>
      <c r="F176" s="38">
        <f t="shared" si="340"/>
        <v>26.985399999999998</v>
      </c>
      <c r="G176" s="16"/>
      <c r="H176" s="31">
        <f t="shared" ref="H176" si="341">SUM(H174:H175)</f>
        <v>147</v>
      </c>
      <c r="I176" s="38">
        <f t="shared" ref="I176" si="342">SUM(I174:I175)</f>
        <v>10.223850000000001</v>
      </c>
      <c r="J176" s="17"/>
      <c r="K176" s="31">
        <f t="shared" ref="K176" si="343">SUM(K174:K175)</f>
        <v>215</v>
      </c>
      <c r="L176" s="38">
        <f t="shared" ref="L176" si="344">SUM(L174:L175)</f>
        <v>14.953250000000001</v>
      </c>
      <c r="M176" s="16"/>
      <c r="N176" s="31">
        <f t="shared" ref="N176" si="345">SUM(N174:N175)</f>
        <v>20</v>
      </c>
      <c r="O176" s="38">
        <f t="shared" ref="O176" si="346">SUM(O174:O175)</f>
        <v>1.8725000000000001</v>
      </c>
      <c r="P176" s="16"/>
      <c r="Q176" s="31">
        <f t="shared" ref="Q176" si="347">SUM(Q174:Q175)</f>
        <v>0</v>
      </c>
      <c r="R176" s="38">
        <f t="shared" ref="R176" si="348">SUM(R174:R175)</f>
        <v>0</v>
      </c>
      <c r="S176" s="31">
        <f t="shared" ref="S176" si="349">SUM(S174:S175)</f>
        <v>382</v>
      </c>
      <c r="T176" s="38">
        <f t="shared" ref="T176" si="350">SUM(T174:T175)</f>
        <v>27.049600000000002</v>
      </c>
      <c r="U176" s="31">
        <f t="shared" ref="U176" si="351">SUM(U174:U175)</f>
        <v>6</v>
      </c>
      <c r="V176" s="38">
        <f t="shared" ref="V176" si="352">SUM(V174:V175)</f>
        <v>-6.4200000000004476E-2</v>
      </c>
    </row>
    <row r="177" spans="1:22" hidden="1">
      <c r="A177" s="26" t="s">
        <v>14</v>
      </c>
      <c r="B177" s="26" t="s">
        <v>61</v>
      </c>
      <c r="C177" s="30">
        <v>12.2</v>
      </c>
      <c r="D177" s="27">
        <v>8</v>
      </c>
      <c r="E177" s="28">
        <v>74</v>
      </c>
      <c r="F177" s="16">
        <f t="shared" ref="F177:F180" si="353">(C177*D177*E177/1000)</f>
        <v>7.2223999999999995</v>
      </c>
      <c r="G177" s="17" t="s">
        <v>111</v>
      </c>
      <c r="H177" s="18">
        <v>49</v>
      </c>
      <c r="I177" s="19">
        <f t="shared" ref="I177:I180" si="354">(C177*D177*H177/1000)</f>
        <v>4.7824</v>
      </c>
      <c r="J177" s="17" t="s">
        <v>89</v>
      </c>
      <c r="K177" s="18">
        <f>8+15</f>
        <v>23</v>
      </c>
      <c r="L177" s="19">
        <f t="shared" ref="L177:L180" si="355">(C177*D177*K177/1000)</f>
        <v>2.2447999999999997</v>
      </c>
      <c r="M177" s="16" t="s">
        <v>111</v>
      </c>
      <c r="N177" s="18"/>
      <c r="O177" s="19">
        <f t="shared" ref="O177:O180" si="356">(C177*D177*N177/1000)</f>
        <v>0</v>
      </c>
      <c r="P177" s="16"/>
      <c r="Q177" s="18"/>
      <c r="R177" s="19">
        <f t="shared" ref="R177:R180" si="357">(C177*D177*Q177/1000)</f>
        <v>0</v>
      </c>
      <c r="S177" s="20">
        <f t="shared" ref="S177:S180" si="358">+H177+K177+Q177+N177</f>
        <v>72</v>
      </c>
      <c r="T177" s="19">
        <f t="shared" ref="T177:T180" si="359">+I177+L177+R177+O177</f>
        <v>7.0271999999999997</v>
      </c>
      <c r="U177" s="21">
        <f t="shared" ref="U177:U180" si="360">E177-S177</f>
        <v>2</v>
      </c>
      <c r="V177" s="19">
        <f t="shared" ref="V177:V180" si="361">F177-T177</f>
        <v>0.19519999999999982</v>
      </c>
    </row>
    <row r="178" spans="1:22" hidden="1">
      <c r="A178" s="26" t="s">
        <v>14</v>
      </c>
      <c r="B178" s="26" t="s">
        <v>61</v>
      </c>
      <c r="C178" s="30">
        <v>12.2</v>
      </c>
      <c r="D178" s="27">
        <v>11.9</v>
      </c>
      <c r="E178" s="28">
        <v>80</v>
      </c>
      <c r="F178" s="16">
        <f t="shared" ref="F178:F179" si="362">(C178*D178*E178/1000)</f>
        <v>11.614400000000002</v>
      </c>
      <c r="G178" s="17" t="s">
        <v>553</v>
      </c>
      <c r="H178" s="18">
        <v>41</v>
      </c>
      <c r="I178" s="19">
        <f t="shared" ref="I178:I179" si="363">(C178*D178*H178/1000)</f>
        <v>5.9523799999999998</v>
      </c>
      <c r="J178" s="17" t="s">
        <v>559</v>
      </c>
      <c r="K178" s="18">
        <v>31</v>
      </c>
      <c r="L178" s="19">
        <f t="shared" ref="L178:L179" si="364">(C178*D178*K178/1000)</f>
        <v>4.5005800000000002</v>
      </c>
      <c r="M178" s="16" t="s">
        <v>577</v>
      </c>
      <c r="N178" s="18"/>
      <c r="O178" s="19">
        <f t="shared" ref="O178:O179" si="365">(C178*D178*N178/1000)</f>
        <v>0</v>
      </c>
      <c r="P178" s="16"/>
      <c r="Q178" s="18"/>
      <c r="R178" s="19">
        <f t="shared" ref="R178:R179" si="366">(C178*D178*Q178/1000)</f>
        <v>0</v>
      </c>
      <c r="S178" s="20">
        <f t="shared" ref="S178:S179" si="367">+H178+K178+Q178+N178</f>
        <v>72</v>
      </c>
      <c r="T178" s="19">
        <f t="shared" ref="T178:T179" si="368">+I178+L178+R178+O178</f>
        <v>10.452960000000001</v>
      </c>
      <c r="U178" s="21">
        <f t="shared" ref="U178:U179" si="369">E178-S178</f>
        <v>8</v>
      </c>
      <c r="V178" s="19">
        <f t="shared" ref="V178:V179" si="370">F178-T178</f>
        <v>1.1614400000000007</v>
      </c>
    </row>
    <row r="179" spans="1:22" hidden="1">
      <c r="A179" s="26" t="s">
        <v>14</v>
      </c>
      <c r="B179" s="26" t="s">
        <v>61</v>
      </c>
      <c r="C179" s="30">
        <v>12.2</v>
      </c>
      <c r="D179" s="27">
        <v>9.1999999999999993</v>
      </c>
      <c r="E179" s="28"/>
      <c r="F179" s="16">
        <f t="shared" si="362"/>
        <v>0</v>
      </c>
      <c r="G179" s="17"/>
      <c r="H179" s="18"/>
      <c r="I179" s="19">
        <f t="shared" si="363"/>
        <v>0</v>
      </c>
      <c r="J179" s="17"/>
      <c r="K179" s="18"/>
      <c r="L179" s="19">
        <f t="shared" si="364"/>
        <v>0</v>
      </c>
      <c r="M179" s="16"/>
      <c r="N179" s="18">
        <v>2</v>
      </c>
      <c r="O179" s="19">
        <f t="shared" si="365"/>
        <v>0.22447999999999996</v>
      </c>
      <c r="P179" s="16"/>
      <c r="Q179" s="18"/>
      <c r="R179" s="19">
        <f t="shared" si="366"/>
        <v>0</v>
      </c>
      <c r="S179" s="20">
        <f t="shared" si="367"/>
        <v>2</v>
      </c>
      <c r="T179" s="19">
        <f t="shared" si="368"/>
        <v>0.22447999999999996</v>
      </c>
      <c r="U179" s="21">
        <f t="shared" si="369"/>
        <v>-2</v>
      </c>
      <c r="V179" s="19">
        <f t="shared" si="370"/>
        <v>-0.22447999999999996</v>
      </c>
    </row>
    <row r="180" spans="1:22" hidden="1">
      <c r="A180" s="26" t="s">
        <v>14</v>
      </c>
      <c r="B180" s="26" t="s">
        <v>61</v>
      </c>
      <c r="C180" s="30">
        <v>12.2</v>
      </c>
      <c r="D180" s="27">
        <v>12</v>
      </c>
      <c r="E180" s="28"/>
      <c r="F180" s="16">
        <f t="shared" si="353"/>
        <v>0</v>
      </c>
      <c r="G180" s="17"/>
      <c r="H180" s="18"/>
      <c r="I180" s="19">
        <f t="shared" si="354"/>
        <v>0</v>
      </c>
      <c r="J180" s="17"/>
      <c r="K180" s="18"/>
      <c r="L180" s="19">
        <f t="shared" si="355"/>
        <v>0</v>
      </c>
      <c r="M180" s="16"/>
      <c r="N180" s="18">
        <v>8</v>
      </c>
      <c r="O180" s="19">
        <f t="shared" si="356"/>
        <v>1.1711999999999998</v>
      </c>
      <c r="P180" s="16"/>
      <c r="Q180" s="18"/>
      <c r="R180" s="19">
        <f t="shared" si="357"/>
        <v>0</v>
      </c>
      <c r="S180" s="20">
        <f t="shared" si="358"/>
        <v>8</v>
      </c>
      <c r="T180" s="19">
        <f t="shared" si="359"/>
        <v>1.1711999999999998</v>
      </c>
      <c r="U180" s="21">
        <f t="shared" si="360"/>
        <v>-8</v>
      </c>
      <c r="V180" s="19">
        <f t="shared" si="361"/>
        <v>-1.1711999999999998</v>
      </c>
    </row>
    <row r="181" spans="1:22" hidden="1">
      <c r="A181" s="36"/>
      <c r="B181" s="36"/>
      <c r="C181" s="37"/>
      <c r="D181" s="38"/>
      <c r="E181" s="31">
        <f t="shared" ref="E181:F181" si="371">SUM(E177:E180)</f>
        <v>154</v>
      </c>
      <c r="F181" s="38">
        <f t="shared" si="371"/>
        <v>18.8368</v>
      </c>
      <c r="G181" s="26"/>
      <c r="H181" s="31">
        <f t="shared" ref="H181:I181" si="372">SUM(H177:H180)</f>
        <v>90</v>
      </c>
      <c r="I181" s="38">
        <f t="shared" si="372"/>
        <v>10.734780000000001</v>
      </c>
      <c r="J181" s="26"/>
      <c r="K181" s="31">
        <f t="shared" ref="K181:L181" si="373">SUM(K177:K180)</f>
        <v>54</v>
      </c>
      <c r="L181" s="38">
        <f t="shared" si="373"/>
        <v>6.7453799999999999</v>
      </c>
      <c r="M181" s="26"/>
      <c r="N181" s="31">
        <f t="shared" ref="N181:O181" si="374">SUM(N177:N180)</f>
        <v>10</v>
      </c>
      <c r="O181" s="38">
        <f t="shared" si="374"/>
        <v>1.3956799999999998</v>
      </c>
      <c r="P181" s="26"/>
      <c r="Q181" s="31">
        <f t="shared" ref="Q181:V181" si="375">SUM(Q177:Q180)</f>
        <v>0</v>
      </c>
      <c r="R181" s="38">
        <f t="shared" si="375"/>
        <v>0</v>
      </c>
      <c r="S181" s="31">
        <f t="shared" si="375"/>
        <v>154</v>
      </c>
      <c r="T181" s="38">
        <f t="shared" si="375"/>
        <v>18.87584</v>
      </c>
      <c r="U181" s="31">
        <f t="shared" si="375"/>
        <v>0</v>
      </c>
      <c r="V181" s="141">
        <f t="shared" si="375"/>
        <v>-3.9039999999999297E-2</v>
      </c>
    </row>
    <row r="182" spans="1:22" hidden="1">
      <c r="A182" s="26" t="s">
        <v>14</v>
      </c>
      <c r="B182" s="26" t="s">
        <v>34</v>
      </c>
      <c r="C182" s="30">
        <v>5.76</v>
      </c>
      <c r="D182" s="27">
        <v>11</v>
      </c>
      <c r="E182" s="28">
        <v>97</v>
      </c>
      <c r="F182" s="16">
        <f t="shared" ref="F182:F191" si="376">(C182*D182*E182/1000)</f>
        <v>6.1459200000000003</v>
      </c>
      <c r="G182" s="17" t="s">
        <v>89</v>
      </c>
      <c r="H182" s="18">
        <v>26</v>
      </c>
      <c r="I182" s="19">
        <f t="shared" ref="I182:I191" si="377">(C182*D182*H182/1000)</f>
        <v>1.6473599999999999</v>
      </c>
      <c r="J182" s="16" t="s">
        <v>560</v>
      </c>
      <c r="K182" s="18">
        <v>49</v>
      </c>
      <c r="L182" s="19">
        <f t="shared" ref="L182:L191" si="378">(C182*D182*K182/1000)</f>
        <v>3.1046399999999998</v>
      </c>
      <c r="M182" s="16"/>
      <c r="N182" s="18"/>
      <c r="O182" s="19">
        <f t="shared" ref="O182:O191" si="379">(C182*D182*N182/1000)</f>
        <v>0</v>
      </c>
      <c r="P182" s="16"/>
      <c r="Q182" s="18"/>
      <c r="R182" s="19">
        <f t="shared" ref="R182:R191" si="380">(C182*D182*Q182/1000)</f>
        <v>0</v>
      </c>
      <c r="S182" s="20">
        <f t="shared" ref="S182:S191" si="381">+H182+K182+Q182+N182</f>
        <v>75</v>
      </c>
      <c r="T182" s="19">
        <f t="shared" ref="T182:T191" si="382">+I182+L182+R182+O182</f>
        <v>4.7519999999999998</v>
      </c>
      <c r="U182" s="21">
        <f t="shared" ref="U182:U191" si="383">E182-S182</f>
        <v>22</v>
      </c>
      <c r="V182" s="19">
        <f t="shared" ref="V182:V191" si="384">F182-T182</f>
        <v>1.3939200000000005</v>
      </c>
    </row>
    <row r="183" spans="1:22" hidden="1">
      <c r="A183" s="26" t="s">
        <v>14</v>
      </c>
      <c r="B183" s="26" t="s">
        <v>34</v>
      </c>
      <c r="C183" s="30">
        <v>5.76</v>
      </c>
      <c r="D183" s="27">
        <v>6</v>
      </c>
      <c r="E183" s="28"/>
      <c r="F183" s="16">
        <f t="shared" si="376"/>
        <v>0</v>
      </c>
      <c r="G183" s="17" t="s">
        <v>559</v>
      </c>
      <c r="H183" s="18"/>
      <c r="I183" s="19">
        <f t="shared" si="377"/>
        <v>0</v>
      </c>
      <c r="J183" s="16" t="s">
        <v>561</v>
      </c>
      <c r="K183" s="18">
        <v>9</v>
      </c>
      <c r="L183" s="19">
        <f t="shared" si="378"/>
        <v>0.31104000000000004</v>
      </c>
      <c r="M183" s="16"/>
      <c r="N183" s="18"/>
      <c r="O183" s="19">
        <f t="shared" si="379"/>
        <v>0</v>
      </c>
      <c r="P183" s="16"/>
      <c r="Q183" s="18"/>
      <c r="R183" s="19">
        <f t="shared" si="380"/>
        <v>0</v>
      </c>
      <c r="S183" s="20">
        <f t="shared" si="381"/>
        <v>9</v>
      </c>
      <c r="T183" s="19">
        <f t="shared" si="382"/>
        <v>0.31104000000000004</v>
      </c>
      <c r="U183" s="21">
        <f t="shared" si="383"/>
        <v>-9</v>
      </c>
      <c r="V183" s="19">
        <f t="shared" si="384"/>
        <v>-0.31104000000000004</v>
      </c>
    </row>
    <row r="184" spans="1:22" hidden="1">
      <c r="A184" s="26" t="s">
        <v>14</v>
      </c>
      <c r="B184" s="26" t="s">
        <v>34</v>
      </c>
      <c r="C184" s="30">
        <v>5.76</v>
      </c>
      <c r="D184" s="27">
        <v>6.5</v>
      </c>
      <c r="E184" s="28"/>
      <c r="F184" s="16">
        <f t="shared" si="376"/>
        <v>0</v>
      </c>
      <c r="G184" s="17"/>
      <c r="H184" s="18"/>
      <c r="I184" s="19">
        <f t="shared" si="377"/>
        <v>0</v>
      </c>
      <c r="J184" s="16"/>
      <c r="K184" s="18">
        <v>19</v>
      </c>
      <c r="L184" s="19">
        <f t="shared" si="378"/>
        <v>0.71135999999999988</v>
      </c>
      <c r="M184" s="16"/>
      <c r="N184" s="18"/>
      <c r="O184" s="19">
        <f t="shared" si="379"/>
        <v>0</v>
      </c>
      <c r="P184" s="16"/>
      <c r="Q184" s="18"/>
      <c r="R184" s="19">
        <f t="shared" si="380"/>
        <v>0</v>
      </c>
      <c r="S184" s="20">
        <f t="shared" si="381"/>
        <v>19</v>
      </c>
      <c r="T184" s="19">
        <f t="shared" si="382"/>
        <v>0.71135999999999988</v>
      </c>
      <c r="U184" s="21">
        <f t="shared" si="383"/>
        <v>-19</v>
      </c>
      <c r="V184" s="19">
        <f t="shared" si="384"/>
        <v>-0.71135999999999988</v>
      </c>
    </row>
    <row r="185" spans="1:22" hidden="1">
      <c r="A185" s="26" t="s">
        <v>14</v>
      </c>
      <c r="B185" s="26" t="s">
        <v>34</v>
      </c>
      <c r="C185" s="30">
        <v>5.76</v>
      </c>
      <c r="D185" s="27">
        <v>9</v>
      </c>
      <c r="E185" s="28"/>
      <c r="F185" s="16">
        <f t="shared" si="376"/>
        <v>0</v>
      </c>
      <c r="G185" s="17"/>
      <c r="H185" s="18"/>
      <c r="I185" s="19">
        <f t="shared" si="377"/>
        <v>0</v>
      </c>
      <c r="J185" s="16"/>
      <c r="K185" s="18">
        <v>6</v>
      </c>
      <c r="L185" s="19">
        <f t="shared" si="378"/>
        <v>0.31103999999999998</v>
      </c>
      <c r="M185" s="16"/>
      <c r="N185" s="18"/>
      <c r="O185" s="19">
        <f t="shared" si="379"/>
        <v>0</v>
      </c>
      <c r="P185" s="16"/>
      <c r="Q185" s="18"/>
      <c r="R185" s="19">
        <f t="shared" si="380"/>
        <v>0</v>
      </c>
      <c r="S185" s="20">
        <f t="shared" si="381"/>
        <v>6</v>
      </c>
      <c r="T185" s="19">
        <f t="shared" si="382"/>
        <v>0.31103999999999998</v>
      </c>
      <c r="U185" s="21">
        <f t="shared" si="383"/>
        <v>-6</v>
      </c>
      <c r="V185" s="19">
        <f t="shared" si="384"/>
        <v>-0.31103999999999998</v>
      </c>
    </row>
    <row r="186" spans="1:22" hidden="1">
      <c r="A186" s="26" t="s">
        <v>14</v>
      </c>
      <c r="B186" s="26" t="s">
        <v>34</v>
      </c>
      <c r="C186" s="30">
        <v>5.76</v>
      </c>
      <c r="D186" s="27">
        <v>10.5</v>
      </c>
      <c r="E186" s="28"/>
      <c r="F186" s="16">
        <f t="shared" si="376"/>
        <v>0</v>
      </c>
      <c r="G186" s="17"/>
      <c r="H186" s="18"/>
      <c r="I186" s="19">
        <f t="shared" si="377"/>
        <v>0</v>
      </c>
      <c r="J186" s="16"/>
      <c r="K186" s="18">
        <v>1</v>
      </c>
      <c r="L186" s="19">
        <f t="shared" si="378"/>
        <v>6.0479999999999999E-2</v>
      </c>
      <c r="M186" s="16"/>
      <c r="N186" s="18"/>
      <c r="O186" s="19">
        <f t="shared" si="379"/>
        <v>0</v>
      </c>
      <c r="P186" s="16"/>
      <c r="Q186" s="18"/>
      <c r="R186" s="19">
        <f t="shared" si="380"/>
        <v>0</v>
      </c>
      <c r="S186" s="20">
        <f t="shared" si="381"/>
        <v>1</v>
      </c>
      <c r="T186" s="19">
        <f t="shared" si="382"/>
        <v>6.0479999999999999E-2</v>
      </c>
      <c r="U186" s="21">
        <f t="shared" si="383"/>
        <v>-1</v>
      </c>
      <c r="V186" s="19">
        <f t="shared" si="384"/>
        <v>-6.0479999999999999E-2</v>
      </c>
    </row>
    <row r="187" spans="1:22" hidden="1">
      <c r="A187" s="26" t="s">
        <v>14</v>
      </c>
      <c r="B187" s="26" t="s">
        <v>34</v>
      </c>
      <c r="C187" s="30">
        <v>5.76</v>
      </c>
      <c r="D187" s="27">
        <v>11.5</v>
      </c>
      <c r="E187" s="28"/>
      <c r="F187" s="16">
        <f t="shared" si="376"/>
        <v>0</v>
      </c>
      <c r="G187" s="17"/>
      <c r="H187" s="18"/>
      <c r="I187" s="19">
        <f t="shared" si="377"/>
        <v>0</v>
      </c>
      <c r="J187" s="16"/>
      <c r="K187" s="18">
        <v>2</v>
      </c>
      <c r="L187" s="19">
        <f t="shared" si="378"/>
        <v>0.13247999999999999</v>
      </c>
      <c r="M187" s="16"/>
      <c r="N187" s="18"/>
      <c r="O187" s="19">
        <f t="shared" si="379"/>
        <v>0</v>
      </c>
      <c r="P187" s="16"/>
      <c r="Q187" s="18"/>
      <c r="R187" s="19">
        <f t="shared" si="380"/>
        <v>0</v>
      </c>
      <c r="S187" s="20">
        <f t="shared" si="381"/>
        <v>2</v>
      </c>
      <c r="T187" s="19">
        <f t="shared" si="382"/>
        <v>0.13247999999999999</v>
      </c>
      <c r="U187" s="21">
        <f t="shared" si="383"/>
        <v>-2</v>
      </c>
      <c r="V187" s="19">
        <f t="shared" si="384"/>
        <v>-0.13247999999999999</v>
      </c>
    </row>
    <row r="188" spans="1:22" hidden="1">
      <c r="A188" s="26" t="s">
        <v>14</v>
      </c>
      <c r="B188" s="26" t="s">
        <v>34</v>
      </c>
      <c r="C188" s="30">
        <v>5.76</v>
      </c>
      <c r="D188" s="27"/>
      <c r="E188" s="28"/>
      <c r="F188" s="16">
        <f t="shared" si="376"/>
        <v>0</v>
      </c>
      <c r="G188" s="17"/>
      <c r="H188" s="18"/>
      <c r="I188" s="19">
        <f t="shared" si="377"/>
        <v>0</v>
      </c>
      <c r="J188" s="16"/>
      <c r="K188" s="18"/>
      <c r="L188" s="19">
        <f t="shared" si="378"/>
        <v>0</v>
      </c>
      <c r="M188" s="16"/>
      <c r="N188" s="18"/>
      <c r="O188" s="19">
        <f t="shared" si="379"/>
        <v>0</v>
      </c>
      <c r="P188" s="16"/>
      <c r="Q188" s="18"/>
      <c r="R188" s="19">
        <f t="shared" si="380"/>
        <v>0</v>
      </c>
      <c r="S188" s="20">
        <f t="shared" si="381"/>
        <v>0</v>
      </c>
      <c r="T188" s="19">
        <f t="shared" si="382"/>
        <v>0</v>
      </c>
      <c r="U188" s="21">
        <f t="shared" si="383"/>
        <v>0</v>
      </c>
      <c r="V188" s="19">
        <f t="shared" si="384"/>
        <v>0</v>
      </c>
    </row>
    <row r="189" spans="1:22" hidden="1">
      <c r="A189" s="26" t="s">
        <v>14</v>
      </c>
      <c r="B189" s="26" t="s">
        <v>34</v>
      </c>
      <c r="C189" s="30">
        <v>5.76</v>
      </c>
      <c r="D189" s="27"/>
      <c r="E189" s="28"/>
      <c r="F189" s="16">
        <f t="shared" si="376"/>
        <v>0</v>
      </c>
      <c r="G189" s="17"/>
      <c r="H189" s="18"/>
      <c r="I189" s="19">
        <f t="shared" si="377"/>
        <v>0</v>
      </c>
      <c r="J189" s="16"/>
      <c r="K189" s="18"/>
      <c r="L189" s="19">
        <f t="shared" si="378"/>
        <v>0</v>
      </c>
      <c r="M189" s="16"/>
      <c r="N189" s="18"/>
      <c r="O189" s="19">
        <f t="shared" si="379"/>
        <v>0</v>
      </c>
      <c r="P189" s="16"/>
      <c r="Q189" s="18"/>
      <c r="R189" s="19">
        <f t="shared" si="380"/>
        <v>0</v>
      </c>
      <c r="S189" s="20">
        <f t="shared" si="381"/>
        <v>0</v>
      </c>
      <c r="T189" s="19">
        <f t="shared" si="382"/>
        <v>0</v>
      </c>
      <c r="U189" s="21">
        <f t="shared" si="383"/>
        <v>0</v>
      </c>
      <c r="V189" s="19">
        <f t="shared" si="384"/>
        <v>0</v>
      </c>
    </row>
    <row r="190" spans="1:22" hidden="1">
      <c r="A190" s="26" t="s">
        <v>14</v>
      </c>
      <c r="B190" s="26" t="s">
        <v>34</v>
      </c>
      <c r="C190" s="30">
        <v>5.76</v>
      </c>
      <c r="D190" s="27"/>
      <c r="E190" s="28"/>
      <c r="F190" s="16">
        <f t="shared" si="376"/>
        <v>0</v>
      </c>
      <c r="G190" s="17"/>
      <c r="H190" s="18"/>
      <c r="I190" s="19">
        <f t="shared" si="377"/>
        <v>0</v>
      </c>
      <c r="J190" s="16"/>
      <c r="K190" s="18"/>
      <c r="L190" s="19">
        <f t="shared" si="378"/>
        <v>0</v>
      </c>
      <c r="M190" s="16"/>
      <c r="N190" s="18"/>
      <c r="O190" s="19">
        <f t="shared" si="379"/>
        <v>0</v>
      </c>
      <c r="P190" s="16"/>
      <c r="Q190" s="18"/>
      <c r="R190" s="19">
        <f t="shared" si="380"/>
        <v>0</v>
      </c>
      <c r="S190" s="20">
        <f t="shared" si="381"/>
        <v>0</v>
      </c>
      <c r="T190" s="19">
        <f t="shared" si="382"/>
        <v>0</v>
      </c>
      <c r="U190" s="21">
        <f t="shared" si="383"/>
        <v>0</v>
      </c>
      <c r="V190" s="19">
        <f t="shared" si="384"/>
        <v>0</v>
      </c>
    </row>
    <row r="191" spans="1:22" hidden="1">
      <c r="A191" s="26" t="s">
        <v>14</v>
      </c>
      <c r="B191" s="26" t="s">
        <v>34</v>
      </c>
      <c r="C191" s="30">
        <v>5.76</v>
      </c>
      <c r="D191" s="27"/>
      <c r="E191" s="28"/>
      <c r="F191" s="16">
        <f t="shared" si="376"/>
        <v>0</v>
      </c>
      <c r="G191" s="17"/>
      <c r="H191" s="18"/>
      <c r="I191" s="19">
        <f t="shared" si="377"/>
        <v>0</v>
      </c>
      <c r="J191" s="16"/>
      <c r="K191" s="18"/>
      <c r="L191" s="19">
        <f t="shared" si="378"/>
        <v>0</v>
      </c>
      <c r="M191" s="16"/>
      <c r="N191" s="18"/>
      <c r="O191" s="19">
        <f t="shared" si="379"/>
        <v>0</v>
      </c>
      <c r="P191" s="16"/>
      <c r="Q191" s="18"/>
      <c r="R191" s="19">
        <f t="shared" si="380"/>
        <v>0</v>
      </c>
      <c r="S191" s="20">
        <f t="shared" si="381"/>
        <v>0</v>
      </c>
      <c r="T191" s="19">
        <f t="shared" si="382"/>
        <v>0</v>
      </c>
      <c r="U191" s="21">
        <f t="shared" si="383"/>
        <v>0</v>
      </c>
      <c r="V191" s="19">
        <f t="shared" si="384"/>
        <v>0</v>
      </c>
    </row>
    <row r="192" spans="1:22" hidden="1">
      <c r="A192" s="26" t="s">
        <v>14</v>
      </c>
      <c r="B192" s="26" t="s">
        <v>34</v>
      </c>
      <c r="C192" s="30">
        <v>5.76</v>
      </c>
      <c r="D192" s="27"/>
      <c r="E192" s="28"/>
      <c r="F192" s="16">
        <f>(C192*D192*E192/1000)</f>
        <v>0</v>
      </c>
      <c r="G192" s="17"/>
      <c r="H192" s="18"/>
      <c r="I192" s="19">
        <f>(C192*D192*H192/1000)</f>
        <v>0</v>
      </c>
      <c r="J192" s="16"/>
      <c r="K192" s="18"/>
      <c r="L192" s="19">
        <f>(C192*D192*K192/1000)</f>
        <v>0</v>
      </c>
      <c r="M192" s="16"/>
      <c r="N192" s="18"/>
      <c r="O192" s="19">
        <f>(C192*D192*N192/1000)</f>
        <v>0</v>
      </c>
      <c r="P192" s="16"/>
      <c r="Q192" s="18"/>
      <c r="R192" s="19">
        <f>(C192*D192*Q192/1000)</f>
        <v>0</v>
      </c>
      <c r="S192" s="20">
        <f>+H192+K192+Q192+N192</f>
        <v>0</v>
      </c>
      <c r="T192" s="19">
        <f>+I192+L192+R192+O192</f>
        <v>0</v>
      </c>
      <c r="U192" s="21">
        <f>E192-S192</f>
        <v>0</v>
      </c>
      <c r="V192" s="19">
        <f>F192-T192</f>
        <v>0</v>
      </c>
    </row>
    <row r="193" spans="1:22" hidden="1">
      <c r="A193" s="36"/>
      <c r="B193" s="36"/>
      <c r="C193" s="37"/>
      <c r="D193" s="38"/>
      <c r="E193" s="31">
        <f>SUM(E182:E192)</f>
        <v>97</v>
      </c>
      <c r="F193" s="38">
        <f>SUM(F182:F192)</f>
        <v>6.1459200000000003</v>
      </c>
      <c r="G193" s="17" t="s">
        <v>559</v>
      </c>
      <c r="H193" s="31">
        <f>SUM(H182:H192)</f>
        <v>26</v>
      </c>
      <c r="I193" s="38">
        <f>SUM(I182:I192)</f>
        <v>1.6473599999999999</v>
      </c>
      <c r="J193" s="16"/>
      <c r="K193" s="31">
        <f>SUM(K182:K192)</f>
        <v>86</v>
      </c>
      <c r="L193" s="38">
        <f>SUM(L182:L192)</f>
        <v>4.6310400000000005</v>
      </c>
      <c r="M193" s="16"/>
      <c r="N193" s="31">
        <f>SUM(N182:N192)</f>
        <v>0</v>
      </c>
      <c r="O193" s="38">
        <f>SUM(O182:O192)</f>
        <v>0</v>
      </c>
      <c r="P193" s="16"/>
      <c r="Q193" s="31">
        <f t="shared" ref="Q193:V193" si="385">SUM(Q182:Q192)</f>
        <v>0</v>
      </c>
      <c r="R193" s="38">
        <f t="shared" si="385"/>
        <v>0</v>
      </c>
      <c r="S193" s="31">
        <f t="shared" si="385"/>
        <v>112</v>
      </c>
      <c r="T193" s="38">
        <f t="shared" si="385"/>
        <v>6.2784000000000004</v>
      </c>
      <c r="U193" s="31">
        <f t="shared" si="385"/>
        <v>-15</v>
      </c>
      <c r="V193" s="38">
        <f t="shared" si="385"/>
        <v>-0.13247999999999935</v>
      </c>
    </row>
    <row r="194" spans="1:22" hidden="1">
      <c r="A194" s="26" t="s">
        <v>14</v>
      </c>
      <c r="B194" s="26" t="s">
        <v>57</v>
      </c>
      <c r="C194" s="30">
        <v>6.17</v>
      </c>
      <c r="D194" s="27">
        <v>7.4</v>
      </c>
      <c r="E194" s="28">
        <v>388</v>
      </c>
      <c r="F194" s="16">
        <f>(C194*D194*E194/1000)</f>
        <v>17.715304</v>
      </c>
      <c r="G194" s="17" t="s">
        <v>554</v>
      </c>
      <c r="H194" s="18">
        <v>119</v>
      </c>
      <c r="I194" s="19">
        <f>(C194*D194*H194/1000)</f>
        <v>5.4333020000000003</v>
      </c>
      <c r="J194" s="16" t="s">
        <v>89</v>
      </c>
      <c r="K194" s="18">
        <v>159</v>
      </c>
      <c r="L194" s="19">
        <f>(C194*D194*K194/1000)</f>
        <v>7.2596220000000002</v>
      </c>
      <c r="M194" s="16" t="s">
        <v>111</v>
      </c>
      <c r="N194" s="18">
        <v>84</v>
      </c>
      <c r="O194" s="19">
        <f>(C194*D194*N194/1000)</f>
        <v>3.8352719999999998</v>
      </c>
      <c r="P194" s="17" t="s">
        <v>318</v>
      </c>
      <c r="Q194" s="18">
        <v>23</v>
      </c>
      <c r="R194" s="19">
        <f>(C194*D194*Q194/1000)</f>
        <v>1.0501340000000001</v>
      </c>
      <c r="S194" s="20">
        <f>+H194+K194+Q194+N194</f>
        <v>385</v>
      </c>
      <c r="T194" s="19">
        <f>+I194+L194+R194+O194</f>
        <v>17.578330000000001</v>
      </c>
      <c r="U194" s="21">
        <f>E194-S194</f>
        <v>3</v>
      </c>
      <c r="V194" s="19">
        <f>F194-T194</f>
        <v>0.1369739999999986</v>
      </c>
    </row>
    <row r="195" spans="1:22" hidden="1">
      <c r="A195" s="26" t="s">
        <v>14</v>
      </c>
      <c r="B195" s="26" t="s">
        <v>57</v>
      </c>
      <c r="C195" s="30">
        <v>6.17</v>
      </c>
      <c r="D195" s="27">
        <v>9.5</v>
      </c>
      <c r="E195" s="28"/>
      <c r="F195" s="16">
        <f t="shared" ref="F195:F198" si="386">(C195*D195*E195/1000)</f>
        <v>0</v>
      </c>
      <c r="G195" s="17" t="s">
        <v>553</v>
      </c>
      <c r="H195" s="18"/>
      <c r="I195" s="19">
        <f t="shared" ref="I195:I198" si="387">(C195*D195*H195/1000)</f>
        <v>0</v>
      </c>
      <c r="J195" s="16" t="s">
        <v>556</v>
      </c>
      <c r="K195" s="18"/>
      <c r="L195" s="19">
        <f t="shared" ref="L195:L198" si="388">(C195*D195*K195/1000)</f>
        <v>0</v>
      </c>
      <c r="M195" s="16" t="s">
        <v>556</v>
      </c>
      <c r="N195" s="18"/>
      <c r="O195" s="19">
        <f t="shared" ref="O195:O198" si="389">(C195*D195*N195/1000)</f>
        <v>0</v>
      </c>
      <c r="P195" s="17" t="s">
        <v>566</v>
      </c>
      <c r="Q195" s="18">
        <v>1</v>
      </c>
      <c r="R195" s="19">
        <f t="shared" ref="R195:R198" si="390">(C195*D195*Q195/1000)</f>
        <v>5.8615E-2</v>
      </c>
      <c r="S195" s="20">
        <f t="shared" ref="S195:S198" si="391">+H195+K195+Q195+N195</f>
        <v>1</v>
      </c>
      <c r="T195" s="19">
        <f t="shared" ref="T195:T198" si="392">+I195+L195+R195+O195</f>
        <v>5.8615E-2</v>
      </c>
      <c r="U195" s="21">
        <f t="shared" ref="U195:U198" si="393">E195-S195</f>
        <v>-1</v>
      </c>
      <c r="V195" s="19">
        <f t="shared" ref="V195:V198" si="394">F195-T195</f>
        <v>-5.8615E-2</v>
      </c>
    </row>
    <row r="196" spans="1:22" hidden="1">
      <c r="A196" s="26" t="s">
        <v>14</v>
      </c>
      <c r="B196" s="26" t="s">
        <v>57</v>
      </c>
      <c r="C196" s="30">
        <v>6.17</v>
      </c>
      <c r="D196" s="27">
        <v>10.3</v>
      </c>
      <c r="E196" s="28"/>
      <c r="F196" s="16">
        <f t="shared" si="386"/>
        <v>0</v>
      </c>
      <c r="G196" s="17"/>
      <c r="H196" s="18"/>
      <c r="I196" s="19">
        <f t="shared" si="387"/>
        <v>0</v>
      </c>
      <c r="J196" s="16"/>
      <c r="K196" s="18"/>
      <c r="L196" s="19">
        <f t="shared" si="388"/>
        <v>0</v>
      </c>
      <c r="M196" s="16"/>
      <c r="N196" s="18"/>
      <c r="O196" s="19">
        <f t="shared" si="389"/>
        <v>0</v>
      </c>
      <c r="P196" s="17"/>
      <c r="Q196" s="18">
        <v>1</v>
      </c>
      <c r="R196" s="19">
        <f t="shared" si="390"/>
        <v>6.3550999999999996E-2</v>
      </c>
      <c r="S196" s="20">
        <f t="shared" si="391"/>
        <v>1</v>
      </c>
      <c r="T196" s="19">
        <f t="shared" si="392"/>
        <v>6.3550999999999996E-2</v>
      </c>
      <c r="U196" s="21">
        <f t="shared" si="393"/>
        <v>-1</v>
      </c>
      <c r="V196" s="19">
        <f t="shared" si="394"/>
        <v>-6.3550999999999996E-2</v>
      </c>
    </row>
    <row r="197" spans="1:22" hidden="1">
      <c r="A197" s="26" t="s">
        <v>14</v>
      </c>
      <c r="B197" s="26" t="s">
        <v>57</v>
      </c>
      <c r="C197" s="30">
        <v>6.17</v>
      </c>
      <c r="D197" s="27">
        <v>10.5</v>
      </c>
      <c r="E197" s="28"/>
      <c r="F197" s="16">
        <f t="shared" si="386"/>
        <v>0</v>
      </c>
      <c r="G197" s="17"/>
      <c r="H197" s="18"/>
      <c r="I197" s="19">
        <f t="shared" si="387"/>
        <v>0</v>
      </c>
      <c r="J197" s="16"/>
      <c r="K197" s="18"/>
      <c r="L197" s="19">
        <f t="shared" si="388"/>
        <v>0</v>
      </c>
      <c r="M197" s="16"/>
      <c r="N197" s="18"/>
      <c r="O197" s="19">
        <f t="shared" si="389"/>
        <v>0</v>
      </c>
      <c r="P197" s="17"/>
      <c r="Q197" s="18">
        <v>1</v>
      </c>
      <c r="R197" s="19">
        <f t="shared" si="390"/>
        <v>6.4784999999999995E-2</v>
      </c>
      <c r="S197" s="20">
        <f t="shared" si="391"/>
        <v>1</v>
      </c>
      <c r="T197" s="19">
        <f t="shared" si="392"/>
        <v>6.4784999999999995E-2</v>
      </c>
      <c r="U197" s="21">
        <f t="shared" si="393"/>
        <v>-1</v>
      </c>
      <c r="V197" s="19">
        <f t="shared" si="394"/>
        <v>-6.4784999999999995E-2</v>
      </c>
    </row>
    <row r="198" spans="1:22" hidden="1">
      <c r="A198" s="26" t="s">
        <v>14</v>
      </c>
      <c r="B198" s="26" t="s">
        <v>57</v>
      </c>
      <c r="C198" s="30">
        <v>6.17</v>
      </c>
      <c r="D198" s="27"/>
      <c r="E198" s="28"/>
      <c r="F198" s="16">
        <f t="shared" si="386"/>
        <v>0</v>
      </c>
      <c r="G198" s="17"/>
      <c r="H198" s="18"/>
      <c r="I198" s="19">
        <f t="shared" si="387"/>
        <v>0</v>
      </c>
      <c r="J198" s="16"/>
      <c r="K198" s="18"/>
      <c r="L198" s="19">
        <f t="shared" si="388"/>
        <v>0</v>
      </c>
      <c r="M198" s="16"/>
      <c r="N198" s="18"/>
      <c r="O198" s="19">
        <f t="shared" si="389"/>
        <v>0</v>
      </c>
      <c r="P198" s="17"/>
      <c r="Q198" s="18"/>
      <c r="R198" s="19">
        <f t="shared" si="390"/>
        <v>0</v>
      </c>
      <c r="S198" s="20">
        <f t="shared" si="391"/>
        <v>0</v>
      </c>
      <c r="T198" s="19">
        <f t="shared" si="392"/>
        <v>0</v>
      </c>
      <c r="U198" s="21">
        <f t="shared" si="393"/>
        <v>0</v>
      </c>
      <c r="V198" s="19">
        <f t="shared" si="394"/>
        <v>0</v>
      </c>
    </row>
    <row r="199" spans="1:22" hidden="1">
      <c r="A199" s="36"/>
      <c r="B199" s="36"/>
      <c r="C199" s="37"/>
      <c r="D199" s="38"/>
      <c r="E199" s="31">
        <f t="shared" ref="E199:F199" si="395">SUM(E194:E198)</f>
        <v>388</v>
      </c>
      <c r="F199" s="38">
        <f t="shared" si="395"/>
        <v>17.715304</v>
      </c>
      <c r="G199" s="17"/>
      <c r="H199" s="31">
        <f t="shared" ref="H199" si="396">SUM(H194:H198)</f>
        <v>119</v>
      </c>
      <c r="I199" s="38">
        <f t="shared" ref="I199" si="397">SUM(I194:I198)</f>
        <v>5.4333020000000003</v>
      </c>
      <c r="J199" s="16"/>
      <c r="K199" s="31">
        <f t="shared" ref="K199" si="398">SUM(K194:K198)</f>
        <v>159</v>
      </c>
      <c r="L199" s="38">
        <f t="shared" ref="L199" si="399">SUM(L194:L198)</f>
        <v>7.2596220000000002</v>
      </c>
      <c r="M199" s="16"/>
      <c r="N199" s="31">
        <f t="shared" ref="N199" si="400">SUM(N194:N198)</f>
        <v>84</v>
      </c>
      <c r="O199" s="38">
        <f t="shared" ref="O199" si="401">SUM(O194:O198)</f>
        <v>3.8352719999999998</v>
      </c>
      <c r="P199" s="17"/>
      <c r="Q199" s="31">
        <f t="shared" ref="Q199" si="402">SUM(Q194:Q198)</f>
        <v>26</v>
      </c>
      <c r="R199" s="38">
        <f t="shared" ref="R199" si="403">SUM(R194:R198)</f>
        <v>1.2370850000000002</v>
      </c>
      <c r="S199" s="31">
        <f t="shared" ref="S199" si="404">SUM(S194:S198)</f>
        <v>388</v>
      </c>
      <c r="T199" s="38">
        <f t="shared" ref="T199" si="405">SUM(T194:T198)</f>
        <v>17.765281000000002</v>
      </c>
      <c r="U199" s="31">
        <f t="shared" ref="U199" si="406">SUM(U194:U198)</f>
        <v>0</v>
      </c>
      <c r="V199" s="38">
        <f t="shared" ref="V199" si="407">SUM(V194:V198)</f>
        <v>-4.9977000000001395E-2</v>
      </c>
    </row>
    <row r="200" spans="1:22" hidden="1">
      <c r="A200" s="26" t="s">
        <v>14</v>
      </c>
      <c r="B200" s="26" t="s">
        <v>58</v>
      </c>
      <c r="C200" s="30">
        <v>7.34</v>
      </c>
      <c r="D200" s="27">
        <v>7.55</v>
      </c>
      <c r="E200" s="28">
        <v>388</v>
      </c>
      <c r="F200" s="16">
        <f t="shared" ref="F200:F207" si="408">(C200*D200*E200/1000)</f>
        <v>21.501795999999999</v>
      </c>
      <c r="G200" s="16" t="s">
        <v>205</v>
      </c>
      <c r="H200" s="18">
        <v>36</v>
      </c>
      <c r="I200" s="19">
        <f t="shared" ref="I200:I207" si="409">(C200*D200*H200/1000)</f>
        <v>1.9950119999999998</v>
      </c>
      <c r="J200" s="16" t="s">
        <v>86</v>
      </c>
      <c r="K200" s="18">
        <f>178+129</f>
        <v>307</v>
      </c>
      <c r="L200" s="19">
        <f t="shared" ref="L200:L207" si="410">(C200*D200*K200/1000)</f>
        <v>17.013018999999996</v>
      </c>
      <c r="M200" s="16" t="s">
        <v>560</v>
      </c>
      <c r="N200" s="18">
        <f>12+5</f>
        <v>17</v>
      </c>
      <c r="O200" s="19">
        <f t="shared" ref="O200:O207" si="411">(C200*D200*N200/1000)</f>
        <v>0.94208899999999995</v>
      </c>
      <c r="P200" s="16" t="s">
        <v>205</v>
      </c>
      <c r="Q200" s="18">
        <v>27</v>
      </c>
      <c r="R200" s="19">
        <f t="shared" ref="R200:R207" si="412">(C200*D200*Q200/1000)</f>
        <v>1.4962589999999998</v>
      </c>
      <c r="S200" s="20">
        <f t="shared" ref="S200:S207" si="413">+H200+K200+Q200+N200</f>
        <v>387</v>
      </c>
      <c r="T200" s="19">
        <f t="shared" ref="T200:T207" si="414">+I200+L200+R200+O200</f>
        <v>21.446378999999993</v>
      </c>
      <c r="U200" s="21">
        <f t="shared" ref="U200:U207" si="415">E200-S200</f>
        <v>1</v>
      </c>
      <c r="V200" s="19">
        <f t="shared" ref="V200:V207" si="416">F200-T200</f>
        <v>5.5417000000005601E-2</v>
      </c>
    </row>
    <row r="201" spans="1:22" hidden="1">
      <c r="A201" s="26" t="s">
        <v>14</v>
      </c>
      <c r="B201" s="26" t="s">
        <v>58</v>
      </c>
      <c r="C201" s="30">
        <v>7.34</v>
      </c>
      <c r="D201" s="27">
        <v>10.15</v>
      </c>
      <c r="E201" s="28">
        <v>194</v>
      </c>
      <c r="F201" s="16">
        <f t="shared" ref="F201:F206" si="417">(C201*D201*E201/1000)</f>
        <v>14.453194000000002</v>
      </c>
      <c r="G201" s="16" t="s">
        <v>550</v>
      </c>
      <c r="H201" s="18">
        <v>120</v>
      </c>
      <c r="I201" s="19">
        <f t="shared" ref="I201:I206" si="418">(C201*D201*H201/1000)</f>
        <v>8.9401200000000003</v>
      </c>
      <c r="J201" s="16" t="s">
        <v>89</v>
      </c>
      <c r="K201" s="18">
        <v>55</v>
      </c>
      <c r="L201" s="19">
        <f t="shared" ref="L201:L206" si="419">(C201*D201*K201/1000)</f>
        <v>4.0975550000000007</v>
      </c>
      <c r="M201" s="16" t="s">
        <v>561</v>
      </c>
      <c r="N201" s="18">
        <f>5+5</f>
        <v>10</v>
      </c>
      <c r="O201" s="19">
        <f t="shared" ref="O201:O206" si="420">(C201*D201*N201/1000)</f>
        <v>0.74500999999999995</v>
      </c>
      <c r="P201" s="16" t="s">
        <v>584</v>
      </c>
      <c r="Q201" s="18">
        <v>6</v>
      </c>
      <c r="R201" s="19">
        <f t="shared" ref="R201:R206" si="421">(C201*D201*Q201/1000)</f>
        <v>0.44700600000000001</v>
      </c>
      <c r="S201" s="20">
        <f t="shared" ref="S201:S206" si="422">+H201+K201+Q201+N201</f>
        <v>191</v>
      </c>
      <c r="T201" s="19">
        <f t="shared" ref="T201:T206" si="423">+I201+L201+R201+O201</f>
        <v>14.229691000000001</v>
      </c>
      <c r="U201" s="21">
        <f t="shared" ref="U201:U206" si="424">E201-S201</f>
        <v>3</v>
      </c>
      <c r="V201" s="19">
        <f t="shared" ref="V201:V206" si="425">F201-T201</f>
        <v>0.2235030000000009</v>
      </c>
    </row>
    <row r="202" spans="1:22" hidden="1">
      <c r="A202" s="26" t="s">
        <v>14</v>
      </c>
      <c r="B202" s="26" t="s">
        <v>58</v>
      </c>
      <c r="C202" s="30">
        <v>7.34</v>
      </c>
      <c r="D202" s="27">
        <v>9.6</v>
      </c>
      <c r="E202" s="28"/>
      <c r="F202" s="16">
        <f t="shared" si="417"/>
        <v>0</v>
      </c>
      <c r="G202" s="16"/>
      <c r="H202" s="18"/>
      <c r="I202" s="19">
        <f t="shared" si="418"/>
        <v>0</v>
      </c>
      <c r="J202" s="16" t="s">
        <v>556</v>
      </c>
      <c r="K202" s="18"/>
      <c r="L202" s="19">
        <f t="shared" si="419"/>
        <v>0</v>
      </c>
      <c r="M202" s="16" t="s">
        <v>111</v>
      </c>
      <c r="N202" s="18"/>
      <c r="O202" s="19">
        <f t="shared" si="420"/>
        <v>0</v>
      </c>
      <c r="P202" s="16"/>
      <c r="Q202" s="18">
        <v>1</v>
      </c>
      <c r="R202" s="19">
        <f t="shared" si="421"/>
        <v>7.0463999999999999E-2</v>
      </c>
      <c r="S202" s="20">
        <f t="shared" si="422"/>
        <v>1</v>
      </c>
      <c r="T202" s="19">
        <f t="shared" si="423"/>
        <v>7.0463999999999999E-2</v>
      </c>
      <c r="U202" s="21">
        <f t="shared" si="424"/>
        <v>-1</v>
      </c>
      <c r="V202" s="19">
        <f t="shared" si="425"/>
        <v>-7.0463999999999999E-2</v>
      </c>
    </row>
    <row r="203" spans="1:22" hidden="1">
      <c r="A203" s="26" t="s">
        <v>14</v>
      </c>
      <c r="B203" s="26" t="s">
        <v>58</v>
      </c>
      <c r="C203" s="30">
        <v>7.34</v>
      </c>
      <c r="D203" s="27">
        <v>10.5</v>
      </c>
      <c r="E203" s="28"/>
      <c r="F203" s="16">
        <f t="shared" si="417"/>
        <v>0</v>
      </c>
      <c r="G203" s="16"/>
      <c r="H203" s="18"/>
      <c r="I203" s="19">
        <f t="shared" si="418"/>
        <v>0</v>
      </c>
      <c r="J203" s="16"/>
      <c r="K203" s="18"/>
      <c r="L203" s="19">
        <f t="shared" si="419"/>
        <v>0</v>
      </c>
      <c r="M203" s="16" t="s">
        <v>521</v>
      </c>
      <c r="N203" s="18"/>
      <c r="O203" s="19">
        <f t="shared" si="420"/>
        <v>0</v>
      </c>
      <c r="P203" s="16"/>
      <c r="Q203" s="18">
        <v>2</v>
      </c>
      <c r="R203" s="19">
        <f t="shared" si="421"/>
        <v>0.15414</v>
      </c>
      <c r="S203" s="20">
        <f t="shared" si="422"/>
        <v>2</v>
      </c>
      <c r="T203" s="19">
        <f t="shared" si="423"/>
        <v>0.15414</v>
      </c>
      <c r="U203" s="21">
        <f t="shared" si="424"/>
        <v>-2</v>
      </c>
      <c r="V203" s="19">
        <f t="shared" si="425"/>
        <v>-0.15414</v>
      </c>
    </row>
    <row r="204" spans="1:22" hidden="1">
      <c r="A204" s="26" t="s">
        <v>14</v>
      </c>
      <c r="B204" s="26" t="s">
        <v>58</v>
      </c>
      <c r="C204" s="30">
        <v>7.34</v>
      </c>
      <c r="D204" s="27">
        <v>11.5</v>
      </c>
      <c r="E204" s="28"/>
      <c r="F204" s="16">
        <f t="shared" si="417"/>
        <v>0</v>
      </c>
      <c r="G204" s="16"/>
      <c r="H204" s="18"/>
      <c r="I204" s="19">
        <f t="shared" si="418"/>
        <v>0</v>
      </c>
      <c r="J204" s="16"/>
      <c r="K204" s="18"/>
      <c r="L204" s="19">
        <f t="shared" si="419"/>
        <v>0</v>
      </c>
      <c r="M204" s="16"/>
      <c r="N204" s="18"/>
      <c r="O204" s="19">
        <f t="shared" si="420"/>
        <v>0</v>
      </c>
      <c r="P204" s="16"/>
      <c r="Q204" s="18">
        <v>1</v>
      </c>
      <c r="R204" s="19">
        <f t="shared" si="421"/>
        <v>8.4409999999999999E-2</v>
      </c>
      <c r="S204" s="20">
        <f t="shared" si="422"/>
        <v>1</v>
      </c>
      <c r="T204" s="19">
        <f t="shared" si="423"/>
        <v>8.4409999999999999E-2</v>
      </c>
      <c r="U204" s="21">
        <f t="shared" si="424"/>
        <v>-1</v>
      </c>
      <c r="V204" s="19">
        <f t="shared" si="425"/>
        <v>-8.4409999999999999E-2</v>
      </c>
    </row>
    <row r="205" spans="1:22" hidden="1">
      <c r="A205" s="26" t="s">
        <v>14</v>
      </c>
      <c r="B205" s="26" t="s">
        <v>58</v>
      </c>
      <c r="C205" s="30">
        <v>7.34</v>
      </c>
      <c r="D205" s="27"/>
      <c r="E205" s="28"/>
      <c r="F205" s="16">
        <f t="shared" si="417"/>
        <v>0</v>
      </c>
      <c r="G205" s="16"/>
      <c r="H205" s="18"/>
      <c r="I205" s="19">
        <f t="shared" si="418"/>
        <v>0</v>
      </c>
      <c r="J205" s="16"/>
      <c r="K205" s="18"/>
      <c r="L205" s="19">
        <f t="shared" si="419"/>
        <v>0</v>
      </c>
      <c r="M205" s="16"/>
      <c r="N205" s="18"/>
      <c r="O205" s="19">
        <f t="shared" si="420"/>
        <v>0</v>
      </c>
      <c r="P205" s="16"/>
      <c r="Q205" s="18"/>
      <c r="R205" s="19">
        <f t="shared" si="421"/>
        <v>0</v>
      </c>
      <c r="S205" s="20">
        <f t="shared" si="422"/>
        <v>0</v>
      </c>
      <c r="T205" s="19">
        <f t="shared" si="423"/>
        <v>0</v>
      </c>
      <c r="U205" s="21">
        <f t="shared" si="424"/>
        <v>0</v>
      </c>
      <c r="V205" s="19">
        <f t="shared" si="425"/>
        <v>0</v>
      </c>
    </row>
    <row r="206" spans="1:22" hidden="1">
      <c r="A206" s="26" t="s">
        <v>14</v>
      </c>
      <c r="B206" s="26" t="s">
        <v>58</v>
      </c>
      <c r="C206" s="30">
        <v>7.34</v>
      </c>
      <c r="D206" s="27"/>
      <c r="E206" s="28"/>
      <c r="F206" s="16">
        <f t="shared" si="417"/>
        <v>0</v>
      </c>
      <c r="G206" s="16"/>
      <c r="H206" s="18"/>
      <c r="I206" s="19">
        <f t="shared" si="418"/>
        <v>0</v>
      </c>
      <c r="J206" s="16"/>
      <c r="K206" s="18"/>
      <c r="L206" s="19">
        <f t="shared" si="419"/>
        <v>0</v>
      </c>
      <c r="M206" s="16"/>
      <c r="N206" s="18"/>
      <c r="O206" s="19">
        <f t="shared" si="420"/>
        <v>0</v>
      </c>
      <c r="P206" s="16"/>
      <c r="Q206" s="18"/>
      <c r="R206" s="19">
        <f t="shared" si="421"/>
        <v>0</v>
      </c>
      <c r="S206" s="20">
        <f t="shared" si="422"/>
        <v>0</v>
      </c>
      <c r="T206" s="19">
        <f t="shared" si="423"/>
        <v>0</v>
      </c>
      <c r="U206" s="21">
        <f t="shared" si="424"/>
        <v>0</v>
      </c>
      <c r="V206" s="19">
        <f t="shared" si="425"/>
        <v>0</v>
      </c>
    </row>
    <row r="207" spans="1:22" hidden="1">
      <c r="A207" s="26" t="s">
        <v>14</v>
      </c>
      <c r="B207" s="26" t="s">
        <v>58</v>
      </c>
      <c r="C207" s="30">
        <v>7.34</v>
      </c>
      <c r="D207" s="27"/>
      <c r="E207" s="28"/>
      <c r="F207" s="16">
        <f t="shared" si="408"/>
        <v>0</v>
      </c>
      <c r="G207" s="16"/>
      <c r="H207" s="18"/>
      <c r="I207" s="19">
        <f t="shared" si="409"/>
        <v>0</v>
      </c>
      <c r="J207" s="16"/>
      <c r="K207" s="18"/>
      <c r="L207" s="19">
        <f t="shared" si="410"/>
        <v>0</v>
      </c>
      <c r="M207" s="16"/>
      <c r="N207" s="18"/>
      <c r="O207" s="19">
        <f t="shared" si="411"/>
        <v>0</v>
      </c>
      <c r="P207" s="16"/>
      <c r="Q207" s="18"/>
      <c r="R207" s="19">
        <f t="shared" si="412"/>
        <v>0</v>
      </c>
      <c r="S207" s="20">
        <f t="shared" si="413"/>
        <v>0</v>
      </c>
      <c r="T207" s="19">
        <f t="shared" si="414"/>
        <v>0</v>
      </c>
      <c r="U207" s="21">
        <f t="shared" si="415"/>
        <v>0</v>
      </c>
      <c r="V207" s="19">
        <f t="shared" si="416"/>
        <v>0</v>
      </c>
    </row>
    <row r="208" spans="1:22" hidden="1">
      <c r="A208" s="36"/>
      <c r="B208" s="36"/>
      <c r="C208" s="37"/>
      <c r="D208" s="38"/>
      <c r="E208" s="31">
        <f t="shared" ref="E208:F208" si="426">SUM(E200:E207)</f>
        <v>582</v>
      </c>
      <c r="F208" s="38">
        <f t="shared" si="426"/>
        <v>35.954990000000002</v>
      </c>
      <c r="G208" s="17"/>
      <c r="H208" s="31">
        <f t="shared" ref="H208:I208" si="427">SUM(H200:H207)</f>
        <v>156</v>
      </c>
      <c r="I208" s="38">
        <f t="shared" si="427"/>
        <v>10.935131999999999</v>
      </c>
      <c r="J208" s="16"/>
      <c r="K208" s="31">
        <f t="shared" ref="K208:L208" si="428">SUM(K200:K207)</f>
        <v>362</v>
      </c>
      <c r="L208" s="38">
        <f t="shared" si="428"/>
        <v>21.110573999999996</v>
      </c>
      <c r="M208" s="16"/>
      <c r="N208" s="31">
        <f t="shared" ref="N208:O208" si="429">SUM(N200:N207)</f>
        <v>27</v>
      </c>
      <c r="O208" s="38">
        <f t="shared" si="429"/>
        <v>1.6870989999999999</v>
      </c>
      <c r="P208" s="16"/>
      <c r="Q208" s="31">
        <f t="shared" ref="Q208:V208" si="430">SUM(Q200:Q207)</f>
        <v>37</v>
      </c>
      <c r="R208" s="38">
        <f t="shared" si="430"/>
        <v>2.2522789999999997</v>
      </c>
      <c r="S208" s="31">
        <f t="shared" si="430"/>
        <v>582</v>
      </c>
      <c r="T208" s="38">
        <f t="shared" si="430"/>
        <v>35.985083999999993</v>
      </c>
      <c r="U208" s="31">
        <f t="shared" si="430"/>
        <v>0</v>
      </c>
      <c r="V208" s="141">
        <f t="shared" si="430"/>
        <v>-3.0093999999993501E-2</v>
      </c>
    </row>
    <row r="209" spans="1:22" hidden="1">
      <c r="A209" s="26" t="s">
        <v>14</v>
      </c>
      <c r="B209" s="26" t="s">
        <v>26</v>
      </c>
      <c r="C209" s="30">
        <v>8.3000000000000007</v>
      </c>
      <c r="D209" s="27">
        <v>10.199999999999999</v>
      </c>
      <c r="E209" s="28">
        <v>781</v>
      </c>
      <c r="F209" s="16">
        <f t="shared" ref="F209:F214" si="431">(C209*D209*E209/1000)</f>
        <v>66.119459999999989</v>
      </c>
      <c r="G209" s="17" t="s">
        <v>205</v>
      </c>
      <c r="H209" s="18">
        <f>281+140</f>
        <v>421</v>
      </c>
      <c r="I209" s="19">
        <f t="shared" ref="I209:I214" si="432">(C209*D209*H209/1000)</f>
        <v>35.641860000000001</v>
      </c>
      <c r="J209" s="16" t="s">
        <v>89</v>
      </c>
      <c r="K209" s="18">
        <f>26+233</f>
        <v>259</v>
      </c>
      <c r="L209" s="19">
        <f t="shared" ref="L209:L214" si="433">(C209*D209*K209/1000)</f>
        <v>21.926939999999998</v>
      </c>
      <c r="M209" s="16" t="s">
        <v>111</v>
      </c>
      <c r="N209" s="18">
        <v>70</v>
      </c>
      <c r="O209" s="19">
        <f t="shared" ref="O209:O214" si="434">(C209*D209*N209/1000)</f>
        <v>5.9261999999999997</v>
      </c>
      <c r="P209" s="16" t="s">
        <v>111</v>
      </c>
      <c r="Q209" s="18">
        <v>7</v>
      </c>
      <c r="R209" s="19">
        <f t="shared" ref="R209:R214" si="435">(C209*D209*Q209/1000)</f>
        <v>0.59262000000000004</v>
      </c>
      <c r="S209" s="20">
        <f t="shared" ref="S209:S214" si="436">+H209+K209+Q209+N209</f>
        <v>757</v>
      </c>
      <c r="T209" s="19">
        <f t="shared" ref="T209:T214" si="437">+I209+L209+R209+O209</f>
        <v>64.087619999999987</v>
      </c>
      <c r="U209" s="21">
        <f t="shared" ref="U209:U214" si="438">E209-S209</f>
        <v>24</v>
      </c>
      <c r="V209" s="19">
        <f t="shared" ref="V209:V214" si="439">F209-T209</f>
        <v>2.0318400000000025</v>
      </c>
    </row>
    <row r="210" spans="1:22" hidden="1">
      <c r="A210" s="26" t="s">
        <v>14</v>
      </c>
      <c r="B210" s="26" t="s">
        <v>26</v>
      </c>
      <c r="C210" s="30">
        <v>8.3000000000000007</v>
      </c>
      <c r="D210" s="27">
        <v>11.35</v>
      </c>
      <c r="E210" s="28">
        <v>126</v>
      </c>
      <c r="F210" s="16">
        <f t="shared" ref="F210:F213" si="440">(C210*D210*E210/1000)</f>
        <v>11.86983</v>
      </c>
      <c r="G210" s="17" t="s">
        <v>150</v>
      </c>
      <c r="H210" s="18">
        <f t="shared" ref="H210" si="441">100+35</f>
        <v>135</v>
      </c>
      <c r="I210" s="19">
        <f t="shared" ref="I210:I213" si="442">(C210*D210*H210/1000)</f>
        <v>12.717675</v>
      </c>
      <c r="J210" s="16" t="s">
        <v>556</v>
      </c>
      <c r="K210" s="18"/>
      <c r="L210" s="19">
        <f t="shared" ref="L210:L213" si="443">(C210*D210*K210/1000)</f>
        <v>0</v>
      </c>
      <c r="M210" s="16" t="s">
        <v>556</v>
      </c>
      <c r="N210" s="18"/>
      <c r="O210" s="19">
        <f t="shared" ref="O210:O213" si="444">(C210*D210*N210/1000)</f>
        <v>0</v>
      </c>
      <c r="P210" s="16" t="s">
        <v>521</v>
      </c>
      <c r="Q210" s="18">
        <v>7</v>
      </c>
      <c r="R210" s="19">
        <f t="shared" ref="R210:R213" si="445">(C210*D210*Q210/1000)</f>
        <v>0.65943499999999999</v>
      </c>
      <c r="S210" s="20">
        <f t="shared" ref="S210:S213" si="446">+H210+K210+Q210+N210</f>
        <v>142</v>
      </c>
      <c r="T210" s="19">
        <f t="shared" ref="T210:T213" si="447">+I210+L210+R210+O210</f>
        <v>13.37711</v>
      </c>
      <c r="U210" s="21">
        <f t="shared" ref="U210:U213" si="448">E210-S210</f>
        <v>-16</v>
      </c>
      <c r="V210" s="19">
        <f t="shared" ref="V210:V213" si="449">F210-T210</f>
        <v>-1.5072799999999997</v>
      </c>
    </row>
    <row r="211" spans="1:22" hidden="1">
      <c r="A211" s="26" t="s">
        <v>14</v>
      </c>
      <c r="B211" s="26" t="s">
        <v>26</v>
      </c>
      <c r="C211" s="30">
        <v>8.3000000000000007</v>
      </c>
      <c r="D211" s="27">
        <v>11.5</v>
      </c>
      <c r="E211" s="28"/>
      <c r="F211" s="16">
        <f t="shared" ref="F211:F212" si="450">(C211*D211*E211/1000)</f>
        <v>0</v>
      </c>
      <c r="G211" s="17" t="s">
        <v>555</v>
      </c>
      <c r="H211" s="18"/>
      <c r="I211" s="19">
        <f t="shared" ref="I211:I212" si="451">(C211*D211*H211/1000)</f>
        <v>0</v>
      </c>
      <c r="J211" s="16"/>
      <c r="K211" s="18"/>
      <c r="L211" s="19">
        <f t="shared" ref="L211:L212" si="452">(C211*D211*K211/1000)</f>
        <v>0</v>
      </c>
      <c r="M211" s="16"/>
      <c r="N211" s="18"/>
      <c r="O211" s="19">
        <f t="shared" ref="O211:O212" si="453">(C211*D211*N211/1000)</f>
        <v>0</v>
      </c>
      <c r="P211" s="16"/>
      <c r="Q211" s="18">
        <v>4</v>
      </c>
      <c r="R211" s="19">
        <f t="shared" ref="R211:R212" si="454">(C211*D211*Q211/1000)</f>
        <v>0.38180000000000003</v>
      </c>
      <c r="S211" s="20">
        <f t="shared" ref="S211:S212" si="455">+H211+K211+Q211+N211</f>
        <v>4</v>
      </c>
      <c r="T211" s="19">
        <f t="shared" ref="T211:T212" si="456">+I211+L211+R211+O211</f>
        <v>0.38180000000000003</v>
      </c>
      <c r="U211" s="21">
        <f t="shared" ref="U211:U212" si="457">E211-S211</f>
        <v>-4</v>
      </c>
      <c r="V211" s="19">
        <f t="shared" ref="V211:V212" si="458">F211-T211</f>
        <v>-0.38180000000000003</v>
      </c>
    </row>
    <row r="212" spans="1:22" hidden="1">
      <c r="A212" s="26" t="s">
        <v>14</v>
      </c>
      <c r="B212" s="26" t="s">
        <v>26</v>
      </c>
      <c r="C212" s="30">
        <v>8.3000000000000007</v>
      </c>
      <c r="D212" s="27">
        <v>9.5</v>
      </c>
      <c r="E212" s="28"/>
      <c r="F212" s="16">
        <f t="shared" si="450"/>
        <v>0</v>
      </c>
      <c r="G212" s="17"/>
      <c r="H212" s="18"/>
      <c r="I212" s="19">
        <f t="shared" si="451"/>
        <v>0</v>
      </c>
      <c r="J212" s="16"/>
      <c r="K212" s="18"/>
      <c r="L212" s="19">
        <f t="shared" si="452"/>
        <v>0</v>
      </c>
      <c r="M212" s="16"/>
      <c r="N212" s="18"/>
      <c r="O212" s="19">
        <f t="shared" si="453"/>
        <v>0</v>
      </c>
      <c r="P212" s="16"/>
      <c r="Q212" s="18">
        <v>5</v>
      </c>
      <c r="R212" s="19">
        <f t="shared" si="454"/>
        <v>0.39425000000000004</v>
      </c>
      <c r="S212" s="20">
        <f t="shared" si="455"/>
        <v>5</v>
      </c>
      <c r="T212" s="19">
        <f t="shared" si="456"/>
        <v>0.39425000000000004</v>
      </c>
      <c r="U212" s="21">
        <f t="shared" si="457"/>
        <v>-5</v>
      </c>
      <c r="V212" s="19">
        <f t="shared" si="458"/>
        <v>-0.39425000000000004</v>
      </c>
    </row>
    <row r="213" spans="1:22" hidden="1">
      <c r="A213" s="26" t="s">
        <v>14</v>
      </c>
      <c r="B213" s="26" t="s">
        <v>26</v>
      </c>
      <c r="C213" s="30">
        <v>8.3000000000000007</v>
      </c>
      <c r="D213" s="27"/>
      <c r="E213" s="28"/>
      <c r="F213" s="16">
        <f t="shared" si="440"/>
        <v>0</v>
      </c>
      <c r="G213" s="17"/>
      <c r="H213" s="18"/>
      <c r="I213" s="19">
        <f t="shared" si="442"/>
        <v>0</v>
      </c>
      <c r="J213" s="16"/>
      <c r="K213" s="18"/>
      <c r="L213" s="19">
        <f t="shared" si="443"/>
        <v>0</v>
      </c>
      <c r="M213" s="16"/>
      <c r="N213" s="18"/>
      <c r="O213" s="19">
        <f t="shared" si="444"/>
        <v>0</v>
      </c>
      <c r="P213" s="16"/>
      <c r="Q213" s="18"/>
      <c r="R213" s="19">
        <f t="shared" si="445"/>
        <v>0</v>
      </c>
      <c r="S213" s="20">
        <f t="shared" si="446"/>
        <v>0</v>
      </c>
      <c r="T213" s="19">
        <f t="shared" si="447"/>
        <v>0</v>
      </c>
      <c r="U213" s="21">
        <f t="shared" si="448"/>
        <v>0</v>
      </c>
      <c r="V213" s="19">
        <f t="shared" si="449"/>
        <v>0</v>
      </c>
    </row>
    <row r="214" spans="1:22" hidden="1">
      <c r="A214" s="26" t="s">
        <v>14</v>
      </c>
      <c r="B214" s="26" t="s">
        <v>26</v>
      </c>
      <c r="C214" s="30">
        <v>8.3000000000000007</v>
      </c>
      <c r="D214" s="27"/>
      <c r="E214" s="28"/>
      <c r="F214" s="16">
        <f t="shared" si="431"/>
        <v>0</v>
      </c>
      <c r="G214" s="17"/>
      <c r="H214" s="18"/>
      <c r="I214" s="19">
        <f t="shared" si="432"/>
        <v>0</v>
      </c>
      <c r="J214" s="16"/>
      <c r="K214" s="18"/>
      <c r="L214" s="19">
        <f t="shared" si="433"/>
        <v>0</v>
      </c>
      <c r="M214" s="16"/>
      <c r="N214" s="18"/>
      <c r="O214" s="19">
        <f t="shared" si="434"/>
        <v>0</v>
      </c>
      <c r="P214" s="16"/>
      <c r="Q214" s="18"/>
      <c r="R214" s="19">
        <f t="shared" si="435"/>
        <v>0</v>
      </c>
      <c r="S214" s="20">
        <f t="shared" si="436"/>
        <v>0</v>
      </c>
      <c r="T214" s="19">
        <f t="shared" si="437"/>
        <v>0</v>
      </c>
      <c r="U214" s="21">
        <f t="shared" si="438"/>
        <v>0</v>
      </c>
      <c r="V214" s="19">
        <f t="shared" si="439"/>
        <v>0</v>
      </c>
    </row>
    <row r="215" spans="1:22" hidden="1">
      <c r="A215" s="36"/>
      <c r="B215" s="36"/>
      <c r="C215" s="37"/>
      <c r="D215" s="38"/>
      <c r="E215" s="31">
        <f t="shared" ref="E215" si="459">SUM(E209:E214)</f>
        <v>907</v>
      </c>
      <c r="F215" s="38">
        <f>SUM(F209:F214)</f>
        <v>77.989289999999983</v>
      </c>
      <c r="G215" s="17"/>
      <c r="H215" s="31">
        <f>SUM(H209:H214)</f>
        <v>556</v>
      </c>
      <c r="I215" s="38">
        <f>SUM(I209:I214)</f>
        <v>48.359535000000001</v>
      </c>
      <c r="J215" s="16"/>
      <c r="K215" s="31">
        <f t="shared" ref="K215:L215" si="460">SUM(K209:K214)</f>
        <v>259</v>
      </c>
      <c r="L215" s="38">
        <f t="shared" si="460"/>
        <v>21.926939999999998</v>
      </c>
      <c r="M215" s="16"/>
      <c r="N215" s="31">
        <f t="shared" ref="N215:O215" si="461">SUM(N209:N214)</f>
        <v>70</v>
      </c>
      <c r="O215" s="38">
        <f t="shared" si="461"/>
        <v>5.9261999999999997</v>
      </c>
      <c r="P215" s="16"/>
      <c r="Q215" s="31">
        <f t="shared" ref="Q215:V215" si="462">SUM(Q209:Q214)</f>
        <v>23</v>
      </c>
      <c r="R215" s="38">
        <f t="shared" si="462"/>
        <v>2.028105</v>
      </c>
      <c r="S215" s="31">
        <f t="shared" si="462"/>
        <v>908</v>
      </c>
      <c r="T215" s="38">
        <f t="shared" si="462"/>
        <v>78.240779999999987</v>
      </c>
      <c r="U215" s="31">
        <f t="shared" si="462"/>
        <v>-1</v>
      </c>
      <c r="V215" s="141">
        <f t="shared" si="462"/>
        <v>-0.25148999999999727</v>
      </c>
    </row>
    <row r="216" spans="1:22" hidden="1">
      <c r="A216" s="26" t="s">
        <v>14</v>
      </c>
      <c r="B216" s="26" t="s">
        <v>37</v>
      </c>
      <c r="C216" s="30">
        <v>9.61</v>
      </c>
      <c r="D216" s="27">
        <v>6.15</v>
      </c>
      <c r="E216" s="28">
        <v>388</v>
      </c>
      <c r="F216" s="16">
        <f t="shared" ref="F216:F217" si="463">(C216*D216*E216/1000)</f>
        <v>22.931382000000003</v>
      </c>
      <c r="G216" s="17" t="s">
        <v>93</v>
      </c>
      <c r="H216" s="18">
        <f>56+156</f>
        <v>212</v>
      </c>
      <c r="I216" s="19">
        <f t="shared" ref="I216:I217" si="464">(C216*D216*H216/1000)</f>
        <v>12.529517999999999</v>
      </c>
      <c r="J216" s="16" t="s">
        <v>111</v>
      </c>
      <c r="K216" s="18">
        <v>163</v>
      </c>
      <c r="L216" s="19">
        <f t="shared" ref="L216:L217" si="465">(C216*D216*K216/1000)</f>
        <v>9.6335444999999993</v>
      </c>
      <c r="M216" s="16" t="s">
        <v>111</v>
      </c>
      <c r="N216" s="18">
        <v>7</v>
      </c>
      <c r="O216" s="19">
        <f t="shared" ref="O216:O217" si="466">(C216*D216*N216/1000)</f>
        <v>0.41371050000000004</v>
      </c>
      <c r="P216" s="16"/>
      <c r="Q216" s="18"/>
      <c r="R216" s="19">
        <f t="shared" ref="R216:R217" si="467">(C216*D216*Q216/1000)</f>
        <v>0</v>
      </c>
      <c r="S216" s="20">
        <f t="shared" ref="S216:S217" si="468">+H216+K216+Q216+N216</f>
        <v>382</v>
      </c>
      <c r="T216" s="19">
        <f t="shared" ref="T216:T217" si="469">+I216+L216+R216+O216</f>
        <v>22.576772999999999</v>
      </c>
      <c r="U216" s="21">
        <f t="shared" ref="U216:U217" si="470">E216-S216</f>
        <v>6</v>
      </c>
      <c r="V216" s="19">
        <f t="shared" ref="V216:V217" si="471">F216-T216</f>
        <v>0.3546090000000035</v>
      </c>
    </row>
    <row r="217" spans="1:22" hidden="1">
      <c r="A217" s="26" t="s">
        <v>14</v>
      </c>
      <c r="B217" s="26" t="s">
        <v>37</v>
      </c>
      <c r="C217" s="30">
        <v>9.61</v>
      </c>
      <c r="D217" s="27">
        <v>6.8</v>
      </c>
      <c r="E217" s="28">
        <v>388</v>
      </c>
      <c r="F217" s="16">
        <f t="shared" si="463"/>
        <v>25.355024</v>
      </c>
      <c r="G217" s="17" t="s">
        <v>555</v>
      </c>
      <c r="H217" s="18">
        <f>272+43</f>
        <v>315</v>
      </c>
      <c r="I217" s="19">
        <f t="shared" si="464"/>
        <v>20.584619999999997</v>
      </c>
      <c r="J217" s="16" t="s">
        <v>556</v>
      </c>
      <c r="K217" s="18">
        <v>79</v>
      </c>
      <c r="L217" s="19">
        <f t="shared" si="465"/>
        <v>5.1624920000000003</v>
      </c>
      <c r="M217" s="16" t="s">
        <v>577</v>
      </c>
      <c r="N217" s="18"/>
      <c r="O217" s="19">
        <f t="shared" si="466"/>
        <v>0</v>
      </c>
      <c r="P217" s="16"/>
      <c r="Q217" s="18"/>
      <c r="R217" s="19">
        <f t="shared" si="467"/>
        <v>0</v>
      </c>
      <c r="S217" s="20">
        <f t="shared" si="468"/>
        <v>394</v>
      </c>
      <c r="T217" s="19">
        <f t="shared" si="469"/>
        <v>25.747111999999998</v>
      </c>
      <c r="U217" s="21">
        <f t="shared" si="470"/>
        <v>-6</v>
      </c>
      <c r="V217" s="19">
        <f t="shared" si="471"/>
        <v>-0.39208799999999755</v>
      </c>
    </row>
    <row r="218" spans="1:22" hidden="1">
      <c r="A218" s="36"/>
      <c r="B218" s="36"/>
      <c r="C218" s="37"/>
      <c r="D218" s="38"/>
      <c r="E218" s="31">
        <f t="shared" ref="E218:F218" si="472">SUM(E216:E217)</f>
        <v>776</v>
      </c>
      <c r="F218" s="38">
        <f t="shared" si="472"/>
        <v>48.286405999999999</v>
      </c>
      <c r="G218" s="17"/>
      <c r="H218" s="31">
        <f t="shared" ref="H218:I218" si="473">SUM(H216:H217)</f>
        <v>527</v>
      </c>
      <c r="I218" s="38">
        <f t="shared" si="473"/>
        <v>33.114137999999997</v>
      </c>
      <c r="J218" s="16"/>
      <c r="K218" s="31">
        <f t="shared" ref="K218:L218" si="474">SUM(K216:K217)</f>
        <v>242</v>
      </c>
      <c r="L218" s="38">
        <f t="shared" si="474"/>
        <v>14.7960365</v>
      </c>
      <c r="M218" s="16"/>
      <c r="N218" s="31">
        <f t="shared" ref="N218:O218" si="475">SUM(N216:N217)</f>
        <v>7</v>
      </c>
      <c r="O218" s="38">
        <f t="shared" si="475"/>
        <v>0.41371050000000004</v>
      </c>
      <c r="P218" s="16"/>
      <c r="Q218" s="31">
        <f t="shared" ref="Q218:V218" si="476">SUM(Q216:Q217)</f>
        <v>0</v>
      </c>
      <c r="R218" s="38">
        <f t="shared" si="476"/>
        <v>0</v>
      </c>
      <c r="S218" s="31">
        <f t="shared" si="476"/>
        <v>776</v>
      </c>
      <c r="T218" s="38">
        <f t="shared" si="476"/>
        <v>48.323884999999997</v>
      </c>
      <c r="U218" s="31">
        <f t="shared" si="476"/>
        <v>0</v>
      </c>
      <c r="V218" s="141">
        <f t="shared" si="476"/>
        <v>-3.7478999999994045E-2</v>
      </c>
    </row>
    <row r="219" spans="1:22">
      <c r="A219" s="33"/>
      <c r="B219" s="33"/>
      <c r="C219" s="34"/>
      <c r="D219" s="34"/>
      <c r="E219" s="34">
        <f>SUM(E6:E218)/2</f>
        <v>15496</v>
      </c>
      <c r="F219" s="35">
        <f>SUM(F6:F218)/2</f>
        <v>1880.4418835000001</v>
      </c>
      <c r="G219" s="17"/>
      <c r="H219" s="34">
        <f>SUM(H6:H218)/2</f>
        <v>6289</v>
      </c>
      <c r="I219" s="35">
        <f>SUM(I6:I218)/2</f>
        <v>805.53073149999989</v>
      </c>
      <c r="J219" s="16"/>
      <c r="K219" s="34">
        <f>SUM(K6:K218)/2</f>
        <v>6056</v>
      </c>
      <c r="L219" s="35">
        <f>SUM(L6:L218)/2</f>
        <v>722.75166750000028</v>
      </c>
      <c r="M219" s="16"/>
      <c r="N219" s="34">
        <f>SUM(N6:N218)/2</f>
        <v>2375</v>
      </c>
      <c r="O219" s="35">
        <f>SUM(O6:O218)/2</f>
        <v>264.12912169999998</v>
      </c>
      <c r="P219" s="16"/>
      <c r="Q219" s="34">
        <f t="shared" ref="Q219:V219" si="477">SUM(Q6:Q218)/2</f>
        <v>902</v>
      </c>
      <c r="R219" s="35">
        <f t="shared" si="477"/>
        <v>93.640753799999999</v>
      </c>
      <c r="S219" s="34">
        <f t="shared" si="477"/>
        <v>15622</v>
      </c>
      <c r="T219" s="35">
        <f t="shared" si="477"/>
        <v>1886.0522744999996</v>
      </c>
      <c r="U219" s="34">
        <f t="shared" si="477"/>
        <v>-126</v>
      </c>
      <c r="V219" s="35">
        <f t="shared" si="477"/>
        <v>-5.6103910000000665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0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V188"/>
  <sheetViews>
    <sheetView zoomScale="75" zoomScaleNormal="75" workbookViewId="0">
      <pane ySplit="5" topLeftCell="A114" activePane="bottomLeft" state="frozen"/>
      <selection pane="bottomLeft" activeCell="J127" sqref="J127:J128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LOI-1131  22.11.23</v>
      </c>
      <c r="D1" s="1"/>
      <c r="E1" s="2"/>
      <c r="F1" s="2"/>
      <c r="G1" s="143" t="s">
        <v>241</v>
      </c>
      <c r="H1" s="144"/>
      <c r="I1" s="145" t="s">
        <v>533</v>
      </c>
      <c r="J1" s="144"/>
      <c r="K1" s="3"/>
      <c r="L1" s="4"/>
      <c r="M1" s="4"/>
      <c r="N1" s="3"/>
      <c r="O1" s="4"/>
      <c r="P1" s="146" t="str">
        <f>+F2</f>
        <v>LOI-1131  22.11.23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586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LOI-1131  22.11.23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30">
        <v>15</v>
      </c>
      <c r="D6" s="27">
        <v>11</v>
      </c>
      <c r="E6" s="28">
        <v>13</v>
      </c>
      <c r="F6" s="16">
        <f>(C6*D6*E6/1000)</f>
        <v>2.145</v>
      </c>
      <c r="G6" s="17" t="s">
        <v>111</v>
      </c>
      <c r="H6" s="18">
        <v>7</v>
      </c>
      <c r="I6" s="19">
        <f>(C6*D6*H6/1000)</f>
        <v>1.155</v>
      </c>
      <c r="J6" s="16" t="s">
        <v>111</v>
      </c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7</v>
      </c>
      <c r="T6" s="19">
        <f>+I6+L6+R6+O6</f>
        <v>1.155</v>
      </c>
      <c r="U6" s="21">
        <f>E6-S6</f>
        <v>6</v>
      </c>
      <c r="V6" s="19">
        <f>F6-T6</f>
        <v>0.99</v>
      </c>
    </row>
    <row r="7" spans="1:22">
      <c r="A7" s="26" t="s">
        <v>13</v>
      </c>
      <c r="B7" s="26" t="s">
        <v>60</v>
      </c>
      <c r="C7" s="30">
        <v>15</v>
      </c>
      <c r="D7" s="27">
        <v>7.6</v>
      </c>
      <c r="E7" s="28"/>
      <c r="F7" s="16">
        <f t="shared" ref="F7:F14" si="0">(C7*D7*E7/1000)</f>
        <v>0</v>
      </c>
      <c r="G7" s="17" t="s">
        <v>588</v>
      </c>
      <c r="H7" s="18">
        <v>2</v>
      </c>
      <c r="I7" s="19">
        <f t="shared" ref="I7:I14" si="1">(C7*D7*H7/1000)</f>
        <v>0.22800000000000001</v>
      </c>
      <c r="J7" s="16" t="s">
        <v>604</v>
      </c>
      <c r="K7" s="18"/>
      <c r="L7" s="19">
        <f t="shared" ref="L7:L14" si="2">(C7*D7*K7/1000)</f>
        <v>0</v>
      </c>
      <c r="M7" s="16"/>
      <c r="N7" s="18"/>
      <c r="O7" s="19">
        <f t="shared" ref="O7:O14" si="3">(C7*D7*N7/1000)</f>
        <v>0</v>
      </c>
      <c r="P7" s="16"/>
      <c r="Q7" s="18"/>
      <c r="R7" s="19">
        <f t="shared" ref="R7:R14" si="4">(C7*D7*Q7/1000)</f>
        <v>0</v>
      </c>
      <c r="S7" s="20">
        <f t="shared" ref="S7:S14" si="5">+H7+K7+Q7+N7</f>
        <v>2</v>
      </c>
      <c r="T7" s="19">
        <f t="shared" ref="T7:T14" si="6">+I7+L7+R7+O7</f>
        <v>0.22800000000000001</v>
      </c>
      <c r="U7" s="21">
        <f t="shared" ref="U7:U14" si="7">E7-S7</f>
        <v>-2</v>
      </c>
      <c r="V7" s="19">
        <f t="shared" ref="V7:V14" si="8">F7-T7</f>
        <v>-0.22800000000000001</v>
      </c>
    </row>
    <row r="8" spans="1:22">
      <c r="A8" s="26" t="s">
        <v>13</v>
      </c>
      <c r="B8" s="26" t="s">
        <v>60</v>
      </c>
      <c r="C8" s="30">
        <v>15</v>
      </c>
      <c r="D8" s="27">
        <v>10</v>
      </c>
      <c r="E8" s="28"/>
      <c r="F8" s="16">
        <f t="shared" si="0"/>
        <v>0</v>
      </c>
      <c r="G8" s="17"/>
      <c r="H8" s="18">
        <v>3</v>
      </c>
      <c r="I8" s="19">
        <f t="shared" si="1"/>
        <v>0.45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</v>
      </c>
      <c r="T8" s="19">
        <f t="shared" si="6"/>
        <v>0.45</v>
      </c>
      <c r="U8" s="21">
        <f t="shared" si="7"/>
        <v>-3</v>
      </c>
      <c r="V8" s="19">
        <f t="shared" si="8"/>
        <v>-0.45</v>
      </c>
    </row>
    <row r="9" spans="1:22">
      <c r="A9" s="26" t="s">
        <v>13</v>
      </c>
      <c r="B9" s="26" t="s">
        <v>60</v>
      </c>
      <c r="C9" s="30">
        <v>15</v>
      </c>
      <c r="D9" s="27">
        <v>9.1</v>
      </c>
      <c r="E9" s="28"/>
      <c r="F9" s="16">
        <f t="shared" si="0"/>
        <v>0</v>
      </c>
      <c r="G9" s="17"/>
      <c r="H9" s="18">
        <v>1</v>
      </c>
      <c r="I9" s="19">
        <f t="shared" si="1"/>
        <v>0.13650000000000001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</v>
      </c>
      <c r="T9" s="19">
        <f t="shared" si="6"/>
        <v>0.13650000000000001</v>
      </c>
      <c r="U9" s="21">
        <f t="shared" si="7"/>
        <v>-1</v>
      </c>
      <c r="V9" s="19">
        <f t="shared" si="8"/>
        <v>-0.13650000000000001</v>
      </c>
    </row>
    <row r="10" spans="1:22">
      <c r="A10" s="26" t="s">
        <v>13</v>
      </c>
      <c r="B10" s="26" t="s">
        <v>60</v>
      </c>
      <c r="C10" s="30">
        <v>15</v>
      </c>
      <c r="D10" s="27">
        <v>10.3</v>
      </c>
      <c r="E10" s="28"/>
      <c r="F10" s="16">
        <f t="shared" si="0"/>
        <v>0</v>
      </c>
      <c r="G10" s="17"/>
      <c r="H10" s="18">
        <v>1</v>
      </c>
      <c r="I10" s="19">
        <f t="shared" si="1"/>
        <v>0.1545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1</v>
      </c>
      <c r="T10" s="19">
        <f t="shared" si="6"/>
        <v>0.1545</v>
      </c>
      <c r="U10" s="21">
        <f t="shared" si="7"/>
        <v>-1</v>
      </c>
      <c r="V10" s="19">
        <f t="shared" si="8"/>
        <v>-0.1545</v>
      </c>
    </row>
    <row r="11" spans="1:22">
      <c r="A11" s="26" t="s">
        <v>13</v>
      </c>
      <c r="B11" s="26" t="s">
        <v>60</v>
      </c>
      <c r="C11" s="30">
        <v>15</v>
      </c>
      <c r="D11" s="27">
        <v>6.1</v>
      </c>
      <c r="E11" s="28"/>
      <c r="F11" s="16">
        <f t="shared" si="0"/>
        <v>0</v>
      </c>
      <c r="G11" s="17"/>
      <c r="H11" s="18">
        <v>1</v>
      </c>
      <c r="I11" s="19">
        <f t="shared" si="1"/>
        <v>9.1499999999999998E-2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1</v>
      </c>
      <c r="T11" s="19">
        <f t="shared" si="6"/>
        <v>9.1499999999999998E-2</v>
      </c>
      <c r="U11" s="21">
        <f t="shared" si="7"/>
        <v>-1</v>
      </c>
      <c r="V11" s="19">
        <f t="shared" si="8"/>
        <v>-9.1499999999999998E-2</v>
      </c>
    </row>
    <row r="12" spans="1:22">
      <c r="A12" s="26" t="s">
        <v>13</v>
      </c>
      <c r="B12" s="26" t="s">
        <v>60</v>
      </c>
      <c r="C12" s="30">
        <v>15</v>
      </c>
      <c r="D12" s="27">
        <v>6</v>
      </c>
      <c r="E12" s="28"/>
      <c r="F12" s="16">
        <f t="shared" si="0"/>
        <v>0</v>
      </c>
      <c r="G12" s="17"/>
      <c r="H12" s="18"/>
      <c r="I12" s="19">
        <f t="shared" si="1"/>
        <v>0</v>
      </c>
      <c r="J12" s="16"/>
      <c r="K12" s="18">
        <v>1</v>
      </c>
      <c r="L12" s="19">
        <f t="shared" si="2"/>
        <v>0.09</v>
      </c>
      <c r="M12" s="16"/>
      <c r="N12" s="18"/>
      <c r="O12" s="19">
        <f t="shared" si="3"/>
        <v>0</v>
      </c>
      <c r="P12" s="16"/>
      <c r="Q12" s="18"/>
      <c r="R12" s="19">
        <f t="shared" si="4"/>
        <v>0</v>
      </c>
      <c r="S12" s="20">
        <f t="shared" si="5"/>
        <v>1</v>
      </c>
      <c r="T12" s="19">
        <f t="shared" si="6"/>
        <v>0.09</v>
      </c>
      <c r="U12" s="21">
        <f t="shared" si="7"/>
        <v>-1</v>
      </c>
      <c r="V12" s="19">
        <f t="shared" si="8"/>
        <v>-0.09</v>
      </c>
    </row>
    <row r="13" spans="1:22">
      <c r="A13" s="26" t="s">
        <v>13</v>
      </c>
      <c r="B13" s="26" t="s">
        <v>60</v>
      </c>
      <c r="C13" s="30">
        <v>15</v>
      </c>
      <c r="D13" s="27">
        <v>12</v>
      </c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>
        <v>1</v>
      </c>
      <c r="L13" s="19">
        <f t="shared" si="2"/>
        <v>0.18</v>
      </c>
      <c r="M13" s="16"/>
      <c r="N13" s="18"/>
      <c r="O13" s="19">
        <f t="shared" si="3"/>
        <v>0</v>
      </c>
      <c r="P13" s="16"/>
      <c r="Q13" s="18"/>
      <c r="R13" s="19">
        <f t="shared" si="4"/>
        <v>0</v>
      </c>
      <c r="S13" s="20">
        <f t="shared" si="5"/>
        <v>1</v>
      </c>
      <c r="T13" s="19">
        <f t="shared" si="6"/>
        <v>0.18</v>
      </c>
      <c r="U13" s="21">
        <f t="shared" si="7"/>
        <v>-1</v>
      </c>
      <c r="V13" s="19">
        <f t="shared" si="8"/>
        <v>-0.18</v>
      </c>
    </row>
    <row r="14" spans="1:22">
      <c r="A14" s="26" t="s">
        <v>13</v>
      </c>
      <c r="B14" s="26" t="s">
        <v>60</v>
      </c>
      <c r="C14" s="30">
        <v>15</v>
      </c>
      <c r="D14" s="27"/>
      <c r="E14" s="28"/>
      <c r="F14" s="16">
        <f t="shared" si="0"/>
        <v>0</v>
      </c>
      <c r="G14" s="17"/>
      <c r="H14" s="18"/>
      <c r="I14" s="19">
        <f t="shared" si="1"/>
        <v>0</v>
      </c>
      <c r="J14" s="16"/>
      <c r="K14" s="18"/>
      <c r="L14" s="19">
        <f t="shared" si="2"/>
        <v>0</v>
      </c>
      <c r="M14" s="16"/>
      <c r="N14" s="18"/>
      <c r="O14" s="19">
        <f t="shared" si="3"/>
        <v>0</v>
      </c>
      <c r="P14" s="16"/>
      <c r="Q14" s="18"/>
      <c r="R14" s="19">
        <f t="shared" si="4"/>
        <v>0</v>
      </c>
      <c r="S14" s="20">
        <f t="shared" si="5"/>
        <v>0</v>
      </c>
      <c r="T14" s="19">
        <f t="shared" si="6"/>
        <v>0</v>
      </c>
      <c r="U14" s="21">
        <f t="shared" si="7"/>
        <v>0</v>
      </c>
      <c r="V14" s="19">
        <f t="shared" si="8"/>
        <v>0</v>
      </c>
    </row>
    <row r="15" spans="1:22">
      <c r="A15" s="36"/>
      <c r="B15" s="36"/>
      <c r="C15" s="37"/>
      <c r="D15" s="38"/>
      <c r="E15" s="31">
        <f t="shared" ref="E15:F15" si="9">SUM(E6:E14)</f>
        <v>13</v>
      </c>
      <c r="F15" s="38">
        <f t="shared" si="9"/>
        <v>2.145</v>
      </c>
      <c r="G15" s="17"/>
      <c r="H15" s="31">
        <f t="shared" ref="H15" si="10">SUM(H6:H14)</f>
        <v>15</v>
      </c>
      <c r="I15" s="38">
        <f t="shared" ref="I15" si="11">SUM(I6:I14)</f>
        <v>2.2155</v>
      </c>
      <c r="J15" s="16"/>
      <c r="K15" s="31">
        <f t="shared" ref="K15" si="12">SUM(K6:K14)</f>
        <v>2</v>
      </c>
      <c r="L15" s="38">
        <f t="shared" ref="L15" si="13">SUM(L6:L14)</f>
        <v>0.27</v>
      </c>
      <c r="M15" s="16"/>
      <c r="N15" s="31">
        <f t="shared" ref="N15" si="14">SUM(N6:N14)</f>
        <v>0</v>
      </c>
      <c r="O15" s="38">
        <f t="shared" ref="O15" si="15">SUM(O6:O14)</f>
        <v>0</v>
      </c>
      <c r="P15" s="16"/>
      <c r="Q15" s="31">
        <f t="shared" ref="Q15" si="16">SUM(Q6:Q14)</f>
        <v>0</v>
      </c>
      <c r="R15" s="38">
        <f t="shared" ref="R15" si="17">SUM(R6:R14)</f>
        <v>0</v>
      </c>
      <c r="S15" s="31">
        <f t="shared" ref="S15" si="18">SUM(S6:S14)</f>
        <v>17</v>
      </c>
      <c r="T15" s="38">
        <f t="shared" ref="T15" si="19">SUM(T6:T14)</f>
        <v>2.4855</v>
      </c>
      <c r="U15" s="31">
        <f t="shared" ref="U15" si="20">SUM(U6:U14)</f>
        <v>-4</v>
      </c>
      <c r="V15" s="38">
        <f t="shared" ref="V15" si="21">SUM(V6:V14)</f>
        <v>-0.34050000000000002</v>
      </c>
    </row>
    <row r="16" spans="1:22">
      <c r="A16" s="26" t="s">
        <v>13</v>
      </c>
      <c r="B16" s="26" t="s">
        <v>45</v>
      </c>
      <c r="C16" s="30">
        <v>9.26</v>
      </c>
      <c r="D16" s="27">
        <v>8</v>
      </c>
      <c r="E16" s="28">
        <v>6</v>
      </c>
      <c r="F16" s="16">
        <f>(C16*D16*E16/1000)</f>
        <v>0.44448000000000004</v>
      </c>
      <c r="G16" s="17" t="s">
        <v>89</v>
      </c>
      <c r="H16" s="18"/>
      <c r="I16" s="19">
        <f>(C16*D16*H16/1000)</f>
        <v>0</v>
      </c>
      <c r="J16" s="17" t="s">
        <v>111</v>
      </c>
      <c r="K16" s="18">
        <v>8</v>
      </c>
      <c r="L16" s="19">
        <f>(C16*D16*K16/1000)</f>
        <v>0.59263999999999994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8</v>
      </c>
      <c r="T16" s="19">
        <f>+I16+L16+R16+O16</f>
        <v>0.59263999999999994</v>
      </c>
      <c r="U16" s="21">
        <f>E16-S16</f>
        <v>-2</v>
      </c>
      <c r="V16" s="19">
        <f>F16-T16</f>
        <v>-0.1481599999999999</v>
      </c>
    </row>
    <row r="17" spans="1:22">
      <c r="A17" s="26" t="s">
        <v>13</v>
      </c>
      <c r="B17" s="26" t="s">
        <v>45</v>
      </c>
      <c r="C17" s="30">
        <v>9.26</v>
      </c>
      <c r="D17" s="27">
        <v>12</v>
      </c>
      <c r="E17" s="28">
        <v>22</v>
      </c>
      <c r="F17" s="16">
        <f>(C17*D17*E17/1000)</f>
        <v>2.4446400000000001</v>
      </c>
      <c r="G17" t="s">
        <v>587</v>
      </c>
      <c r="H17" s="18">
        <v>17</v>
      </c>
      <c r="I17" s="19">
        <f>(C17*D17*H17/1000)</f>
        <v>1.8890400000000001</v>
      </c>
      <c r="J17" s="17" t="s">
        <v>588</v>
      </c>
      <c r="K17" s="18">
        <v>5</v>
      </c>
      <c r="L17" s="19">
        <f>(C17*D17*K17/1000)</f>
        <v>0.55559999999999998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22</v>
      </c>
      <c r="T17" s="19">
        <f>+I17+L17+R17+O17</f>
        <v>2.4446400000000001</v>
      </c>
      <c r="U17" s="21">
        <f>E17-S17</f>
        <v>0</v>
      </c>
      <c r="V17" s="19">
        <f>F17-T17</f>
        <v>0</v>
      </c>
    </row>
    <row r="18" spans="1:22">
      <c r="A18" s="36"/>
      <c r="B18" s="36"/>
      <c r="C18" s="37"/>
      <c r="D18" s="38"/>
      <c r="E18" s="31">
        <f t="shared" ref="E18:F18" si="22">SUM(E16:E17)</f>
        <v>28</v>
      </c>
      <c r="F18" s="38">
        <f t="shared" si="22"/>
        <v>2.8891200000000001</v>
      </c>
      <c r="G18" s="17"/>
      <c r="H18" s="31">
        <f t="shared" ref="H18" si="23">SUM(H16:H17)</f>
        <v>17</v>
      </c>
      <c r="I18" s="38">
        <f t="shared" ref="I18" si="24">SUM(I16:I17)</f>
        <v>1.8890400000000001</v>
      </c>
      <c r="J18" s="16"/>
      <c r="K18" s="31">
        <f t="shared" ref="K18" si="25">SUM(K16:K17)</f>
        <v>13</v>
      </c>
      <c r="L18" s="38">
        <f t="shared" ref="L18" si="26">SUM(L16:L17)</f>
        <v>1.1482399999999999</v>
      </c>
      <c r="M18" s="16"/>
      <c r="N18" s="31">
        <f t="shared" ref="N18" si="27">SUM(N16:N17)</f>
        <v>0</v>
      </c>
      <c r="O18" s="38">
        <f t="shared" ref="O18" si="28">SUM(O16:O17)</f>
        <v>0</v>
      </c>
      <c r="P18" s="16"/>
      <c r="Q18" s="31">
        <f t="shared" ref="Q18" si="29">SUM(Q16:Q17)</f>
        <v>0</v>
      </c>
      <c r="R18" s="38">
        <f t="shared" ref="R18" si="30">SUM(R16:R17)</f>
        <v>0</v>
      </c>
      <c r="S18" s="31">
        <f t="shared" ref="S18" si="31">SUM(S16:S17)</f>
        <v>30</v>
      </c>
      <c r="T18" s="38">
        <f t="shared" ref="T18" si="32">SUM(T16:T17)</f>
        <v>3.03728</v>
      </c>
      <c r="U18" s="31">
        <f t="shared" ref="U18" si="33">SUM(U16:U17)</f>
        <v>-2</v>
      </c>
      <c r="V18" s="38">
        <f t="shared" ref="V18" si="34">SUM(V16:V17)</f>
        <v>-0.1481599999999999</v>
      </c>
    </row>
    <row r="19" spans="1:22">
      <c r="A19" s="26" t="s">
        <v>13</v>
      </c>
      <c r="B19" s="26" t="s">
        <v>46</v>
      </c>
      <c r="C19" s="30">
        <v>10.7</v>
      </c>
      <c r="D19" s="27">
        <v>10</v>
      </c>
      <c r="E19" s="28">
        <v>21</v>
      </c>
      <c r="F19" s="16">
        <f t="shared" ref="F19:F20" si="35">(C19*D19*E19/1000)</f>
        <v>2.2469999999999999</v>
      </c>
      <c r="G19" s="17" t="s">
        <v>89</v>
      </c>
      <c r="H19" s="18">
        <v>21</v>
      </c>
      <c r="I19" s="19">
        <f t="shared" ref="I19:I20" si="36">(C19*D19*H19/1000)</f>
        <v>2.2469999999999999</v>
      </c>
      <c r="J19" s="16"/>
      <c r="K19" s="18"/>
      <c r="L19" s="19">
        <f t="shared" ref="L19:L20" si="37">(C19*D19*K19/1000)</f>
        <v>0</v>
      </c>
      <c r="M19" s="16"/>
      <c r="N19" s="18"/>
      <c r="O19" s="19">
        <f t="shared" ref="O19:O20" si="38">(C19*D19*N19/1000)</f>
        <v>0</v>
      </c>
      <c r="P19" s="16"/>
      <c r="Q19" s="18"/>
      <c r="R19" s="19">
        <f t="shared" ref="R19:R20" si="39">(C19*D19*Q19/1000)</f>
        <v>0</v>
      </c>
      <c r="S19" s="20">
        <f t="shared" ref="S19:S20" si="40">+H19+K19+Q19+N19</f>
        <v>21</v>
      </c>
      <c r="T19" s="19">
        <f t="shared" ref="T19:T20" si="41">+I19+L19+R19+O19</f>
        <v>2.2469999999999999</v>
      </c>
      <c r="U19" s="21">
        <f t="shared" ref="U19:U20" si="42">E19-S19</f>
        <v>0</v>
      </c>
      <c r="V19" s="19">
        <f t="shared" ref="V19:V20" si="43">F19-T19</f>
        <v>0</v>
      </c>
    </row>
    <row r="20" spans="1:22">
      <c r="A20" s="26" t="s">
        <v>13</v>
      </c>
      <c r="B20" s="26" t="s">
        <v>46</v>
      </c>
      <c r="C20" s="30">
        <v>10.7</v>
      </c>
      <c r="D20" s="27">
        <v>12</v>
      </c>
      <c r="E20" s="28">
        <v>8</v>
      </c>
      <c r="F20" s="16">
        <f t="shared" si="35"/>
        <v>1.0271999999999999</v>
      </c>
      <c r="G20" t="s">
        <v>587</v>
      </c>
      <c r="H20" s="18">
        <v>8</v>
      </c>
      <c r="I20" s="19">
        <f t="shared" si="36"/>
        <v>1.0271999999999999</v>
      </c>
      <c r="J20" s="16"/>
      <c r="K20" s="18"/>
      <c r="L20" s="19">
        <f t="shared" si="37"/>
        <v>0</v>
      </c>
      <c r="M20" s="16"/>
      <c r="N20" s="18"/>
      <c r="O20" s="19">
        <f t="shared" si="38"/>
        <v>0</v>
      </c>
      <c r="P20" s="16"/>
      <c r="Q20" s="18"/>
      <c r="R20" s="19">
        <f t="shared" si="39"/>
        <v>0</v>
      </c>
      <c r="S20" s="20">
        <f t="shared" si="40"/>
        <v>8</v>
      </c>
      <c r="T20" s="19">
        <f t="shared" si="41"/>
        <v>1.0271999999999999</v>
      </c>
      <c r="U20" s="21">
        <f t="shared" si="42"/>
        <v>0</v>
      </c>
      <c r="V20" s="19">
        <f t="shared" si="43"/>
        <v>0</v>
      </c>
    </row>
    <row r="21" spans="1:22">
      <c r="A21" s="36"/>
      <c r="B21" s="36"/>
      <c r="C21" s="37"/>
      <c r="D21" s="38"/>
      <c r="E21" s="31">
        <f t="shared" ref="E21:F21" si="44">SUM(E19:E20)</f>
        <v>29</v>
      </c>
      <c r="F21" s="38">
        <f t="shared" si="44"/>
        <v>3.2741999999999996</v>
      </c>
      <c r="G21" s="17"/>
      <c r="H21" s="31">
        <f t="shared" ref="H21" si="45">SUM(H19:H20)</f>
        <v>29</v>
      </c>
      <c r="I21" s="38">
        <f t="shared" ref="I21" si="46">SUM(I19:I20)</f>
        <v>3.2741999999999996</v>
      </c>
      <c r="J21" s="16"/>
      <c r="K21" s="31">
        <f t="shared" ref="K21" si="47">SUM(K19:K20)</f>
        <v>0</v>
      </c>
      <c r="L21" s="38">
        <f t="shared" ref="L21" si="48">SUM(L19:L20)</f>
        <v>0</v>
      </c>
      <c r="M21" s="16"/>
      <c r="N21" s="31">
        <f t="shared" ref="N21" si="49">SUM(N19:N20)</f>
        <v>0</v>
      </c>
      <c r="O21" s="38">
        <f t="shared" ref="O21" si="50">SUM(O19:O20)</f>
        <v>0</v>
      </c>
      <c r="P21" s="16"/>
      <c r="Q21" s="31">
        <f t="shared" ref="Q21" si="51">SUM(Q19:Q20)</f>
        <v>0</v>
      </c>
      <c r="R21" s="38">
        <f t="shared" ref="R21" si="52">SUM(R19:R20)</f>
        <v>0</v>
      </c>
      <c r="S21" s="31">
        <f t="shared" ref="S21" si="53">SUM(S19:S20)</f>
        <v>29</v>
      </c>
      <c r="T21" s="38">
        <f t="shared" ref="T21" si="54">SUM(T19:T20)</f>
        <v>3.2741999999999996</v>
      </c>
      <c r="U21" s="31">
        <f t="shared" ref="U21" si="55">SUM(U19:U20)</f>
        <v>0</v>
      </c>
      <c r="V21" s="38">
        <f t="shared" ref="V21" si="56">SUM(V19:V20)</f>
        <v>0</v>
      </c>
    </row>
    <row r="22" spans="1:22">
      <c r="A22" s="26" t="s">
        <v>13</v>
      </c>
      <c r="B22" s="26" t="s">
        <v>61</v>
      </c>
      <c r="C22" s="30">
        <v>12.2</v>
      </c>
      <c r="D22" s="27">
        <v>7</v>
      </c>
      <c r="E22" s="28">
        <v>11</v>
      </c>
      <c r="F22" s="16">
        <f>(C22*D22*E22/1000)</f>
        <v>0.9393999999999999</v>
      </c>
      <c r="G22" s="17" t="s">
        <v>86</v>
      </c>
      <c r="H22" s="18">
        <v>11</v>
      </c>
      <c r="I22" s="19">
        <f>(C22*D22*H22/1000)</f>
        <v>0.9393999999999999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11</v>
      </c>
      <c r="T22" s="19">
        <f>+I22+L22+R22+O22</f>
        <v>0.9393999999999999</v>
      </c>
      <c r="U22" s="21">
        <f>E22-S22</f>
        <v>0</v>
      </c>
      <c r="V22" s="19">
        <f>F22-T22</f>
        <v>0</v>
      </c>
    </row>
    <row r="23" spans="1:22">
      <c r="A23" s="36"/>
      <c r="B23" s="36"/>
      <c r="C23" s="37"/>
      <c r="D23" s="38"/>
      <c r="E23" s="31">
        <f t="shared" ref="E23:F23" si="57">SUM(E22)</f>
        <v>11</v>
      </c>
      <c r="F23" s="38">
        <f t="shared" si="57"/>
        <v>0.9393999999999999</v>
      </c>
      <c r="G23" s="16" t="s">
        <v>609</v>
      </c>
      <c r="H23" s="31">
        <f t="shared" ref="H23" si="58">SUM(H22)</f>
        <v>11</v>
      </c>
      <c r="I23" s="38">
        <f t="shared" ref="I23" si="59">SUM(I22)</f>
        <v>0.9393999999999999</v>
      </c>
      <c r="J23" s="16"/>
      <c r="K23" s="31">
        <f t="shared" ref="K23" si="60">SUM(K22)</f>
        <v>0</v>
      </c>
      <c r="L23" s="38">
        <f t="shared" ref="L23" si="61">SUM(L22)</f>
        <v>0</v>
      </c>
      <c r="M23" s="16"/>
      <c r="N23" s="31">
        <f t="shared" ref="N23" si="62">SUM(N22)</f>
        <v>0</v>
      </c>
      <c r="O23" s="38">
        <f t="shared" ref="O23" si="63">SUM(O22)</f>
        <v>0</v>
      </c>
      <c r="P23" s="16"/>
      <c r="Q23" s="31">
        <f t="shared" ref="Q23" si="64">SUM(Q22)</f>
        <v>0</v>
      </c>
      <c r="R23" s="38">
        <f t="shared" ref="R23" si="65">SUM(R22)</f>
        <v>0</v>
      </c>
      <c r="S23" s="31">
        <f t="shared" ref="S23" si="66">SUM(S22)</f>
        <v>11</v>
      </c>
      <c r="T23" s="38">
        <f t="shared" ref="T23" si="67">SUM(T22)</f>
        <v>0.9393999999999999</v>
      </c>
      <c r="U23" s="31">
        <f t="shared" ref="U23" si="68">SUM(U22)</f>
        <v>0</v>
      </c>
      <c r="V23" s="38">
        <f t="shared" ref="V23" si="69">SUM(V22)</f>
        <v>0</v>
      </c>
    </row>
    <row r="24" spans="1:22">
      <c r="A24" s="26" t="s">
        <v>13</v>
      </c>
      <c r="B24" s="26" t="s">
        <v>18</v>
      </c>
      <c r="C24" s="30">
        <v>16.600000000000001</v>
      </c>
      <c r="D24" s="27">
        <v>10.5</v>
      </c>
      <c r="E24" s="28">
        <v>13</v>
      </c>
      <c r="F24" s="16">
        <f>(C24*D24*E24/1000)</f>
        <v>2.2659000000000002</v>
      </c>
      <c r="G24" s="17" t="s">
        <v>111</v>
      </c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13</v>
      </c>
      <c r="V24" s="19">
        <f>F24-T24</f>
        <v>2.2659000000000002</v>
      </c>
    </row>
    <row r="25" spans="1:22">
      <c r="A25" s="26" t="s">
        <v>13</v>
      </c>
      <c r="B25" s="26" t="s">
        <v>18</v>
      </c>
      <c r="C25" s="30">
        <v>16.600000000000001</v>
      </c>
      <c r="D25" s="27">
        <v>8.15</v>
      </c>
      <c r="E25" s="28"/>
      <c r="F25" s="16">
        <f t="shared" ref="F25:F29" si="70">(C25*D25*E25/1000)</f>
        <v>0</v>
      </c>
      <c r="G25" s="17" t="s">
        <v>588</v>
      </c>
      <c r="H25" s="18">
        <v>4</v>
      </c>
      <c r="I25" s="19">
        <f t="shared" ref="I25:I29" si="71">(C25*D25*H25/1000)</f>
        <v>0.54116000000000009</v>
      </c>
      <c r="J25" s="16"/>
      <c r="K25" s="18"/>
      <c r="L25" s="19">
        <f t="shared" ref="L25:L29" si="72">(C25*D25*K25/1000)</f>
        <v>0</v>
      </c>
      <c r="M25" s="16"/>
      <c r="N25" s="18"/>
      <c r="O25" s="19">
        <f t="shared" ref="O25:O29" si="73">(C25*D25*N25/1000)</f>
        <v>0</v>
      </c>
      <c r="P25" s="16"/>
      <c r="Q25" s="18"/>
      <c r="R25" s="19">
        <f t="shared" ref="R25:R29" si="74">(C25*D25*Q25/1000)</f>
        <v>0</v>
      </c>
      <c r="S25" s="20">
        <f t="shared" ref="S25:S29" si="75">+H25+K25+Q25+N25</f>
        <v>4</v>
      </c>
      <c r="T25" s="19">
        <f t="shared" ref="T25:T29" si="76">+I25+L25+R25+O25</f>
        <v>0.54116000000000009</v>
      </c>
      <c r="U25" s="21">
        <f t="shared" ref="U25:U29" si="77">E25-S25</f>
        <v>-4</v>
      </c>
      <c r="V25" s="19">
        <f t="shared" ref="V25:V29" si="78">F25-T25</f>
        <v>-0.54116000000000009</v>
      </c>
    </row>
    <row r="26" spans="1:22">
      <c r="A26" s="26" t="s">
        <v>13</v>
      </c>
      <c r="B26" s="26" t="s">
        <v>18</v>
      </c>
      <c r="C26" s="30">
        <v>16.600000000000001</v>
      </c>
      <c r="D26" s="27">
        <v>7.1</v>
      </c>
      <c r="E26" s="28"/>
      <c r="F26" s="16">
        <f t="shared" si="70"/>
        <v>0</v>
      </c>
      <c r="G26" s="17"/>
      <c r="H26" s="18">
        <v>1</v>
      </c>
      <c r="I26" s="19">
        <f t="shared" si="71"/>
        <v>0.11785999999999999</v>
      </c>
      <c r="J26" s="16"/>
      <c r="K26" s="18"/>
      <c r="L26" s="19">
        <f t="shared" si="72"/>
        <v>0</v>
      </c>
      <c r="M26" s="16"/>
      <c r="N26" s="18"/>
      <c r="O26" s="19">
        <f t="shared" si="73"/>
        <v>0</v>
      </c>
      <c r="P26" s="16"/>
      <c r="Q26" s="18"/>
      <c r="R26" s="19">
        <f t="shared" si="74"/>
        <v>0</v>
      </c>
      <c r="S26" s="20">
        <f t="shared" si="75"/>
        <v>1</v>
      </c>
      <c r="T26" s="19">
        <f t="shared" si="76"/>
        <v>0.11785999999999999</v>
      </c>
      <c r="U26" s="21">
        <f t="shared" si="77"/>
        <v>-1</v>
      </c>
      <c r="V26" s="19">
        <f t="shared" si="78"/>
        <v>-0.11785999999999999</v>
      </c>
    </row>
    <row r="27" spans="1:22">
      <c r="A27" s="26" t="s">
        <v>13</v>
      </c>
      <c r="B27" s="26" t="s">
        <v>18</v>
      </c>
      <c r="C27" s="30">
        <v>16.600000000000001</v>
      </c>
      <c r="D27" s="27">
        <v>9.25</v>
      </c>
      <c r="E27" s="28"/>
      <c r="F27" s="16">
        <f t="shared" si="70"/>
        <v>0</v>
      </c>
      <c r="G27" s="17"/>
      <c r="H27" s="18">
        <v>1</v>
      </c>
      <c r="I27" s="19">
        <f t="shared" si="71"/>
        <v>0.15355000000000002</v>
      </c>
      <c r="J27" s="16"/>
      <c r="K27" s="18"/>
      <c r="L27" s="19">
        <f t="shared" si="72"/>
        <v>0</v>
      </c>
      <c r="M27" s="16"/>
      <c r="N27" s="18"/>
      <c r="O27" s="19">
        <f t="shared" si="73"/>
        <v>0</v>
      </c>
      <c r="P27" s="16"/>
      <c r="Q27" s="18"/>
      <c r="R27" s="19">
        <f t="shared" si="74"/>
        <v>0</v>
      </c>
      <c r="S27" s="20">
        <f t="shared" si="75"/>
        <v>1</v>
      </c>
      <c r="T27" s="19">
        <f t="shared" si="76"/>
        <v>0.15355000000000002</v>
      </c>
      <c r="U27" s="21">
        <f t="shared" si="77"/>
        <v>-1</v>
      </c>
      <c r="V27" s="19">
        <f t="shared" si="78"/>
        <v>-0.15355000000000002</v>
      </c>
    </row>
    <row r="28" spans="1:22">
      <c r="A28" s="26" t="s">
        <v>13</v>
      </c>
      <c r="B28" s="26" t="s">
        <v>18</v>
      </c>
      <c r="C28" s="30">
        <v>16.600000000000001</v>
      </c>
      <c r="D28" s="27">
        <v>10.5</v>
      </c>
      <c r="E28" s="28"/>
      <c r="F28" s="16">
        <f t="shared" ref="F28" si="79">(C28*D28*E28/1000)</f>
        <v>0</v>
      </c>
      <c r="G28" s="17"/>
      <c r="H28" s="18">
        <v>1</v>
      </c>
      <c r="I28" s="19">
        <f t="shared" ref="I28" si="80">(C28*D28*H28/1000)</f>
        <v>0.17430000000000001</v>
      </c>
      <c r="J28" s="16"/>
      <c r="K28" s="18"/>
      <c r="L28" s="19">
        <f t="shared" ref="L28" si="81">(C28*D28*K28/1000)</f>
        <v>0</v>
      </c>
      <c r="M28" s="16"/>
      <c r="N28" s="18"/>
      <c r="O28" s="19">
        <f t="shared" ref="O28" si="82">(C28*D28*N28/1000)</f>
        <v>0</v>
      </c>
      <c r="P28" s="16"/>
      <c r="Q28" s="18"/>
      <c r="R28" s="19">
        <f t="shared" ref="R28" si="83">(C28*D28*Q28/1000)</f>
        <v>0</v>
      </c>
      <c r="S28" s="20">
        <f t="shared" ref="S28" si="84">+H28+K28+Q28+N28</f>
        <v>1</v>
      </c>
      <c r="T28" s="19">
        <f t="shared" ref="T28" si="85">+I28+L28+R28+O28</f>
        <v>0.17430000000000001</v>
      </c>
      <c r="U28" s="21">
        <f t="shared" ref="U28" si="86">E28-S28</f>
        <v>-1</v>
      </c>
      <c r="V28" s="19">
        <f t="shared" ref="V28" si="87">F28-T28</f>
        <v>-0.17430000000000001</v>
      </c>
    </row>
    <row r="29" spans="1:22">
      <c r="A29" s="26" t="s">
        <v>13</v>
      </c>
      <c r="B29" s="26" t="s">
        <v>18</v>
      </c>
      <c r="C29" s="30">
        <v>16.600000000000001</v>
      </c>
      <c r="D29" s="27">
        <v>12</v>
      </c>
      <c r="E29" s="28"/>
      <c r="F29" s="16">
        <f t="shared" si="70"/>
        <v>0</v>
      </c>
      <c r="G29" s="17"/>
      <c r="H29" s="18">
        <v>8</v>
      </c>
      <c r="I29" s="19">
        <f t="shared" si="71"/>
        <v>1.5936000000000001</v>
      </c>
      <c r="J29" s="16"/>
      <c r="K29" s="18"/>
      <c r="L29" s="19">
        <f t="shared" si="72"/>
        <v>0</v>
      </c>
      <c r="M29" s="16"/>
      <c r="N29" s="18"/>
      <c r="O29" s="19">
        <f t="shared" si="73"/>
        <v>0</v>
      </c>
      <c r="P29" s="16"/>
      <c r="Q29" s="18"/>
      <c r="R29" s="19">
        <f t="shared" si="74"/>
        <v>0</v>
      </c>
      <c r="S29" s="20">
        <f t="shared" si="75"/>
        <v>8</v>
      </c>
      <c r="T29" s="19">
        <f t="shared" si="76"/>
        <v>1.5936000000000001</v>
      </c>
      <c r="U29" s="21">
        <f t="shared" si="77"/>
        <v>-8</v>
      </c>
      <c r="V29" s="19">
        <f t="shared" si="78"/>
        <v>-1.5936000000000001</v>
      </c>
    </row>
    <row r="30" spans="1:22">
      <c r="A30" s="36"/>
      <c r="B30" s="36"/>
      <c r="C30" s="37"/>
      <c r="D30" s="38"/>
      <c r="E30" s="31">
        <f t="shared" ref="E30:F30" si="88">SUM(E24:E29)</f>
        <v>13</v>
      </c>
      <c r="F30" s="38">
        <f t="shared" si="88"/>
        <v>2.2659000000000002</v>
      </c>
      <c r="G30" s="17"/>
      <c r="H30" s="31">
        <f t="shared" ref="H30" si="89">SUM(H24:H29)</f>
        <v>15</v>
      </c>
      <c r="I30" s="38">
        <f t="shared" ref="I30" si="90">SUM(I24:I29)</f>
        <v>2.58047</v>
      </c>
      <c r="J30" s="16"/>
      <c r="K30" s="31">
        <f t="shared" ref="K30" si="91">SUM(K24:K29)</f>
        <v>0</v>
      </c>
      <c r="L30" s="38">
        <f t="shared" ref="L30" si="92">SUM(L24:L29)</f>
        <v>0</v>
      </c>
      <c r="M30" s="16"/>
      <c r="N30" s="31">
        <f t="shared" ref="N30" si="93">SUM(N24:N29)</f>
        <v>0</v>
      </c>
      <c r="O30" s="38">
        <f t="shared" ref="O30" si="94">SUM(O24:O29)</f>
        <v>0</v>
      </c>
      <c r="P30" s="16"/>
      <c r="Q30" s="31">
        <f t="shared" ref="Q30" si="95">SUM(Q24:Q29)</f>
        <v>0</v>
      </c>
      <c r="R30" s="38">
        <f t="shared" ref="R30" si="96">SUM(R24:R29)</f>
        <v>0</v>
      </c>
      <c r="S30" s="31">
        <f t="shared" ref="S30" si="97">SUM(S24:S29)</f>
        <v>15</v>
      </c>
      <c r="T30" s="38">
        <f t="shared" ref="T30" si="98">SUM(T24:T29)</f>
        <v>2.58047</v>
      </c>
      <c r="U30" s="31">
        <f t="shared" ref="U30" si="99">SUM(U24:U29)</f>
        <v>-2</v>
      </c>
      <c r="V30" s="38">
        <f t="shared" ref="V30" si="100">SUM(V24:V29)</f>
        <v>-0.31457000000000002</v>
      </c>
    </row>
    <row r="31" spans="1:22">
      <c r="A31" s="26" t="s">
        <v>13</v>
      </c>
      <c r="B31" s="26" t="s">
        <v>31</v>
      </c>
      <c r="C31" s="30">
        <v>10.199999999999999</v>
      </c>
      <c r="D31" s="27">
        <v>6</v>
      </c>
      <c r="E31" s="28">
        <v>1</v>
      </c>
      <c r="F31" s="16">
        <f>(C31*D31*E31/1000)</f>
        <v>6.1199999999999997E-2</v>
      </c>
      <c r="G31" s="17" t="s">
        <v>86</v>
      </c>
      <c r="H31" s="18">
        <v>1</v>
      </c>
      <c r="I31" s="19">
        <f>(C31*D31*H31/1000)</f>
        <v>6.1199999999999997E-2</v>
      </c>
      <c r="J31" s="16"/>
      <c r="K31" s="18"/>
      <c r="L31" s="19">
        <f>(C31*D31*K31/1000)</f>
        <v>0</v>
      </c>
      <c r="M31" s="16"/>
      <c r="N31" s="18"/>
      <c r="O31" s="19">
        <f>(C31*D31*N31/1000)</f>
        <v>0</v>
      </c>
      <c r="P31" s="16"/>
      <c r="Q31" s="18"/>
      <c r="R31" s="19">
        <f>(C31*D31*Q31/1000)</f>
        <v>0</v>
      </c>
      <c r="S31" s="20">
        <f>+H31+K31+Q31+N31</f>
        <v>1</v>
      </c>
      <c r="T31" s="19">
        <f>+I31+L31+R31+O31</f>
        <v>6.1199999999999997E-2</v>
      </c>
      <c r="U31" s="21">
        <f>E31-S31</f>
        <v>0</v>
      </c>
      <c r="V31" s="19">
        <f>F31-T31</f>
        <v>0</v>
      </c>
    </row>
    <row r="32" spans="1:22">
      <c r="A32" s="36"/>
      <c r="B32" s="36"/>
      <c r="C32" s="37"/>
      <c r="D32" s="38"/>
      <c r="E32" s="31">
        <f t="shared" ref="E32:F32" si="101">SUM(E31)</f>
        <v>1</v>
      </c>
      <c r="F32" s="38">
        <f t="shared" si="101"/>
        <v>6.1199999999999997E-2</v>
      </c>
      <c r="G32" s="16" t="s">
        <v>609</v>
      </c>
      <c r="H32" s="31">
        <f t="shared" ref="H32" si="102">SUM(H31)</f>
        <v>1</v>
      </c>
      <c r="I32" s="38">
        <f t="shared" ref="I32" si="103">SUM(I31)</f>
        <v>6.1199999999999997E-2</v>
      </c>
      <c r="J32" s="16"/>
      <c r="K32" s="31">
        <f t="shared" ref="K32" si="104">SUM(K31)</f>
        <v>0</v>
      </c>
      <c r="L32" s="38">
        <f t="shared" ref="L32" si="105">SUM(L31)</f>
        <v>0</v>
      </c>
      <c r="M32" s="16"/>
      <c r="N32" s="31">
        <f t="shared" ref="N32" si="106">SUM(N31)</f>
        <v>0</v>
      </c>
      <c r="O32" s="38">
        <f t="shared" ref="O32" si="107">SUM(O31)</f>
        <v>0</v>
      </c>
      <c r="P32" s="16"/>
      <c r="Q32" s="31">
        <f t="shared" ref="Q32" si="108">SUM(Q31)</f>
        <v>0</v>
      </c>
      <c r="R32" s="38">
        <f t="shared" ref="R32" si="109">SUM(R31)</f>
        <v>0</v>
      </c>
      <c r="S32" s="31">
        <f t="shared" ref="S32" si="110">SUM(S31)</f>
        <v>1</v>
      </c>
      <c r="T32" s="38">
        <f t="shared" ref="T32" si="111">SUM(T31)</f>
        <v>6.1199999999999997E-2</v>
      </c>
      <c r="U32" s="31">
        <f t="shared" ref="U32" si="112">SUM(U31)</f>
        <v>0</v>
      </c>
      <c r="V32" s="38">
        <f t="shared" ref="V32" si="113">SUM(V31)</f>
        <v>0</v>
      </c>
    </row>
    <row r="33" spans="1:22">
      <c r="A33" s="26" t="s">
        <v>13</v>
      </c>
      <c r="B33" s="26" t="s">
        <v>32</v>
      </c>
      <c r="C33" s="30">
        <v>11.8</v>
      </c>
      <c r="D33" s="27">
        <v>10.5</v>
      </c>
      <c r="E33" s="28">
        <v>17</v>
      </c>
      <c r="F33" s="16">
        <f>(C33*D33*E33/1000)</f>
        <v>2.1063000000000001</v>
      </c>
      <c r="G33" s="17" t="s">
        <v>89</v>
      </c>
      <c r="H33" s="18">
        <v>17</v>
      </c>
      <c r="I33" s="19">
        <f>(C33*D33*H33/1000)</f>
        <v>2.1063000000000001</v>
      </c>
      <c r="J33" s="16"/>
      <c r="K33" s="18"/>
      <c r="L33" s="19">
        <f>(C33*D33*K33/1000)</f>
        <v>0</v>
      </c>
      <c r="M33" s="16"/>
      <c r="N33" s="18"/>
      <c r="O33" s="19">
        <f>(C33*D33*N33/1000)</f>
        <v>0</v>
      </c>
      <c r="P33" s="16"/>
      <c r="Q33" s="18"/>
      <c r="R33" s="19">
        <f>(C33*D33*Q33/1000)</f>
        <v>0</v>
      </c>
      <c r="S33" s="20">
        <f>+H33+K33+Q33+N33</f>
        <v>17</v>
      </c>
      <c r="T33" s="19">
        <f>+I33+L33+R33+O33</f>
        <v>2.1063000000000001</v>
      </c>
      <c r="U33" s="21">
        <f>E33-S33</f>
        <v>0</v>
      </c>
      <c r="V33" s="19">
        <f>F33-T33</f>
        <v>0</v>
      </c>
    </row>
    <row r="34" spans="1:22">
      <c r="A34" s="26" t="s">
        <v>13</v>
      </c>
      <c r="B34" s="26" t="s">
        <v>32</v>
      </c>
      <c r="C34" s="30">
        <v>11.8</v>
      </c>
      <c r="D34" s="27">
        <v>12</v>
      </c>
      <c r="E34" s="28">
        <v>10</v>
      </c>
      <c r="F34" s="16">
        <f>(C34*D34*E34/1000)</f>
        <v>1.4160000000000001</v>
      </c>
      <c r="G34" t="s">
        <v>587</v>
      </c>
      <c r="H34" s="18">
        <v>10</v>
      </c>
      <c r="I34" s="19">
        <f>(C34*D34*H34/1000)</f>
        <v>1.4160000000000001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+H34+K34+Q34+N34</f>
        <v>10</v>
      </c>
      <c r="T34" s="19">
        <f>+I34+L34+R34+O34</f>
        <v>1.4160000000000001</v>
      </c>
      <c r="U34" s="21">
        <f>E34-S34</f>
        <v>0</v>
      </c>
      <c r="V34" s="19">
        <f>F34-T34</f>
        <v>0</v>
      </c>
    </row>
    <row r="35" spans="1:22">
      <c r="A35" s="36"/>
      <c r="B35" s="36"/>
      <c r="C35" s="37"/>
      <c r="D35" s="38"/>
      <c r="E35" s="31">
        <f t="shared" ref="E35:F35" si="114">SUM(E33:E34)</f>
        <v>27</v>
      </c>
      <c r="F35" s="38">
        <f t="shared" si="114"/>
        <v>3.5223000000000004</v>
      </c>
      <c r="H35" s="31">
        <f t="shared" ref="H35" si="115">SUM(H33:H34)</f>
        <v>27</v>
      </c>
      <c r="I35" s="38">
        <f t="shared" ref="I35" si="116">SUM(I33:I34)</f>
        <v>3.5223000000000004</v>
      </c>
      <c r="K35" s="31">
        <f t="shared" ref="K35" si="117">SUM(K33:K34)</f>
        <v>0</v>
      </c>
      <c r="L35" s="38">
        <f t="shared" ref="L35" si="118">SUM(L33:L34)</f>
        <v>0</v>
      </c>
      <c r="N35" s="31">
        <f t="shared" ref="N35" si="119">SUM(N33:N34)</f>
        <v>0</v>
      </c>
      <c r="O35" s="38">
        <f t="shared" ref="O35" si="120">SUM(O33:O34)</f>
        <v>0</v>
      </c>
      <c r="Q35" s="31">
        <f t="shared" ref="Q35" si="121">SUM(Q33:Q34)</f>
        <v>0</v>
      </c>
      <c r="R35" s="38">
        <f t="shared" ref="R35" si="122">SUM(R33:R34)</f>
        <v>0</v>
      </c>
      <c r="S35" s="31">
        <f t="shared" ref="S35" si="123">SUM(S33:S34)</f>
        <v>27</v>
      </c>
      <c r="T35" s="38">
        <f t="shared" ref="T35" si="124">SUM(T33:T34)</f>
        <v>3.5223000000000004</v>
      </c>
      <c r="U35" s="31">
        <f t="shared" ref="U35" si="125">SUM(U33:U34)</f>
        <v>0</v>
      </c>
      <c r="V35" s="38">
        <f t="shared" ref="V35" si="126">SUM(V33:V34)</f>
        <v>0</v>
      </c>
    </row>
    <row r="36" spans="1:22">
      <c r="A36" s="26" t="s">
        <v>13</v>
      </c>
      <c r="B36" s="26" t="s">
        <v>25</v>
      </c>
      <c r="C36" s="30">
        <v>13.4</v>
      </c>
      <c r="D36" s="27">
        <v>8.1</v>
      </c>
      <c r="E36" s="28">
        <v>13</v>
      </c>
      <c r="F36" s="16">
        <f>(C36*D36*E36/1000)</f>
        <v>1.4110199999999999</v>
      </c>
      <c r="G36" s="17" t="s">
        <v>111</v>
      </c>
      <c r="H36" s="18"/>
      <c r="I36" s="19">
        <f>(C36*D36*H36/1000)</f>
        <v>0</v>
      </c>
      <c r="J36" s="16" t="s">
        <v>111</v>
      </c>
      <c r="K36" s="18">
        <v>5</v>
      </c>
      <c r="L36" s="19">
        <f>(C36*D36*K36/1000)</f>
        <v>0.54269999999999996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5</v>
      </c>
      <c r="T36" s="19">
        <f>+I36+L36+R36+O36</f>
        <v>0.54269999999999996</v>
      </c>
      <c r="U36" s="21">
        <f>E36-S36</f>
        <v>8</v>
      </c>
      <c r="V36" s="19">
        <f>F36-T36</f>
        <v>0.86831999999999998</v>
      </c>
    </row>
    <row r="37" spans="1:22">
      <c r="A37" s="26" t="s">
        <v>13</v>
      </c>
      <c r="B37" s="26" t="s">
        <v>25</v>
      </c>
      <c r="C37" s="30">
        <v>13.4</v>
      </c>
      <c r="D37" s="27">
        <v>11</v>
      </c>
      <c r="E37" s="28">
        <v>8</v>
      </c>
      <c r="F37" s="16">
        <f t="shared" ref="F37:F49" si="127">(C37*D37*E37/1000)</f>
        <v>1.1792</v>
      </c>
      <c r="G37" s="17" t="s">
        <v>588</v>
      </c>
      <c r="H37" s="18"/>
      <c r="I37" s="19">
        <f t="shared" ref="I37:I49" si="128">(C37*D37*H37/1000)</f>
        <v>0</v>
      </c>
      <c r="J37" s="16" t="s">
        <v>604</v>
      </c>
      <c r="K37" s="18"/>
      <c r="L37" s="19">
        <f t="shared" ref="L37:L49" si="129">(C37*D37*K37/1000)</f>
        <v>0</v>
      </c>
      <c r="M37" s="16"/>
      <c r="N37" s="18"/>
      <c r="O37" s="19">
        <f t="shared" ref="O37:O49" si="130">(C37*D37*N37/1000)</f>
        <v>0</v>
      </c>
      <c r="P37" s="16"/>
      <c r="Q37" s="18"/>
      <c r="R37" s="19">
        <f t="shared" ref="R37:R49" si="131">(C37*D37*Q37/1000)</f>
        <v>0</v>
      </c>
      <c r="S37" s="20">
        <f t="shared" ref="S37:S49" si="132">+H37+K37+Q37+N37</f>
        <v>0</v>
      </c>
      <c r="T37" s="19">
        <f t="shared" ref="T37:T49" si="133">+I37+L37+R37+O37</f>
        <v>0</v>
      </c>
      <c r="U37" s="21">
        <f t="shared" ref="U37:U49" si="134">E37-S37</f>
        <v>8</v>
      </c>
      <c r="V37" s="19">
        <f t="shared" ref="V37:V49" si="135">F37-T37</f>
        <v>1.1792</v>
      </c>
    </row>
    <row r="38" spans="1:22">
      <c r="A38" s="26" t="s">
        <v>13</v>
      </c>
      <c r="B38" s="26" t="s">
        <v>25</v>
      </c>
      <c r="C38" s="30">
        <v>13.4</v>
      </c>
      <c r="D38" s="27">
        <v>7.6</v>
      </c>
      <c r="E38" s="28"/>
      <c r="F38" s="16">
        <f t="shared" si="127"/>
        <v>0</v>
      </c>
      <c r="G38" s="17"/>
      <c r="H38" s="18">
        <v>2</v>
      </c>
      <c r="I38" s="19">
        <f t="shared" si="128"/>
        <v>0.20368</v>
      </c>
      <c r="J38" s="16"/>
      <c r="K38" s="18"/>
      <c r="L38" s="19">
        <f t="shared" si="129"/>
        <v>0</v>
      </c>
      <c r="M38" s="16"/>
      <c r="N38" s="18"/>
      <c r="O38" s="19">
        <f t="shared" si="130"/>
        <v>0</v>
      </c>
      <c r="P38" s="16"/>
      <c r="Q38" s="18"/>
      <c r="R38" s="19">
        <f t="shared" si="131"/>
        <v>0</v>
      </c>
      <c r="S38" s="20">
        <f t="shared" si="132"/>
        <v>2</v>
      </c>
      <c r="T38" s="19">
        <f t="shared" si="133"/>
        <v>0.20368</v>
      </c>
      <c r="U38" s="21">
        <f t="shared" si="134"/>
        <v>-2</v>
      </c>
      <c r="V38" s="19">
        <f t="shared" si="135"/>
        <v>-0.20368</v>
      </c>
    </row>
    <row r="39" spans="1:22">
      <c r="A39" s="26" t="s">
        <v>13</v>
      </c>
      <c r="B39" s="26" t="s">
        <v>25</v>
      </c>
      <c r="C39" s="30">
        <v>13.4</v>
      </c>
      <c r="D39" s="27">
        <v>9.1999999999999993</v>
      </c>
      <c r="E39" s="28"/>
      <c r="F39" s="16">
        <f t="shared" ref="F39:F41" si="136">(C39*D39*E39/1000)</f>
        <v>0</v>
      </c>
      <c r="G39" s="17"/>
      <c r="H39" s="18">
        <v>1</v>
      </c>
      <c r="I39" s="19">
        <f t="shared" ref="I39:I41" si="137">(C39*D39*H39/1000)</f>
        <v>0.12327999999999999</v>
      </c>
      <c r="J39" s="16"/>
      <c r="K39" s="18"/>
      <c r="L39" s="19">
        <f t="shared" ref="L39:L41" si="138">(C39*D39*K39/1000)</f>
        <v>0</v>
      </c>
      <c r="M39" s="16"/>
      <c r="N39" s="18"/>
      <c r="O39" s="19">
        <f t="shared" ref="O39:O41" si="139">(C39*D39*N39/1000)</f>
        <v>0</v>
      </c>
      <c r="P39" s="16"/>
      <c r="Q39" s="18"/>
      <c r="R39" s="19">
        <f t="shared" ref="R39:R41" si="140">(C39*D39*Q39/1000)</f>
        <v>0</v>
      </c>
      <c r="S39" s="20">
        <f t="shared" ref="S39:S41" si="141">+H39+K39+Q39+N39</f>
        <v>1</v>
      </c>
      <c r="T39" s="19">
        <f t="shared" ref="T39:T41" si="142">+I39+L39+R39+O39</f>
        <v>0.12327999999999999</v>
      </c>
      <c r="U39" s="21">
        <f t="shared" ref="U39:U41" si="143">E39-S39</f>
        <v>-1</v>
      </c>
      <c r="V39" s="19">
        <f t="shared" ref="V39:V41" si="144">F39-T39</f>
        <v>-0.12327999999999999</v>
      </c>
    </row>
    <row r="40" spans="1:22">
      <c r="A40" s="26" t="s">
        <v>13</v>
      </c>
      <c r="B40" s="26" t="s">
        <v>25</v>
      </c>
      <c r="C40" s="30">
        <v>13.4</v>
      </c>
      <c r="D40" s="27">
        <v>6.9</v>
      </c>
      <c r="E40" s="28"/>
      <c r="F40" s="16">
        <f t="shared" si="136"/>
        <v>0</v>
      </c>
      <c r="G40" s="17"/>
      <c r="H40" s="18">
        <v>1</v>
      </c>
      <c r="I40" s="19">
        <f t="shared" si="137"/>
        <v>9.2460000000000014E-2</v>
      </c>
      <c r="J40" s="16"/>
      <c r="K40" s="18"/>
      <c r="L40" s="19">
        <f t="shared" si="138"/>
        <v>0</v>
      </c>
      <c r="M40" s="16"/>
      <c r="N40" s="18"/>
      <c r="O40" s="19">
        <f t="shared" si="139"/>
        <v>0</v>
      </c>
      <c r="P40" s="16"/>
      <c r="Q40" s="18"/>
      <c r="R40" s="19">
        <f t="shared" si="140"/>
        <v>0</v>
      </c>
      <c r="S40" s="20">
        <f t="shared" si="141"/>
        <v>1</v>
      </c>
      <c r="T40" s="19">
        <f t="shared" si="142"/>
        <v>9.2460000000000014E-2</v>
      </c>
      <c r="U40" s="21">
        <f t="shared" si="143"/>
        <v>-1</v>
      </c>
      <c r="V40" s="19">
        <f t="shared" si="144"/>
        <v>-9.2460000000000014E-2</v>
      </c>
    </row>
    <row r="41" spans="1:22">
      <c r="A41" s="26" t="s">
        <v>13</v>
      </c>
      <c r="B41" s="26" t="s">
        <v>25</v>
      </c>
      <c r="C41" s="30">
        <v>13.4</v>
      </c>
      <c r="D41" s="27">
        <v>8.3000000000000007</v>
      </c>
      <c r="E41" s="28"/>
      <c r="F41" s="16">
        <f t="shared" si="136"/>
        <v>0</v>
      </c>
      <c r="G41" s="17"/>
      <c r="H41" s="18">
        <v>1</v>
      </c>
      <c r="I41" s="19">
        <f t="shared" si="137"/>
        <v>0.11122000000000001</v>
      </c>
      <c r="J41" s="16"/>
      <c r="K41" s="18">
        <v>2</v>
      </c>
      <c r="L41" s="19">
        <f t="shared" si="138"/>
        <v>0.22244000000000003</v>
      </c>
      <c r="M41" s="16"/>
      <c r="N41" s="18"/>
      <c r="O41" s="19">
        <f t="shared" si="139"/>
        <v>0</v>
      </c>
      <c r="P41" s="16"/>
      <c r="Q41" s="18"/>
      <c r="R41" s="19">
        <f t="shared" si="140"/>
        <v>0</v>
      </c>
      <c r="S41" s="20">
        <f t="shared" si="141"/>
        <v>3</v>
      </c>
      <c r="T41" s="19">
        <f t="shared" si="142"/>
        <v>0.33366000000000007</v>
      </c>
      <c r="U41" s="21">
        <f t="shared" si="143"/>
        <v>-3</v>
      </c>
      <c r="V41" s="19">
        <f t="shared" si="144"/>
        <v>-0.33366000000000007</v>
      </c>
    </row>
    <row r="42" spans="1:22">
      <c r="A42" s="26" t="s">
        <v>13</v>
      </c>
      <c r="B42" s="26" t="s">
        <v>25</v>
      </c>
      <c r="C42" s="30">
        <v>13.4</v>
      </c>
      <c r="D42" s="27">
        <v>6.8</v>
      </c>
      <c r="E42" s="28"/>
      <c r="F42" s="16">
        <f t="shared" si="127"/>
        <v>0</v>
      </c>
      <c r="G42" s="17"/>
      <c r="H42" s="18">
        <v>1</v>
      </c>
      <c r="I42" s="19">
        <f t="shared" si="128"/>
        <v>9.1120000000000007E-2</v>
      </c>
      <c r="J42" s="16"/>
      <c r="K42" s="18"/>
      <c r="L42" s="19">
        <f t="shared" si="129"/>
        <v>0</v>
      </c>
      <c r="M42" s="16"/>
      <c r="N42" s="18"/>
      <c r="O42" s="19">
        <f t="shared" si="130"/>
        <v>0</v>
      </c>
      <c r="P42" s="16"/>
      <c r="Q42" s="18"/>
      <c r="R42" s="19">
        <f t="shared" si="131"/>
        <v>0</v>
      </c>
      <c r="S42" s="20">
        <f t="shared" si="132"/>
        <v>1</v>
      </c>
      <c r="T42" s="19">
        <f t="shared" si="133"/>
        <v>9.1120000000000007E-2</v>
      </c>
      <c r="U42" s="21">
        <f t="shared" si="134"/>
        <v>-1</v>
      </c>
      <c r="V42" s="19">
        <f t="shared" si="135"/>
        <v>-9.1120000000000007E-2</v>
      </c>
    </row>
    <row r="43" spans="1:22">
      <c r="A43" s="26" t="s">
        <v>13</v>
      </c>
      <c r="B43" s="26" t="s">
        <v>25</v>
      </c>
      <c r="C43" s="30">
        <v>13.4</v>
      </c>
      <c r="D43" s="27">
        <v>10</v>
      </c>
      <c r="E43" s="28"/>
      <c r="F43" s="16">
        <f t="shared" si="127"/>
        <v>0</v>
      </c>
      <c r="G43" s="17"/>
      <c r="H43" s="18">
        <v>1</v>
      </c>
      <c r="I43" s="19">
        <f t="shared" si="128"/>
        <v>0.13400000000000001</v>
      </c>
      <c r="J43" s="16"/>
      <c r="K43" s="18">
        <v>2</v>
      </c>
      <c r="L43" s="19">
        <f t="shared" si="129"/>
        <v>0.26800000000000002</v>
      </c>
      <c r="M43" s="16"/>
      <c r="N43" s="18"/>
      <c r="O43" s="19">
        <f t="shared" si="130"/>
        <v>0</v>
      </c>
      <c r="P43" s="16"/>
      <c r="Q43" s="18"/>
      <c r="R43" s="19">
        <f t="shared" si="131"/>
        <v>0</v>
      </c>
      <c r="S43" s="20">
        <f t="shared" si="132"/>
        <v>3</v>
      </c>
      <c r="T43" s="19">
        <f t="shared" si="133"/>
        <v>0.40200000000000002</v>
      </c>
      <c r="U43" s="21">
        <f t="shared" si="134"/>
        <v>-3</v>
      </c>
      <c r="V43" s="19">
        <f t="shared" si="135"/>
        <v>-0.40200000000000002</v>
      </c>
    </row>
    <row r="44" spans="1:22">
      <c r="A44" s="26" t="s">
        <v>13</v>
      </c>
      <c r="B44" s="26" t="s">
        <v>25</v>
      </c>
      <c r="C44" s="30">
        <v>13.4</v>
      </c>
      <c r="D44" s="27">
        <v>12</v>
      </c>
      <c r="E44" s="28"/>
      <c r="F44" s="16">
        <f t="shared" si="127"/>
        <v>0</v>
      </c>
      <c r="G44" s="17"/>
      <c r="H44" s="18">
        <v>1</v>
      </c>
      <c r="I44" s="19">
        <f t="shared" si="128"/>
        <v>0.1608</v>
      </c>
      <c r="J44" s="16"/>
      <c r="K44" s="18"/>
      <c r="L44" s="19">
        <f t="shared" si="129"/>
        <v>0</v>
      </c>
      <c r="M44" s="16"/>
      <c r="N44" s="18"/>
      <c r="O44" s="19">
        <f t="shared" si="130"/>
        <v>0</v>
      </c>
      <c r="P44" s="16"/>
      <c r="Q44" s="18"/>
      <c r="R44" s="19">
        <f t="shared" si="131"/>
        <v>0</v>
      </c>
      <c r="S44" s="20">
        <f t="shared" si="132"/>
        <v>1</v>
      </c>
      <c r="T44" s="19">
        <f t="shared" si="133"/>
        <v>0.1608</v>
      </c>
      <c r="U44" s="21">
        <f t="shared" si="134"/>
        <v>-1</v>
      </c>
      <c r="V44" s="19">
        <f t="shared" si="135"/>
        <v>-0.1608</v>
      </c>
    </row>
    <row r="45" spans="1:22">
      <c r="A45" s="26" t="s">
        <v>13</v>
      </c>
      <c r="B45" s="26" t="s">
        <v>25</v>
      </c>
      <c r="C45" s="30">
        <v>13.4</v>
      </c>
      <c r="D45" s="27">
        <v>8.5</v>
      </c>
      <c r="E45" s="28"/>
      <c r="F45" s="16">
        <f t="shared" si="127"/>
        <v>0</v>
      </c>
      <c r="G45" s="17"/>
      <c r="H45" s="18"/>
      <c r="I45" s="19">
        <f t="shared" si="128"/>
        <v>0</v>
      </c>
      <c r="J45" s="16"/>
      <c r="K45" s="18">
        <v>1</v>
      </c>
      <c r="L45" s="19">
        <f t="shared" si="129"/>
        <v>0.1139</v>
      </c>
      <c r="M45" s="16"/>
      <c r="N45" s="18"/>
      <c r="O45" s="19">
        <f t="shared" si="130"/>
        <v>0</v>
      </c>
      <c r="P45" s="16"/>
      <c r="Q45" s="18"/>
      <c r="R45" s="19">
        <f t="shared" si="131"/>
        <v>0</v>
      </c>
      <c r="S45" s="20">
        <f t="shared" si="132"/>
        <v>1</v>
      </c>
      <c r="T45" s="19">
        <f t="shared" si="133"/>
        <v>0.1139</v>
      </c>
      <c r="U45" s="21">
        <f t="shared" si="134"/>
        <v>-1</v>
      </c>
      <c r="V45" s="19">
        <f t="shared" si="135"/>
        <v>-0.1139</v>
      </c>
    </row>
    <row r="46" spans="1:22">
      <c r="A46" s="26" t="s">
        <v>13</v>
      </c>
      <c r="B46" s="26" t="s">
        <v>25</v>
      </c>
      <c r="C46" s="30">
        <v>13.4</v>
      </c>
      <c r="D46" s="27">
        <v>8.75</v>
      </c>
      <c r="E46" s="28"/>
      <c r="F46" s="16">
        <f t="shared" si="127"/>
        <v>0</v>
      </c>
      <c r="G46" s="17"/>
      <c r="H46" s="18"/>
      <c r="I46" s="19">
        <f t="shared" si="128"/>
        <v>0</v>
      </c>
      <c r="J46" s="16"/>
      <c r="K46" s="18">
        <v>3</v>
      </c>
      <c r="L46" s="19">
        <f t="shared" si="129"/>
        <v>0.35175000000000001</v>
      </c>
      <c r="M46" s="16"/>
      <c r="N46" s="18"/>
      <c r="O46" s="19">
        <f t="shared" si="130"/>
        <v>0</v>
      </c>
      <c r="P46" s="16"/>
      <c r="Q46" s="18"/>
      <c r="R46" s="19">
        <f t="shared" si="131"/>
        <v>0</v>
      </c>
      <c r="S46" s="20">
        <f t="shared" si="132"/>
        <v>3</v>
      </c>
      <c r="T46" s="19">
        <f t="shared" si="133"/>
        <v>0.35175000000000001</v>
      </c>
      <c r="U46" s="21">
        <f t="shared" si="134"/>
        <v>-3</v>
      </c>
      <c r="V46" s="19">
        <f t="shared" si="135"/>
        <v>-0.35175000000000001</v>
      </c>
    </row>
    <row r="47" spans="1:22">
      <c r="A47" s="26" t="s">
        <v>13</v>
      </c>
      <c r="B47" s="26" t="s">
        <v>25</v>
      </c>
      <c r="C47" s="30">
        <v>13.4</v>
      </c>
      <c r="D47" s="27">
        <v>10.4</v>
      </c>
      <c r="E47" s="28"/>
      <c r="F47" s="16">
        <f t="shared" si="127"/>
        <v>0</v>
      </c>
      <c r="G47" s="17"/>
      <c r="H47" s="18"/>
      <c r="I47" s="19">
        <f t="shared" si="128"/>
        <v>0</v>
      </c>
      <c r="J47" s="16"/>
      <c r="K47" s="18">
        <v>1</v>
      </c>
      <c r="L47" s="19">
        <f t="shared" si="129"/>
        <v>0.13936000000000001</v>
      </c>
      <c r="M47" s="16"/>
      <c r="N47" s="18"/>
      <c r="O47" s="19">
        <f t="shared" si="130"/>
        <v>0</v>
      </c>
      <c r="P47" s="16"/>
      <c r="Q47" s="18"/>
      <c r="R47" s="19">
        <f t="shared" si="131"/>
        <v>0</v>
      </c>
      <c r="S47" s="20">
        <f t="shared" si="132"/>
        <v>1</v>
      </c>
      <c r="T47" s="19">
        <f t="shared" si="133"/>
        <v>0.13936000000000001</v>
      </c>
      <c r="U47" s="21">
        <f t="shared" si="134"/>
        <v>-1</v>
      </c>
      <c r="V47" s="19">
        <f t="shared" si="135"/>
        <v>-0.13936000000000001</v>
      </c>
    </row>
    <row r="48" spans="1:22">
      <c r="A48" s="26" t="s">
        <v>13</v>
      </c>
      <c r="B48" s="26" t="s">
        <v>25</v>
      </c>
      <c r="C48" s="30">
        <v>13.4</v>
      </c>
      <c r="D48" s="27">
        <v>11.7</v>
      </c>
      <c r="E48" s="28"/>
      <c r="F48" s="16">
        <f t="shared" si="127"/>
        <v>0</v>
      </c>
      <c r="G48" s="17"/>
      <c r="H48" s="18"/>
      <c r="I48" s="19">
        <f t="shared" si="128"/>
        <v>0</v>
      </c>
      <c r="J48" s="16"/>
      <c r="K48" s="18">
        <v>1</v>
      </c>
      <c r="L48" s="19">
        <f t="shared" si="129"/>
        <v>0.15678</v>
      </c>
      <c r="M48" s="16"/>
      <c r="N48" s="18"/>
      <c r="O48" s="19">
        <f t="shared" si="130"/>
        <v>0</v>
      </c>
      <c r="P48" s="16"/>
      <c r="Q48" s="18"/>
      <c r="R48" s="19">
        <f t="shared" si="131"/>
        <v>0</v>
      </c>
      <c r="S48" s="20">
        <f t="shared" si="132"/>
        <v>1</v>
      </c>
      <c r="T48" s="19">
        <f t="shared" si="133"/>
        <v>0.15678</v>
      </c>
      <c r="U48" s="21">
        <f t="shared" si="134"/>
        <v>-1</v>
      </c>
      <c r="V48" s="19">
        <f t="shared" si="135"/>
        <v>-0.15678</v>
      </c>
    </row>
    <row r="49" spans="1:22">
      <c r="A49" s="26" t="s">
        <v>13</v>
      </c>
      <c r="B49" s="26" t="s">
        <v>25</v>
      </c>
      <c r="C49" s="30">
        <v>13.4</v>
      </c>
      <c r="D49" s="27"/>
      <c r="E49" s="28"/>
      <c r="F49" s="16">
        <f t="shared" si="127"/>
        <v>0</v>
      </c>
      <c r="G49" s="17"/>
      <c r="H49" s="18"/>
      <c r="I49" s="19">
        <f t="shared" si="128"/>
        <v>0</v>
      </c>
      <c r="J49" s="16"/>
      <c r="K49" s="18"/>
      <c r="L49" s="19">
        <f t="shared" si="129"/>
        <v>0</v>
      </c>
      <c r="M49" s="16"/>
      <c r="N49" s="18"/>
      <c r="O49" s="19">
        <f t="shared" si="130"/>
        <v>0</v>
      </c>
      <c r="P49" s="16"/>
      <c r="Q49" s="18"/>
      <c r="R49" s="19">
        <f t="shared" si="131"/>
        <v>0</v>
      </c>
      <c r="S49" s="20">
        <f t="shared" si="132"/>
        <v>0</v>
      </c>
      <c r="T49" s="19">
        <f t="shared" si="133"/>
        <v>0</v>
      </c>
      <c r="U49" s="21">
        <f t="shared" si="134"/>
        <v>0</v>
      </c>
      <c r="V49" s="19">
        <f t="shared" si="135"/>
        <v>0</v>
      </c>
    </row>
    <row r="50" spans="1:22">
      <c r="A50" s="26" t="s">
        <v>13</v>
      </c>
      <c r="B50" s="26" t="s">
        <v>25</v>
      </c>
      <c r="C50" s="30">
        <v>13.4</v>
      </c>
      <c r="D50" s="27"/>
      <c r="E50" s="28"/>
      <c r="F50" s="16">
        <f>(C50*D50*E50/1000)</f>
        <v>0</v>
      </c>
      <c r="G50" s="17"/>
      <c r="H50" s="18"/>
      <c r="I50" s="19">
        <f>(C50*D50*H50/1000)</f>
        <v>0</v>
      </c>
      <c r="J50" s="16"/>
      <c r="K50" s="18"/>
      <c r="L50" s="19">
        <f>(C50*D50*K50/1000)</f>
        <v>0</v>
      </c>
      <c r="M50" s="16"/>
      <c r="N50" s="18"/>
      <c r="O50" s="19">
        <f>(C50*D50*N50/1000)</f>
        <v>0</v>
      </c>
      <c r="P50" s="16"/>
      <c r="Q50" s="18"/>
      <c r="R50" s="19">
        <f>(C50*D50*Q50/1000)</f>
        <v>0</v>
      </c>
      <c r="S50" s="20">
        <f>+H50+K50+Q50+N50</f>
        <v>0</v>
      </c>
      <c r="T50" s="19">
        <f>+I50+L50+R50+O50</f>
        <v>0</v>
      </c>
      <c r="U50" s="21">
        <f>E50-S50</f>
        <v>0</v>
      </c>
      <c r="V50" s="19">
        <f>F50-T50</f>
        <v>0</v>
      </c>
    </row>
    <row r="51" spans="1:22">
      <c r="A51" s="36"/>
      <c r="B51" s="36"/>
      <c r="C51" s="37"/>
      <c r="D51" s="38"/>
      <c r="E51" s="31">
        <f t="shared" ref="E51:F51" si="145">SUM(E36:E50)</f>
        <v>21</v>
      </c>
      <c r="F51" s="38">
        <f t="shared" si="145"/>
        <v>2.59022</v>
      </c>
      <c r="H51" s="31">
        <f t="shared" ref="H51" si="146">SUM(H36:H50)</f>
        <v>8</v>
      </c>
      <c r="I51" s="38">
        <f t="shared" ref="I51" si="147">SUM(I36:I50)</f>
        <v>0.91656000000000004</v>
      </c>
      <c r="K51" s="31">
        <f t="shared" ref="K51" si="148">SUM(K36:K50)</f>
        <v>15</v>
      </c>
      <c r="L51" s="38">
        <f t="shared" ref="L51" si="149">SUM(L36:L50)</f>
        <v>1.7949299999999999</v>
      </c>
      <c r="N51" s="31">
        <f t="shared" ref="N51" si="150">SUM(N36:N50)</f>
        <v>0</v>
      </c>
      <c r="O51" s="38">
        <f t="shared" ref="O51" si="151">SUM(O36:O50)</f>
        <v>0</v>
      </c>
      <c r="Q51" s="31">
        <f t="shared" ref="Q51" si="152">SUM(Q36:Q50)</f>
        <v>0</v>
      </c>
      <c r="R51" s="38">
        <f t="shared" ref="R51" si="153">SUM(R36:R50)</f>
        <v>0</v>
      </c>
      <c r="S51" s="31">
        <f t="shared" ref="S51" si="154">SUM(S36:S50)</f>
        <v>23</v>
      </c>
      <c r="T51" s="38">
        <f t="shared" ref="T51" si="155">SUM(T36:T50)</f>
        <v>2.71149</v>
      </c>
      <c r="U51" s="31">
        <f t="shared" ref="U51" si="156">SUM(U36:U50)</f>
        <v>-2</v>
      </c>
      <c r="V51" s="38">
        <f t="shared" ref="V51" si="157">SUM(V36:V50)</f>
        <v>-0.12127000000000027</v>
      </c>
    </row>
    <row r="52" spans="1:22">
      <c r="A52" s="26" t="s">
        <v>13</v>
      </c>
      <c r="B52" s="26" t="s">
        <v>33</v>
      </c>
      <c r="C52" s="30">
        <v>15</v>
      </c>
      <c r="D52" s="27">
        <v>7</v>
      </c>
      <c r="E52" s="28">
        <v>2</v>
      </c>
      <c r="F52" s="16">
        <f>(C52*D52*E52/1000)</f>
        <v>0.21</v>
      </c>
      <c r="G52" s="17" t="s">
        <v>107</v>
      </c>
      <c r="H52" s="18"/>
      <c r="I52" s="19">
        <f>(C52*D52*H52/1000)</f>
        <v>0</v>
      </c>
      <c r="J52" s="16"/>
      <c r="K52" s="18"/>
      <c r="L52" s="19">
        <f>(C52*D52*K52/1000)</f>
        <v>0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>+H52+K52+Q52+N52</f>
        <v>0</v>
      </c>
      <c r="T52" s="19">
        <f>+I52+L52+R52+O52</f>
        <v>0</v>
      </c>
      <c r="U52" s="21">
        <f>E52-S52</f>
        <v>2</v>
      </c>
      <c r="V52" s="19">
        <f>F52-T52</f>
        <v>0.21</v>
      </c>
    </row>
    <row r="53" spans="1:22">
      <c r="A53" s="26" t="s">
        <v>13</v>
      </c>
      <c r="B53" s="26" t="s">
        <v>33</v>
      </c>
      <c r="C53" s="30">
        <v>15</v>
      </c>
      <c r="D53" s="27">
        <v>9.5</v>
      </c>
      <c r="E53" s="28"/>
      <c r="F53" s="16">
        <f>(C53*D53*E53/1000)</f>
        <v>0</v>
      </c>
      <c r="G53" t="s">
        <v>608</v>
      </c>
      <c r="H53" s="18">
        <v>2</v>
      </c>
      <c r="I53" s="19">
        <f>(C53*D53*H53/1000)</f>
        <v>0.28499999999999998</v>
      </c>
      <c r="J53" s="16"/>
      <c r="K53" s="18"/>
      <c r="L53" s="19">
        <f>(C53*D53*K53/1000)</f>
        <v>0</v>
      </c>
      <c r="M53" s="16"/>
      <c r="N53" s="18"/>
      <c r="O53" s="19">
        <f>(C53*D53*N53/1000)</f>
        <v>0</v>
      </c>
      <c r="P53" s="16"/>
      <c r="Q53" s="18"/>
      <c r="R53" s="19">
        <f>(C53*D53*Q53/1000)</f>
        <v>0</v>
      </c>
      <c r="S53" s="20">
        <f>+H53+K53+Q53+N53</f>
        <v>2</v>
      </c>
      <c r="T53" s="19">
        <f>+I53+L53+R53+O53</f>
        <v>0.28499999999999998</v>
      </c>
      <c r="U53" s="21">
        <f>E53-S53</f>
        <v>-2</v>
      </c>
      <c r="V53" s="19">
        <f>F53-T53</f>
        <v>-0.28499999999999998</v>
      </c>
    </row>
    <row r="54" spans="1:22">
      <c r="A54" s="36"/>
      <c r="B54" s="36"/>
      <c r="C54" s="37"/>
      <c r="D54" s="38"/>
      <c r="E54" s="31">
        <f t="shared" ref="E54:F54" si="158">SUM(E52:E53)</f>
        <v>2</v>
      </c>
      <c r="F54" s="38">
        <f t="shared" si="158"/>
        <v>0.21</v>
      </c>
      <c r="H54" s="31">
        <f t="shared" ref="H54" si="159">SUM(H52:H53)</f>
        <v>2</v>
      </c>
      <c r="I54" s="38">
        <f t="shared" ref="I54" si="160">SUM(I52:I53)</f>
        <v>0.28499999999999998</v>
      </c>
      <c r="K54" s="31">
        <f t="shared" ref="K54" si="161">SUM(K52:K53)</f>
        <v>0</v>
      </c>
      <c r="L54" s="38">
        <f t="shared" ref="L54" si="162">SUM(L52:L53)</f>
        <v>0</v>
      </c>
      <c r="N54" s="31">
        <f t="shared" ref="N54" si="163">SUM(N52:N53)</f>
        <v>0</v>
      </c>
      <c r="O54" s="38">
        <f t="shared" ref="O54" si="164">SUM(O52:O53)</f>
        <v>0</v>
      </c>
      <c r="Q54" s="31">
        <f t="shared" ref="Q54" si="165">SUM(Q52:Q53)</f>
        <v>0</v>
      </c>
      <c r="R54" s="38">
        <f t="shared" ref="R54" si="166">SUM(R52:R53)</f>
        <v>0</v>
      </c>
      <c r="S54" s="31">
        <f t="shared" ref="S54" si="167">SUM(S52:S53)</f>
        <v>2</v>
      </c>
      <c r="T54" s="38">
        <f t="shared" ref="T54" si="168">SUM(T52:T53)</f>
        <v>0.28499999999999998</v>
      </c>
      <c r="U54" s="31">
        <f t="shared" ref="U54" si="169">SUM(U52:U53)</f>
        <v>0</v>
      </c>
      <c r="V54" s="38">
        <f t="shared" ref="V54" si="170">SUM(V52:V53)</f>
        <v>-7.4999999999999983E-2</v>
      </c>
    </row>
    <row r="55" spans="1:22">
      <c r="A55" s="26" t="s">
        <v>13</v>
      </c>
      <c r="B55" s="26" t="s">
        <v>47</v>
      </c>
      <c r="C55" s="30">
        <v>18.2</v>
      </c>
      <c r="D55" s="27">
        <v>7.5</v>
      </c>
      <c r="E55" s="28">
        <v>6</v>
      </c>
      <c r="F55" s="16">
        <f>(C55*D55*E55/1000)</f>
        <v>0.81899999999999995</v>
      </c>
      <c r="G55" s="17" t="s">
        <v>89</v>
      </c>
      <c r="H55" s="18">
        <v>6</v>
      </c>
      <c r="I55" s="19">
        <f>(C55*D55*H55/1000)</f>
        <v>0.81899999999999995</v>
      </c>
      <c r="J55" s="17" t="s">
        <v>86</v>
      </c>
      <c r="K55" s="18"/>
      <c r="L55" s="19">
        <f>(C55*D55*K55/1000)</f>
        <v>0</v>
      </c>
      <c r="M55" s="16"/>
      <c r="N55" s="18"/>
      <c r="O55" s="19">
        <f>(C55*D55*N55/1000)</f>
        <v>0</v>
      </c>
      <c r="P55" s="16"/>
      <c r="Q55" s="18"/>
      <c r="R55" s="19">
        <f>(C55*D55*Q55/1000)</f>
        <v>0</v>
      </c>
      <c r="S55" s="20">
        <f>+H55+K55+Q55+N55</f>
        <v>6</v>
      </c>
      <c r="T55" s="19">
        <f>+I55+L55+R55+O55</f>
        <v>0.81899999999999995</v>
      </c>
      <c r="U55" s="21">
        <f>E55-S55</f>
        <v>0</v>
      </c>
      <c r="V55" s="19">
        <f>F55-T55</f>
        <v>0</v>
      </c>
    </row>
    <row r="56" spans="1:22">
      <c r="A56" s="26" t="s">
        <v>13</v>
      </c>
      <c r="B56" s="26" t="s">
        <v>47</v>
      </c>
      <c r="C56" s="30">
        <v>18.2</v>
      </c>
      <c r="D56" s="27">
        <v>10.9</v>
      </c>
      <c r="E56" s="28">
        <v>3</v>
      </c>
      <c r="F56" s="16">
        <f>(C56*D56*E56/1000)</f>
        <v>0.59514</v>
      </c>
      <c r="G56" t="s">
        <v>587</v>
      </c>
      <c r="H56" s="18"/>
      <c r="I56" s="19">
        <f>(C56*D56*H56/1000)</f>
        <v>0</v>
      </c>
      <c r="J56" s="16" t="s">
        <v>609</v>
      </c>
      <c r="K56" s="18">
        <v>3</v>
      </c>
      <c r="L56" s="19">
        <f>(C56*D56*K56/1000)</f>
        <v>0.59514</v>
      </c>
      <c r="M56" s="16"/>
      <c r="N56" s="18"/>
      <c r="O56" s="19">
        <f>(C56*D56*N56/1000)</f>
        <v>0</v>
      </c>
      <c r="P56" s="16"/>
      <c r="Q56" s="18"/>
      <c r="R56" s="19">
        <f>(C56*D56*Q56/1000)</f>
        <v>0</v>
      </c>
      <c r="S56" s="20">
        <f>+H56+K56+Q56+N56</f>
        <v>3</v>
      </c>
      <c r="T56" s="19">
        <f>+I56+L56+R56+O56</f>
        <v>0.59514</v>
      </c>
      <c r="U56" s="21">
        <f>E56-S56</f>
        <v>0</v>
      </c>
      <c r="V56" s="19">
        <f>F56-T56</f>
        <v>0</v>
      </c>
    </row>
    <row r="57" spans="1:22">
      <c r="A57" s="36"/>
      <c r="B57" s="36"/>
      <c r="C57" s="37"/>
      <c r="D57" s="38"/>
      <c r="E57" s="31">
        <f t="shared" ref="E57:F57" si="171">SUM(E55:E56)</f>
        <v>9</v>
      </c>
      <c r="F57" s="38">
        <f t="shared" si="171"/>
        <v>1.41414</v>
      </c>
      <c r="H57" s="31">
        <f t="shared" ref="H57" si="172">SUM(H55:H56)</f>
        <v>6</v>
      </c>
      <c r="I57" s="38">
        <f t="shared" ref="I57" si="173">SUM(I55:I56)</f>
        <v>0.81899999999999995</v>
      </c>
      <c r="K57" s="31">
        <f t="shared" ref="K57" si="174">SUM(K55:K56)</f>
        <v>3</v>
      </c>
      <c r="L57" s="38">
        <f t="shared" ref="L57" si="175">SUM(L55:L56)</f>
        <v>0.59514</v>
      </c>
      <c r="N57" s="31">
        <f t="shared" ref="N57" si="176">SUM(N55:N56)</f>
        <v>0</v>
      </c>
      <c r="O57" s="38">
        <f t="shared" ref="O57" si="177">SUM(O55:O56)</f>
        <v>0</v>
      </c>
      <c r="Q57" s="31">
        <f t="shared" ref="Q57" si="178">SUM(Q55:Q56)</f>
        <v>0</v>
      </c>
      <c r="R57" s="38">
        <f t="shared" ref="R57" si="179">SUM(R55:R56)</f>
        <v>0</v>
      </c>
      <c r="S57" s="31">
        <f t="shared" ref="S57" si="180">SUM(S55:S56)</f>
        <v>9</v>
      </c>
      <c r="T57" s="38">
        <f t="shared" ref="T57" si="181">SUM(T55:T56)</f>
        <v>1.41414</v>
      </c>
      <c r="U57" s="31">
        <f t="shared" ref="U57" si="182">SUM(U55:U56)</f>
        <v>0</v>
      </c>
      <c r="V57" s="38">
        <f t="shared" ref="V57" si="183">SUM(V55:V56)</f>
        <v>0</v>
      </c>
    </row>
    <row r="58" spans="1:22">
      <c r="A58" s="26" t="s">
        <v>13</v>
      </c>
      <c r="B58" s="26" t="s">
        <v>49</v>
      </c>
      <c r="C58" s="30">
        <v>14.7</v>
      </c>
      <c r="D58" s="27">
        <v>10.1</v>
      </c>
      <c r="E58" s="28">
        <v>21</v>
      </c>
      <c r="F58" s="16">
        <f>(C58*D58*E58/1000)</f>
        <v>3.1178699999999999</v>
      </c>
      <c r="G58" s="17" t="s">
        <v>89</v>
      </c>
      <c r="H58" s="18">
        <v>14</v>
      </c>
      <c r="I58" s="19">
        <f>(C58*D58*H58/1000)</f>
        <v>2.0785800000000001</v>
      </c>
      <c r="J58" s="17" t="s">
        <v>111</v>
      </c>
      <c r="K58" s="18">
        <v>6</v>
      </c>
      <c r="L58" s="19">
        <f>(C58*D58*K58/1000)</f>
        <v>0.89081999999999995</v>
      </c>
      <c r="M58" s="16"/>
      <c r="N58" s="18"/>
      <c r="O58" s="19">
        <f>(C58*D58*N58/1000)</f>
        <v>0</v>
      </c>
      <c r="P58" s="16"/>
      <c r="Q58" s="18"/>
      <c r="R58" s="19">
        <f>(C58*D58*Q58/1000)</f>
        <v>0</v>
      </c>
      <c r="S58" s="20">
        <f>+H58+K58+Q58+N58</f>
        <v>20</v>
      </c>
      <c r="T58" s="19">
        <f>+I58+L58+R58+O58</f>
        <v>2.9694000000000003</v>
      </c>
      <c r="U58" s="21">
        <f>E58-S58</f>
        <v>1</v>
      </c>
      <c r="V58" s="19">
        <f>F58-T58</f>
        <v>0.14846999999999966</v>
      </c>
    </row>
    <row r="59" spans="1:22">
      <c r="A59" s="26" t="s">
        <v>13</v>
      </c>
      <c r="B59" s="26" t="s">
        <v>49</v>
      </c>
      <c r="C59" s="30">
        <v>14.7</v>
      </c>
      <c r="D59" s="27">
        <v>12</v>
      </c>
      <c r="E59" s="28">
        <v>6</v>
      </c>
      <c r="F59" s="16">
        <f>(C59*D59*E59/1000)</f>
        <v>1.0583999999999998</v>
      </c>
      <c r="G59" t="s">
        <v>587</v>
      </c>
      <c r="H59" s="18">
        <v>7</v>
      </c>
      <c r="I59" s="19">
        <f>(C59*D59*H59/1000)</f>
        <v>1.2347999999999997</v>
      </c>
      <c r="J59" s="17" t="s">
        <v>588</v>
      </c>
      <c r="K59" s="18"/>
      <c r="L59" s="19">
        <f>(C59*D59*K59/1000)</f>
        <v>0</v>
      </c>
      <c r="M59" s="16"/>
      <c r="N59" s="18"/>
      <c r="O59" s="19">
        <f>(C59*D59*N59/1000)</f>
        <v>0</v>
      </c>
      <c r="P59" s="16"/>
      <c r="Q59" s="18"/>
      <c r="R59" s="19">
        <f>(C59*D59*Q59/1000)</f>
        <v>0</v>
      </c>
      <c r="S59" s="20">
        <f>+H59+K59+Q59+N59</f>
        <v>7</v>
      </c>
      <c r="T59" s="19">
        <f>+I59+L59+R59+O59</f>
        <v>1.2347999999999997</v>
      </c>
      <c r="U59" s="21">
        <f>E59-S59</f>
        <v>-1</v>
      </c>
      <c r="V59" s="19">
        <f>F59-T59</f>
        <v>-0.17639999999999989</v>
      </c>
    </row>
    <row r="60" spans="1:22">
      <c r="A60" s="36"/>
      <c r="B60" s="36"/>
      <c r="C60" s="37"/>
      <c r="D60" s="38"/>
      <c r="E60" s="31">
        <f t="shared" ref="E60:F60" si="184">SUM(E58:E59)</f>
        <v>27</v>
      </c>
      <c r="F60" s="38">
        <f t="shared" si="184"/>
        <v>4.1762699999999997</v>
      </c>
      <c r="H60" s="31">
        <f t="shared" ref="H60" si="185">SUM(H58:H59)</f>
        <v>21</v>
      </c>
      <c r="I60" s="38">
        <f t="shared" ref="I60" si="186">SUM(I58:I59)</f>
        <v>3.3133799999999995</v>
      </c>
      <c r="K60" s="31">
        <f t="shared" ref="K60" si="187">SUM(K58:K59)</f>
        <v>6</v>
      </c>
      <c r="L60" s="38">
        <f t="shared" ref="L60" si="188">SUM(L58:L59)</f>
        <v>0.89081999999999995</v>
      </c>
      <c r="N60" s="31">
        <f t="shared" ref="N60" si="189">SUM(N58:N59)</f>
        <v>0</v>
      </c>
      <c r="O60" s="38">
        <f t="shared" ref="O60" si="190">SUM(O58:O59)</f>
        <v>0</v>
      </c>
      <c r="Q60" s="31">
        <f t="shared" ref="Q60" si="191">SUM(Q58:Q59)</f>
        <v>0</v>
      </c>
      <c r="R60" s="38">
        <f t="shared" ref="R60" si="192">SUM(R58:R59)</f>
        <v>0</v>
      </c>
      <c r="S60" s="31">
        <f t="shared" ref="S60" si="193">SUM(S58:S59)</f>
        <v>27</v>
      </c>
      <c r="T60" s="38">
        <f t="shared" ref="T60" si="194">SUM(T58:T59)</f>
        <v>4.2042000000000002</v>
      </c>
      <c r="U60" s="31">
        <f t="shared" ref="U60" si="195">SUM(U58:U59)</f>
        <v>0</v>
      </c>
      <c r="V60" s="38">
        <f t="shared" ref="V60" si="196">SUM(V58:V59)</f>
        <v>-2.7930000000000232E-2</v>
      </c>
    </row>
    <row r="61" spans="1:22">
      <c r="A61" s="26" t="s">
        <v>13</v>
      </c>
      <c r="B61" s="26" t="s">
        <v>50</v>
      </c>
      <c r="C61" s="30">
        <v>16.5</v>
      </c>
      <c r="D61" s="27">
        <v>7.2</v>
      </c>
      <c r="E61" s="28">
        <v>1</v>
      </c>
      <c r="F61" s="16">
        <f t="shared" ref="F61:F70" si="197">(C61*D61*E61/1000)</f>
        <v>0.1188</v>
      </c>
      <c r="G61" s="17" t="s">
        <v>89</v>
      </c>
      <c r="H61" s="18"/>
      <c r="I61" s="19">
        <f t="shared" ref="I61:I70" si="198">(C61*D61*H61/1000)</f>
        <v>0</v>
      </c>
      <c r="J61" s="17" t="s">
        <v>86</v>
      </c>
      <c r="K61" s="18"/>
      <c r="L61" s="19">
        <f t="shared" ref="L61:L70" si="199">(C61*D61*K61/1000)</f>
        <v>0</v>
      </c>
      <c r="M61" s="16"/>
      <c r="N61" s="18"/>
      <c r="O61" s="19">
        <f t="shared" ref="O61:O70" si="200">(C61*D61*N61/1000)</f>
        <v>0</v>
      </c>
      <c r="P61" s="16"/>
      <c r="Q61" s="18"/>
      <c r="R61" s="19">
        <f t="shared" ref="R61:R70" si="201">(C61*D61*Q61/1000)</f>
        <v>0</v>
      </c>
      <c r="S61" s="20">
        <f t="shared" ref="S61:S70" si="202">+H61+K61+Q61+N61</f>
        <v>0</v>
      </c>
      <c r="T61" s="19">
        <f t="shared" ref="T61:T70" si="203">+I61+L61+R61+O61</f>
        <v>0</v>
      </c>
      <c r="U61" s="21">
        <f t="shared" ref="U61:U70" si="204">E61-S61</f>
        <v>1</v>
      </c>
      <c r="V61" s="19">
        <f t="shared" ref="V61:V70" si="205">F61-T61</f>
        <v>0.1188</v>
      </c>
    </row>
    <row r="62" spans="1:22">
      <c r="A62" s="26" t="s">
        <v>13</v>
      </c>
      <c r="B62" s="26" t="s">
        <v>50</v>
      </c>
      <c r="C62" s="30">
        <v>16.5</v>
      </c>
      <c r="D62" s="27">
        <v>8.3000000000000007</v>
      </c>
      <c r="E62" s="28">
        <v>2</v>
      </c>
      <c r="F62" s="16">
        <f t="shared" si="197"/>
        <v>0.27390000000000003</v>
      </c>
      <c r="G62" t="s">
        <v>587</v>
      </c>
      <c r="H62" s="18">
        <v>2</v>
      </c>
      <c r="I62" s="19">
        <f t="shared" si="198"/>
        <v>0.27390000000000003</v>
      </c>
      <c r="J62" s="16" t="s">
        <v>609</v>
      </c>
      <c r="K62" s="18"/>
      <c r="L62" s="19">
        <f t="shared" si="199"/>
        <v>0</v>
      </c>
      <c r="M62" s="16"/>
      <c r="N62" s="18"/>
      <c r="O62" s="19">
        <f t="shared" si="200"/>
        <v>0</v>
      </c>
      <c r="P62" s="16"/>
      <c r="Q62" s="18"/>
      <c r="R62" s="19">
        <f t="shared" si="201"/>
        <v>0</v>
      </c>
      <c r="S62" s="20">
        <f t="shared" si="202"/>
        <v>2</v>
      </c>
      <c r="T62" s="19">
        <f t="shared" si="203"/>
        <v>0.27390000000000003</v>
      </c>
      <c r="U62" s="21">
        <f t="shared" si="204"/>
        <v>0</v>
      </c>
      <c r="V62" s="19">
        <f t="shared" si="205"/>
        <v>0</v>
      </c>
    </row>
    <row r="63" spans="1:22">
      <c r="A63" s="26" t="s">
        <v>13</v>
      </c>
      <c r="B63" s="26" t="s">
        <v>50</v>
      </c>
      <c r="C63" s="30">
        <v>16.5</v>
      </c>
      <c r="D63" s="27">
        <v>8.5</v>
      </c>
      <c r="E63" s="28">
        <v>2</v>
      </c>
      <c r="F63" s="16">
        <f t="shared" si="197"/>
        <v>0.28050000000000003</v>
      </c>
      <c r="G63" s="17"/>
      <c r="H63" s="18">
        <v>2</v>
      </c>
      <c r="I63" s="19">
        <f t="shared" si="198"/>
        <v>0.28050000000000003</v>
      </c>
      <c r="J63" s="16"/>
      <c r="K63" s="18">
        <v>3</v>
      </c>
      <c r="L63" s="19">
        <f t="shared" si="199"/>
        <v>0.42075000000000001</v>
      </c>
      <c r="M63" s="16"/>
      <c r="N63" s="18"/>
      <c r="O63" s="19">
        <f t="shared" si="200"/>
        <v>0</v>
      </c>
      <c r="P63" s="16"/>
      <c r="Q63" s="18"/>
      <c r="R63" s="19">
        <f t="shared" si="201"/>
        <v>0</v>
      </c>
      <c r="S63" s="20">
        <f t="shared" si="202"/>
        <v>5</v>
      </c>
      <c r="T63" s="19">
        <f t="shared" si="203"/>
        <v>0.70125000000000004</v>
      </c>
      <c r="U63" s="21">
        <f t="shared" si="204"/>
        <v>-3</v>
      </c>
      <c r="V63" s="19">
        <f t="shared" si="205"/>
        <v>-0.42075000000000001</v>
      </c>
    </row>
    <row r="64" spans="1:22">
      <c r="A64" s="26" t="s">
        <v>13</v>
      </c>
      <c r="B64" s="26" t="s">
        <v>50</v>
      </c>
      <c r="C64" s="30">
        <v>16.5</v>
      </c>
      <c r="D64" s="27">
        <v>10.1</v>
      </c>
      <c r="E64" s="28">
        <v>2</v>
      </c>
      <c r="F64" s="16">
        <f t="shared" si="197"/>
        <v>0.33329999999999999</v>
      </c>
      <c r="G64" s="17"/>
      <c r="H64" s="18"/>
      <c r="I64" s="19">
        <f t="shared" si="198"/>
        <v>0</v>
      </c>
      <c r="J64" s="16"/>
      <c r="K64" s="18"/>
      <c r="L64" s="19">
        <f t="shared" si="199"/>
        <v>0</v>
      </c>
      <c r="M64" s="16"/>
      <c r="N64" s="18"/>
      <c r="O64" s="19">
        <f t="shared" si="200"/>
        <v>0</v>
      </c>
      <c r="P64" s="16"/>
      <c r="Q64" s="18"/>
      <c r="R64" s="19">
        <f t="shared" si="201"/>
        <v>0</v>
      </c>
      <c r="S64" s="20">
        <f t="shared" si="202"/>
        <v>0</v>
      </c>
      <c r="T64" s="19">
        <f t="shared" si="203"/>
        <v>0</v>
      </c>
      <c r="U64" s="21">
        <f t="shared" si="204"/>
        <v>2</v>
      </c>
      <c r="V64" s="19">
        <f t="shared" si="205"/>
        <v>0.33329999999999999</v>
      </c>
    </row>
    <row r="65" spans="1:22">
      <c r="A65" s="26" t="s">
        <v>13</v>
      </c>
      <c r="B65" s="26" t="s">
        <v>50</v>
      </c>
      <c r="C65" s="30">
        <v>16.5</v>
      </c>
      <c r="D65" s="27">
        <v>10.9</v>
      </c>
      <c r="E65" s="28">
        <v>8</v>
      </c>
      <c r="F65" s="16">
        <f t="shared" si="197"/>
        <v>1.4387999999999999</v>
      </c>
      <c r="G65" s="17"/>
      <c r="H65" s="18">
        <v>5</v>
      </c>
      <c r="I65" s="19">
        <f t="shared" si="198"/>
        <v>0.89924999999999999</v>
      </c>
      <c r="J65" s="16"/>
      <c r="K65" s="18"/>
      <c r="L65" s="19">
        <f t="shared" si="199"/>
        <v>0</v>
      </c>
      <c r="M65" s="16"/>
      <c r="N65" s="18"/>
      <c r="O65" s="19">
        <f t="shared" si="200"/>
        <v>0</v>
      </c>
      <c r="P65" s="16"/>
      <c r="Q65" s="18"/>
      <c r="R65" s="19">
        <f t="shared" si="201"/>
        <v>0</v>
      </c>
      <c r="S65" s="20">
        <f t="shared" si="202"/>
        <v>5</v>
      </c>
      <c r="T65" s="19">
        <f t="shared" si="203"/>
        <v>0.89924999999999999</v>
      </c>
      <c r="U65" s="21">
        <f t="shared" si="204"/>
        <v>3</v>
      </c>
      <c r="V65" s="19">
        <f t="shared" si="205"/>
        <v>0.53954999999999986</v>
      </c>
    </row>
    <row r="66" spans="1:22">
      <c r="A66" s="26" t="s">
        <v>13</v>
      </c>
      <c r="B66" s="26" t="s">
        <v>50</v>
      </c>
      <c r="C66" s="30">
        <v>16.5</v>
      </c>
      <c r="D66" s="27">
        <v>11.3</v>
      </c>
      <c r="E66" s="28">
        <v>2</v>
      </c>
      <c r="F66" s="16">
        <f t="shared" ref="F66:F69" si="206">(C66*D66*E66/1000)</f>
        <v>0.37290000000000001</v>
      </c>
      <c r="G66" s="17"/>
      <c r="H66" s="18">
        <v>1</v>
      </c>
      <c r="I66" s="19">
        <f t="shared" ref="I66:I69" si="207">(C66*D66*H66/1000)</f>
        <v>0.18645</v>
      </c>
      <c r="J66" s="16"/>
      <c r="K66" s="18">
        <v>1</v>
      </c>
      <c r="L66" s="19">
        <f t="shared" ref="L66:L69" si="208">(C66*D66*K66/1000)</f>
        <v>0.18645</v>
      </c>
      <c r="M66" s="16"/>
      <c r="N66" s="18"/>
      <c r="O66" s="19">
        <f t="shared" ref="O66:O69" si="209">(C66*D66*N66/1000)</f>
        <v>0</v>
      </c>
      <c r="P66" s="16"/>
      <c r="Q66" s="18"/>
      <c r="R66" s="19">
        <f t="shared" ref="R66:R69" si="210">(C66*D66*Q66/1000)</f>
        <v>0</v>
      </c>
      <c r="S66" s="20">
        <f t="shared" ref="S66:S69" si="211">+H66+K66+Q66+N66</f>
        <v>2</v>
      </c>
      <c r="T66" s="19">
        <f t="shared" ref="T66:T69" si="212">+I66+L66+R66+O66</f>
        <v>0.37290000000000001</v>
      </c>
      <c r="U66" s="21">
        <f t="shared" ref="U66:U69" si="213">E66-S66</f>
        <v>0</v>
      </c>
      <c r="V66" s="19">
        <f t="shared" ref="V66:V69" si="214">F66-T66</f>
        <v>0</v>
      </c>
    </row>
    <row r="67" spans="1:22">
      <c r="A67" s="26" t="s">
        <v>13</v>
      </c>
      <c r="B67" s="26" t="s">
        <v>50</v>
      </c>
      <c r="C67" s="30">
        <v>16.5</v>
      </c>
      <c r="D67" s="27">
        <v>9.1</v>
      </c>
      <c r="E67" s="28"/>
      <c r="F67" s="16">
        <f t="shared" si="206"/>
        <v>0</v>
      </c>
      <c r="G67" s="17"/>
      <c r="H67" s="18"/>
      <c r="I67" s="19">
        <f t="shared" si="207"/>
        <v>0</v>
      </c>
      <c r="J67" s="16"/>
      <c r="K67" s="18">
        <v>1</v>
      </c>
      <c r="L67" s="19">
        <f t="shared" si="208"/>
        <v>0.15015000000000001</v>
      </c>
      <c r="M67" s="16"/>
      <c r="N67" s="18"/>
      <c r="O67" s="19">
        <f t="shared" si="209"/>
        <v>0</v>
      </c>
      <c r="P67" s="16"/>
      <c r="Q67" s="18"/>
      <c r="R67" s="19">
        <f t="shared" si="210"/>
        <v>0</v>
      </c>
      <c r="S67" s="20">
        <f t="shared" si="211"/>
        <v>1</v>
      </c>
      <c r="T67" s="19">
        <f t="shared" si="212"/>
        <v>0.15015000000000001</v>
      </c>
      <c r="U67" s="21">
        <f t="shared" si="213"/>
        <v>-1</v>
      </c>
      <c r="V67" s="19">
        <f t="shared" si="214"/>
        <v>-0.15015000000000001</v>
      </c>
    </row>
    <row r="68" spans="1:22">
      <c r="A68" s="26" t="s">
        <v>13</v>
      </c>
      <c r="B68" s="26" t="s">
        <v>50</v>
      </c>
      <c r="C68" s="30">
        <v>16.5</v>
      </c>
      <c r="D68" s="27">
        <v>10.199999999999999</v>
      </c>
      <c r="E68" s="28"/>
      <c r="F68" s="16">
        <f t="shared" si="206"/>
        <v>0</v>
      </c>
      <c r="G68" s="17"/>
      <c r="H68" s="18"/>
      <c r="I68" s="19">
        <f t="shared" si="207"/>
        <v>0</v>
      </c>
      <c r="J68" s="16"/>
      <c r="K68" s="18">
        <v>1</v>
      </c>
      <c r="L68" s="19">
        <f t="shared" si="208"/>
        <v>0.16829999999999998</v>
      </c>
      <c r="M68" s="16"/>
      <c r="N68" s="18"/>
      <c r="O68" s="19">
        <f t="shared" si="209"/>
        <v>0</v>
      </c>
      <c r="P68" s="16"/>
      <c r="Q68" s="18"/>
      <c r="R68" s="19">
        <f t="shared" si="210"/>
        <v>0</v>
      </c>
      <c r="S68" s="20">
        <f t="shared" si="211"/>
        <v>1</v>
      </c>
      <c r="T68" s="19">
        <f t="shared" si="212"/>
        <v>0.16829999999999998</v>
      </c>
      <c r="U68" s="21">
        <f t="shared" si="213"/>
        <v>-1</v>
      </c>
      <c r="V68" s="19">
        <f t="shared" si="214"/>
        <v>-0.16829999999999998</v>
      </c>
    </row>
    <row r="69" spans="1:22">
      <c r="A69" s="26" t="s">
        <v>13</v>
      </c>
      <c r="B69" s="26" t="s">
        <v>50</v>
      </c>
      <c r="C69" s="30">
        <v>16.5</v>
      </c>
      <c r="D69" s="27">
        <v>10.5</v>
      </c>
      <c r="E69" s="28"/>
      <c r="F69" s="16">
        <f t="shared" si="206"/>
        <v>0</v>
      </c>
      <c r="G69" s="17"/>
      <c r="H69" s="18"/>
      <c r="I69" s="19">
        <f t="shared" si="207"/>
        <v>0</v>
      </c>
      <c r="J69" s="16"/>
      <c r="K69" s="18">
        <v>1</v>
      </c>
      <c r="L69" s="19">
        <f t="shared" si="208"/>
        <v>0.17324999999999999</v>
      </c>
      <c r="M69" s="16"/>
      <c r="N69" s="18"/>
      <c r="O69" s="19">
        <f t="shared" si="209"/>
        <v>0</v>
      </c>
      <c r="P69" s="16"/>
      <c r="Q69" s="18"/>
      <c r="R69" s="19">
        <f t="shared" si="210"/>
        <v>0</v>
      </c>
      <c r="S69" s="20">
        <f t="shared" si="211"/>
        <v>1</v>
      </c>
      <c r="T69" s="19">
        <f t="shared" si="212"/>
        <v>0.17324999999999999</v>
      </c>
      <c r="U69" s="21">
        <f t="shared" si="213"/>
        <v>-1</v>
      </c>
      <c r="V69" s="19">
        <f t="shared" si="214"/>
        <v>-0.17324999999999999</v>
      </c>
    </row>
    <row r="70" spans="1:22">
      <c r="A70" s="26" t="s">
        <v>13</v>
      </c>
      <c r="B70" s="26" t="s">
        <v>50</v>
      </c>
      <c r="C70" s="30">
        <v>16.5</v>
      </c>
      <c r="D70" s="27">
        <v>11</v>
      </c>
      <c r="E70" s="28"/>
      <c r="F70" s="16">
        <f t="shared" si="197"/>
        <v>0</v>
      </c>
      <c r="G70" s="17"/>
      <c r="H70" s="18"/>
      <c r="I70" s="19">
        <f t="shared" si="198"/>
        <v>0</v>
      </c>
      <c r="J70" s="16"/>
      <c r="K70" s="18">
        <v>1</v>
      </c>
      <c r="L70" s="19">
        <f t="shared" si="199"/>
        <v>0.18149999999999999</v>
      </c>
      <c r="M70" s="16"/>
      <c r="N70" s="18"/>
      <c r="O70" s="19">
        <f t="shared" si="200"/>
        <v>0</v>
      </c>
      <c r="P70" s="16"/>
      <c r="Q70" s="18"/>
      <c r="R70" s="19">
        <f t="shared" si="201"/>
        <v>0</v>
      </c>
      <c r="S70" s="20">
        <f t="shared" si="202"/>
        <v>1</v>
      </c>
      <c r="T70" s="19">
        <f t="shared" si="203"/>
        <v>0.18149999999999999</v>
      </c>
      <c r="U70" s="21">
        <f t="shared" si="204"/>
        <v>-1</v>
      </c>
      <c r="V70" s="19">
        <f t="shared" si="205"/>
        <v>-0.18149999999999999</v>
      </c>
    </row>
    <row r="71" spans="1:22">
      <c r="A71" s="36"/>
      <c r="B71" s="36"/>
      <c r="C71" s="37"/>
      <c r="D71" s="38"/>
      <c r="E71" s="31">
        <f t="shared" ref="E71:F71" si="215">SUM(E61:E70)</f>
        <v>17</v>
      </c>
      <c r="F71" s="38">
        <f t="shared" si="215"/>
        <v>2.8181999999999996</v>
      </c>
      <c r="H71" s="31">
        <f t="shared" ref="H71" si="216">SUM(H61:H70)</f>
        <v>10</v>
      </c>
      <c r="I71" s="38">
        <f t="shared" ref="I71" si="217">SUM(I61:I70)</f>
        <v>1.6401000000000001</v>
      </c>
      <c r="K71" s="31">
        <f t="shared" ref="K71" si="218">SUM(K61:K70)</f>
        <v>8</v>
      </c>
      <c r="L71" s="38">
        <f t="shared" ref="L71" si="219">SUM(L61:L70)</f>
        <v>1.2804</v>
      </c>
      <c r="N71" s="31">
        <f t="shared" ref="N71" si="220">SUM(N61:N70)</f>
        <v>0</v>
      </c>
      <c r="O71" s="38">
        <f t="shared" ref="O71" si="221">SUM(O61:O70)</f>
        <v>0</v>
      </c>
      <c r="Q71" s="31">
        <f t="shared" ref="Q71" si="222">SUM(Q61:Q70)</f>
        <v>0</v>
      </c>
      <c r="R71" s="38">
        <f t="shared" ref="R71" si="223">SUM(R61:R70)</f>
        <v>0</v>
      </c>
      <c r="S71" s="31">
        <f t="shared" ref="S71" si="224">SUM(S61:S70)</f>
        <v>18</v>
      </c>
      <c r="T71" s="38">
        <f t="shared" ref="T71" si="225">SUM(T61:T70)</f>
        <v>2.9204999999999997</v>
      </c>
      <c r="U71" s="31">
        <f t="shared" ref="U71" si="226">SUM(U61:U70)</f>
        <v>-1</v>
      </c>
      <c r="V71" s="38">
        <f t="shared" ref="V71" si="227">SUM(V61:V70)</f>
        <v>-0.10230000000000014</v>
      </c>
    </row>
    <row r="72" spans="1:22">
      <c r="A72" s="26" t="s">
        <v>13</v>
      </c>
      <c r="B72" s="26" t="s">
        <v>51</v>
      </c>
      <c r="C72" s="30">
        <v>19.8</v>
      </c>
      <c r="D72" s="27">
        <v>9.6</v>
      </c>
      <c r="E72" s="28">
        <v>12</v>
      </c>
      <c r="F72" s="16">
        <f t="shared" ref="F72:F73" si="228">(C72*D72*E72/1000)</f>
        <v>2.2809599999999999</v>
      </c>
      <c r="G72" s="17" t="s">
        <v>89</v>
      </c>
      <c r="H72" s="18">
        <v>12</v>
      </c>
      <c r="I72" s="19">
        <f t="shared" ref="I72:I73" si="229">(C72*D72*H72/1000)</f>
        <v>2.2809599999999999</v>
      </c>
      <c r="J72" s="16"/>
      <c r="K72" s="18"/>
      <c r="L72" s="19">
        <f t="shared" ref="L72:L73" si="230">(C72*D72*K72/1000)</f>
        <v>0</v>
      </c>
      <c r="M72" s="16"/>
      <c r="N72" s="18"/>
      <c r="O72" s="19">
        <f t="shared" ref="O72:O73" si="231">(C72*D72*N72/1000)</f>
        <v>0</v>
      </c>
      <c r="P72" s="16"/>
      <c r="Q72" s="18"/>
      <c r="R72" s="19">
        <f t="shared" ref="R72:R73" si="232">(C72*D72*Q72/1000)</f>
        <v>0</v>
      </c>
      <c r="S72" s="20">
        <f t="shared" ref="S72:S73" si="233">+H72+K72+Q72+N72</f>
        <v>12</v>
      </c>
      <c r="T72" s="19">
        <f t="shared" ref="T72:T73" si="234">+I72+L72+R72+O72</f>
        <v>2.2809599999999999</v>
      </c>
      <c r="U72" s="21">
        <f t="shared" ref="U72:U73" si="235">E72-S72</f>
        <v>0</v>
      </c>
      <c r="V72" s="19">
        <f t="shared" ref="V72:V73" si="236">F72-T72</f>
        <v>0</v>
      </c>
    </row>
    <row r="73" spans="1:22">
      <c r="A73" s="26" t="s">
        <v>13</v>
      </c>
      <c r="B73" s="26" t="s">
        <v>51</v>
      </c>
      <c r="C73" s="30">
        <v>19.8</v>
      </c>
      <c r="D73" s="27">
        <v>12</v>
      </c>
      <c r="E73" s="28">
        <v>13</v>
      </c>
      <c r="F73" s="16">
        <f t="shared" si="228"/>
        <v>3.0888</v>
      </c>
      <c r="G73" t="s">
        <v>587</v>
      </c>
      <c r="H73" s="18">
        <v>13</v>
      </c>
      <c r="I73" s="19">
        <f t="shared" si="229"/>
        <v>3.0888</v>
      </c>
      <c r="J73" s="16"/>
      <c r="K73" s="18"/>
      <c r="L73" s="19">
        <f t="shared" si="230"/>
        <v>0</v>
      </c>
      <c r="M73" s="16"/>
      <c r="N73" s="18"/>
      <c r="O73" s="19">
        <f t="shared" si="231"/>
        <v>0</v>
      </c>
      <c r="P73" s="16"/>
      <c r="Q73" s="18"/>
      <c r="R73" s="19">
        <f t="shared" si="232"/>
        <v>0</v>
      </c>
      <c r="S73" s="20">
        <f t="shared" si="233"/>
        <v>13</v>
      </c>
      <c r="T73" s="19">
        <f t="shared" si="234"/>
        <v>3.0888</v>
      </c>
      <c r="U73" s="21">
        <f t="shared" si="235"/>
        <v>0</v>
      </c>
      <c r="V73" s="19">
        <f t="shared" si="236"/>
        <v>0</v>
      </c>
    </row>
    <row r="74" spans="1:22">
      <c r="A74" s="36"/>
      <c r="B74" s="36"/>
      <c r="C74" s="37"/>
      <c r="D74" s="38"/>
      <c r="E74" s="31">
        <f t="shared" ref="E74:F74" si="237">SUM(E72:E73)</f>
        <v>25</v>
      </c>
      <c r="F74" s="38">
        <f t="shared" si="237"/>
        <v>5.3697599999999994</v>
      </c>
      <c r="H74" s="31">
        <f t="shared" ref="H74" si="238">SUM(H72:H73)</f>
        <v>25</v>
      </c>
      <c r="I74" s="38">
        <f t="shared" ref="I74" si="239">SUM(I72:I73)</f>
        <v>5.3697599999999994</v>
      </c>
      <c r="K74" s="31">
        <f t="shared" ref="K74" si="240">SUM(K72:K73)</f>
        <v>0</v>
      </c>
      <c r="L74" s="38">
        <f t="shared" ref="L74" si="241">SUM(L72:L73)</f>
        <v>0</v>
      </c>
      <c r="N74" s="31">
        <f t="shared" ref="N74" si="242">SUM(N72:N73)</f>
        <v>0</v>
      </c>
      <c r="O74" s="38">
        <f t="shared" ref="O74" si="243">SUM(O72:O73)</f>
        <v>0</v>
      </c>
      <c r="Q74" s="31">
        <f t="shared" ref="Q74" si="244">SUM(Q72:Q73)</f>
        <v>0</v>
      </c>
      <c r="R74" s="38">
        <f t="shared" ref="R74" si="245">SUM(R72:R73)</f>
        <v>0</v>
      </c>
      <c r="S74" s="31">
        <f t="shared" ref="S74" si="246">SUM(S72:S73)</f>
        <v>25</v>
      </c>
      <c r="T74" s="38">
        <f t="shared" ref="T74" si="247">SUM(T72:T73)</f>
        <v>5.3697599999999994</v>
      </c>
      <c r="U74" s="31">
        <f t="shared" ref="U74" si="248">SUM(U72:U73)</f>
        <v>0</v>
      </c>
      <c r="V74" s="38">
        <f t="shared" ref="V74" si="249">SUM(V72:V73)</f>
        <v>0</v>
      </c>
    </row>
    <row r="75" spans="1:22">
      <c r="A75" s="26" t="s">
        <v>13</v>
      </c>
      <c r="B75" s="26" t="s">
        <v>53</v>
      </c>
      <c r="C75" s="30">
        <v>23.6</v>
      </c>
      <c r="D75" s="27">
        <v>7</v>
      </c>
      <c r="E75" s="28">
        <v>13</v>
      </c>
      <c r="F75" s="16">
        <f t="shared" ref="F75:F83" si="250">(C75*D75*E75/1000)</f>
        <v>2.1476000000000002</v>
      </c>
      <c r="G75" s="17" t="s">
        <v>89</v>
      </c>
      <c r="H75" s="18"/>
      <c r="I75" s="19">
        <f t="shared" ref="I75:I83" si="251">(C75*D75*H75/1000)</f>
        <v>0</v>
      </c>
      <c r="J75" s="17" t="s">
        <v>111</v>
      </c>
      <c r="K75" s="18">
        <v>6</v>
      </c>
      <c r="L75" s="19">
        <f t="shared" ref="L75:L83" si="252">(C75*D75*K75/1000)</f>
        <v>0.99120000000000008</v>
      </c>
      <c r="M75" s="16"/>
      <c r="N75" s="18"/>
      <c r="O75" s="19">
        <f t="shared" ref="O75:O83" si="253">(C75*D75*N75/1000)</f>
        <v>0</v>
      </c>
      <c r="P75" s="16"/>
      <c r="Q75" s="18"/>
      <c r="R75" s="19">
        <f t="shared" ref="R75:R83" si="254">(C75*D75*Q75/1000)</f>
        <v>0</v>
      </c>
      <c r="S75" s="20">
        <f t="shared" ref="S75:S83" si="255">+H75+K75+Q75+N75</f>
        <v>6</v>
      </c>
      <c r="T75" s="19">
        <f t="shared" ref="T75:T83" si="256">+I75+L75+R75+O75</f>
        <v>0.99120000000000008</v>
      </c>
      <c r="U75" s="21">
        <f t="shared" ref="U75:U83" si="257">E75-S75</f>
        <v>7</v>
      </c>
      <c r="V75" s="19">
        <f t="shared" ref="V75:V83" si="258">F75-T75</f>
        <v>1.1564000000000001</v>
      </c>
    </row>
    <row r="76" spans="1:22">
      <c r="A76" s="26" t="s">
        <v>13</v>
      </c>
      <c r="B76" s="26" t="s">
        <v>53</v>
      </c>
      <c r="C76" s="30">
        <v>23.6</v>
      </c>
      <c r="D76" s="27">
        <v>10</v>
      </c>
      <c r="E76" s="28">
        <v>9</v>
      </c>
      <c r="F76" s="16">
        <f t="shared" si="250"/>
        <v>2.1240000000000001</v>
      </c>
      <c r="G76" t="s">
        <v>587</v>
      </c>
      <c r="H76" s="18">
        <v>6</v>
      </c>
      <c r="I76" s="19">
        <f t="shared" si="251"/>
        <v>1.4159999999999999</v>
      </c>
      <c r="J76" s="17" t="s">
        <v>588</v>
      </c>
      <c r="K76" s="18">
        <v>3</v>
      </c>
      <c r="L76" s="19">
        <f t="shared" si="252"/>
        <v>0.70799999999999996</v>
      </c>
      <c r="M76" s="16"/>
      <c r="N76" s="18"/>
      <c r="O76" s="19">
        <f t="shared" si="253"/>
        <v>0</v>
      </c>
      <c r="P76" s="16"/>
      <c r="Q76" s="18"/>
      <c r="R76" s="19">
        <f t="shared" si="254"/>
        <v>0</v>
      </c>
      <c r="S76" s="20">
        <f t="shared" si="255"/>
        <v>9</v>
      </c>
      <c r="T76" s="19">
        <f t="shared" si="256"/>
        <v>2.1239999999999997</v>
      </c>
      <c r="U76" s="21">
        <f t="shared" si="257"/>
        <v>0</v>
      </c>
      <c r="V76" s="19">
        <f t="shared" si="258"/>
        <v>0</v>
      </c>
    </row>
    <row r="77" spans="1:22">
      <c r="A77" s="26" t="s">
        <v>13</v>
      </c>
      <c r="B77" s="26" t="s">
        <v>53</v>
      </c>
      <c r="C77" s="30">
        <v>23.6</v>
      </c>
      <c r="D77" s="27">
        <v>12</v>
      </c>
      <c r="E77" s="28">
        <v>9</v>
      </c>
      <c r="F77" s="16">
        <f t="shared" ref="F77:F82" si="259">(C77*D77*E77/1000)</f>
        <v>2.5488000000000004</v>
      </c>
      <c r="G77" s="17"/>
      <c r="H77" s="18">
        <v>7</v>
      </c>
      <c r="I77" s="19">
        <f t="shared" ref="I77:I82" si="260">(C77*D77*H77/1000)</f>
        <v>1.9824000000000004</v>
      </c>
      <c r="J77" s="16"/>
      <c r="K77" s="18">
        <v>2</v>
      </c>
      <c r="L77" s="19">
        <f t="shared" ref="L77:L82" si="261">(C77*D77*K77/1000)</f>
        <v>0.56640000000000013</v>
      </c>
      <c r="M77" s="16"/>
      <c r="N77" s="18"/>
      <c r="O77" s="19">
        <f t="shared" ref="O77:O82" si="262">(C77*D77*N77/1000)</f>
        <v>0</v>
      </c>
      <c r="P77" s="16"/>
      <c r="Q77" s="18"/>
      <c r="R77" s="19">
        <f t="shared" ref="R77:R82" si="263">(C77*D77*Q77/1000)</f>
        <v>0</v>
      </c>
      <c r="S77" s="20">
        <f t="shared" ref="S77:S82" si="264">+H77+K77+Q77+N77</f>
        <v>9</v>
      </c>
      <c r="T77" s="19">
        <f t="shared" ref="T77:T82" si="265">+I77+L77+R77+O77</f>
        <v>2.5488000000000004</v>
      </c>
      <c r="U77" s="21">
        <f t="shared" ref="U77:U82" si="266">E77-S77</f>
        <v>0</v>
      </c>
      <c r="V77" s="19">
        <f t="shared" ref="V77:V82" si="267">F77-T77</f>
        <v>0</v>
      </c>
    </row>
    <row r="78" spans="1:22">
      <c r="A78" s="26" t="s">
        <v>13</v>
      </c>
      <c r="B78" s="26" t="s">
        <v>53</v>
      </c>
      <c r="C78" s="30">
        <v>23.6</v>
      </c>
      <c r="D78" s="27">
        <v>6.9</v>
      </c>
      <c r="E78" s="28"/>
      <c r="F78" s="16">
        <f t="shared" si="259"/>
        <v>0</v>
      </c>
      <c r="G78" s="17"/>
      <c r="H78" s="18"/>
      <c r="I78" s="19">
        <f t="shared" si="260"/>
        <v>0</v>
      </c>
      <c r="J78" s="16"/>
      <c r="K78" s="18">
        <v>1</v>
      </c>
      <c r="L78" s="19">
        <f t="shared" si="261"/>
        <v>0.16284000000000004</v>
      </c>
      <c r="M78" s="16"/>
      <c r="N78" s="18"/>
      <c r="O78" s="19">
        <f t="shared" si="262"/>
        <v>0</v>
      </c>
      <c r="P78" s="16"/>
      <c r="Q78" s="18"/>
      <c r="R78" s="19">
        <f t="shared" si="263"/>
        <v>0</v>
      </c>
      <c r="S78" s="20">
        <f t="shared" si="264"/>
        <v>1</v>
      </c>
      <c r="T78" s="19">
        <f t="shared" si="265"/>
        <v>0.16284000000000004</v>
      </c>
      <c r="U78" s="21">
        <f t="shared" si="266"/>
        <v>-1</v>
      </c>
      <c r="V78" s="19">
        <f t="shared" si="267"/>
        <v>-0.16284000000000004</v>
      </c>
    </row>
    <row r="79" spans="1:22">
      <c r="A79" s="26" t="s">
        <v>13</v>
      </c>
      <c r="B79" s="26" t="s">
        <v>53</v>
      </c>
      <c r="C79" s="30">
        <v>23.6</v>
      </c>
      <c r="D79" s="27">
        <v>7</v>
      </c>
      <c r="E79" s="28"/>
      <c r="F79" s="16">
        <f t="shared" si="259"/>
        <v>0</v>
      </c>
      <c r="G79" s="17"/>
      <c r="H79" s="18"/>
      <c r="I79" s="19">
        <f t="shared" si="260"/>
        <v>0</v>
      </c>
      <c r="J79" s="16"/>
      <c r="K79" s="18"/>
      <c r="L79" s="19">
        <f t="shared" si="261"/>
        <v>0</v>
      </c>
      <c r="M79" s="16"/>
      <c r="N79" s="18"/>
      <c r="O79" s="19">
        <f t="shared" si="262"/>
        <v>0</v>
      </c>
      <c r="P79" s="16"/>
      <c r="Q79" s="18"/>
      <c r="R79" s="19">
        <f t="shared" si="263"/>
        <v>0</v>
      </c>
      <c r="S79" s="20">
        <f t="shared" si="264"/>
        <v>0</v>
      </c>
      <c r="T79" s="19">
        <f t="shared" si="265"/>
        <v>0</v>
      </c>
      <c r="U79" s="21">
        <f t="shared" si="266"/>
        <v>0</v>
      </c>
      <c r="V79" s="19">
        <f t="shared" si="267"/>
        <v>0</v>
      </c>
    </row>
    <row r="80" spans="1:22">
      <c r="A80" s="26" t="s">
        <v>13</v>
      </c>
      <c r="B80" s="26" t="s">
        <v>53</v>
      </c>
      <c r="C80" s="30">
        <v>23.6</v>
      </c>
      <c r="D80" s="27">
        <v>7.2</v>
      </c>
      <c r="E80" s="28"/>
      <c r="F80" s="16">
        <f t="shared" si="259"/>
        <v>0</v>
      </c>
      <c r="G80" s="17"/>
      <c r="H80" s="18"/>
      <c r="I80" s="19">
        <f t="shared" si="260"/>
        <v>0</v>
      </c>
      <c r="J80" s="16"/>
      <c r="K80" s="18">
        <v>1</v>
      </c>
      <c r="L80" s="19">
        <f t="shared" si="261"/>
        <v>0.16992000000000002</v>
      </c>
      <c r="M80" s="16"/>
      <c r="N80" s="18"/>
      <c r="O80" s="19">
        <f t="shared" si="262"/>
        <v>0</v>
      </c>
      <c r="P80" s="16"/>
      <c r="Q80" s="18"/>
      <c r="R80" s="19">
        <f t="shared" si="263"/>
        <v>0</v>
      </c>
      <c r="S80" s="20">
        <f t="shared" si="264"/>
        <v>1</v>
      </c>
      <c r="T80" s="19">
        <f t="shared" si="265"/>
        <v>0.16992000000000002</v>
      </c>
      <c r="U80" s="21">
        <f t="shared" si="266"/>
        <v>-1</v>
      </c>
      <c r="V80" s="19">
        <f t="shared" si="267"/>
        <v>-0.16992000000000002</v>
      </c>
    </row>
    <row r="81" spans="1:22">
      <c r="A81" s="26" t="s">
        <v>13</v>
      </c>
      <c r="B81" s="26" t="s">
        <v>53</v>
      </c>
      <c r="C81" s="30">
        <v>23.6</v>
      </c>
      <c r="D81" s="27">
        <v>10.7</v>
      </c>
      <c r="E81" s="28"/>
      <c r="F81" s="16">
        <f t="shared" si="259"/>
        <v>0</v>
      </c>
      <c r="G81" s="17"/>
      <c r="H81" s="18"/>
      <c r="I81" s="19">
        <f t="shared" si="260"/>
        <v>0</v>
      </c>
      <c r="J81" s="16"/>
      <c r="K81" s="18">
        <v>1</v>
      </c>
      <c r="L81" s="19">
        <f t="shared" si="261"/>
        <v>0.25252000000000002</v>
      </c>
      <c r="M81" s="16"/>
      <c r="N81" s="18"/>
      <c r="O81" s="19">
        <f t="shared" si="262"/>
        <v>0</v>
      </c>
      <c r="P81" s="16"/>
      <c r="Q81" s="18"/>
      <c r="R81" s="19">
        <f t="shared" si="263"/>
        <v>0</v>
      </c>
      <c r="S81" s="20">
        <f t="shared" si="264"/>
        <v>1</v>
      </c>
      <c r="T81" s="19">
        <f t="shared" si="265"/>
        <v>0.25252000000000002</v>
      </c>
      <c r="U81" s="21">
        <f t="shared" si="266"/>
        <v>-1</v>
      </c>
      <c r="V81" s="19">
        <f t="shared" si="267"/>
        <v>-0.25252000000000002</v>
      </c>
    </row>
    <row r="82" spans="1:22">
      <c r="A82" s="26" t="s">
        <v>13</v>
      </c>
      <c r="B82" s="26" t="s">
        <v>53</v>
      </c>
      <c r="C82" s="30">
        <v>23.6</v>
      </c>
      <c r="D82" s="27">
        <v>11</v>
      </c>
      <c r="E82" s="28"/>
      <c r="F82" s="16">
        <f t="shared" si="259"/>
        <v>0</v>
      </c>
      <c r="G82" s="17"/>
      <c r="H82" s="18"/>
      <c r="I82" s="19">
        <f t="shared" si="260"/>
        <v>0</v>
      </c>
      <c r="J82" s="16"/>
      <c r="K82" s="18">
        <v>1</v>
      </c>
      <c r="L82" s="19">
        <f t="shared" si="261"/>
        <v>0.2596</v>
      </c>
      <c r="M82" s="16"/>
      <c r="N82" s="18"/>
      <c r="O82" s="19">
        <f t="shared" si="262"/>
        <v>0</v>
      </c>
      <c r="P82" s="16"/>
      <c r="Q82" s="18"/>
      <c r="R82" s="19">
        <f t="shared" si="263"/>
        <v>0</v>
      </c>
      <c r="S82" s="20">
        <f t="shared" si="264"/>
        <v>1</v>
      </c>
      <c r="T82" s="19">
        <f t="shared" si="265"/>
        <v>0.2596</v>
      </c>
      <c r="U82" s="21">
        <f t="shared" si="266"/>
        <v>-1</v>
      </c>
      <c r="V82" s="19">
        <f t="shared" si="267"/>
        <v>-0.2596</v>
      </c>
    </row>
    <row r="83" spans="1:22">
      <c r="A83" s="26" t="s">
        <v>13</v>
      </c>
      <c r="B83" s="26" t="s">
        <v>53</v>
      </c>
      <c r="C83" s="30">
        <v>23.6</v>
      </c>
      <c r="D83" s="27">
        <v>7.6</v>
      </c>
      <c r="E83" s="28"/>
      <c r="F83" s="16">
        <f t="shared" si="250"/>
        <v>0</v>
      </c>
      <c r="G83" s="17"/>
      <c r="H83" s="18"/>
      <c r="I83" s="19">
        <f t="shared" si="251"/>
        <v>0</v>
      </c>
      <c r="J83" s="16"/>
      <c r="K83" s="18">
        <v>2</v>
      </c>
      <c r="L83" s="19">
        <f t="shared" si="252"/>
        <v>0.35872000000000004</v>
      </c>
      <c r="M83" s="16"/>
      <c r="N83" s="18"/>
      <c r="O83" s="19">
        <f t="shared" si="253"/>
        <v>0</v>
      </c>
      <c r="P83" s="16"/>
      <c r="Q83" s="18"/>
      <c r="R83" s="19">
        <f t="shared" si="254"/>
        <v>0</v>
      </c>
      <c r="S83" s="20">
        <f t="shared" si="255"/>
        <v>2</v>
      </c>
      <c r="T83" s="19">
        <f t="shared" si="256"/>
        <v>0.35872000000000004</v>
      </c>
      <c r="U83" s="21">
        <f t="shared" si="257"/>
        <v>-2</v>
      </c>
      <c r="V83" s="19">
        <f t="shared" si="258"/>
        <v>-0.35872000000000004</v>
      </c>
    </row>
    <row r="84" spans="1:22">
      <c r="A84" s="36"/>
      <c r="B84" s="36"/>
      <c r="C84" s="37"/>
      <c r="D84" s="38"/>
      <c r="E84" s="31">
        <f t="shared" ref="E84:F84" si="268">SUM(E75:E83)</f>
        <v>31</v>
      </c>
      <c r="F84" s="38">
        <f t="shared" si="268"/>
        <v>6.8204000000000011</v>
      </c>
      <c r="H84" s="31">
        <f t="shared" ref="H84" si="269">SUM(H75:H83)</f>
        <v>13</v>
      </c>
      <c r="I84" s="38">
        <f t="shared" ref="I84" si="270">SUM(I75:I83)</f>
        <v>3.3984000000000005</v>
      </c>
      <c r="K84" s="31">
        <f>SUM(K75:K83)</f>
        <v>17</v>
      </c>
      <c r="L84" s="38">
        <f>SUM(L75:L83)</f>
        <v>3.4691999999999998</v>
      </c>
      <c r="N84" s="31">
        <f t="shared" ref="N84" si="271">SUM(N75:N83)</f>
        <v>0</v>
      </c>
      <c r="O84" s="38">
        <f t="shared" ref="O84" si="272">SUM(O75:O83)</f>
        <v>0</v>
      </c>
      <c r="Q84" s="31">
        <f t="shared" ref="Q84" si="273">SUM(Q75:Q83)</f>
        <v>0</v>
      </c>
      <c r="R84" s="38">
        <f t="shared" ref="R84" si="274">SUM(R75:R83)</f>
        <v>0</v>
      </c>
      <c r="S84" s="31">
        <f t="shared" ref="S84" si="275">SUM(S75:S83)</f>
        <v>30</v>
      </c>
      <c r="T84" s="38">
        <f t="shared" ref="T84" si="276">SUM(T75:T83)</f>
        <v>6.8675999999999995</v>
      </c>
      <c r="U84" s="31">
        <f t="shared" ref="U84" si="277">SUM(U75:U83)</f>
        <v>1</v>
      </c>
      <c r="V84" s="38">
        <f t="shared" ref="V84" si="278">SUM(V75:V83)</f>
        <v>-4.7200000000000186E-2</v>
      </c>
    </row>
    <row r="85" spans="1:22">
      <c r="A85" s="26" t="s">
        <v>13</v>
      </c>
      <c r="B85" s="26" t="s">
        <v>55</v>
      </c>
      <c r="C85" s="30">
        <v>16</v>
      </c>
      <c r="D85" s="27">
        <v>8.8000000000000007</v>
      </c>
      <c r="E85" s="28">
        <v>5</v>
      </c>
      <c r="F85" s="16">
        <f>(C85*D85*E85/1000)</f>
        <v>0.70399999999999996</v>
      </c>
      <c r="G85" s="16" t="s">
        <v>111</v>
      </c>
      <c r="H85" s="18"/>
      <c r="I85" s="19">
        <f>(C85*D85*H85/1000)</f>
        <v>0</v>
      </c>
      <c r="J85" s="16"/>
      <c r="K85" s="18"/>
      <c r="L85" s="19">
        <f>(C85*D85*K85/1000)</f>
        <v>0</v>
      </c>
      <c r="M85" s="16"/>
      <c r="N85" s="18"/>
      <c r="O85" s="19">
        <f>(C85*D85*N85/1000)</f>
        <v>0</v>
      </c>
      <c r="P85" s="16"/>
      <c r="Q85" s="18"/>
      <c r="R85" s="19">
        <f>(C85*D85*Q85/1000)</f>
        <v>0</v>
      </c>
      <c r="S85" s="20">
        <f>+H85+K85+Q85+N85</f>
        <v>0</v>
      </c>
      <c r="T85" s="19">
        <f>+I85+L85+R85+O85</f>
        <v>0</v>
      </c>
      <c r="U85" s="21">
        <f>E85-S85</f>
        <v>5</v>
      </c>
      <c r="V85" s="19">
        <f>F85-T85</f>
        <v>0.70399999999999996</v>
      </c>
    </row>
    <row r="86" spans="1:22">
      <c r="A86" s="26" t="s">
        <v>13</v>
      </c>
      <c r="B86" s="26" t="s">
        <v>55</v>
      </c>
      <c r="C86" s="30">
        <v>16</v>
      </c>
      <c r="D86" s="27">
        <v>10.199999999999999</v>
      </c>
      <c r="E86" s="28">
        <v>5</v>
      </c>
      <c r="F86" s="16">
        <f t="shared" ref="F86:F95" si="279">(C86*D86*E86/1000)</f>
        <v>0.81599999999999995</v>
      </c>
      <c r="G86" s="16" t="s">
        <v>604</v>
      </c>
      <c r="H86" s="18"/>
      <c r="I86" s="19">
        <f t="shared" ref="I86:I95" si="280">(C86*D86*H86/1000)</f>
        <v>0</v>
      </c>
      <c r="J86" s="16"/>
      <c r="K86" s="18"/>
      <c r="L86" s="19">
        <f t="shared" ref="L86:L95" si="281">(C86*D86*K86/1000)</f>
        <v>0</v>
      </c>
      <c r="M86" s="16"/>
      <c r="N86" s="18"/>
      <c r="O86" s="19">
        <f t="shared" ref="O86:O95" si="282">(C86*D86*N86/1000)</f>
        <v>0</v>
      </c>
      <c r="P86" s="16"/>
      <c r="Q86" s="18"/>
      <c r="R86" s="19">
        <f t="shared" ref="R86:R95" si="283">(C86*D86*Q86/1000)</f>
        <v>0</v>
      </c>
      <c r="S86" s="20">
        <f t="shared" ref="S86:S95" si="284">+H86+K86+Q86+N86</f>
        <v>0</v>
      </c>
      <c r="T86" s="19">
        <f t="shared" ref="T86:T95" si="285">+I86+L86+R86+O86</f>
        <v>0</v>
      </c>
      <c r="U86" s="21">
        <f t="shared" ref="U86:U95" si="286">E86-S86</f>
        <v>5</v>
      </c>
      <c r="V86" s="19">
        <f t="shared" ref="V86:V95" si="287">F86-T86</f>
        <v>0.81599999999999995</v>
      </c>
    </row>
    <row r="87" spans="1:22">
      <c r="A87" s="26" t="s">
        <v>13</v>
      </c>
      <c r="B87" s="26" t="s">
        <v>55</v>
      </c>
      <c r="C87" s="30">
        <v>16</v>
      </c>
      <c r="D87" s="27">
        <v>6.7</v>
      </c>
      <c r="E87" s="28"/>
      <c r="F87" s="16">
        <f t="shared" si="279"/>
        <v>0</v>
      </c>
      <c r="G87" s="16"/>
      <c r="H87" s="18">
        <v>1</v>
      </c>
      <c r="I87" s="19">
        <f t="shared" si="280"/>
        <v>0.1072</v>
      </c>
      <c r="J87" s="16"/>
      <c r="K87" s="18"/>
      <c r="L87" s="19">
        <f t="shared" si="281"/>
        <v>0</v>
      </c>
      <c r="M87" s="16"/>
      <c r="N87" s="18"/>
      <c r="O87" s="19">
        <f t="shared" si="282"/>
        <v>0</v>
      </c>
      <c r="P87" s="16"/>
      <c r="Q87" s="18"/>
      <c r="R87" s="19">
        <f t="shared" si="283"/>
        <v>0</v>
      </c>
      <c r="S87" s="20">
        <f t="shared" si="284"/>
        <v>1</v>
      </c>
      <c r="T87" s="19">
        <f t="shared" si="285"/>
        <v>0.1072</v>
      </c>
      <c r="U87" s="21">
        <f t="shared" si="286"/>
        <v>-1</v>
      </c>
      <c r="V87" s="19">
        <f t="shared" si="287"/>
        <v>-0.1072</v>
      </c>
    </row>
    <row r="88" spans="1:22">
      <c r="A88" s="26" t="s">
        <v>13</v>
      </c>
      <c r="B88" s="26" t="s">
        <v>55</v>
      </c>
      <c r="C88" s="30">
        <v>16</v>
      </c>
      <c r="D88" s="27">
        <v>7.1</v>
      </c>
      <c r="E88" s="28"/>
      <c r="F88" s="16">
        <f t="shared" si="279"/>
        <v>0</v>
      </c>
      <c r="G88" s="16"/>
      <c r="H88" s="18">
        <v>2</v>
      </c>
      <c r="I88" s="19">
        <f t="shared" si="280"/>
        <v>0.22719999999999999</v>
      </c>
      <c r="J88" s="16"/>
      <c r="K88" s="18"/>
      <c r="L88" s="19">
        <f t="shared" si="281"/>
        <v>0</v>
      </c>
      <c r="M88" s="16"/>
      <c r="N88" s="18"/>
      <c r="O88" s="19">
        <f t="shared" si="282"/>
        <v>0</v>
      </c>
      <c r="P88" s="16"/>
      <c r="Q88" s="18"/>
      <c r="R88" s="19">
        <f t="shared" si="283"/>
        <v>0</v>
      </c>
      <c r="S88" s="20">
        <f t="shared" si="284"/>
        <v>2</v>
      </c>
      <c r="T88" s="19">
        <f t="shared" si="285"/>
        <v>0.22719999999999999</v>
      </c>
      <c r="U88" s="21">
        <f t="shared" si="286"/>
        <v>-2</v>
      </c>
      <c r="V88" s="19">
        <f t="shared" si="287"/>
        <v>-0.22719999999999999</v>
      </c>
    </row>
    <row r="89" spans="1:22">
      <c r="A89" s="26" t="s">
        <v>13</v>
      </c>
      <c r="B89" s="26" t="s">
        <v>55</v>
      </c>
      <c r="C89" s="30">
        <v>16</v>
      </c>
      <c r="D89" s="27">
        <v>7.3</v>
      </c>
      <c r="E89" s="28"/>
      <c r="F89" s="16">
        <f t="shared" si="279"/>
        <v>0</v>
      </c>
      <c r="G89" s="16"/>
      <c r="H89" s="18">
        <v>1</v>
      </c>
      <c r="I89" s="19">
        <f t="shared" si="280"/>
        <v>0.1168</v>
      </c>
      <c r="J89" s="16"/>
      <c r="K89" s="18"/>
      <c r="L89" s="19">
        <f t="shared" si="281"/>
        <v>0</v>
      </c>
      <c r="M89" s="16"/>
      <c r="N89" s="18"/>
      <c r="O89" s="19">
        <f t="shared" si="282"/>
        <v>0</v>
      </c>
      <c r="P89" s="16"/>
      <c r="Q89" s="18"/>
      <c r="R89" s="19">
        <f t="shared" si="283"/>
        <v>0</v>
      </c>
      <c r="S89" s="20">
        <f t="shared" si="284"/>
        <v>1</v>
      </c>
      <c r="T89" s="19">
        <f t="shared" si="285"/>
        <v>0.1168</v>
      </c>
      <c r="U89" s="21">
        <f t="shared" si="286"/>
        <v>-1</v>
      </c>
      <c r="V89" s="19">
        <f t="shared" si="287"/>
        <v>-0.1168</v>
      </c>
    </row>
    <row r="90" spans="1:22">
      <c r="A90" s="26" t="s">
        <v>13</v>
      </c>
      <c r="B90" s="26" t="s">
        <v>55</v>
      </c>
      <c r="C90" s="30">
        <v>16</v>
      </c>
      <c r="D90" s="27">
        <v>7.9</v>
      </c>
      <c r="E90" s="28"/>
      <c r="F90" s="16">
        <f t="shared" si="279"/>
        <v>0</v>
      </c>
      <c r="G90" s="16"/>
      <c r="H90" s="18">
        <v>2</v>
      </c>
      <c r="I90" s="19">
        <f t="shared" si="280"/>
        <v>0.25280000000000002</v>
      </c>
      <c r="J90" s="16"/>
      <c r="K90" s="18"/>
      <c r="L90" s="19">
        <f t="shared" si="281"/>
        <v>0</v>
      </c>
      <c r="M90" s="16"/>
      <c r="N90" s="18"/>
      <c r="O90" s="19">
        <f t="shared" si="282"/>
        <v>0</v>
      </c>
      <c r="P90" s="16"/>
      <c r="Q90" s="18"/>
      <c r="R90" s="19">
        <f t="shared" si="283"/>
        <v>0</v>
      </c>
      <c r="S90" s="20">
        <f t="shared" si="284"/>
        <v>2</v>
      </c>
      <c r="T90" s="19">
        <f t="shared" si="285"/>
        <v>0.25280000000000002</v>
      </c>
      <c r="U90" s="21">
        <f t="shared" si="286"/>
        <v>-2</v>
      </c>
      <c r="V90" s="19">
        <f t="shared" si="287"/>
        <v>-0.25280000000000002</v>
      </c>
    </row>
    <row r="91" spans="1:22">
      <c r="A91" s="26" t="s">
        <v>13</v>
      </c>
      <c r="B91" s="26" t="s">
        <v>55</v>
      </c>
      <c r="C91" s="30">
        <v>16</v>
      </c>
      <c r="D91" s="27">
        <v>10.6</v>
      </c>
      <c r="E91" s="28"/>
      <c r="F91" s="16">
        <f t="shared" si="279"/>
        <v>0</v>
      </c>
      <c r="G91" s="16"/>
      <c r="H91" s="18">
        <v>1</v>
      </c>
      <c r="I91" s="19">
        <f t="shared" si="280"/>
        <v>0.1696</v>
      </c>
      <c r="J91" s="16"/>
      <c r="K91" s="18"/>
      <c r="L91" s="19">
        <f t="shared" si="281"/>
        <v>0</v>
      </c>
      <c r="M91" s="16"/>
      <c r="N91" s="18"/>
      <c r="O91" s="19">
        <f t="shared" si="282"/>
        <v>0</v>
      </c>
      <c r="P91" s="16"/>
      <c r="Q91" s="18"/>
      <c r="R91" s="19">
        <f t="shared" si="283"/>
        <v>0</v>
      </c>
      <c r="S91" s="20">
        <f t="shared" si="284"/>
        <v>1</v>
      </c>
      <c r="T91" s="19">
        <f t="shared" si="285"/>
        <v>0.1696</v>
      </c>
      <c r="U91" s="21">
        <f t="shared" si="286"/>
        <v>-1</v>
      </c>
      <c r="V91" s="19">
        <f t="shared" si="287"/>
        <v>-0.1696</v>
      </c>
    </row>
    <row r="92" spans="1:22">
      <c r="A92" s="26" t="s">
        <v>13</v>
      </c>
      <c r="B92" s="26" t="s">
        <v>55</v>
      </c>
      <c r="C92" s="30">
        <v>16</v>
      </c>
      <c r="D92" s="27">
        <v>10</v>
      </c>
      <c r="E92" s="28"/>
      <c r="F92" s="16">
        <f t="shared" si="279"/>
        <v>0</v>
      </c>
      <c r="G92" s="16"/>
      <c r="H92" s="18">
        <v>1</v>
      </c>
      <c r="I92" s="19">
        <f t="shared" si="280"/>
        <v>0.16</v>
      </c>
      <c r="J92" s="16"/>
      <c r="K92" s="18"/>
      <c r="L92" s="19">
        <f t="shared" si="281"/>
        <v>0</v>
      </c>
      <c r="M92" s="16"/>
      <c r="N92" s="18"/>
      <c r="O92" s="19">
        <f t="shared" si="282"/>
        <v>0</v>
      </c>
      <c r="P92" s="16"/>
      <c r="Q92" s="18"/>
      <c r="R92" s="19">
        <f t="shared" si="283"/>
        <v>0</v>
      </c>
      <c r="S92" s="20">
        <f t="shared" si="284"/>
        <v>1</v>
      </c>
      <c r="T92" s="19">
        <f t="shared" si="285"/>
        <v>0.16</v>
      </c>
      <c r="U92" s="21">
        <f t="shared" si="286"/>
        <v>-1</v>
      </c>
      <c r="V92" s="19">
        <f t="shared" si="287"/>
        <v>-0.16</v>
      </c>
    </row>
    <row r="93" spans="1:22">
      <c r="A93" s="26" t="s">
        <v>13</v>
      </c>
      <c r="B93" s="26" t="s">
        <v>55</v>
      </c>
      <c r="C93" s="30">
        <v>16</v>
      </c>
      <c r="D93" s="27">
        <v>10.7</v>
      </c>
      <c r="E93" s="28"/>
      <c r="F93" s="16">
        <f t="shared" si="279"/>
        <v>0</v>
      </c>
      <c r="G93" s="16"/>
      <c r="H93" s="18">
        <v>1</v>
      </c>
      <c r="I93" s="19">
        <f t="shared" si="280"/>
        <v>0.17119999999999999</v>
      </c>
      <c r="J93" s="16"/>
      <c r="K93" s="18"/>
      <c r="L93" s="19">
        <f t="shared" si="281"/>
        <v>0</v>
      </c>
      <c r="M93" s="16"/>
      <c r="N93" s="18"/>
      <c r="O93" s="19">
        <f t="shared" si="282"/>
        <v>0</v>
      </c>
      <c r="P93" s="16"/>
      <c r="Q93" s="18"/>
      <c r="R93" s="19">
        <f t="shared" si="283"/>
        <v>0</v>
      </c>
      <c r="S93" s="20">
        <f t="shared" si="284"/>
        <v>1</v>
      </c>
      <c r="T93" s="19">
        <f t="shared" si="285"/>
        <v>0.17119999999999999</v>
      </c>
      <c r="U93" s="21">
        <f t="shared" si="286"/>
        <v>-1</v>
      </c>
      <c r="V93" s="19">
        <f t="shared" si="287"/>
        <v>-0.17119999999999999</v>
      </c>
    </row>
    <row r="94" spans="1:22">
      <c r="A94" s="26" t="s">
        <v>13</v>
      </c>
      <c r="B94" s="26" t="s">
        <v>55</v>
      </c>
      <c r="C94" s="30">
        <v>16</v>
      </c>
      <c r="D94" s="27">
        <v>11</v>
      </c>
      <c r="E94" s="28"/>
      <c r="F94" s="16">
        <f t="shared" si="279"/>
        <v>0</v>
      </c>
      <c r="G94" s="16"/>
      <c r="H94" s="18">
        <v>1</v>
      </c>
      <c r="I94" s="19">
        <f t="shared" si="280"/>
        <v>0.17599999999999999</v>
      </c>
      <c r="J94" s="16"/>
      <c r="K94" s="18"/>
      <c r="L94" s="19">
        <f t="shared" si="281"/>
        <v>0</v>
      </c>
      <c r="M94" s="16"/>
      <c r="N94" s="18"/>
      <c r="O94" s="19">
        <f t="shared" si="282"/>
        <v>0</v>
      </c>
      <c r="P94" s="16"/>
      <c r="Q94" s="18"/>
      <c r="R94" s="19">
        <f t="shared" si="283"/>
        <v>0</v>
      </c>
      <c r="S94" s="20">
        <f t="shared" si="284"/>
        <v>1</v>
      </c>
      <c r="T94" s="19">
        <f t="shared" si="285"/>
        <v>0.17599999999999999</v>
      </c>
      <c r="U94" s="21">
        <f t="shared" si="286"/>
        <v>-1</v>
      </c>
      <c r="V94" s="19">
        <f t="shared" si="287"/>
        <v>-0.17599999999999999</v>
      </c>
    </row>
    <row r="95" spans="1:22">
      <c r="A95" s="26" t="s">
        <v>13</v>
      </c>
      <c r="B95" s="26" t="s">
        <v>55</v>
      </c>
      <c r="C95" s="30">
        <v>16</v>
      </c>
      <c r="D95" s="27">
        <v>9.1</v>
      </c>
      <c r="E95" s="28"/>
      <c r="F95" s="16">
        <f t="shared" si="279"/>
        <v>0</v>
      </c>
      <c r="G95" s="16"/>
      <c r="H95" s="18">
        <v>1</v>
      </c>
      <c r="I95" s="19">
        <f t="shared" si="280"/>
        <v>0.14560000000000001</v>
      </c>
      <c r="J95" s="16"/>
      <c r="K95" s="18"/>
      <c r="L95" s="19">
        <f t="shared" si="281"/>
        <v>0</v>
      </c>
      <c r="M95" s="16"/>
      <c r="N95" s="18"/>
      <c r="O95" s="19">
        <f t="shared" si="282"/>
        <v>0</v>
      </c>
      <c r="P95" s="16"/>
      <c r="Q95" s="18"/>
      <c r="R95" s="19">
        <f t="shared" si="283"/>
        <v>0</v>
      </c>
      <c r="S95" s="20">
        <f t="shared" si="284"/>
        <v>1</v>
      </c>
      <c r="T95" s="19">
        <f t="shared" si="285"/>
        <v>0.14560000000000001</v>
      </c>
      <c r="U95" s="21">
        <f t="shared" si="286"/>
        <v>-1</v>
      </c>
      <c r="V95" s="19">
        <f t="shared" si="287"/>
        <v>-0.14560000000000001</v>
      </c>
    </row>
    <row r="96" spans="1:22">
      <c r="A96" s="26" t="s">
        <v>13</v>
      </c>
      <c r="B96" s="26" t="s">
        <v>55</v>
      </c>
      <c r="C96" s="30">
        <v>16</v>
      </c>
      <c r="D96" s="27">
        <v>10.8</v>
      </c>
      <c r="E96" s="28"/>
      <c r="F96" s="16">
        <f>(C96*D96*E96/1000)</f>
        <v>0</v>
      </c>
      <c r="G96" s="16"/>
      <c r="H96" s="18">
        <v>1</v>
      </c>
      <c r="I96" s="19">
        <f>(C96*D96*H96/1000)</f>
        <v>0.17280000000000001</v>
      </c>
      <c r="J96" s="16"/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>+H96+K96+Q96+N96</f>
        <v>1</v>
      </c>
      <c r="T96" s="19">
        <f>+I96+L96+R96+O96</f>
        <v>0.17280000000000001</v>
      </c>
      <c r="U96" s="21">
        <f>E96-S96</f>
        <v>-1</v>
      </c>
      <c r="V96" s="19">
        <f>F96-T96</f>
        <v>-0.17280000000000001</v>
      </c>
    </row>
    <row r="97" spans="1:22">
      <c r="A97" s="36"/>
      <c r="B97" s="36"/>
      <c r="C97" s="37"/>
      <c r="D97" s="38"/>
      <c r="E97" s="31">
        <f t="shared" ref="E97:F97" si="288">SUM(E85:E96)</f>
        <v>10</v>
      </c>
      <c r="F97" s="38">
        <f t="shared" si="288"/>
        <v>1.52</v>
      </c>
      <c r="H97" s="31">
        <f t="shared" ref="H97" si="289">SUM(H85:H96)</f>
        <v>12</v>
      </c>
      <c r="I97" s="38">
        <f t="shared" ref="I97" si="290">SUM(I85:I96)</f>
        <v>1.6991999999999998</v>
      </c>
      <c r="K97" s="31">
        <f t="shared" ref="K97" si="291">SUM(K85:K96)</f>
        <v>0</v>
      </c>
      <c r="L97" s="38">
        <f t="shared" ref="L97" si="292">SUM(L85:L96)</f>
        <v>0</v>
      </c>
      <c r="N97" s="31">
        <f t="shared" ref="N97" si="293">SUM(N85:N96)</f>
        <v>0</v>
      </c>
      <c r="O97" s="38">
        <f t="shared" ref="O97" si="294">SUM(O85:O96)</f>
        <v>0</v>
      </c>
      <c r="Q97" s="31">
        <f t="shared" ref="Q97" si="295">SUM(Q85:Q96)</f>
        <v>0</v>
      </c>
      <c r="R97" s="38">
        <f t="shared" ref="R97" si="296">SUM(R85:R96)</f>
        <v>0</v>
      </c>
      <c r="S97" s="31">
        <f t="shared" ref="S97" si="297">SUM(S85:S96)</f>
        <v>12</v>
      </c>
      <c r="T97" s="38">
        <f t="shared" ref="T97" si="298">SUM(T85:T96)</f>
        <v>1.6991999999999998</v>
      </c>
      <c r="U97" s="31">
        <f t="shared" ref="U97" si="299">SUM(U85:U96)</f>
        <v>-2</v>
      </c>
      <c r="V97" s="38">
        <f t="shared" ref="V97" si="300">SUM(V85:V96)</f>
        <v>-0.17920000000000008</v>
      </c>
    </row>
    <row r="98" spans="1:22">
      <c r="A98" s="26" t="s">
        <v>13</v>
      </c>
      <c r="B98" s="26" t="s">
        <v>56</v>
      </c>
      <c r="C98" s="30">
        <v>17.899999999999999</v>
      </c>
      <c r="D98" s="27">
        <v>10</v>
      </c>
      <c r="E98" s="28">
        <v>1</v>
      </c>
      <c r="F98" s="16">
        <f>(C98*D98*E98/1000)</f>
        <v>0.17899999999999999</v>
      </c>
      <c r="G98" s="17" t="s">
        <v>111</v>
      </c>
      <c r="H98" s="18">
        <v>1</v>
      </c>
      <c r="I98" s="19">
        <f>(C98*D98*H98/1000)</f>
        <v>0.17899999999999999</v>
      </c>
      <c r="J98" s="16"/>
      <c r="K98" s="18"/>
      <c r="L98" s="19">
        <f>(C98*D98*K98/1000)</f>
        <v>0</v>
      </c>
      <c r="M98" s="16"/>
      <c r="N98" s="18"/>
      <c r="O98" s="19">
        <f>(C98*D98*N98/1000)</f>
        <v>0</v>
      </c>
      <c r="P98" s="16"/>
      <c r="Q98" s="18"/>
      <c r="R98" s="19">
        <f>(C98*D98*Q98/1000)</f>
        <v>0</v>
      </c>
      <c r="S98" s="20">
        <f t="shared" ref="S98:T108" si="301">+H98+K98+Q98+N98</f>
        <v>1</v>
      </c>
      <c r="T98" s="19">
        <f t="shared" si="301"/>
        <v>0.17899999999999999</v>
      </c>
      <c r="U98" s="21">
        <f t="shared" ref="U98:V108" si="302">E98-S98</f>
        <v>0</v>
      </c>
      <c r="V98" s="19">
        <f t="shared" si="302"/>
        <v>0</v>
      </c>
    </row>
    <row r="99" spans="1:22">
      <c r="A99" s="26" t="s">
        <v>13</v>
      </c>
      <c r="B99" s="26" t="s">
        <v>56</v>
      </c>
      <c r="C99" s="30">
        <v>17.899999999999999</v>
      </c>
      <c r="D99" s="27">
        <v>11.5</v>
      </c>
      <c r="E99" s="28">
        <v>4</v>
      </c>
      <c r="F99" s="16">
        <f>(C99*D99*E99/1000)</f>
        <v>0.82340000000000002</v>
      </c>
      <c r="G99" s="17" t="s">
        <v>588</v>
      </c>
      <c r="H99" s="18"/>
      <c r="I99" s="19">
        <f>(C99*D99*H99/1000)</f>
        <v>0</v>
      </c>
      <c r="J99" s="16"/>
      <c r="K99" s="18"/>
      <c r="L99" s="19">
        <f>(C99*D99*K99/1000)</f>
        <v>0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 t="shared" si="301"/>
        <v>0</v>
      </c>
      <c r="T99" s="19">
        <f t="shared" si="301"/>
        <v>0</v>
      </c>
      <c r="U99" s="21">
        <f t="shared" si="302"/>
        <v>4</v>
      </c>
      <c r="V99" s="19">
        <f t="shared" si="302"/>
        <v>0.82340000000000002</v>
      </c>
    </row>
    <row r="100" spans="1:22">
      <c r="A100" s="26" t="s">
        <v>13</v>
      </c>
      <c r="B100" s="26" t="s">
        <v>56</v>
      </c>
      <c r="C100" s="30">
        <v>17.899999999999999</v>
      </c>
      <c r="D100" s="27">
        <v>12</v>
      </c>
      <c r="E100" s="28">
        <v>5</v>
      </c>
      <c r="F100" s="16">
        <f t="shared" ref="F100:F107" si="303">(C100*D100*E100/1000)</f>
        <v>1.0740000000000001</v>
      </c>
      <c r="G100" s="17"/>
      <c r="H100" s="18">
        <v>1</v>
      </c>
      <c r="I100" s="19">
        <f t="shared" ref="I100:I107" si="304">(C100*D100*H100/1000)</f>
        <v>0.21479999999999999</v>
      </c>
      <c r="J100" s="16"/>
      <c r="K100" s="18"/>
      <c r="L100" s="19">
        <f t="shared" ref="L100:L107" si="305">(C100*D100*K100/1000)</f>
        <v>0</v>
      </c>
      <c r="M100" s="16"/>
      <c r="N100" s="18"/>
      <c r="O100" s="19">
        <f t="shared" ref="O100:O107" si="306">(C100*D100*N100/1000)</f>
        <v>0</v>
      </c>
      <c r="P100" s="16"/>
      <c r="Q100" s="18"/>
      <c r="R100" s="19">
        <f t="shared" ref="R100:R107" si="307">(C100*D100*Q100/1000)</f>
        <v>0</v>
      </c>
      <c r="S100" s="20">
        <f t="shared" ref="S100:S107" si="308">+H100+K100+Q100+N100</f>
        <v>1</v>
      </c>
      <c r="T100" s="19">
        <f t="shared" ref="T100:T107" si="309">+I100+L100+R100+O100</f>
        <v>0.21479999999999999</v>
      </c>
      <c r="U100" s="21">
        <f t="shared" ref="U100:U107" si="310">E100-S100</f>
        <v>4</v>
      </c>
      <c r="V100" s="19">
        <f t="shared" ref="V100:V107" si="311">F100-T100</f>
        <v>0.85920000000000007</v>
      </c>
    </row>
    <row r="101" spans="1:22">
      <c r="A101" s="26" t="s">
        <v>13</v>
      </c>
      <c r="B101" s="26" t="s">
        <v>56</v>
      </c>
      <c r="C101" s="30">
        <v>17.899999999999999</v>
      </c>
      <c r="D101" s="27">
        <v>7.7</v>
      </c>
      <c r="E101" s="28"/>
      <c r="F101" s="16">
        <f t="shared" si="303"/>
        <v>0</v>
      </c>
      <c r="G101" s="17"/>
      <c r="H101" s="18">
        <v>1</v>
      </c>
      <c r="I101" s="19">
        <f t="shared" si="304"/>
        <v>0.13782999999999998</v>
      </c>
      <c r="J101" s="16"/>
      <c r="K101" s="18"/>
      <c r="L101" s="19">
        <f t="shared" si="305"/>
        <v>0</v>
      </c>
      <c r="M101" s="16"/>
      <c r="N101" s="18"/>
      <c r="O101" s="19">
        <f t="shared" si="306"/>
        <v>0</v>
      </c>
      <c r="P101" s="16"/>
      <c r="Q101" s="18"/>
      <c r="R101" s="19">
        <f t="shared" si="307"/>
        <v>0</v>
      </c>
      <c r="S101" s="20">
        <f t="shared" si="308"/>
        <v>1</v>
      </c>
      <c r="T101" s="19">
        <f t="shared" si="309"/>
        <v>0.13782999999999998</v>
      </c>
      <c r="U101" s="21">
        <f t="shared" si="310"/>
        <v>-1</v>
      </c>
      <c r="V101" s="19">
        <f t="shared" si="311"/>
        <v>-0.13782999999999998</v>
      </c>
    </row>
    <row r="102" spans="1:22">
      <c r="A102" s="26" t="s">
        <v>13</v>
      </c>
      <c r="B102" s="26" t="s">
        <v>56</v>
      </c>
      <c r="C102" s="30">
        <v>17.899999999999999</v>
      </c>
      <c r="D102" s="27">
        <v>8.5</v>
      </c>
      <c r="E102" s="28"/>
      <c r="F102" s="16">
        <f t="shared" si="303"/>
        <v>0</v>
      </c>
      <c r="G102" s="17"/>
      <c r="H102" s="18">
        <v>1</v>
      </c>
      <c r="I102" s="19">
        <f t="shared" si="304"/>
        <v>0.15214999999999998</v>
      </c>
      <c r="J102" s="16"/>
      <c r="K102" s="18"/>
      <c r="L102" s="19">
        <f t="shared" si="305"/>
        <v>0</v>
      </c>
      <c r="M102" s="16"/>
      <c r="N102" s="18"/>
      <c r="O102" s="19">
        <f t="shared" si="306"/>
        <v>0</v>
      </c>
      <c r="P102" s="16"/>
      <c r="Q102" s="18"/>
      <c r="R102" s="19">
        <f t="shared" si="307"/>
        <v>0</v>
      </c>
      <c r="S102" s="20">
        <f t="shared" si="308"/>
        <v>1</v>
      </c>
      <c r="T102" s="19">
        <f t="shared" si="309"/>
        <v>0.15214999999999998</v>
      </c>
      <c r="U102" s="21">
        <f t="shared" si="310"/>
        <v>-1</v>
      </c>
      <c r="V102" s="19">
        <f t="shared" si="311"/>
        <v>-0.15214999999999998</v>
      </c>
    </row>
    <row r="103" spans="1:22">
      <c r="A103" s="26" t="s">
        <v>13</v>
      </c>
      <c r="B103" s="26" t="s">
        <v>56</v>
      </c>
      <c r="C103" s="30">
        <v>17.899999999999999</v>
      </c>
      <c r="D103" s="27">
        <v>9.5</v>
      </c>
      <c r="E103" s="28"/>
      <c r="F103" s="16">
        <f t="shared" si="303"/>
        <v>0</v>
      </c>
      <c r="G103" s="17"/>
      <c r="H103" s="18">
        <v>1</v>
      </c>
      <c r="I103" s="19">
        <f t="shared" si="304"/>
        <v>0.17004999999999998</v>
      </c>
      <c r="J103" s="16"/>
      <c r="K103" s="18"/>
      <c r="L103" s="19">
        <f t="shared" si="305"/>
        <v>0</v>
      </c>
      <c r="M103" s="16"/>
      <c r="N103" s="18"/>
      <c r="O103" s="19">
        <f t="shared" si="306"/>
        <v>0</v>
      </c>
      <c r="P103" s="16"/>
      <c r="Q103" s="18"/>
      <c r="R103" s="19">
        <f t="shared" si="307"/>
        <v>0</v>
      </c>
      <c r="S103" s="20">
        <f t="shared" si="308"/>
        <v>1</v>
      </c>
      <c r="T103" s="19">
        <f t="shared" si="309"/>
        <v>0.17004999999999998</v>
      </c>
      <c r="U103" s="21">
        <f t="shared" si="310"/>
        <v>-1</v>
      </c>
      <c r="V103" s="19">
        <f t="shared" si="311"/>
        <v>-0.17004999999999998</v>
      </c>
    </row>
    <row r="104" spans="1:22">
      <c r="A104" s="26" t="s">
        <v>13</v>
      </c>
      <c r="B104" s="26" t="s">
        <v>56</v>
      </c>
      <c r="C104" s="30">
        <v>17.899999999999999</v>
      </c>
      <c r="D104" s="27">
        <v>6</v>
      </c>
      <c r="E104" s="28"/>
      <c r="F104" s="16">
        <f t="shared" si="303"/>
        <v>0</v>
      </c>
      <c r="G104" s="17"/>
      <c r="H104" s="18">
        <v>1</v>
      </c>
      <c r="I104" s="19">
        <f t="shared" si="304"/>
        <v>0.1074</v>
      </c>
      <c r="J104" s="16"/>
      <c r="K104" s="18"/>
      <c r="L104" s="19">
        <f t="shared" si="305"/>
        <v>0</v>
      </c>
      <c r="M104" s="16"/>
      <c r="N104" s="18"/>
      <c r="O104" s="19">
        <f t="shared" si="306"/>
        <v>0</v>
      </c>
      <c r="P104" s="16"/>
      <c r="Q104" s="18"/>
      <c r="R104" s="19">
        <f t="shared" si="307"/>
        <v>0</v>
      </c>
      <c r="S104" s="20">
        <f t="shared" si="308"/>
        <v>1</v>
      </c>
      <c r="T104" s="19">
        <f t="shared" si="309"/>
        <v>0.1074</v>
      </c>
      <c r="U104" s="21">
        <f t="shared" si="310"/>
        <v>-1</v>
      </c>
      <c r="V104" s="19">
        <f t="shared" si="311"/>
        <v>-0.1074</v>
      </c>
    </row>
    <row r="105" spans="1:22">
      <c r="A105" s="26" t="s">
        <v>13</v>
      </c>
      <c r="B105" s="26" t="s">
        <v>56</v>
      </c>
      <c r="C105" s="30">
        <v>17.899999999999999</v>
      </c>
      <c r="D105" s="27">
        <v>6.2</v>
      </c>
      <c r="E105" s="28"/>
      <c r="F105" s="16">
        <f t="shared" si="303"/>
        <v>0</v>
      </c>
      <c r="G105" s="17"/>
      <c r="H105" s="18">
        <v>2</v>
      </c>
      <c r="I105" s="19">
        <f t="shared" si="304"/>
        <v>0.22195999999999999</v>
      </c>
      <c r="J105" s="16"/>
      <c r="K105" s="18"/>
      <c r="L105" s="19">
        <f t="shared" si="305"/>
        <v>0</v>
      </c>
      <c r="M105" s="16"/>
      <c r="N105" s="18"/>
      <c r="O105" s="19">
        <f t="shared" si="306"/>
        <v>0</v>
      </c>
      <c r="P105" s="16"/>
      <c r="Q105" s="18"/>
      <c r="R105" s="19">
        <f t="shared" si="307"/>
        <v>0</v>
      </c>
      <c r="S105" s="20">
        <f t="shared" si="308"/>
        <v>2</v>
      </c>
      <c r="T105" s="19">
        <f t="shared" si="309"/>
        <v>0.22195999999999999</v>
      </c>
      <c r="U105" s="21">
        <f t="shared" si="310"/>
        <v>-2</v>
      </c>
      <c r="V105" s="19">
        <f t="shared" si="311"/>
        <v>-0.22195999999999999</v>
      </c>
    </row>
    <row r="106" spans="1:22">
      <c r="A106" s="26" t="s">
        <v>13</v>
      </c>
      <c r="B106" s="26" t="s">
        <v>56</v>
      </c>
      <c r="C106" s="30">
        <v>17.899999999999999</v>
      </c>
      <c r="D106" s="27">
        <v>8.6</v>
      </c>
      <c r="E106" s="28"/>
      <c r="F106" s="16">
        <f t="shared" si="303"/>
        <v>0</v>
      </c>
      <c r="G106" s="17"/>
      <c r="H106" s="18">
        <v>1</v>
      </c>
      <c r="I106" s="19">
        <f t="shared" si="304"/>
        <v>0.15393999999999997</v>
      </c>
      <c r="J106" s="16"/>
      <c r="K106" s="18"/>
      <c r="L106" s="19">
        <f t="shared" si="305"/>
        <v>0</v>
      </c>
      <c r="M106" s="16"/>
      <c r="N106" s="18"/>
      <c r="O106" s="19">
        <f t="shared" si="306"/>
        <v>0</v>
      </c>
      <c r="P106" s="16"/>
      <c r="Q106" s="18"/>
      <c r="R106" s="19">
        <f t="shared" si="307"/>
        <v>0</v>
      </c>
      <c r="S106" s="20">
        <f t="shared" si="308"/>
        <v>1</v>
      </c>
      <c r="T106" s="19">
        <f t="shared" si="309"/>
        <v>0.15393999999999997</v>
      </c>
      <c r="U106" s="21">
        <f t="shared" si="310"/>
        <v>-1</v>
      </c>
      <c r="V106" s="19">
        <f t="shared" si="311"/>
        <v>-0.15393999999999997</v>
      </c>
    </row>
    <row r="107" spans="1:22">
      <c r="A107" s="26" t="s">
        <v>13</v>
      </c>
      <c r="B107" s="26" t="s">
        <v>56</v>
      </c>
      <c r="C107" s="30">
        <v>17.899999999999999</v>
      </c>
      <c r="D107" s="27">
        <v>9</v>
      </c>
      <c r="E107" s="28"/>
      <c r="F107" s="16">
        <f t="shared" si="303"/>
        <v>0</v>
      </c>
      <c r="G107" s="17"/>
      <c r="H107" s="18">
        <v>2</v>
      </c>
      <c r="I107" s="19">
        <f t="shared" si="304"/>
        <v>0.32219999999999999</v>
      </c>
      <c r="J107" s="16"/>
      <c r="K107" s="18"/>
      <c r="L107" s="19">
        <f t="shared" si="305"/>
        <v>0</v>
      </c>
      <c r="M107" s="16"/>
      <c r="N107" s="18"/>
      <c r="O107" s="19">
        <f t="shared" si="306"/>
        <v>0</v>
      </c>
      <c r="P107" s="16"/>
      <c r="Q107" s="18"/>
      <c r="R107" s="19">
        <f t="shared" si="307"/>
        <v>0</v>
      </c>
      <c r="S107" s="20">
        <f t="shared" si="308"/>
        <v>2</v>
      </c>
      <c r="T107" s="19">
        <f t="shared" si="309"/>
        <v>0.32219999999999999</v>
      </c>
      <c r="U107" s="21">
        <f t="shared" si="310"/>
        <v>-2</v>
      </c>
      <c r="V107" s="19">
        <f t="shared" si="311"/>
        <v>-0.32219999999999999</v>
      </c>
    </row>
    <row r="108" spans="1:22">
      <c r="A108" s="26" t="s">
        <v>13</v>
      </c>
      <c r="B108" s="26" t="s">
        <v>56</v>
      </c>
      <c r="C108" s="30">
        <v>17.899999999999999</v>
      </c>
      <c r="D108" s="27">
        <v>11.7</v>
      </c>
      <c r="E108" s="28"/>
      <c r="F108" s="16">
        <f>(C108*D108*E108/1000)</f>
        <v>0</v>
      </c>
      <c r="G108" s="17"/>
      <c r="H108" s="18">
        <v>1</v>
      </c>
      <c r="I108" s="19">
        <f>(C108*D108*H108/1000)</f>
        <v>0.20942999999999998</v>
      </c>
      <c r="J108" s="16"/>
      <c r="K108" s="18"/>
      <c r="L108" s="19">
        <f>(C108*D108*K108/1000)</f>
        <v>0</v>
      </c>
      <c r="M108" s="16"/>
      <c r="N108" s="18"/>
      <c r="O108" s="19">
        <f>(C108*D108*N108/1000)</f>
        <v>0</v>
      </c>
      <c r="P108" s="16"/>
      <c r="Q108" s="18"/>
      <c r="R108" s="19">
        <f>(C108*D108*Q108/1000)</f>
        <v>0</v>
      </c>
      <c r="S108" s="20">
        <f t="shared" si="301"/>
        <v>1</v>
      </c>
      <c r="T108" s="19">
        <f t="shared" si="301"/>
        <v>0.20942999999999998</v>
      </c>
      <c r="U108" s="21">
        <f t="shared" si="302"/>
        <v>-1</v>
      </c>
      <c r="V108" s="19">
        <f t="shared" si="302"/>
        <v>-0.20942999999999998</v>
      </c>
    </row>
    <row r="109" spans="1:22">
      <c r="A109" s="36"/>
      <c r="B109" s="36"/>
      <c r="C109" s="37"/>
      <c r="D109" s="38"/>
      <c r="E109" s="31">
        <f t="shared" ref="E109:F109" si="312">SUM(E98:E108)</f>
        <v>10</v>
      </c>
      <c r="F109" s="38">
        <f t="shared" si="312"/>
        <v>2.0764</v>
      </c>
      <c r="H109" s="31">
        <f t="shared" ref="H109" si="313">SUM(H98:H108)</f>
        <v>12</v>
      </c>
      <c r="I109" s="38">
        <f t="shared" ref="I109" si="314">SUM(I98:I108)</f>
        <v>1.8687599999999998</v>
      </c>
      <c r="K109" s="31">
        <f t="shared" ref="K109" si="315">SUM(K98:K108)</f>
        <v>0</v>
      </c>
      <c r="L109" s="38">
        <f t="shared" ref="L109" si="316">SUM(L98:L108)</f>
        <v>0</v>
      </c>
      <c r="N109" s="31">
        <f t="shared" ref="N109" si="317">SUM(N98:N108)</f>
        <v>0</v>
      </c>
      <c r="O109" s="38">
        <f t="shared" ref="O109" si="318">SUM(O98:O108)</f>
        <v>0</v>
      </c>
      <c r="Q109" s="31">
        <f t="shared" ref="Q109" si="319">SUM(Q98:Q108)</f>
        <v>0</v>
      </c>
      <c r="R109" s="38">
        <f t="shared" ref="R109" si="320">SUM(R98:R108)</f>
        <v>0</v>
      </c>
      <c r="S109" s="31">
        <f t="shared" ref="S109" si="321">SUM(S98:S108)</f>
        <v>12</v>
      </c>
      <c r="T109" s="38">
        <f t="shared" ref="T109" si="322">SUM(T98:T108)</f>
        <v>1.8687599999999998</v>
      </c>
      <c r="U109" s="31">
        <f t="shared" ref="U109" si="323">SUM(U98:U108)</f>
        <v>-2</v>
      </c>
      <c r="V109" s="38">
        <f t="shared" ref="V109" si="324">SUM(V98:V108)</f>
        <v>0.20764000000000035</v>
      </c>
    </row>
    <row r="110" spans="1:22">
      <c r="A110" s="26" t="s">
        <v>13</v>
      </c>
      <c r="B110" s="26" t="s">
        <v>255</v>
      </c>
      <c r="C110" s="30">
        <v>25.2</v>
      </c>
      <c r="D110" s="27">
        <v>9.5</v>
      </c>
      <c r="E110" s="28">
        <v>4</v>
      </c>
      <c r="F110" s="16">
        <f>(C110*D110*E110/1000)</f>
        <v>0.95760000000000001</v>
      </c>
      <c r="G110" s="17" t="s">
        <v>111</v>
      </c>
      <c r="H110" s="18"/>
      <c r="I110" s="19">
        <f>(C110*D110*H110/1000)</f>
        <v>0</v>
      </c>
      <c r="J110" s="16"/>
      <c r="K110" s="18"/>
      <c r="L110" s="19">
        <f>(C110*D110*K110/1000)</f>
        <v>0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>+H110+K110+Q110+N110</f>
        <v>0</v>
      </c>
      <c r="T110" s="19">
        <f>+I110+L110+R110+O110</f>
        <v>0</v>
      </c>
      <c r="U110" s="21">
        <f>E110-S110</f>
        <v>4</v>
      </c>
      <c r="V110" s="19">
        <f>F110-T110</f>
        <v>0.95760000000000001</v>
      </c>
    </row>
    <row r="111" spans="1:22">
      <c r="A111" s="26" t="s">
        <v>13</v>
      </c>
      <c r="B111" s="26" t="s">
        <v>255</v>
      </c>
      <c r="C111" s="30">
        <v>25.2</v>
      </c>
      <c r="D111" s="27">
        <v>11.7</v>
      </c>
      <c r="E111" s="28">
        <v>2</v>
      </c>
      <c r="F111" s="16">
        <f t="shared" ref="F111:F115" si="325">(C111*D111*E111/1000)</f>
        <v>0.58967999999999998</v>
      </c>
      <c r="G111" s="17" t="s">
        <v>588</v>
      </c>
      <c r="H111" s="18">
        <v>1</v>
      </c>
      <c r="I111" s="19">
        <f t="shared" ref="I111:I115" si="326">(C111*D111*H111/1000)</f>
        <v>0.29483999999999999</v>
      </c>
      <c r="J111" s="16"/>
      <c r="K111" s="18"/>
      <c r="L111" s="19">
        <f t="shared" ref="L111:L115" si="327">(C111*D111*K111/1000)</f>
        <v>0</v>
      </c>
      <c r="M111" s="16"/>
      <c r="N111" s="18"/>
      <c r="O111" s="19">
        <f t="shared" ref="O111:O115" si="328">(C111*D111*N111/1000)</f>
        <v>0</v>
      </c>
      <c r="P111" s="16"/>
      <c r="Q111" s="18"/>
      <c r="R111" s="19">
        <f t="shared" ref="R111:R115" si="329">(C111*D111*Q111/1000)</f>
        <v>0</v>
      </c>
      <c r="S111" s="20">
        <f t="shared" ref="S111:S115" si="330">+H111+K111+Q111+N111</f>
        <v>1</v>
      </c>
      <c r="T111" s="19">
        <f t="shared" ref="T111:T115" si="331">+I111+L111+R111+O111</f>
        <v>0.29483999999999999</v>
      </c>
      <c r="U111" s="21">
        <f t="shared" ref="U111:U115" si="332">E111-S111</f>
        <v>1</v>
      </c>
      <c r="V111" s="19">
        <f t="shared" ref="V111:V115" si="333">F111-T111</f>
        <v>0.29483999999999999</v>
      </c>
    </row>
    <row r="112" spans="1:22">
      <c r="A112" s="26" t="s">
        <v>13</v>
      </c>
      <c r="B112" s="26" t="s">
        <v>255</v>
      </c>
      <c r="C112" s="30">
        <v>25.2</v>
      </c>
      <c r="D112" s="27">
        <v>11.5</v>
      </c>
      <c r="E112" s="28"/>
      <c r="F112" s="16">
        <f t="shared" si="325"/>
        <v>0</v>
      </c>
      <c r="G112" s="17"/>
      <c r="H112" s="18">
        <v>1</v>
      </c>
      <c r="I112" s="19">
        <f t="shared" si="326"/>
        <v>0.2898</v>
      </c>
      <c r="J112" s="16"/>
      <c r="K112" s="18"/>
      <c r="L112" s="19">
        <f t="shared" si="327"/>
        <v>0</v>
      </c>
      <c r="M112" s="16"/>
      <c r="N112" s="18"/>
      <c r="O112" s="19">
        <f t="shared" si="328"/>
        <v>0</v>
      </c>
      <c r="P112" s="16"/>
      <c r="Q112" s="18"/>
      <c r="R112" s="19">
        <f t="shared" si="329"/>
        <v>0</v>
      </c>
      <c r="S112" s="20">
        <f t="shared" si="330"/>
        <v>1</v>
      </c>
      <c r="T112" s="19">
        <f t="shared" si="331"/>
        <v>0.2898</v>
      </c>
      <c r="U112" s="21">
        <f t="shared" si="332"/>
        <v>-1</v>
      </c>
      <c r="V112" s="19">
        <f t="shared" si="333"/>
        <v>-0.2898</v>
      </c>
    </row>
    <row r="113" spans="1:22">
      <c r="A113" s="26" t="s">
        <v>13</v>
      </c>
      <c r="B113" s="26" t="s">
        <v>255</v>
      </c>
      <c r="C113" s="30">
        <v>25.2</v>
      </c>
      <c r="D113" s="27">
        <v>12</v>
      </c>
      <c r="E113" s="28"/>
      <c r="F113" s="16">
        <f t="shared" si="325"/>
        <v>0</v>
      </c>
      <c r="G113" s="17"/>
      <c r="H113" s="18">
        <v>1</v>
      </c>
      <c r="I113" s="19">
        <f t="shared" si="326"/>
        <v>0.3024</v>
      </c>
      <c r="J113" s="16"/>
      <c r="K113" s="18"/>
      <c r="L113" s="19">
        <f t="shared" si="327"/>
        <v>0</v>
      </c>
      <c r="M113" s="16"/>
      <c r="N113" s="18"/>
      <c r="O113" s="19">
        <f t="shared" si="328"/>
        <v>0</v>
      </c>
      <c r="P113" s="16"/>
      <c r="Q113" s="18"/>
      <c r="R113" s="19">
        <f t="shared" si="329"/>
        <v>0</v>
      </c>
      <c r="S113" s="20">
        <f t="shared" si="330"/>
        <v>1</v>
      </c>
      <c r="T113" s="19">
        <f t="shared" si="331"/>
        <v>0.3024</v>
      </c>
      <c r="U113" s="21">
        <f t="shared" si="332"/>
        <v>-1</v>
      </c>
      <c r="V113" s="19">
        <f t="shared" si="333"/>
        <v>-0.3024</v>
      </c>
    </row>
    <row r="114" spans="1:22">
      <c r="A114" s="26" t="s">
        <v>13</v>
      </c>
      <c r="B114" s="26" t="s">
        <v>255</v>
      </c>
      <c r="C114" s="30">
        <v>25.2</v>
      </c>
      <c r="D114" s="27">
        <v>10.5</v>
      </c>
      <c r="E114" s="28"/>
      <c r="F114" s="16">
        <f t="shared" si="325"/>
        <v>0</v>
      </c>
      <c r="G114" s="17"/>
      <c r="H114" s="18">
        <v>1</v>
      </c>
      <c r="I114" s="19">
        <f t="shared" si="326"/>
        <v>0.26459999999999995</v>
      </c>
      <c r="J114" s="16"/>
      <c r="K114" s="18"/>
      <c r="L114" s="19">
        <f t="shared" si="327"/>
        <v>0</v>
      </c>
      <c r="M114" s="16"/>
      <c r="N114" s="18"/>
      <c r="O114" s="19">
        <f t="shared" si="328"/>
        <v>0</v>
      </c>
      <c r="P114" s="16"/>
      <c r="Q114" s="18"/>
      <c r="R114" s="19">
        <f t="shared" si="329"/>
        <v>0</v>
      </c>
      <c r="S114" s="20">
        <f t="shared" si="330"/>
        <v>1</v>
      </c>
      <c r="T114" s="19">
        <f t="shared" si="331"/>
        <v>0.26459999999999995</v>
      </c>
      <c r="U114" s="21">
        <f t="shared" si="332"/>
        <v>-1</v>
      </c>
      <c r="V114" s="19">
        <f t="shared" si="333"/>
        <v>-0.26459999999999995</v>
      </c>
    </row>
    <row r="115" spans="1:22">
      <c r="A115" s="26" t="s">
        <v>13</v>
      </c>
      <c r="B115" s="26" t="s">
        <v>255</v>
      </c>
      <c r="C115" s="30">
        <v>25.2</v>
      </c>
      <c r="D115" s="27">
        <v>11.6</v>
      </c>
      <c r="E115" s="28"/>
      <c r="F115" s="16">
        <f t="shared" si="325"/>
        <v>0</v>
      </c>
      <c r="G115" s="17"/>
      <c r="H115" s="18">
        <v>2</v>
      </c>
      <c r="I115" s="19">
        <f t="shared" si="326"/>
        <v>0.58463999999999994</v>
      </c>
      <c r="J115" s="16"/>
      <c r="K115" s="18"/>
      <c r="L115" s="19">
        <f t="shared" si="327"/>
        <v>0</v>
      </c>
      <c r="M115" s="16"/>
      <c r="N115" s="18"/>
      <c r="O115" s="19">
        <f t="shared" si="328"/>
        <v>0</v>
      </c>
      <c r="P115" s="16"/>
      <c r="Q115" s="18"/>
      <c r="R115" s="19">
        <f t="shared" si="329"/>
        <v>0</v>
      </c>
      <c r="S115" s="20">
        <f t="shared" si="330"/>
        <v>2</v>
      </c>
      <c r="T115" s="19">
        <f t="shared" si="331"/>
        <v>0.58463999999999994</v>
      </c>
      <c r="U115" s="21">
        <f t="shared" si="332"/>
        <v>-2</v>
      </c>
      <c r="V115" s="19">
        <f t="shared" si="333"/>
        <v>-0.58463999999999994</v>
      </c>
    </row>
    <row r="116" spans="1:22">
      <c r="A116" s="26" t="s">
        <v>13</v>
      </c>
      <c r="B116" s="26" t="s">
        <v>255</v>
      </c>
      <c r="C116" s="30">
        <v>25.2</v>
      </c>
      <c r="D116" s="27"/>
      <c r="E116" s="28"/>
      <c r="F116" s="16">
        <f>(C116*D116*E116/1000)</f>
        <v>0</v>
      </c>
      <c r="G116" s="17"/>
      <c r="H116" s="18"/>
      <c r="I116" s="19">
        <f>(C116*D116*H116/1000)</f>
        <v>0</v>
      </c>
      <c r="J116" s="16"/>
      <c r="K116" s="18"/>
      <c r="L116" s="19">
        <f>(C116*D116*K116/1000)</f>
        <v>0</v>
      </c>
      <c r="M116" s="16"/>
      <c r="N116" s="18"/>
      <c r="O116" s="19">
        <f>(C116*D116*N116/1000)</f>
        <v>0</v>
      </c>
      <c r="P116" s="16"/>
      <c r="Q116" s="18"/>
      <c r="R116" s="19">
        <f>(C116*D116*Q116/1000)</f>
        <v>0</v>
      </c>
      <c r="S116" s="20">
        <f>+H116+K116+Q116+N116</f>
        <v>0</v>
      </c>
      <c r="T116" s="19">
        <f>+I116+L116+R116+O116</f>
        <v>0</v>
      </c>
      <c r="U116" s="21">
        <f>E116-S116</f>
        <v>0</v>
      </c>
      <c r="V116" s="19">
        <f>F116-T116</f>
        <v>0</v>
      </c>
    </row>
    <row r="117" spans="1:22">
      <c r="A117" s="36"/>
      <c r="B117" s="36"/>
      <c r="C117" s="37"/>
      <c r="D117" s="38"/>
      <c r="E117" s="31">
        <f t="shared" ref="E117:F117" si="334">SUM(E110:E116)</f>
        <v>6</v>
      </c>
      <c r="F117" s="38">
        <f t="shared" si="334"/>
        <v>1.54728</v>
      </c>
      <c r="H117" s="31">
        <f t="shared" ref="H117" si="335">SUM(H110:H116)</f>
        <v>6</v>
      </c>
      <c r="I117" s="38">
        <f t="shared" ref="I117" si="336">SUM(I110:I116)</f>
        <v>1.7362799999999998</v>
      </c>
      <c r="K117" s="31">
        <f t="shared" ref="K117" si="337">SUM(K110:K116)</f>
        <v>0</v>
      </c>
      <c r="L117" s="38">
        <f t="shared" ref="L117" si="338">SUM(L110:L116)</f>
        <v>0</v>
      </c>
      <c r="N117" s="31">
        <f t="shared" ref="N117" si="339">SUM(N110:N116)</f>
        <v>0</v>
      </c>
      <c r="O117" s="38">
        <f t="shared" ref="O117" si="340">SUM(O110:O116)</f>
        <v>0</v>
      </c>
      <c r="Q117" s="31">
        <f t="shared" ref="Q117" si="341">SUM(Q110:Q116)</f>
        <v>0</v>
      </c>
      <c r="R117" s="38">
        <f t="shared" ref="R117" si="342">SUM(R110:R116)</f>
        <v>0</v>
      </c>
      <c r="S117" s="31">
        <f t="shared" ref="S117" si="343">SUM(S110:S116)</f>
        <v>6</v>
      </c>
      <c r="T117" s="38">
        <f t="shared" ref="T117" si="344">SUM(T110:T116)</f>
        <v>1.7362799999999998</v>
      </c>
      <c r="U117" s="31">
        <f t="shared" ref="U117" si="345">SUM(U110:U116)</f>
        <v>0</v>
      </c>
      <c r="V117" s="38">
        <f t="shared" ref="V117" si="346">SUM(V110:V116)</f>
        <v>-0.18899999999999995</v>
      </c>
    </row>
    <row r="118" spans="1:22">
      <c r="A118" s="26" t="s">
        <v>13</v>
      </c>
      <c r="B118" s="26" t="s">
        <v>125</v>
      </c>
      <c r="C118" s="30">
        <v>27.3</v>
      </c>
      <c r="D118" s="27">
        <v>7.3</v>
      </c>
      <c r="E118" s="28">
        <v>9</v>
      </c>
      <c r="F118" s="16">
        <f>(C118*D118*E118/1000)</f>
        <v>1.7936099999999999</v>
      </c>
      <c r="G118" s="17" t="s">
        <v>150</v>
      </c>
      <c r="H118" s="18">
        <v>9</v>
      </c>
      <c r="I118" s="19">
        <f>(C118*D118*H118/1000)</f>
        <v>1.7936099999999999</v>
      </c>
      <c r="J118" s="16"/>
      <c r="K118" s="18"/>
      <c r="L118" s="19">
        <f>(C118*D118*K118/1000)</f>
        <v>0</v>
      </c>
      <c r="M118" s="16"/>
      <c r="N118" s="18"/>
      <c r="O118" s="19">
        <f>(C118*D118*N118/1000)</f>
        <v>0</v>
      </c>
      <c r="P118" s="16"/>
      <c r="Q118" s="18"/>
      <c r="R118" s="19">
        <f>(C118*D118*Q118/1000)</f>
        <v>0</v>
      </c>
      <c r="S118" s="20">
        <f t="shared" ref="S118:T120" si="347">+H118+K118+Q118+N118</f>
        <v>9</v>
      </c>
      <c r="T118" s="19">
        <f t="shared" si="347"/>
        <v>1.7936099999999999</v>
      </c>
      <c r="U118" s="21">
        <f t="shared" ref="U118:V120" si="348">E118-S118</f>
        <v>0</v>
      </c>
      <c r="V118" s="19">
        <f t="shared" si="348"/>
        <v>0</v>
      </c>
    </row>
    <row r="119" spans="1:22">
      <c r="A119" s="26" t="s">
        <v>13</v>
      </c>
      <c r="B119" s="26" t="s">
        <v>125</v>
      </c>
      <c r="C119" s="30">
        <v>27.3</v>
      </c>
      <c r="D119" s="27">
        <v>9.8000000000000007</v>
      </c>
      <c r="E119" s="28">
        <v>14</v>
      </c>
      <c r="F119" s="16">
        <f>(C119*D119*E119/1000)</f>
        <v>3.7455600000000002</v>
      </c>
      <c r="G119" s="17" t="s">
        <v>611</v>
      </c>
      <c r="H119" s="18">
        <v>14</v>
      </c>
      <c r="I119" s="19">
        <f>(C119*D119*H119/1000)</f>
        <v>3.7455600000000002</v>
      </c>
      <c r="J119" s="16"/>
      <c r="K119" s="18"/>
      <c r="L119" s="19">
        <f>(C119*D119*K119/1000)</f>
        <v>0</v>
      </c>
      <c r="M119" s="16"/>
      <c r="N119" s="18"/>
      <c r="O119" s="19">
        <f>(C119*D119*N119/1000)</f>
        <v>0</v>
      </c>
      <c r="P119" s="16"/>
      <c r="Q119" s="18"/>
      <c r="R119" s="19">
        <f>(C119*D119*Q119/1000)</f>
        <v>0</v>
      </c>
      <c r="S119" s="20">
        <f t="shared" si="347"/>
        <v>14</v>
      </c>
      <c r="T119" s="19">
        <f t="shared" si="347"/>
        <v>3.7455600000000002</v>
      </c>
      <c r="U119" s="21">
        <f t="shared" si="348"/>
        <v>0</v>
      </c>
      <c r="V119" s="19">
        <f t="shared" si="348"/>
        <v>0</v>
      </c>
    </row>
    <row r="120" spans="1:22">
      <c r="A120" s="26" t="s">
        <v>13</v>
      </c>
      <c r="B120" s="26" t="s">
        <v>125</v>
      </c>
      <c r="C120" s="30">
        <v>27.3</v>
      </c>
      <c r="D120" s="27">
        <v>12</v>
      </c>
      <c r="E120" s="28">
        <v>16</v>
      </c>
      <c r="F120" s="16">
        <f>(C120*D120*E120/1000)</f>
        <v>5.2416</v>
      </c>
      <c r="G120" s="17"/>
      <c r="H120" s="18">
        <v>16</v>
      </c>
      <c r="I120" s="19">
        <f>(C120*D120*H120/1000)</f>
        <v>5.2416</v>
      </c>
      <c r="J120" s="16"/>
      <c r="K120" s="18"/>
      <c r="L120" s="19">
        <f>(C120*D120*K120/1000)</f>
        <v>0</v>
      </c>
      <c r="M120" s="16"/>
      <c r="N120" s="18"/>
      <c r="O120" s="19">
        <f>(C120*D120*N120/1000)</f>
        <v>0</v>
      </c>
      <c r="P120" s="16"/>
      <c r="Q120" s="18"/>
      <c r="R120" s="19">
        <f>(C120*D120*Q120/1000)</f>
        <v>0</v>
      </c>
      <c r="S120" s="20">
        <f t="shared" si="347"/>
        <v>16</v>
      </c>
      <c r="T120" s="19">
        <f t="shared" si="347"/>
        <v>5.2416</v>
      </c>
      <c r="U120" s="21">
        <f t="shared" si="348"/>
        <v>0</v>
      </c>
      <c r="V120" s="19">
        <f t="shared" si="348"/>
        <v>0</v>
      </c>
    </row>
    <row r="121" spans="1:22">
      <c r="A121" s="36"/>
      <c r="B121" s="36"/>
      <c r="C121" s="37"/>
      <c r="D121" s="38"/>
      <c r="E121" s="31">
        <f t="shared" ref="E121:F121" si="349">SUM(E118:E120)</f>
        <v>39</v>
      </c>
      <c r="F121" s="38">
        <f t="shared" si="349"/>
        <v>10.78077</v>
      </c>
      <c r="H121" s="31">
        <f t="shared" ref="H121" si="350">SUM(H118:H120)</f>
        <v>39</v>
      </c>
      <c r="I121" s="38">
        <f t="shared" ref="I121" si="351">SUM(I118:I120)</f>
        <v>10.78077</v>
      </c>
      <c r="K121" s="31">
        <f t="shared" ref="K121" si="352">SUM(K118:K120)</f>
        <v>0</v>
      </c>
      <c r="L121" s="38">
        <f t="shared" ref="L121" si="353">SUM(L118:L120)</f>
        <v>0</v>
      </c>
      <c r="N121" s="31">
        <f t="shared" ref="N121" si="354">SUM(N118:N120)</f>
        <v>0</v>
      </c>
      <c r="O121" s="38">
        <f t="shared" ref="O121" si="355">SUM(O118:O120)</f>
        <v>0</v>
      </c>
      <c r="Q121" s="31">
        <f t="shared" ref="Q121" si="356">SUM(Q118:Q120)</f>
        <v>0</v>
      </c>
      <c r="R121" s="38">
        <f t="shared" ref="R121" si="357">SUM(R118:R120)</f>
        <v>0</v>
      </c>
      <c r="S121" s="31">
        <f t="shared" ref="S121" si="358">SUM(S118:S120)</f>
        <v>39</v>
      </c>
      <c r="T121" s="38">
        <f t="shared" ref="T121" si="359">SUM(T118:T120)</f>
        <v>10.78077</v>
      </c>
      <c r="U121" s="31">
        <f t="shared" ref="U121" si="360">SUM(U118:U120)</f>
        <v>0</v>
      </c>
      <c r="V121" s="38">
        <f t="shared" ref="V121" si="361">SUM(V118:V120)</f>
        <v>0</v>
      </c>
    </row>
    <row r="122" spans="1:22">
      <c r="A122" s="26" t="s">
        <v>13</v>
      </c>
      <c r="B122" s="26" t="s">
        <v>212</v>
      </c>
      <c r="C122" s="30">
        <v>29.5</v>
      </c>
      <c r="D122" s="27">
        <v>10.7</v>
      </c>
      <c r="E122" s="28">
        <v>4</v>
      </c>
      <c r="F122" s="16">
        <f>(C122*D122*E122/1000)</f>
        <v>1.2625999999999999</v>
      </c>
      <c r="G122" s="17" t="s">
        <v>111</v>
      </c>
      <c r="H122" s="18"/>
      <c r="I122" s="19">
        <f>(C122*D122*H122/1000)</f>
        <v>0</v>
      </c>
      <c r="J122" s="16"/>
      <c r="K122" s="18"/>
      <c r="L122" s="19">
        <f>(C122*D122*K122/1000)</f>
        <v>0</v>
      </c>
      <c r="M122" s="16"/>
      <c r="N122" s="18"/>
      <c r="O122" s="19">
        <f>(C122*D122*N122/1000)</f>
        <v>0</v>
      </c>
      <c r="P122" s="16"/>
      <c r="Q122" s="18"/>
      <c r="R122" s="19">
        <f>(C122*D122*Q122/1000)</f>
        <v>0</v>
      </c>
      <c r="S122" s="20">
        <f>+H122+K122+Q122+N122</f>
        <v>0</v>
      </c>
      <c r="T122" s="19">
        <f>+I122+L122+R122+O122</f>
        <v>0</v>
      </c>
      <c r="U122" s="21">
        <f>E122-S122</f>
        <v>4</v>
      </c>
      <c r="V122" s="19">
        <f>F122-T122</f>
        <v>1.2625999999999999</v>
      </c>
    </row>
    <row r="123" spans="1:22">
      <c r="A123" s="26" t="s">
        <v>13</v>
      </c>
      <c r="B123" s="26" t="s">
        <v>212</v>
      </c>
      <c r="C123" s="30">
        <v>29.5</v>
      </c>
      <c r="D123" s="27">
        <v>11.8</v>
      </c>
      <c r="E123" s="28"/>
      <c r="F123" s="16">
        <f t="shared" ref="F123:F125" si="362">(C123*D123*E123/1000)</f>
        <v>0</v>
      </c>
      <c r="G123" s="17" t="s">
        <v>588</v>
      </c>
      <c r="H123" s="18">
        <v>1</v>
      </c>
      <c r="I123" s="19">
        <f t="shared" ref="I123:I125" si="363">(C123*D123*H123/1000)</f>
        <v>0.34810000000000002</v>
      </c>
      <c r="J123" s="16"/>
      <c r="K123" s="18"/>
      <c r="L123" s="19">
        <f t="shared" ref="L123:L125" si="364">(C123*D123*K123/1000)</f>
        <v>0</v>
      </c>
      <c r="M123" s="16"/>
      <c r="N123" s="18"/>
      <c r="O123" s="19">
        <f t="shared" ref="O123:O125" si="365">(C123*D123*N123/1000)</f>
        <v>0</v>
      </c>
      <c r="P123" s="16"/>
      <c r="Q123" s="18"/>
      <c r="R123" s="19">
        <f t="shared" ref="R123:R125" si="366">(C123*D123*Q123/1000)</f>
        <v>0</v>
      </c>
      <c r="S123" s="20">
        <f t="shared" ref="S123:S125" si="367">+H123+K123+Q123+N123</f>
        <v>1</v>
      </c>
      <c r="T123" s="19">
        <f t="shared" ref="T123:T125" si="368">+I123+L123+R123+O123</f>
        <v>0.34810000000000002</v>
      </c>
      <c r="U123" s="21">
        <f t="shared" ref="U123:U125" si="369">E123-S123</f>
        <v>-1</v>
      </c>
      <c r="V123" s="19">
        <f t="shared" ref="V123:V125" si="370">F123-T123</f>
        <v>-0.34810000000000002</v>
      </c>
    </row>
    <row r="124" spans="1:22">
      <c r="A124" s="26" t="s">
        <v>13</v>
      </c>
      <c r="B124" s="26" t="s">
        <v>212</v>
      </c>
      <c r="C124" s="30">
        <v>29.5</v>
      </c>
      <c r="D124" s="27">
        <v>11.7</v>
      </c>
      <c r="E124" s="28"/>
      <c r="F124" s="16">
        <f t="shared" si="362"/>
        <v>0</v>
      </c>
      <c r="G124" s="17"/>
      <c r="H124" s="18">
        <v>2</v>
      </c>
      <c r="I124" s="19">
        <f t="shared" si="363"/>
        <v>0.69029999999999991</v>
      </c>
      <c r="J124" s="16"/>
      <c r="K124" s="18"/>
      <c r="L124" s="19">
        <f t="shared" si="364"/>
        <v>0</v>
      </c>
      <c r="M124" s="16"/>
      <c r="N124" s="18"/>
      <c r="O124" s="19">
        <f t="shared" si="365"/>
        <v>0</v>
      </c>
      <c r="P124" s="16"/>
      <c r="Q124" s="18"/>
      <c r="R124" s="19">
        <f t="shared" si="366"/>
        <v>0</v>
      </c>
      <c r="S124" s="20">
        <f t="shared" si="367"/>
        <v>2</v>
      </c>
      <c r="T124" s="19">
        <f t="shared" si="368"/>
        <v>0.69029999999999991</v>
      </c>
      <c r="U124" s="21">
        <f t="shared" si="369"/>
        <v>-2</v>
      </c>
      <c r="V124" s="19">
        <f t="shared" si="370"/>
        <v>-0.69029999999999991</v>
      </c>
    </row>
    <row r="125" spans="1:22">
      <c r="A125" s="26" t="s">
        <v>13</v>
      </c>
      <c r="B125" s="26" t="s">
        <v>212</v>
      </c>
      <c r="C125" s="30">
        <v>29.5</v>
      </c>
      <c r="D125" s="27">
        <v>10.7</v>
      </c>
      <c r="E125" s="28"/>
      <c r="F125" s="16">
        <f t="shared" si="362"/>
        <v>0</v>
      </c>
      <c r="G125" s="17"/>
      <c r="H125" s="18">
        <v>1</v>
      </c>
      <c r="I125" s="19">
        <f t="shared" si="363"/>
        <v>0.31564999999999999</v>
      </c>
      <c r="J125" s="16"/>
      <c r="K125" s="18"/>
      <c r="L125" s="19">
        <f t="shared" si="364"/>
        <v>0</v>
      </c>
      <c r="M125" s="16"/>
      <c r="N125" s="18"/>
      <c r="O125" s="19">
        <f t="shared" si="365"/>
        <v>0</v>
      </c>
      <c r="P125" s="16"/>
      <c r="Q125" s="18"/>
      <c r="R125" s="19">
        <f t="shared" si="366"/>
        <v>0</v>
      </c>
      <c r="S125" s="20">
        <f t="shared" si="367"/>
        <v>1</v>
      </c>
      <c r="T125" s="19">
        <f t="shared" si="368"/>
        <v>0.31564999999999999</v>
      </c>
      <c r="U125" s="21">
        <f t="shared" si="369"/>
        <v>-1</v>
      </c>
      <c r="V125" s="19">
        <f t="shared" si="370"/>
        <v>-0.31564999999999999</v>
      </c>
    </row>
    <row r="126" spans="1:22">
      <c r="A126" s="36"/>
      <c r="B126" s="36"/>
      <c r="C126" s="37"/>
      <c r="D126" s="38"/>
      <c r="E126" s="31">
        <f t="shared" ref="E126:F126" si="371">SUM(E122:E125)</f>
        <v>4</v>
      </c>
      <c r="F126" s="38">
        <f t="shared" si="371"/>
        <v>1.2625999999999999</v>
      </c>
      <c r="H126" s="31">
        <f t="shared" ref="H126" si="372">SUM(H122:H125)</f>
        <v>4</v>
      </c>
      <c r="I126" s="38">
        <f t="shared" ref="I126" si="373">SUM(I122:I125)</f>
        <v>1.35405</v>
      </c>
      <c r="K126" s="31">
        <f t="shared" ref="K126" si="374">SUM(K122:K125)</f>
        <v>0</v>
      </c>
      <c r="L126" s="38">
        <f t="shared" ref="L126" si="375">SUM(L122:L125)</f>
        <v>0</v>
      </c>
      <c r="N126" s="31">
        <f t="shared" ref="N126" si="376">SUM(N122:N125)</f>
        <v>0</v>
      </c>
      <c r="O126" s="38">
        <f t="shared" ref="O126" si="377">SUM(O122:O125)</f>
        <v>0</v>
      </c>
      <c r="Q126" s="31">
        <f t="shared" ref="Q126" si="378">SUM(Q122:Q125)</f>
        <v>0</v>
      </c>
      <c r="R126" s="38">
        <f t="shared" ref="R126" si="379">SUM(R122:R125)</f>
        <v>0</v>
      </c>
      <c r="S126" s="31">
        <f t="shared" ref="S126" si="380">SUM(S122:S125)</f>
        <v>4</v>
      </c>
      <c r="T126" s="38">
        <f t="shared" ref="T126" si="381">SUM(T122:T125)</f>
        <v>1.35405</v>
      </c>
      <c r="U126" s="31">
        <f t="shared" ref="U126" si="382">SUM(U122:U125)</f>
        <v>0</v>
      </c>
      <c r="V126" s="38">
        <f t="shared" ref="V126" si="383">SUM(V122:V125)</f>
        <v>-9.1450000000000031E-2</v>
      </c>
    </row>
    <row r="127" spans="1:22">
      <c r="A127" s="26" t="s">
        <v>13</v>
      </c>
      <c r="B127" s="26" t="s">
        <v>75</v>
      </c>
      <c r="C127" s="30">
        <v>31.6</v>
      </c>
      <c r="D127" s="27">
        <v>9.6999999999999993</v>
      </c>
      <c r="E127" s="28">
        <v>6</v>
      </c>
      <c r="F127" s="16">
        <f>(C127*D127*E127/1000)</f>
        <v>1.8391199999999999</v>
      </c>
      <c r="G127" s="17" t="s">
        <v>150</v>
      </c>
      <c r="H127" s="18">
        <v>3</v>
      </c>
      <c r="I127" s="19">
        <f>(C127*D127*H127/1000)</f>
        <v>0.91955999999999993</v>
      </c>
      <c r="J127" s="16" t="s">
        <v>86</v>
      </c>
      <c r="K127" s="18">
        <v>3</v>
      </c>
      <c r="L127" s="19">
        <f>(C127*D127*K127/1000)</f>
        <v>0.91955999999999993</v>
      </c>
      <c r="M127" s="16"/>
      <c r="N127" s="18"/>
      <c r="O127" s="19">
        <f>(C127*D127*N127/1000)</f>
        <v>0</v>
      </c>
      <c r="P127" s="16"/>
      <c r="Q127" s="18"/>
      <c r="R127" s="19">
        <f>(C127*D127*Q127/1000)</f>
        <v>0</v>
      </c>
      <c r="S127" s="20">
        <f t="shared" ref="S127:T129" si="384">+H127+K127+Q127+N127</f>
        <v>6</v>
      </c>
      <c r="T127" s="19">
        <f t="shared" si="384"/>
        <v>1.8391199999999999</v>
      </c>
      <c r="U127" s="21">
        <f t="shared" ref="U127:V129" si="385">E127-S127</f>
        <v>0</v>
      </c>
      <c r="V127" s="19">
        <f t="shared" si="385"/>
        <v>0</v>
      </c>
    </row>
    <row r="128" spans="1:22">
      <c r="A128" s="26" t="s">
        <v>13</v>
      </c>
      <c r="B128" s="26" t="s">
        <v>75</v>
      </c>
      <c r="C128" s="30">
        <v>31.6</v>
      </c>
      <c r="D128" s="27">
        <v>10.3</v>
      </c>
      <c r="E128" s="28">
        <v>8</v>
      </c>
      <c r="F128" s="16">
        <f>(C128*D128*E128/1000)</f>
        <v>2.6038399999999999</v>
      </c>
      <c r="G128" s="17" t="s">
        <v>611</v>
      </c>
      <c r="H128" s="18"/>
      <c r="I128" s="19">
        <f>(C128*D128*H128/1000)</f>
        <v>0</v>
      </c>
      <c r="J128" s="16" t="s">
        <v>613</v>
      </c>
      <c r="K128" s="18">
        <v>8</v>
      </c>
      <c r="L128" s="19">
        <f>(C128*D128*K128/1000)</f>
        <v>2.6038399999999999</v>
      </c>
      <c r="M128" s="16"/>
      <c r="N128" s="18"/>
      <c r="O128" s="19">
        <f>(C128*D128*N128/1000)</f>
        <v>0</v>
      </c>
      <c r="P128" s="16"/>
      <c r="Q128" s="18"/>
      <c r="R128" s="19">
        <f>(C128*D128*Q128/1000)</f>
        <v>0</v>
      </c>
      <c r="S128" s="20">
        <f t="shared" si="384"/>
        <v>8</v>
      </c>
      <c r="T128" s="19">
        <f t="shared" si="384"/>
        <v>2.6038399999999999</v>
      </c>
      <c r="U128" s="21">
        <f t="shared" si="385"/>
        <v>0</v>
      </c>
      <c r="V128" s="19">
        <f t="shared" si="385"/>
        <v>0</v>
      </c>
    </row>
    <row r="129" spans="1:22">
      <c r="A129" s="26" t="s">
        <v>13</v>
      </c>
      <c r="B129" s="26" t="s">
        <v>75</v>
      </c>
      <c r="C129" s="30">
        <v>31.6</v>
      </c>
      <c r="D129" s="27">
        <v>11.6</v>
      </c>
      <c r="E129" s="28">
        <v>12</v>
      </c>
      <c r="F129" s="16">
        <f>(C129*D129*E129/1000)</f>
        <v>4.39872</v>
      </c>
      <c r="G129" s="17"/>
      <c r="H129" s="18"/>
      <c r="I129" s="19">
        <f>(C129*D129*H129/1000)</f>
        <v>0</v>
      </c>
      <c r="J129" s="16"/>
      <c r="K129" s="18">
        <v>12</v>
      </c>
      <c r="L129" s="19">
        <f>(C129*D129*K129/1000)</f>
        <v>4.39872</v>
      </c>
      <c r="M129" s="16"/>
      <c r="N129" s="18"/>
      <c r="O129" s="19">
        <f>(C129*D129*N129/1000)</f>
        <v>0</v>
      </c>
      <c r="P129" s="16"/>
      <c r="Q129" s="18"/>
      <c r="R129" s="19">
        <f>(C129*D129*Q129/1000)</f>
        <v>0</v>
      </c>
      <c r="S129" s="20">
        <f t="shared" si="384"/>
        <v>12</v>
      </c>
      <c r="T129" s="19">
        <f t="shared" si="384"/>
        <v>4.39872</v>
      </c>
      <c r="U129" s="21">
        <f t="shared" si="385"/>
        <v>0</v>
      </c>
      <c r="V129" s="19">
        <f t="shared" si="385"/>
        <v>0</v>
      </c>
    </row>
    <row r="130" spans="1:22">
      <c r="A130" s="36"/>
      <c r="B130" s="36"/>
      <c r="C130" s="37"/>
      <c r="D130" s="38"/>
      <c r="E130" s="31">
        <f t="shared" ref="E130:F130" si="386">SUM(E127:E129)</f>
        <v>26</v>
      </c>
      <c r="F130" s="38">
        <f t="shared" si="386"/>
        <v>8.8416800000000002</v>
      </c>
      <c r="H130" s="31">
        <f t="shared" ref="H130" si="387">SUM(H127:H129)</f>
        <v>3</v>
      </c>
      <c r="I130" s="38">
        <f t="shared" ref="I130" si="388">SUM(I127:I129)</f>
        <v>0.91955999999999993</v>
      </c>
      <c r="K130" s="31">
        <f t="shared" ref="K130" si="389">SUM(K127:K129)</f>
        <v>23</v>
      </c>
      <c r="L130" s="38">
        <f t="shared" ref="L130" si="390">SUM(L127:L129)</f>
        <v>7.9221199999999996</v>
      </c>
      <c r="N130" s="31">
        <f t="shared" ref="N130" si="391">SUM(N127:N129)</f>
        <v>0</v>
      </c>
      <c r="O130" s="38">
        <f t="shared" ref="O130" si="392">SUM(O127:O129)</f>
        <v>0</v>
      </c>
      <c r="Q130" s="31">
        <f t="shared" ref="Q130" si="393">SUM(Q127:Q129)</f>
        <v>0</v>
      </c>
      <c r="R130" s="38">
        <f t="shared" ref="R130" si="394">SUM(R127:R129)</f>
        <v>0</v>
      </c>
      <c r="S130" s="31">
        <f t="shared" ref="S130" si="395">SUM(S127:S129)</f>
        <v>26</v>
      </c>
      <c r="T130" s="38">
        <f t="shared" ref="T130" si="396">SUM(T127:T129)</f>
        <v>8.8416800000000002</v>
      </c>
      <c r="U130" s="31">
        <f t="shared" ref="U130" si="397">SUM(U127:U129)</f>
        <v>0</v>
      </c>
      <c r="V130" s="38">
        <f t="shared" ref="V130" si="398">SUM(V127:V129)</f>
        <v>0</v>
      </c>
    </row>
    <row r="131" spans="1:22">
      <c r="A131" s="26" t="s">
        <v>13</v>
      </c>
      <c r="B131" s="26" t="s">
        <v>126</v>
      </c>
      <c r="C131" s="30">
        <v>33.799999999999997</v>
      </c>
      <c r="D131" s="27">
        <v>11.4</v>
      </c>
      <c r="E131" s="28">
        <v>82</v>
      </c>
      <c r="F131" s="16">
        <f>(C131*D131*E131/1000)</f>
        <v>31.596239999999998</v>
      </c>
      <c r="G131" s="17" t="s">
        <v>86</v>
      </c>
      <c r="H131" s="18">
        <f>57+17</f>
        <v>74</v>
      </c>
      <c r="I131" s="19">
        <f>(C131*D131*H131/1000)</f>
        <v>28.513680000000001</v>
      </c>
      <c r="J131" s="17" t="s">
        <v>150</v>
      </c>
      <c r="K131" s="18">
        <v>8</v>
      </c>
      <c r="L131" s="19">
        <f>(C131*D131*K131/1000)</f>
        <v>3.08256</v>
      </c>
      <c r="M131" s="16"/>
      <c r="N131" s="18"/>
      <c r="O131" s="19">
        <f>(C131*D131*N131/1000)</f>
        <v>0</v>
      </c>
      <c r="P131" s="16"/>
      <c r="Q131" s="18"/>
      <c r="R131" s="19">
        <f>(C131*D131*Q131/1000)</f>
        <v>0</v>
      </c>
      <c r="S131" s="20">
        <f>+H131+K131+Q131+N131</f>
        <v>82</v>
      </c>
      <c r="T131" s="19">
        <f>+I131+L131+R131+O131</f>
        <v>31.596240000000002</v>
      </c>
      <c r="U131" s="21">
        <f>E131-S131</f>
        <v>0</v>
      </c>
      <c r="V131" s="19">
        <f>F131-T131</f>
        <v>0</v>
      </c>
    </row>
    <row r="132" spans="1:22">
      <c r="A132" s="26" t="s">
        <v>13</v>
      </c>
      <c r="B132" s="26" t="s">
        <v>126</v>
      </c>
      <c r="C132" s="30">
        <v>33.799999999999997</v>
      </c>
      <c r="D132" s="27">
        <v>12</v>
      </c>
      <c r="E132" s="28">
        <v>10</v>
      </c>
      <c r="F132" s="16">
        <f>(C132*D132*E132/1000)</f>
        <v>4.0559999999999992</v>
      </c>
      <c r="G132" s="17" t="s">
        <v>611</v>
      </c>
      <c r="H132" s="18">
        <v>10</v>
      </c>
      <c r="I132" s="19">
        <f>(C132*D132*H132/1000)</f>
        <v>4.0559999999999992</v>
      </c>
      <c r="J132" s="17" t="s">
        <v>611</v>
      </c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>(C132*D132*Q132/1000)</f>
        <v>0</v>
      </c>
      <c r="S132" s="20">
        <f>+H132+K132+Q132+N132</f>
        <v>10</v>
      </c>
      <c r="T132" s="19">
        <f>+I132+L132+R132+O132</f>
        <v>4.0559999999999992</v>
      </c>
      <c r="U132" s="21">
        <f>E132-S132</f>
        <v>0</v>
      </c>
      <c r="V132" s="19">
        <f>F132-T132</f>
        <v>0</v>
      </c>
    </row>
    <row r="133" spans="1:22">
      <c r="A133" s="36"/>
      <c r="B133" s="36"/>
      <c r="C133" s="37"/>
      <c r="D133" s="38"/>
      <c r="E133" s="31">
        <f t="shared" ref="E133:F133" si="399">SUM(E131:E132)</f>
        <v>92</v>
      </c>
      <c r="F133" s="38">
        <f t="shared" si="399"/>
        <v>35.652239999999999</v>
      </c>
      <c r="H133" s="31">
        <f t="shared" ref="H133" si="400">SUM(H131:H132)</f>
        <v>84</v>
      </c>
      <c r="I133" s="38">
        <f t="shared" ref="I133" si="401">SUM(I131:I132)</f>
        <v>32.569679999999998</v>
      </c>
      <c r="K133" s="31">
        <f t="shared" ref="K133" si="402">SUM(K131:K132)</f>
        <v>8</v>
      </c>
      <c r="L133" s="38">
        <f t="shared" ref="L133" si="403">SUM(L131:L132)</f>
        <v>3.08256</v>
      </c>
      <c r="N133" s="31">
        <f t="shared" ref="N133" si="404">SUM(N131:N132)</f>
        <v>0</v>
      </c>
      <c r="O133" s="38">
        <f t="shared" ref="O133" si="405">SUM(O131:O132)</f>
        <v>0</v>
      </c>
      <c r="Q133" s="31">
        <f t="shared" ref="Q133" si="406">SUM(Q131:Q132)</f>
        <v>0</v>
      </c>
      <c r="R133" s="38">
        <f t="shared" ref="R133" si="407">SUM(R131:R132)</f>
        <v>0</v>
      </c>
      <c r="S133" s="31">
        <f t="shared" ref="S133" si="408">SUM(S131:S132)</f>
        <v>92</v>
      </c>
      <c r="T133" s="38">
        <f t="shared" ref="T133" si="409">SUM(T131:T132)</f>
        <v>35.652239999999999</v>
      </c>
      <c r="U133" s="31">
        <f t="shared" ref="U133" si="410">SUM(U131:U132)</f>
        <v>0</v>
      </c>
      <c r="V133" s="38">
        <f t="shared" ref="V133" si="411">SUM(V131:V132)</f>
        <v>0</v>
      </c>
    </row>
    <row r="134" spans="1:22">
      <c r="A134" s="26" t="s">
        <v>13</v>
      </c>
      <c r="B134" s="26" t="s">
        <v>127</v>
      </c>
      <c r="C134" s="30">
        <v>35.9</v>
      </c>
      <c r="D134" s="27">
        <v>7.8</v>
      </c>
      <c r="E134" s="28">
        <v>5</v>
      </c>
      <c r="F134" s="16">
        <f t="shared" ref="F134:F141" si="412">(C134*D134*E134/1000)</f>
        <v>1.4000999999999999</v>
      </c>
      <c r="G134" s="17" t="s">
        <v>111</v>
      </c>
      <c r="H134" s="18"/>
      <c r="I134" s="19">
        <f t="shared" ref="I134:I141" si="413">(C134*D134*H134/1000)</f>
        <v>0</v>
      </c>
      <c r="J134" s="16"/>
      <c r="K134" s="18"/>
      <c r="L134" s="19">
        <f t="shared" ref="L134:L141" si="414">(C134*D134*K134/1000)</f>
        <v>0</v>
      </c>
      <c r="M134" s="16"/>
      <c r="N134" s="18"/>
      <c r="O134" s="19">
        <f t="shared" ref="O134:O141" si="415">(C134*D134*N134/1000)</f>
        <v>0</v>
      </c>
      <c r="P134" s="16"/>
      <c r="Q134" s="18"/>
      <c r="R134" s="19">
        <f t="shared" ref="R134:R141" si="416">(C134*D134*Q134/1000)</f>
        <v>0</v>
      </c>
      <c r="S134" s="20">
        <f t="shared" ref="S134:S141" si="417">+H134+K134+Q134+N134</f>
        <v>0</v>
      </c>
      <c r="T134" s="19">
        <f t="shared" ref="T134:T141" si="418">+I134+L134+R134+O134</f>
        <v>0</v>
      </c>
      <c r="U134" s="21">
        <f t="shared" ref="U134:U141" si="419">E134-S134</f>
        <v>5</v>
      </c>
      <c r="V134" s="19">
        <f t="shared" ref="V134:V141" si="420">F134-T134</f>
        <v>1.4000999999999999</v>
      </c>
    </row>
    <row r="135" spans="1:22">
      <c r="A135" s="26" t="s">
        <v>13</v>
      </c>
      <c r="B135" s="26" t="s">
        <v>127</v>
      </c>
      <c r="C135" s="30">
        <v>35.9</v>
      </c>
      <c r="D135" s="27">
        <v>11.7</v>
      </c>
      <c r="E135" s="28">
        <v>4</v>
      </c>
      <c r="F135" s="16">
        <f t="shared" ref="F135:F140" si="421">(C135*D135*E135/1000)</f>
        <v>1.6801199999999998</v>
      </c>
      <c r="G135" s="17" t="s">
        <v>588</v>
      </c>
      <c r="H135" s="18"/>
      <c r="I135" s="19">
        <f t="shared" ref="I135:I140" si="422">(C135*D135*H135/1000)</f>
        <v>0</v>
      </c>
      <c r="J135" s="16"/>
      <c r="K135" s="18"/>
      <c r="L135" s="19">
        <f t="shared" ref="L135:L140" si="423">(C135*D135*K135/1000)</f>
        <v>0</v>
      </c>
      <c r="M135" s="16"/>
      <c r="N135" s="18"/>
      <c r="O135" s="19">
        <f t="shared" ref="O135:O140" si="424">(C135*D135*N135/1000)</f>
        <v>0</v>
      </c>
      <c r="P135" s="16"/>
      <c r="Q135" s="18"/>
      <c r="R135" s="19">
        <f t="shared" ref="R135:R140" si="425">(C135*D135*Q135/1000)</f>
        <v>0</v>
      </c>
      <c r="S135" s="20">
        <f t="shared" ref="S135:S140" si="426">+H135+K135+Q135+N135</f>
        <v>0</v>
      </c>
      <c r="T135" s="19">
        <f t="shared" ref="T135:T140" si="427">+I135+L135+R135+O135</f>
        <v>0</v>
      </c>
      <c r="U135" s="21">
        <f t="shared" ref="U135:U140" si="428">E135-S135</f>
        <v>4</v>
      </c>
      <c r="V135" s="19">
        <f t="shared" ref="V135:V140" si="429">F135-T135</f>
        <v>1.6801199999999998</v>
      </c>
    </row>
    <row r="136" spans="1:22">
      <c r="A136" s="26" t="s">
        <v>13</v>
      </c>
      <c r="B136" s="26" t="s">
        <v>127</v>
      </c>
      <c r="C136" s="30">
        <v>35.9</v>
      </c>
      <c r="D136" s="27">
        <v>10</v>
      </c>
      <c r="E136" s="28"/>
      <c r="F136" s="16">
        <f t="shared" si="421"/>
        <v>0</v>
      </c>
      <c r="G136" s="17"/>
      <c r="H136" s="18">
        <v>3</v>
      </c>
      <c r="I136" s="19">
        <f t="shared" si="422"/>
        <v>1.077</v>
      </c>
      <c r="J136" s="16"/>
      <c r="K136" s="18"/>
      <c r="L136" s="19">
        <f t="shared" si="423"/>
        <v>0</v>
      </c>
      <c r="M136" s="16"/>
      <c r="N136" s="18"/>
      <c r="O136" s="19">
        <f t="shared" si="424"/>
        <v>0</v>
      </c>
      <c r="P136" s="16"/>
      <c r="Q136" s="18"/>
      <c r="R136" s="19">
        <f t="shared" si="425"/>
        <v>0</v>
      </c>
      <c r="S136" s="20">
        <f t="shared" si="426"/>
        <v>3</v>
      </c>
      <c r="T136" s="19">
        <f t="shared" si="427"/>
        <v>1.077</v>
      </c>
      <c r="U136" s="21">
        <f t="shared" si="428"/>
        <v>-3</v>
      </c>
      <c r="V136" s="19">
        <f t="shared" si="429"/>
        <v>-1.077</v>
      </c>
    </row>
    <row r="137" spans="1:22">
      <c r="A137" s="26" t="s">
        <v>13</v>
      </c>
      <c r="B137" s="26" t="s">
        <v>127</v>
      </c>
      <c r="C137" s="30">
        <v>35.9</v>
      </c>
      <c r="D137" s="27">
        <v>12</v>
      </c>
      <c r="E137" s="28"/>
      <c r="F137" s="16">
        <f t="shared" si="421"/>
        <v>0</v>
      </c>
      <c r="G137" s="17"/>
      <c r="H137" s="18">
        <v>2</v>
      </c>
      <c r="I137" s="19">
        <f t="shared" si="422"/>
        <v>0.86159999999999992</v>
      </c>
      <c r="J137" s="16"/>
      <c r="K137" s="18"/>
      <c r="L137" s="19">
        <f t="shared" si="423"/>
        <v>0</v>
      </c>
      <c r="M137" s="16"/>
      <c r="N137" s="18"/>
      <c r="O137" s="19">
        <f t="shared" si="424"/>
        <v>0</v>
      </c>
      <c r="P137" s="16"/>
      <c r="Q137" s="18"/>
      <c r="R137" s="19">
        <f t="shared" si="425"/>
        <v>0</v>
      </c>
      <c r="S137" s="20">
        <f t="shared" si="426"/>
        <v>2</v>
      </c>
      <c r="T137" s="19">
        <f t="shared" si="427"/>
        <v>0.86159999999999992</v>
      </c>
      <c r="U137" s="21">
        <f t="shared" si="428"/>
        <v>-2</v>
      </c>
      <c r="V137" s="19">
        <f t="shared" si="429"/>
        <v>-0.86159999999999992</v>
      </c>
    </row>
    <row r="138" spans="1:22">
      <c r="A138" s="26" t="s">
        <v>13</v>
      </c>
      <c r="B138" s="26" t="s">
        <v>127</v>
      </c>
      <c r="C138" s="30">
        <v>35.9</v>
      </c>
      <c r="D138" s="27">
        <v>11.5</v>
      </c>
      <c r="E138" s="28"/>
      <c r="F138" s="16">
        <f t="shared" si="421"/>
        <v>0</v>
      </c>
      <c r="G138" s="17"/>
      <c r="H138" s="18">
        <v>1</v>
      </c>
      <c r="I138" s="19">
        <f t="shared" si="422"/>
        <v>0.41284999999999994</v>
      </c>
      <c r="J138" s="16"/>
      <c r="K138" s="18"/>
      <c r="L138" s="19">
        <f t="shared" si="423"/>
        <v>0</v>
      </c>
      <c r="M138" s="16"/>
      <c r="N138" s="18"/>
      <c r="O138" s="19">
        <f t="shared" si="424"/>
        <v>0</v>
      </c>
      <c r="P138" s="16"/>
      <c r="Q138" s="18"/>
      <c r="R138" s="19">
        <f t="shared" si="425"/>
        <v>0</v>
      </c>
      <c r="S138" s="20">
        <f t="shared" si="426"/>
        <v>1</v>
      </c>
      <c r="T138" s="19">
        <f t="shared" si="427"/>
        <v>0.41284999999999994</v>
      </c>
      <c r="U138" s="21">
        <f t="shared" si="428"/>
        <v>-1</v>
      </c>
      <c r="V138" s="19">
        <f t="shared" si="429"/>
        <v>-0.41284999999999994</v>
      </c>
    </row>
    <row r="139" spans="1:22">
      <c r="A139" s="26" t="s">
        <v>13</v>
      </c>
      <c r="B139" s="26" t="s">
        <v>127</v>
      </c>
      <c r="C139" s="30">
        <v>35.9</v>
      </c>
      <c r="D139" s="27">
        <v>11.6</v>
      </c>
      <c r="E139" s="28"/>
      <c r="F139" s="16">
        <f t="shared" si="421"/>
        <v>0</v>
      </c>
      <c r="G139" s="17"/>
      <c r="H139" s="18">
        <v>2</v>
      </c>
      <c r="I139" s="19">
        <f t="shared" si="422"/>
        <v>0.83287999999999995</v>
      </c>
      <c r="J139" s="16"/>
      <c r="K139" s="18"/>
      <c r="L139" s="19">
        <f t="shared" si="423"/>
        <v>0</v>
      </c>
      <c r="M139" s="16"/>
      <c r="N139" s="18"/>
      <c r="O139" s="19">
        <f t="shared" si="424"/>
        <v>0</v>
      </c>
      <c r="P139" s="16"/>
      <c r="Q139" s="18"/>
      <c r="R139" s="19">
        <f t="shared" si="425"/>
        <v>0</v>
      </c>
      <c r="S139" s="20">
        <f t="shared" si="426"/>
        <v>2</v>
      </c>
      <c r="T139" s="19">
        <f t="shared" si="427"/>
        <v>0.83287999999999995</v>
      </c>
      <c r="U139" s="21">
        <f t="shared" si="428"/>
        <v>-2</v>
      </c>
      <c r="V139" s="19">
        <f t="shared" si="429"/>
        <v>-0.83287999999999995</v>
      </c>
    </row>
    <row r="140" spans="1:22">
      <c r="A140" s="26" t="s">
        <v>13</v>
      </c>
      <c r="B140" s="26" t="s">
        <v>127</v>
      </c>
      <c r="C140" s="30">
        <v>35.9</v>
      </c>
      <c r="D140" s="27">
        <v>7.8</v>
      </c>
      <c r="E140" s="28"/>
      <c r="F140" s="16">
        <f t="shared" si="421"/>
        <v>0</v>
      </c>
      <c r="G140" s="17"/>
      <c r="H140" s="18">
        <v>1</v>
      </c>
      <c r="I140" s="19">
        <f t="shared" si="422"/>
        <v>0.28001999999999999</v>
      </c>
      <c r="J140" s="16"/>
      <c r="K140" s="18"/>
      <c r="L140" s="19">
        <f t="shared" si="423"/>
        <v>0</v>
      </c>
      <c r="M140" s="16"/>
      <c r="N140" s="18"/>
      <c r="O140" s="19">
        <f t="shared" si="424"/>
        <v>0</v>
      </c>
      <c r="P140" s="16"/>
      <c r="Q140" s="18"/>
      <c r="R140" s="19">
        <f t="shared" si="425"/>
        <v>0</v>
      </c>
      <c r="S140" s="20">
        <f t="shared" si="426"/>
        <v>1</v>
      </c>
      <c r="T140" s="19">
        <f t="shared" si="427"/>
        <v>0.28001999999999999</v>
      </c>
      <c r="U140" s="21">
        <f t="shared" si="428"/>
        <v>-1</v>
      </c>
      <c r="V140" s="19">
        <f t="shared" si="429"/>
        <v>-0.28001999999999999</v>
      </c>
    </row>
    <row r="141" spans="1:22">
      <c r="A141" s="26" t="s">
        <v>13</v>
      </c>
      <c r="B141" s="26" t="s">
        <v>127</v>
      </c>
      <c r="C141" s="30">
        <v>35.9</v>
      </c>
      <c r="D141" s="27"/>
      <c r="E141" s="28"/>
      <c r="F141" s="16">
        <f t="shared" si="412"/>
        <v>0</v>
      </c>
      <c r="G141" s="17"/>
      <c r="H141" s="18"/>
      <c r="I141" s="19">
        <f t="shared" si="413"/>
        <v>0</v>
      </c>
      <c r="J141" s="16"/>
      <c r="K141" s="18"/>
      <c r="L141" s="19">
        <f t="shared" si="414"/>
        <v>0</v>
      </c>
      <c r="M141" s="16"/>
      <c r="N141" s="18"/>
      <c r="O141" s="19">
        <f t="shared" si="415"/>
        <v>0</v>
      </c>
      <c r="P141" s="16"/>
      <c r="Q141" s="18"/>
      <c r="R141" s="19">
        <f t="shared" si="416"/>
        <v>0</v>
      </c>
      <c r="S141" s="20">
        <f t="shared" si="417"/>
        <v>0</v>
      </c>
      <c r="T141" s="19">
        <f t="shared" si="418"/>
        <v>0</v>
      </c>
      <c r="U141" s="21">
        <f t="shared" si="419"/>
        <v>0</v>
      </c>
      <c r="V141" s="19">
        <f t="shared" si="420"/>
        <v>0</v>
      </c>
    </row>
    <row r="142" spans="1:22">
      <c r="A142" s="36"/>
      <c r="B142" s="36"/>
      <c r="C142" s="37"/>
      <c r="D142" s="38"/>
      <c r="E142" s="31">
        <f>SUM(E134:E141)</f>
        <v>9</v>
      </c>
      <c r="F142" s="38">
        <f>SUM(F134:F141)</f>
        <v>3.0802199999999997</v>
      </c>
      <c r="H142" s="31">
        <f>SUM(H134:H141)</f>
        <v>9</v>
      </c>
      <c r="I142" s="38">
        <f>SUM(I134:I141)</f>
        <v>3.4643499999999996</v>
      </c>
      <c r="K142" s="31">
        <f t="shared" ref="K142" si="430">SUM(K134:K141)</f>
        <v>0</v>
      </c>
      <c r="L142" s="38">
        <f t="shared" ref="L142" si="431">SUM(L134:L141)</f>
        <v>0</v>
      </c>
      <c r="N142" s="31">
        <f t="shared" ref="N142" si="432">SUM(N134:N141)</f>
        <v>0</v>
      </c>
      <c r="O142" s="38">
        <f t="shared" ref="O142" si="433">SUM(O134:O141)</f>
        <v>0</v>
      </c>
      <c r="Q142" s="31">
        <f t="shared" ref="Q142" si="434">SUM(Q134:Q141)</f>
        <v>0</v>
      </c>
      <c r="R142" s="38">
        <f t="shared" ref="R142" si="435">SUM(R134:R141)</f>
        <v>0</v>
      </c>
      <c r="S142" s="31">
        <f t="shared" ref="S142" si="436">SUM(S134:S141)</f>
        <v>9</v>
      </c>
      <c r="T142" s="38">
        <f t="shared" ref="T142" si="437">SUM(T134:T141)</f>
        <v>3.4643499999999996</v>
      </c>
      <c r="U142" s="31">
        <f t="shared" ref="U142" si="438">SUM(U134:U141)</f>
        <v>0</v>
      </c>
      <c r="V142" s="38">
        <f t="shared" ref="V142" si="439">SUM(V134:V141)</f>
        <v>-0.38413000000000003</v>
      </c>
    </row>
    <row r="143" spans="1:22">
      <c r="A143" s="26" t="s">
        <v>13</v>
      </c>
      <c r="B143" s="26" t="s">
        <v>128</v>
      </c>
      <c r="C143" s="30">
        <v>40.1</v>
      </c>
      <c r="D143" s="27">
        <v>7.2</v>
      </c>
      <c r="E143" s="28">
        <v>3</v>
      </c>
      <c r="F143" s="16">
        <f>(C143*D143*E143/1000)</f>
        <v>0.86616000000000004</v>
      </c>
      <c r="G143" s="17" t="s">
        <v>111</v>
      </c>
      <c r="H143" s="18"/>
      <c r="I143" s="19">
        <f>(C143*D143*H143/1000)</f>
        <v>0</v>
      </c>
      <c r="J143" s="16"/>
      <c r="K143" s="18"/>
      <c r="L143" s="19">
        <f>(C143*D143*K143/1000)</f>
        <v>0</v>
      </c>
      <c r="M143" s="16"/>
      <c r="N143" s="18"/>
      <c r="O143" s="19">
        <f>(C143*D143*N143/1000)</f>
        <v>0</v>
      </c>
      <c r="P143" s="16"/>
      <c r="Q143" s="18"/>
      <c r="R143" s="19">
        <f>(C143*D143*Q143/1000)</f>
        <v>0</v>
      </c>
      <c r="S143" s="20">
        <f>+H143+K143+Q143+N143</f>
        <v>0</v>
      </c>
      <c r="T143" s="19">
        <f>+I143+L143+R143+O143</f>
        <v>0</v>
      </c>
      <c r="U143" s="21">
        <f>E143-S143</f>
        <v>3</v>
      </c>
      <c r="V143" s="19">
        <f>F143-T143</f>
        <v>0.86616000000000004</v>
      </c>
    </row>
    <row r="144" spans="1:22">
      <c r="A144" s="26" t="s">
        <v>13</v>
      </c>
      <c r="B144" s="26" t="s">
        <v>128</v>
      </c>
      <c r="C144" s="30">
        <v>40.1</v>
      </c>
      <c r="D144" s="27">
        <v>8.8000000000000007</v>
      </c>
      <c r="E144" s="28"/>
      <c r="F144" s="16">
        <f t="shared" ref="F144" si="440">(C144*D144*E144/1000)</f>
        <v>0</v>
      </c>
      <c r="G144" s="17" t="s">
        <v>588</v>
      </c>
      <c r="H144" s="18">
        <v>1</v>
      </c>
      <c r="I144" s="19">
        <f t="shared" ref="I144:I146" si="441">(C144*D144*H144/1000)</f>
        <v>0.35288000000000003</v>
      </c>
      <c r="J144" s="16"/>
      <c r="K144" s="18"/>
      <c r="L144" s="19">
        <f t="shared" ref="L144:L146" si="442">(C144*D144*K144/1000)</f>
        <v>0</v>
      </c>
      <c r="M144" s="16"/>
      <c r="N144" s="18"/>
      <c r="O144" s="19">
        <f t="shared" ref="O144:O146" si="443">(C144*D144*N144/1000)</f>
        <v>0</v>
      </c>
      <c r="P144" s="16"/>
      <c r="Q144" s="18"/>
      <c r="R144" s="19">
        <f t="shared" ref="R144:R146" si="444">(C144*D144*Q144/1000)</f>
        <v>0</v>
      </c>
      <c r="S144" s="20">
        <f t="shared" ref="S144:S146" si="445">+H144+K144+Q144+N144</f>
        <v>1</v>
      </c>
      <c r="T144" s="19">
        <f t="shared" ref="T144:T146" si="446">+I144+L144+R144+O144</f>
        <v>0.35288000000000003</v>
      </c>
      <c r="U144" s="21">
        <f t="shared" ref="U144:U146" si="447">E144-S144</f>
        <v>-1</v>
      </c>
      <c r="V144" s="19">
        <f t="shared" ref="V144:V146" si="448">F144-T144</f>
        <v>-0.35288000000000003</v>
      </c>
    </row>
    <row r="145" spans="1:22">
      <c r="A145" s="26" t="s">
        <v>13</v>
      </c>
      <c r="B145" s="26" t="s">
        <v>128</v>
      </c>
      <c r="C145" s="30">
        <v>40.1</v>
      </c>
      <c r="D145" s="27">
        <v>9.3000000000000007</v>
      </c>
      <c r="E145" s="28"/>
      <c r="F145" s="16">
        <f t="shared" ref="F145:F146" si="449">(C145*D145*E145/1000)</f>
        <v>0</v>
      </c>
      <c r="G145" s="17"/>
      <c r="H145" s="18">
        <v>1</v>
      </c>
      <c r="I145" s="19">
        <f t="shared" si="441"/>
        <v>0.37293000000000004</v>
      </c>
      <c r="J145" s="16"/>
      <c r="K145" s="18"/>
      <c r="L145" s="19">
        <f t="shared" si="442"/>
        <v>0</v>
      </c>
      <c r="M145" s="16"/>
      <c r="N145" s="18"/>
      <c r="O145" s="19">
        <f t="shared" si="443"/>
        <v>0</v>
      </c>
      <c r="P145" s="16"/>
      <c r="Q145" s="18"/>
      <c r="R145" s="19">
        <f t="shared" si="444"/>
        <v>0</v>
      </c>
      <c r="S145" s="20">
        <f t="shared" si="445"/>
        <v>1</v>
      </c>
      <c r="T145" s="19">
        <f t="shared" si="446"/>
        <v>0.37293000000000004</v>
      </c>
      <c r="U145" s="21">
        <f t="shared" si="447"/>
        <v>-1</v>
      </c>
      <c r="V145" s="19">
        <f t="shared" si="448"/>
        <v>-0.37293000000000004</v>
      </c>
    </row>
    <row r="146" spans="1:22">
      <c r="A146" s="26" t="s">
        <v>13</v>
      </c>
      <c r="B146" s="26" t="s">
        <v>128</v>
      </c>
      <c r="C146" s="30">
        <v>40.1</v>
      </c>
      <c r="D146" s="27">
        <v>9.5</v>
      </c>
      <c r="E146" s="28"/>
      <c r="F146" s="16">
        <f t="shared" si="449"/>
        <v>0</v>
      </c>
      <c r="G146" s="17"/>
      <c r="H146" s="18">
        <v>1</v>
      </c>
      <c r="I146" s="19">
        <f t="shared" si="441"/>
        <v>0.38095000000000001</v>
      </c>
      <c r="J146" s="16"/>
      <c r="K146" s="18"/>
      <c r="L146" s="19">
        <f t="shared" si="442"/>
        <v>0</v>
      </c>
      <c r="M146" s="16"/>
      <c r="N146" s="18"/>
      <c r="O146" s="19">
        <f t="shared" si="443"/>
        <v>0</v>
      </c>
      <c r="P146" s="16"/>
      <c r="Q146" s="18"/>
      <c r="R146" s="19">
        <f t="shared" si="444"/>
        <v>0</v>
      </c>
      <c r="S146" s="20">
        <f t="shared" si="445"/>
        <v>1</v>
      </c>
      <c r="T146" s="19">
        <f t="shared" si="446"/>
        <v>0.38095000000000001</v>
      </c>
      <c r="U146" s="21">
        <f t="shared" si="447"/>
        <v>-1</v>
      </c>
      <c r="V146" s="19">
        <f t="shared" si="448"/>
        <v>-0.38095000000000001</v>
      </c>
    </row>
    <row r="147" spans="1:22">
      <c r="A147" s="36"/>
      <c r="B147" s="36"/>
      <c r="C147" s="37"/>
      <c r="D147" s="38"/>
      <c r="E147" s="31">
        <f>SUM(E143:E146)</f>
        <v>3</v>
      </c>
      <c r="F147" s="38">
        <f>SUM(F143:F146)</f>
        <v>0.86616000000000004</v>
      </c>
      <c r="G147" s="17"/>
      <c r="H147" s="31">
        <f>SUM(H143:H146)</f>
        <v>3</v>
      </c>
      <c r="I147" s="38">
        <f>SUM(I143:I146)</f>
        <v>1.10676</v>
      </c>
      <c r="K147" s="31">
        <f>SUM(K143:K146)</f>
        <v>0</v>
      </c>
      <c r="L147" s="38">
        <f>SUM(L143:L146)</f>
        <v>0</v>
      </c>
      <c r="N147" s="31">
        <f>SUM(N143:N146)</f>
        <v>0</v>
      </c>
      <c r="O147" s="38">
        <f>SUM(O143:O146)</f>
        <v>0</v>
      </c>
      <c r="Q147" s="31">
        <f t="shared" ref="Q147:V147" si="450">SUM(Q143:Q146)</f>
        <v>0</v>
      </c>
      <c r="R147" s="38">
        <f t="shared" si="450"/>
        <v>0</v>
      </c>
      <c r="S147" s="31">
        <f t="shared" si="450"/>
        <v>3</v>
      </c>
      <c r="T147" s="38">
        <f t="shared" si="450"/>
        <v>1.10676</v>
      </c>
      <c r="U147" s="31">
        <f t="shared" si="450"/>
        <v>0</v>
      </c>
      <c r="V147" s="38">
        <f t="shared" si="450"/>
        <v>-0.24060000000000009</v>
      </c>
    </row>
    <row r="148" spans="1:22">
      <c r="A148" s="26" t="s">
        <v>13</v>
      </c>
      <c r="B148" s="26" t="s">
        <v>34</v>
      </c>
      <c r="C148" s="30">
        <v>5.76</v>
      </c>
      <c r="D148" s="27">
        <v>12</v>
      </c>
      <c r="E148" s="28">
        <v>20</v>
      </c>
      <c r="F148" s="16">
        <f>(C148*D148*E148/1000)</f>
        <v>1.3824000000000001</v>
      </c>
      <c r="G148" s="17" t="s">
        <v>111</v>
      </c>
      <c r="H148" s="18">
        <v>15</v>
      </c>
      <c r="I148" s="19">
        <f>(C148*D148*H148/1000)</f>
        <v>1.0368000000000002</v>
      </c>
      <c r="J148" s="16" t="s">
        <v>111</v>
      </c>
      <c r="K148" s="18"/>
      <c r="L148" s="19">
        <f>(C148*D148*K148/1000)</f>
        <v>0</v>
      </c>
      <c r="M148" s="16"/>
      <c r="N148" s="18"/>
      <c r="O148" s="19">
        <f>(C148*D148*N148/1000)</f>
        <v>0</v>
      </c>
      <c r="P148" s="16"/>
      <c r="Q148" s="18"/>
      <c r="R148" s="19">
        <f>(C148*D148*Q148/1000)</f>
        <v>0</v>
      </c>
      <c r="S148" s="20">
        <f>+H148+K148+Q148+N148</f>
        <v>15</v>
      </c>
      <c r="T148" s="19">
        <f>+I148+L148+R148+O148</f>
        <v>1.0368000000000002</v>
      </c>
      <c r="U148" s="21">
        <f>E148-S148</f>
        <v>5</v>
      </c>
      <c r="V148" s="19">
        <f>F148-T148</f>
        <v>0.34559999999999991</v>
      </c>
    </row>
    <row r="149" spans="1:22">
      <c r="A149" s="26" t="s">
        <v>13</v>
      </c>
      <c r="B149" s="26" t="s">
        <v>34</v>
      </c>
      <c r="C149" s="30">
        <v>5.76</v>
      </c>
      <c r="D149" s="27">
        <v>10.3</v>
      </c>
      <c r="E149" s="28"/>
      <c r="F149" s="16">
        <f t="shared" ref="F149:F151" si="451">(C149*D149*E149/1000)</f>
        <v>0</v>
      </c>
      <c r="G149" s="17" t="s">
        <v>588</v>
      </c>
      <c r="H149" s="18"/>
      <c r="I149" s="19">
        <f t="shared" ref="I149:I151" si="452">(C149*D149*H149/1000)</f>
        <v>0</v>
      </c>
      <c r="J149" s="16" t="s">
        <v>604</v>
      </c>
      <c r="K149" s="18">
        <v>1</v>
      </c>
      <c r="L149" s="19">
        <f t="shared" ref="L149:L151" si="453">(C149*D149*K149/1000)</f>
        <v>5.9328000000000006E-2</v>
      </c>
      <c r="M149" s="16"/>
      <c r="N149" s="18"/>
      <c r="O149" s="19">
        <f t="shared" ref="O149:O151" si="454">(C149*D149*N149/1000)</f>
        <v>0</v>
      </c>
      <c r="P149" s="16"/>
      <c r="Q149" s="18"/>
      <c r="R149" s="19">
        <f t="shared" ref="R149:R151" si="455">(C149*D149*Q149/1000)</f>
        <v>0</v>
      </c>
      <c r="S149" s="20">
        <f t="shared" ref="S149:S151" si="456">+H149+K149+Q149+N149</f>
        <v>1</v>
      </c>
      <c r="T149" s="19">
        <f t="shared" ref="T149:T151" si="457">+I149+L149+R149+O149</f>
        <v>5.9328000000000006E-2</v>
      </c>
      <c r="U149" s="21">
        <f t="shared" ref="U149:U151" si="458">E149-S149</f>
        <v>-1</v>
      </c>
      <c r="V149" s="19">
        <f t="shared" ref="V149:V151" si="459">F149-T149</f>
        <v>-5.9328000000000006E-2</v>
      </c>
    </row>
    <row r="150" spans="1:22">
      <c r="A150" s="26" t="s">
        <v>13</v>
      </c>
      <c r="B150" s="26" t="s">
        <v>34</v>
      </c>
      <c r="C150" s="30">
        <v>5.76</v>
      </c>
      <c r="D150" s="27">
        <v>9.8000000000000007</v>
      </c>
      <c r="E150" s="28"/>
      <c r="F150" s="16">
        <f t="shared" si="451"/>
        <v>0</v>
      </c>
      <c r="G150" s="17"/>
      <c r="H150" s="18"/>
      <c r="I150" s="19">
        <f t="shared" si="452"/>
        <v>0</v>
      </c>
      <c r="J150" s="16"/>
      <c r="K150" s="18">
        <v>1</v>
      </c>
      <c r="L150" s="19">
        <f t="shared" si="453"/>
        <v>5.6447999999999998E-2</v>
      </c>
      <c r="M150" s="16"/>
      <c r="N150" s="18"/>
      <c r="O150" s="19">
        <f t="shared" si="454"/>
        <v>0</v>
      </c>
      <c r="P150" s="16"/>
      <c r="Q150" s="18"/>
      <c r="R150" s="19">
        <f t="shared" si="455"/>
        <v>0</v>
      </c>
      <c r="S150" s="20">
        <f t="shared" si="456"/>
        <v>1</v>
      </c>
      <c r="T150" s="19">
        <f t="shared" si="457"/>
        <v>5.6447999999999998E-2</v>
      </c>
      <c r="U150" s="21">
        <f t="shared" si="458"/>
        <v>-1</v>
      </c>
      <c r="V150" s="19">
        <f t="shared" si="459"/>
        <v>-5.6447999999999998E-2</v>
      </c>
    </row>
    <row r="151" spans="1:22">
      <c r="A151" s="26" t="s">
        <v>13</v>
      </c>
      <c r="B151" s="26" t="s">
        <v>34</v>
      </c>
      <c r="C151" s="30">
        <v>5.76</v>
      </c>
      <c r="D151" s="27">
        <v>9.6999999999999993</v>
      </c>
      <c r="E151" s="28"/>
      <c r="F151" s="16">
        <f t="shared" si="451"/>
        <v>0</v>
      </c>
      <c r="G151" s="17"/>
      <c r="H151" s="18"/>
      <c r="I151" s="19">
        <f t="shared" si="452"/>
        <v>0</v>
      </c>
      <c r="J151" s="16"/>
      <c r="K151" s="18">
        <v>8</v>
      </c>
      <c r="L151" s="19">
        <f t="shared" si="453"/>
        <v>0.44697599999999993</v>
      </c>
      <c r="M151" s="16"/>
      <c r="N151" s="18"/>
      <c r="O151" s="19">
        <f t="shared" si="454"/>
        <v>0</v>
      </c>
      <c r="P151" s="16"/>
      <c r="Q151" s="18"/>
      <c r="R151" s="19">
        <f t="shared" si="455"/>
        <v>0</v>
      </c>
      <c r="S151" s="20">
        <f t="shared" si="456"/>
        <v>8</v>
      </c>
      <c r="T151" s="19">
        <f t="shared" si="457"/>
        <v>0.44697599999999993</v>
      </c>
      <c r="U151" s="21">
        <f t="shared" si="458"/>
        <v>-8</v>
      </c>
      <c r="V151" s="19">
        <f t="shared" si="459"/>
        <v>-0.44697599999999993</v>
      </c>
    </row>
    <row r="152" spans="1:22">
      <c r="A152" s="36"/>
      <c r="B152" s="36"/>
      <c r="C152" s="37"/>
      <c r="D152" s="38"/>
      <c r="E152" s="31">
        <f t="shared" ref="E152:F152" si="460">SUM(E148:E151)</f>
        <v>20</v>
      </c>
      <c r="F152" s="38">
        <f t="shared" si="460"/>
        <v>1.3824000000000001</v>
      </c>
      <c r="G152" s="17"/>
      <c r="H152" s="31">
        <f t="shared" ref="H152" si="461">SUM(H148:H151)</f>
        <v>15</v>
      </c>
      <c r="I152" s="38">
        <f t="shared" ref="I152" si="462">SUM(I148:I151)</f>
        <v>1.0368000000000002</v>
      </c>
      <c r="J152" s="16"/>
      <c r="K152" s="31">
        <f t="shared" ref="K152" si="463">SUM(K148:K151)</f>
        <v>10</v>
      </c>
      <c r="L152" s="38">
        <f t="shared" ref="L152" si="464">SUM(L148:L151)</f>
        <v>0.56275199999999992</v>
      </c>
      <c r="N152" s="31">
        <f t="shared" ref="N152" si="465">SUM(N148:N151)</f>
        <v>0</v>
      </c>
      <c r="O152" s="38">
        <f t="shared" ref="O152" si="466">SUM(O148:O151)</f>
        <v>0</v>
      </c>
      <c r="Q152" s="31">
        <f t="shared" ref="Q152" si="467">SUM(Q148:Q151)</f>
        <v>0</v>
      </c>
      <c r="R152" s="38">
        <f t="shared" ref="R152" si="468">SUM(R148:R151)</f>
        <v>0</v>
      </c>
      <c r="S152" s="31">
        <f t="shared" ref="S152" si="469">SUM(S148:S151)</f>
        <v>25</v>
      </c>
      <c r="T152" s="38">
        <f t="shared" ref="T152" si="470">SUM(T148:T151)</f>
        <v>1.5995520000000001</v>
      </c>
      <c r="U152" s="31">
        <f t="shared" ref="U152" si="471">SUM(U148:U151)</f>
        <v>-5</v>
      </c>
      <c r="V152" s="38">
        <f t="shared" ref="V152" si="472">SUM(V148:V151)</f>
        <v>-0.21715200000000001</v>
      </c>
    </row>
    <row r="153" spans="1:22">
      <c r="A153" s="26" t="s">
        <v>13</v>
      </c>
      <c r="B153" s="26" t="s">
        <v>35</v>
      </c>
      <c r="C153" s="30">
        <v>6.85</v>
      </c>
      <c r="D153" s="27">
        <v>7.6</v>
      </c>
      <c r="E153" s="28">
        <v>169</v>
      </c>
      <c r="F153" s="16">
        <f>(C153*D153*E153/1000)</f>
        <v>8.7981400000000001</v>
      </c>
      <c r="G153" s="16" t="s">
        <v>205</v>
      </c>
      <c r="H153" s="18">
        <v>150</v>
      </c>
      <c r="I153" s="19">
        <f>(C153*D153*H153/1000)</f>
        <v>7.8089999999999993</v>
      </c>
      <c r="J153" s="17" t="s">
        <v>111</v>
      </c>
      <c r="K153" s="18">
        <f>12+7</f>
        <v>19</v>
      </c>
      <c r="L153" s="19">
        <f>(C153*D153*K153/1000)</f>
        <v>0.98913999999999991</v>
      </c>
      <c r="M153" s="16"/>
      <c r="N153" s="18"/>
      <c r="O153" s="19">
        <f>(C153*D153*N153/1000)</f>
        <v>0</v>
      </c>
      <c r="P153" s="16"/>
      <c r="Q153" s="18"/>
      <c r="R153" s="19">
        <f>(C153*D153*Q153/1000)</f>
        <v>0</v>
      </c>
      <c r="S153" s="20">
        <f t="shared" ref="S153:T155" si="473">+H153+K153+Q153+N153</f>
        <v>169</v>
      </c>
      <c r="T153" s="19">
        <f t="shared" si="473"/>
        <v>8.7981400000000001</v>
      </c>
      <c r="U153" s="21">
        <f t="shared" ref="U153:V155" si="474">E153-S153</f>
        <v>0</v>
      </c>
      <c r="V153" s="19">
        <f t="shared" si="474"/>
        <v>0</v>
      </c>
    </row>
    <row r="154" spans="1:22">
      <c r="A154" s="26" t="s">
        <v>13</v>
      </c>
      <c r="B154" s="26" t="s">
        <v>35</v>
      </c>
      <c r="C154" s="30">
        <v>6.85</v>
      </c>
      <c r="D154" s="27">
        <v>10</v>
      </c>
      <c r="E154" s="28">
        <v>13</v>
      </c>
      <c r="F154" s="16">
        <f>(C154*D154*E154/1000)</f>
        <v>0.89049999999999996</v>
      </c>
      <c r="G154" s="16" t="s">
        <v>584</v>
      </c>
      <c r="H154" s="18">
        <v>9</v>
      </c>
      <c r="I154" s="19">
        <f>(C154*D154*H154/1000)</f>
        <v>0.61650000000000005</v>
      </c>
      <c r="J154" s="17" t="s">
        <v>588</v>
      </c>
      <c r="K154" s="18">
        <v>4</v>
      </c>
      <c r="L154" s="19">
        <f>(C154*D154*K154/1000)</f>
        <v>0.27400000000000002</v>
      </c>
      <c r="M154" s="16"/>
      <c r="N154" s="18"/>
      <c r="O154" s="19">
        <f>(C154*D154*N154/1000)</f>
        <v>0</v>
      </c>
      <c r="P154" s="16"/>
      <c r="Q154" s="18"/>
      <c r="R154" s="19">
        <f>(C154*D154*Q154/1000)</f>
        <v>0</v>
      </c>
      <c r="S154" s="20">
        <f t="shared" si="473"/>
        <v>13</v>
      </c>
      <c r="T154" s="19">
        <f t="shared" si="473"/>
        <v>0.89050000000000007</v>
      </c>
      <c r="U154" s="21">
        <f t="shared" si="474"/>
        <v>0</v>
      </c>
      <c r="V154" s="19">
        <f t="shared" si="474"/>
        <v>0</v>
      </c>
    </row>
    <row r="155" spans="1:22">
      <c r="A155" s="26" t="s">
        <v>13</v>
      </c>
      <c r="B155" s="26" t="s">
        <v>35</v>
      </c>
      <c r="C155" s="30">
        <v>6.85</v>
      </c>
      <c r="D155" s="27">
        <v>12</v>
      </c>
      <c r="E155" s="28">
        <v>16</v>
      </c>
      <c r="F155" s="16">
        <f>(C155*D155*E155/1000)</f>
        <v>1.3151999999999999</v>
      </c>
      <c r="G155" s="17"/>
      <c r="H155" s="18">
        <v>16</v>
      </c>
      <c r="I155" s="19">
        <f>(C155*D155*H155/1000)</f>
        <v>1.3151999999999999</v>
      </c>
      <c r="J155" s="16"/>
      <c r="K155" s="18"/>
      <c r="L155" s="19">
        <f>(C155*D155*K155/1000)</f>
        <v>0</v>
      </c>
      <c r="M155" s="16"/>
      <c r="N155" s="18"/>
      <c r="O155" s="19">
        <f>(C155*D155*N155/1000)</f>
        <v>0</v>
      </c>
      <c r="P155" s="16"/>
      <c r="Q155" s="18"/>
      <c r="R155" s="19">
        <f>(C155*D155*Q155/1000)</f>
        <v>0</v>
      </c>
      <c r="S155" s="20">
        <f t="shared" si="473"/>
        <v>16</v>
      </c>
      <c r="T155" s="19">
        <f t="shared" si="473"/>
        <v>1.3151999999999999</v>
      </c>
      <c r="U155" s="21">
        <f t="shared" si="474"/>
        <v>0</v>
      </c>
      <c r="V155" s="19">
        <f t="shared" si="474"/>
        <v>0</v>
      </c>
    </row>
    <row r="156" spans="1:22">
      <c r="A156" s="36"/>
      <c r="B156" s="36"/>
      <c r="C156" s="37"/>
      <c r="D156" s="38"/>
      <c r="E156" s="31">
        <f t="shared" ref="E156:F156" si="475">SUM(E153:E155)</f>
        <v>198</v>
      </c>
      <c r="F156" s="38">
        <f t="shared" si="475"/>
        <v>11.00384</v>
      </c>
      <c r="H156" s="31">
        <f t="shared" ref="H156" si="476">SUM(H153:H155)</f>
        <v>175</v>
      </c>
      <c r="I156" s="38">
        <f t="shared" ref="I156" si="477">SUM(I153:I155)</f>
        <v>9.7407000000000004</v>
      </c>
      <c r="K156" s="31">
        <f t="shared" ref="K156" si="478">SUM(K153:K155)</f>
        <v>23</v>
      </c>
      <c r="L156" s="38">
        <f t="shared" ref="L156" si="479">SUM(L153:L155)</f>
        <v>1.2631399999999999</v>
      </c>
      <c r="N156" s="31">
        <f t="shared" ref="N156" si="480">SUM(N153:N155)</f>
        <v>0</v>
      </c>
      <c r="O156" s="38">
        <f t="shared" ref="O156" si="481">SUM(O153:O155)</f>
        <v>0</v>
      </c>
      <c r="Q156" s="31">
        <f t="shared" ref="Q156" si="482">SUM(Q153:Q155)</f>
        <v>0</v>
      </c>
      <c r="R156" s="38">
        <f t="shared" ref="R156" si="483">SUM(R153:R155)</f>
        <v>0</v>
      </c>
      <c r="S156" s="31">
        <f t="shared" ref="S156" si="484">SUM(S153:S155)</f>
        <v>198</v>
      </c>
      <c r="T156" s="38">
        <f t="shared" ref="T156" si="485">SUM(T153:T155)</f>
        <v>11.00384</v>
      </c>
      <c r="U156" s="31">
        <f t="shared" ref="U156" si="486">SUM(U153:U155)</f>
        <v>0</v>
      </c>
      <c r="V156" s="38">
        <f t="shared" ref="V156" si="487">SUM(V153:V155)</f>
        <v>0</v>
      </c>
    </row>
    <row r="157" spans="1:22">
      <c r="A157" s="26" t="s">
        <v>13</v>
      </c>
      <c r="B157" s="26" t="s">
        <v>57</v>
      </c>
      <c r="C157" s="30">
        <v>6.17</v>
      </c>
      <c r="D157" s="27">
        <v>12</v>
      </c>
      <c r="E157" s="28">
        <v>4</v>
      </c>
      <c r="F157" s="16">
        <f>(C157*D157*E157/1000)</f>
        <v>0.29615999999999998</v>
      </c>
      <c r="G157" s="17" t="s">
        <v>111</v>
      </c>
      <c r="H157" s="18">
        <v>4</v>
      </c>
      <c r="I157" s="19">
        <f>(C157*D157*H157/1000)</f>
        <v>0.29615999999999998</v>
      </c>
      <c r="J157" s="16"/>
      <c r="K157" s="18"/>
      <c r="L157" s="19">
        <f>(C157*D157*K157/1000)</f>
        <v>0</v>
      </c>
      <c r="M157" s="16"/>
      <c r="N157" s="18"/>
      <c r="O157" s="19">
        <f>(C157*D157*N157/1000)</f>
        <v>0</v>
      </c>
      <c r="P157" s="16"/>
      <c r="Q157" s="18"/>
      <c r="R157" s="19">
        <f>(C157*D157*Q157/1000)</f>
        <v>0</v>
      </c>
      <c r="S157" s="20">
        <f>+H157+K157+Q157+N157</f>
        <v>4</v>
      </c>
      <c r="T157" s="19">
        <f>+I157+L157+R157+O157</f>
        <v>0.29615999999999998</v>
      </c>
      <c r="U157" s="21">
        <f>E157-S157</f>
        <v>0</v>
      </c>
      <c r="V157" s="19">
        <f>F157-T157</f>
        <v>0</v>
      </c>
    </row>
    <row r="158" spans="1:22">
      <c r="A158" s="36"/>
      <c r="B158" s="36"/>
      <c r="C158" s="37"/>
      <c r="D158" s="38"/>
      <c r="E158" s="31">
        <f t="shared" ref="E158:F158" si="488">SUM(E157)</f>
        <v>4</v>
      </c>
      <c r="F158" s="38">
        <f t="shared" si="488"/>
        <v>0.29615999999999998</v>
      </c>
      <c r="G158" s="17" t="s">
        <v>588</v>
      </c>
      <c r="H158" s="31">
        <f t="shared" ref="H158" si="489">SUM(H157)</f>
        <v>4</v>
      </c>
      <c r="I158" s="38">
        <f t="shared" ref="I158" si="490">SUM(I157)</f>
        <v>0.29615999999999998</v>
      </c>
      <c r="K158" s="31">
        <f t="shared" ref="K158" si="491">SUM(K157)</f>
        <v>0</v>
      </c>
      <c r="L158" s="38">
        <f t="shared" ref="L158" si="492">SUM(L157)</f>
        <v>0</v>
      </c>
      <c r="N158" s="31">
        <f t="shared" ref="N158" si="493">SUM(N157)</f>
        <v>0</v>
      </c>
      <c r="O158" s="38">
        <f t="shared" ref="O158" si="494">SUM(O157)</f>
        <v>0</v>
      </c>
      <c r="Q158" s="31">
        <f t="shared" ref="Q158" si="495">SUM(Q157)</f>
        <v>0</v>
      </c>
      <c r="R158" s="38">
        <f t="shared" ref="R158" si="496">SUM(R157)</f>
        <v>0</v>
      </c>
      <c r="S158" s="31">
        <f t="shared" ref="S158" si="497">SUM(S157)</f>
        <v>4</v>
      </c>
      <c r="T158" s="38">
        <f t="shared" ref="T158" si="498">SUM(T157)</f>
        <v>0.29615999999999998</v>
      </c>
      <c r="U158" s="31">
        <f t="shared" ref="U158" si="499">SUM(U157)</f>
        <v>0</v>
      </c>
      <c r="V158" s="38">
        <f t="shared" ref="V158" si="500">SUM(V157)</f>
        <v>0</v>
      </c>
    </row>
    <row r="159" spans="1:22">
      <c r="A159" s="26" t="s">
        <v>13</v>
      </c>
      <c r="B159" s="26" t="s">
        <v>58</v>
      </c>
      <c r="C159" s="30">
        <v>7.34</v>
      </c>
      <c r="D159" s="27">
        <v>11</v>
      </c>
      <c r="E159" s="28">
        <v>32</v>
      </c>
      <c r="F159" s="16">
        <f>(C159*D159*E159/1000)</f>
        <v>2.5836799999999998</v>
      </c>
      <c r="G159" s="17"/>
      <c r="H159" s="18"/>
      <c r="I159" s="19">
        <f>(C159*D159*H159/1000)</f>
        <v>0</v>
      </c>
      <c r="J159" s="16"/>
      <c r="K159" s="18"/>
      <c r="L159" s="19">
        <f>(C159*D159*K159/1000)</f>
        <v>0</v>
      </c>
      <c r="M159" s="16"/>
      <c r="N159" s="18"/>
      <c r="O159" s="19">
        <f>(C159*D159*N159/1000)</f>
        <v>0</v>
      </c>
      <c r="P159" s="16"/>
      <c r="Q159" s="18"/>
      <c r="R159" s="19">
        <f>(C159*D159*Q159/1000)</f>
        <v>0</v>
      </c>
      <c r="S159" s="20">
        <f>+H159+K159+Q159+N159</f>
        <v>0</v>
      </c>
      <c r="T159" s="19">
        <f>+I159+L159+R159+O159</f>
        <v>0</v>
      </c>
      <c r="U159" s="21">
        <f>E159-S159</f>
        <v>32</v>
      </c>
      <c r="V159" s="19">
        <f>F159-T159</f>
        <v>2.5836799999999998</v>
      </c>
    </row>
    <row r="160" spans="1:22">
      <c r="A160" s="26" t="s">
        <v>13</v>
      </c>
      <c r="B160" s="26" t="s">
        <v>58</v>
      </c>
      <c r="C160" s="30">
        <v>7.34</v>
      </c>
      <c r="D160" s="27">
        <v>12</v>
      </c>
      <c r="E160" s="28">
        <v>3</v>
      </c>
      <c r="F160" s="16">
        <f>(C160*D160*E160/1000)</f>
        <v>0.26424000000000003</v>
      </c>
      <c r="G160" s="17"/>
      <c r="H160" s="18"/>
      <c r="I160" s="19">
        <f>(C160*D160*H160/1000)</f>
        <v>0</v>
      </c>
      <c r="J160" s="16"/>
      <c r="K160" s="18"/>
      <c r="L160" s="19">
        <f>(C160*D160*K160/1000)</f>
        <v>0</v>
      </c>
      <c r="M160" s="16"/>
      <c r="N160" s="18"/>
      <c r="O160" s="19">
        <f>(C160*D160*N160/1000)</f>
        <v>0</v>
      </c>
      <c r="P160" s="16"/>
      <c r="Q160" s="18"/>
      <c r="R160" s="19">
        <f>(C160*D160*Q160/1000)</f>
        <v>0</v>
      </c>
      <c r="S160" s="20">
        <f>+H160+K160+Q160+N160</f>
        <v>0</v>
      </c>
      <c r="T160" s="19">
        <f>+I160+L160+R160+O160</f>
        <v>0</v>
      </c>
      <c r="U160" s="21">
        <f>E160-S160</f>
        <v>3</v>
      </c>
      <c r="V160" s="19">
        <f>F160-T160</f>
        <v>0.26424000000000003</v>
      </c>
    </row>
    <row r="161" spans="1:22">
      <c r="A161" s="36"/>
      <c r="B161" s="36"/>
      <c r="C161" s="37"/>
      <c r="D161" s="38"/>
      <c r="E161" s="31">
        <f t="shared" ref="E161:F161" si="501">SUM(E159:E160)</f>
        <v>35</v>
      </c>
      <c r="F161" s="38">
        <f t="shared" si="501"/>
        <v>2.8479199999999998</v>
      </c>
      <c r="H161" s="31">
        <f t="shared" ref="H161" si="502">SUM(H159:H160)</f>
        <v>0</v>
      </c>
      <c r="I161" s="38">
        <f t="shared" ref="I161" si="503">SUM(I159:I160)</f>
        <v>0</v>
      </c>
      <c r="K161" s="31">
        <f t="shared" ref="K161" si="504">SUM(K159:K160)</f>
        <v>0</v>
      </c>
      <c r="L161" s="38">
        <f t="shared" ref="L161" si="505">SUM(L159:L160)</f>
        <v>0</v>
      </c>
      <c r="N161" s="31">
        <f t="shared" ref="N161" si="506">SUM(N159:N160)</f>
        <v>0</v>
      </c>
      <c r="O161" s="38">
        <f t="shared" ref="O161" si="507">SUM(O159:O160)</f>
        <v>0</v>
      </c>
      <c r="Q161" s="31">
        <f t="shared" ref="Q161" si="508">SUM(Q159:Q160)</f>
        <v>0</v>
      </c>
      <c r="R161" s="38">
        <f t="shared" ref="R161" si="509">SUM(R159:R160)</f>
        <v>0</v>
      </c>
      <c r="S161" s="31">
        <f t="shared" ref="S161" si="510">SUM(S159:S160)</f>
        <v>0</v>
      </c>
      <c r="T161" s="38">
        <f t="shared" ref="T161" si="511">SUM(T159:T160)</f>
        <v>0</v>
      </c>
      <c r="U161" s="31">
        <f t="shared" ref="U161" si="512">SUM(U159:U160)</f>
        <v>35</v>
      </c>
      <c r="V161" s="38">
        <f t="shared" ref="V161" si="513">SUM(V159:V160)</f>
        <v>2.8479199999999998</v>
      </c>
    </row>
    <row r="162" spans="1:22">
      <c r="A162" s="26" t="s">
        <v>13</v>
      </c>
      <c r="B162" s="26" t="s">
        <v>26</v>
      </c>
      <c r="C162" s="30">
        <v>8.3000000000000007</v>
      </c>
      <c r="D162" s="27">
        <v>10</v>
      </c>
      <c r="E162" s="28">
        <v>2</v>
      </c>
      <c r="F162" s="16">
        <f t="shared" ref="F162:F164" si="514">(C162*D162*E162/1000)</f>
        <v>0.16600000000000001</v>
      </c>
      <c r="G162" s="17" t="s">
        <v>114</v>
      </c>
      <c r="H162" s="18">
        <v>2</v>
      </c>
      <c r="I162" s="19">
        <f t="shared" ref="I162:I164" si="515">(C162*D162*H162/1000)</f>
        <v>0.16600000000000001</v>
      </c>
      <c r="J162" s="16"/>
      <c r="K162" s="18"/>
      <c r="L162" s="19">
        <f t="shared" ref="L162:L164" si="516">(C162*D162*K162/1000)</f>
        <v>0</v>
      </c>
      <c r="M162" s="16"/>
      <c r="N162" s="18"/>
      <c r="O162" s="19">
        <f t="shared" ref="O162:O164" si="517">(C162*D162*N162/1000)</f>
        <v>0</v>
      </c>
      <c r="P162" s="16"/>
      <c r="Q162" s="18"/>
      <c r="R162" s="19">
        <f t="shared" ref="R162:R164" si="518">(C162*D162*Q162/1000)</f>
        <v>0</v>
      </c>
      <c r="S162" s="20">
        <f t="shared" ref="S162:S164" si="519">+H162+K162+Q162+N162</f>
        <v>2</v>
      </c>
      <c r="T162" s="19">
        <f t="shared" ref="T162:T164" si="520">+I162+L162+R162+O162</f>
        <v>0.16600000000000001</v>
      </c>
      <c r="U162" s="21">
        <f t="shared" ref="U162:U164" si="521">E162-S162</f>
        <v>0</v>
      </c>
      <c r="V162" s="19">
        <f t="shared" ref="V162:V164" si="522">F162-T162</f>
        <v>0</v>
      </c>
    </row>
    <row r="163" spans="1:22">
      <c r="A163" s="26" t="s">
        <v>13</v>
      </c>
      <c r="B163" s="26" t="s">
        <v>26</v>
      </c>
      <c r="C163" s="30">
        <v>8.3000000000000007</v>
      </c>
      <c r="D163" s="27">
        <v>11</v>
      </c>
      <c r="E163" s="28">
        <v>10</v>
      </c>
      <c r="F163" s="16">
        <f t="shared" si="514"/>
        <v>0.91300000000000014</v>
      </c>
      <c r="G163" s="17" t="s">
        <v>603</v>
      </c>
      <c r="H163" s="18">
        <v>10</v>
      </c>
      <c r="I163" s="19">
        <f t="shared" si="515"/>
        <v>0.91300000000000014</v>
      </c>
      <c r="J163" s="16"/>
      <c r="K163" s="18"/>
      <c r="L163" s="19">
        <f t="shared" si="516"/>
        <v>0</v>
      </c>
      <c r="M163" s="16"/>
      <c r="N163" s="18"/>
      <c r="O163" s="19">
        <f t="shared" si="517"/>
        <v>0</v>
      </c>
      <c r="P163" s="16"/>
      <c r="Q163" s="18"/>
      <c r="R163" s="19">
        <f t="shared" si="518"/>
        <v>0</v>
      </c>
      <c r="S163" s="20">
        <f t="shared" si="519"/>
        <v>10</v>
      </c>
      <c r="T163" s="19">
        <f t="shared" si="520"/>
        <v>0.91300000000000014</v>
      </c>
      <c r="U163" s="21">
        <f t="shared" si="521"/>
        <v>0</v>
      </c>
      <c r="V163" s="19">
        <f t="shared" si="522"/>
        <v>0</v>
      </c>
    </row>
    <row r="164" spans="1:22">
      <c r="A164" s="26" t="s">
        <v>13</v>
      </c>
      <c r="B164" s="26" t="s">
        <v>26</v>
      </c>
      <c r="C164" s="30">
        <v>8.3000000000000007</v>
      </c>
      <c r="D164" s="27">
        <v>11.5</v>
      </c>
      <c r="E164" s="28">
        <v>13</v>
      </c>
      <c r="F164" s="16">
        <f t="shared" si="514"/>
        <v>1.2408500000000002</v>
      </c>
      <c r="G164" s="17"/>
      <c r="H164" s="18">
        <v>13</v>
      </c>
      <c r="I164" s="19">
        <f t="shared" si="515"/>
        <v>1.2408500000000002</v>
      </c>
      <c r="J164" s="16"/>
      <c r="K164" s="18"/>
      <c r="L164" s="19">
        <f t="shared" si="516"/>
        <v>0</v>
      </c>
      <c r="M164" s="16"/>
      <c r="N164" s="18"/>
      <c r="O164" s="19">
        <f t="shared" si="517"/>
        <v>0</v>
      </c>
      <c r="P164" s="16"/>
      <c r="Q164" s="18"/>
      <c r="R164" s="19">
        <f t="shared" si="518"/>
        <v>0</v>
      </c>
      <c r="S164" s="20">
        <f t="shared" si="519"/>
        <v>13</v>
      </c>
      <c r="T164" s="19">
        <f t="shared" si="520"/>
        <v>1.2408500000000002</v>
      </c>
      <c r="U164" s="21">
        <f t="shared" si="521"/>
        <v>0</v>
      </c>
      <c r="V164" s="19">
        <f t="shared" si="522"/>
        <v>0</v>
      </c>
    </row>
    <row r="165" spans="1:22">
      <c r="A165" s="36"/>
      <c r="B165" s="36"/>
      <c r="C165" s="37"/>
      <c r="D165" s="38"/>
      <c r="E165" s="31">
        <f t="shared" ref="E165:F165" si="523">SUM(E162:E164)</f>
        <v>25</v>
      </c>
      <c r="F165" s="38">
        <f t="shared" si="523"/>
        <v>2.3198500000000006</v>
      </c>
      <c r="H165" s="31">
        <f t="shared" ref="H165" si="524">SUM(H162:H164)</f>
        <v>25</v>
      </c>
      <c r="I165" s="38">
        <f t="shared" ref="I165" si="525">SUM(I162:I164)</f>
        <v>2.3198500000000006</v>
      </c>
      <c r="K165" s="31">
        <f t="shared" ref="K165" si="526">SUM(K162:K164)</f>
        <v>0</v>
      </c>
      <c r="L165" s="38">
        <f t="shared" ref="L165" si="527">SUM(L162:L164)</f>
        <v>0</v>
      </c>
      <c r="N165" s="31">
        <f t="shared" ref="N165" si="528">SUM(N162:N164)</f>
        <v>0</v>
      </c>
      <c r="O165" s="38">
        <f t="shared" ref="O165" si="529">SUM(O162:O164)</f>
        <v>0</v>
      </c>
      <c r="Q165" s="31">
        <f t="shared" ref="Q165" si="530">SUM(Q162:Q164)</f>
        <v>0</v>
      </c>
      <c r="R165" s="38">
        <f t="shared" ref="R165" si="531">SUM(R162:R164)</f>
        <v>0</v>
      </c>
      <c r="S165" s="31">
        <f t="shared" ref="S165" si="532">SUM(S162:S164)</f>
        <v>25</v>
      </c>
      <c r="T165" s="38">
        <f t="shared" ref="T165" si="533">SUM(T162:T164)</f>
        <v>2.3198500000000006</v>
      </c>
      <c r="U165" s="31">
        <f t="shared" ref="U165" si="534">SUM(U162:U164)</f>
        <v>0</v>
      </c>
      <c r="V165" s="38">
        <f t="shared" ref="V165" si="535">SUM(V162:V164)</f>
        <v>0</v>
      </c>
    </row>
    <row r="166" spans="1:22">
      <c r="A166" s="26" t="s">
        <v>13</v>
      </c>
      <c r="B166" s="26" t="s">
        <v>37</v>
      </c>
      <c r="C166" s="30">
        <v>9.61</v>
      </c>
      <c r="D166" s="27">
        <v>7.6</v>
      </c>
      <c r="E166" s="28">
        <v>171</v>
      </c>
      <c r="F166" s="16">
        <f t="shared" ref="F166:F169" si="536">(C166*D166*E166/1000)</f>
        <v>12.489155999999998</v>
      </c>
      <c r="G166" s="17" t="s">
        <v>114</v>
      </c>
      <c r="H166" s="18">
        <f>88+76</f>
        <v>164</v>
      </c>
      <c r="I166" s="19">
        <f t="shared" ref="I166:I169" si="537">(C166*D166*H166/1000)</f>
        <v>11.977903999999999</v>
      </c>
      <c r="J166" s="17" t="s">
        <v>107</v>
      </c>
      <c r="K166" s="18">
        <v>7</v>
      </c>
      <c r="L166" s="19">
        <f t="shared" ref="L166:L169" si="538">(C166*D166*K166/1000)</f>
        <v>0.51125199999999993</v>
      </c>
      <c r="M166" s="16"/>
      <c r="N166" s="18"/>
      <c r="O166" s="19">
        <f t="shared" ref="O166:O169" si="539">(C166*D166*N166/1000)</f>
        <v>0</v>
      </c>
      <c r="P166" s="16"/>
      <c r="Q166" s="18"/>
      <c r="R166" s="19">
        <f t="shared" ref="R166:R169" si="540">(C166*D166*Q166/1000)</f>
        <v>0</v>
      </c>
      <c r="S166" s="20">
        <f t="shared" ref="S166:S169" si="541">+H166+K166+Q166+N166</f>
        <v>171</v>
      </c>
      <c r="T166" s="19">
        <f t="shared" ref="T166:T169" si="542">+I166+L166+R166+O166</f>
        <v>12.489155999999999</v>
      </c>
      <c r="U166" s="21">
        <f t="shared" ref="U166:U169" si="543">E166-S166</f>
        <v>0</v>
      </c>
      <c r="V166" s="19">
        <f t="shared" ref="V166:V169" si="544">F166-T166</f>
        <v>0</v>
      </c>
    </row>
    <row r="167" spans="1:22">
      <c r="A167" s="26" t="s">
        <v>13</v>
      </c>
      <c r="B167" s="26" t="s">
        <v>37</v>
      </c>
      <c r="C167" s="30">
        <v>9.61</v>
      </c>
      <c r="D167" s="27">
        <v>10</v>
      </c>
      <c r="E167" s="28">
        <v>1</v>
      </c>
      <c r="F167" s="16">
        <f t="shared" si="536"/>
        <v>9.6099999999999991E-2</v>
      </c>
      <c r="G167" s="17" t="s">
        <v>603</v>
      </c>
      <c r="H167" s="18">
        <v>1</v>
      </c>
      <c r="I167" s="19">
        <f t="shared" si="537"/>
        <v>9.6099999999999991E-2</v>
      </c>
      <c r="J167" t="s">
        <v>608</v>
      </c>
      <c r="K167" s="18"/>
      <c r="L167" s="19">
        <f t="shared" si="538"/>
        <v>0</v>
      </c>
      <c r="M167" s="16"/>
      <c r="N167" s="18"/>
      <c r="O167" s="19">
        <f t="shared" si="539"/>
        <v>0</v>
      </c>
      <c r="P167" s="16"/>
      <c r="Q167" s="18"/>
      <c r="R167" s="19">
        <f t="shared" si="540"/>
        <v>0</v>
      </c>
      <c r="S167" s="20">
        <f t="shared" si="541"/>
        <v>1</v>
      </c>
      <c r="T167" s="19">
        <f t="shared" si="542"/>
        <v>9.6099999999999991E-2</v>
      </c>
      <c r="U167" s="21">
        <f t="shared" si="543"/>
        <v>0</v>
      </c>
      <c r="V167" s="19">
        <f t="shared" si="544"/>
        <v>0</v>
      </c>
    </row>
    <row r="168" spans="1:22">
      <c r="A168" s="26" t="s">
        <v>13</v>
      </c>
      <c r="B168" s="26" t="s">
        <v>37</v>
      </c>
      <c r="C168" s="30">
        <v>9.61</v>
      </c>
      <c r="D168" s="27">
        <v>11</v>
      </c>
      <c r="E168" s="28">
        <v>4</v>
      </c>
      <c r="F168" s="16">
        <f t="shared" si="536"/>
        <v>0.42283999999999999</v>
      </c>
      <c r="G168" s="17"/>
      <c r="H168" s="18">
        <v>4</v>
      </c>
      <c r="I168" s="19">
        <f t="shared" si="537"/>
        <v>0.42283999999999999</v>
      </c>
      <c r="J168" s="16"/>
      <c r="K168" s="18"/>
      <c r="L168" s="19">
        <f t="shared" si="538"/>
        <v>0</v>
      </c>
      <c r="M168" s="16"/>
      <c r="N168" s="18"/>
      <c r="O168" s="19">
        <f t="shared" si="539"/>
        <v>0</v>
      </c>
      <c r="P168" s="16"/>
      <c r="Q168" s="18"/>
      <c r="R168" s="19">
        <f t="shared" si="540"/>
        <v>0</v>
      </c>
      <c r="S168" s="20">
        <f t="shared" si="541"/>
        <v>4</v>
      </c>
      <c r="T168" s="19">
        <f t="shared" si="542"/>
        <v>0.42283999999999999</v>
      </c>
      <c r="U168" s="21">
        <f t="shared" si="543"/>
        <v>0</v>
      </c>
      <c r="V168" s="19">
        <f t="shared" si="544"/>
        <v>0</v>
      </c>
    </row>
    <row r="169" spans="1:22">
      <c r="A169" s="26" t="s">
        <v>13</v>
      </c>
      <c r="B169" s="26" t="s">
        <v>37</v>
      </c>
      <c r="C169" s="30">
        <v>9.61</v>
      </c>
      <c r="D169" s="27">
        <v>12</v>
      </c>
      <c r="E169" s="28">
        <v>3</v>
      </c>
      <c r="F169" s="16">
        <f t="shared" si="536"/>
        <v>0.34595999999999999</v>
      </c>
      <c r="G169" s="17"/>
      <c r="H169" s="18">
        <v>3</v>
      </c>
      <c r="I169" s="19">
        <f t="shared" si="537"/>
        <v>0.34595999999999999</v>
      </c>
      <c r="J169" s="16"/>
      <c r="K169" s="18"/>
      <c r="L169" s="19">
        <f t="shared" si="538"/>
        <v>0</v>
      </c>
      <c r="M169" s="16"/>
      <c r="N169" s="18"/>
      <c r="O169" s="19">
        <f t="shared" si="539"/>
        <v>0</v>
      </c>
      <c r="P169" s="16"/>
      <c r="Q169" s="18"/>
      <c r="R169" s="19">
        <f t="shared" si="540"/>
        <v>0</v>
      </c>
      <c r="S169" s="20">
        <f t="shared" si="541"/>
        <v>3</v>
      </c>
      <c r="T169" s="19">
        <f t="shared" si="542"/>
        <v>0.34595999999999999</v>
      </c>
      <c r="U169" s="21">
        <f t="shared" si="543"/>
        <v>0</v>
      </c>
      <c r="V169" s="19">
        <f t="shared" si="544"/>
        <v>0</v>
      </c>
    </row>
    <row r="170" spans="1:22">
      <c r="A170" s="36"/>
      <c r="B170" s="36"/>
      <c r="C170" s="37"/>
      <c r="D170" s="38"/>
      <c r="E170" s="31">
        <f t="shared" ref="E170:F170" si="545">SUM(E166:E169)</f>
        <v>179</v>
      </c>
      <c r="F170" s="38">
        <f t="shared" si="545"/>
        <v>13.354055999999998</v>
      </c>
      <c r="H170" s="31">
        <f t="shared" ref="H170" si="546">SUM(H166:H169)</f>
        <v>172</v>
      </c>
      <c r="I170" s="38">
        <f t="shared" ref="I170" si="547">SUM(I166:I169)</f>
        <v>12.842803999999999</v>
      </c>
      <c r="K170" s="31">
        <f t="shared" ref="K170" si="548">SUM(K166:K169)</f>
        <v>7</v>
      </c>
      <c r="L170" s="38">
        <f t="shared" ref="L170" si="549">SUM(L166:L169)</f>
        <v>0.51125199999999993</v>
      </c>
      <c r="N170" s="31">
        <f t="shared" ref="N170" si="550">SUM(N166:N169)</f>
        <v>0</v>
      </c>
      <c r="O170" s="38">
        <f t="shared" ref="O170" si="551">SUM(O166:O169)</f>
        <v>0</v>
      </c>
      <c r="Q170" s="31">
        <f t="shared" ref="Q170" si="552">SUM(Q166:Q169)</f>
        <v>0</v>
      </c>
      <c r="R170" s="38">
        <f t="shared" ref="R170" si="553">SUM(R166:R169)</f>
        <v>0</v>
      </c>
      <c r="S170" s="31">
        <f t="shared" ref="S170" si="554">SUM(S166:S169)</f>
        <v>179</v>
      </c>
      <c r="T170" s="38">
        <f t="shared" ref="T170" si="555">SUM(T166:T169)</f>
        <v>13.354056</v>
      </c>
      <c r="U170" s="31">
        <f t="shared" ref="U170" si="556">SUM(U166:U169)</f>
        <v>0</v>
      </c>
      <c r="V170" s="38">
        <f t="shared" ref="V170" si="557">SUM(V166:V169)</f>
        <v>0</v>
      </c>
    </row>
    <row r="171" spans="1:22">
      <c r="A171" s="26" t="s">
        <v>13</v>
      </c>
      <c r="B171" s="26" t="s">
        <v>244</v>
      </c>
      <c r="C171" s="30">
        <v>10.9</v>
      </c>
      <c r="D171" s="27">
        <v>10</v>
      </c>
      <c r="E171" s="28">
        <v>1</v>
      </c>
      <c r="F171" s="16">
        <f>(C171*D171*E171/1000)</f>
        <v>0.109</v>
      </c>
      <c r="G171" s="17" t="s">
        <v>86</v>
      </c>
      <c r="H171" s="18"/>
      <c r="I171" s="19">
        <f>(C171*D171*H171/1000)</f>
        <v>0</v>
      </c>
      <c r="J171" s="16"/>
      <c r="K171" s="18"/>
      <c r="L171" s="19">
        <f>(C171*D171*K171/1000)</f>
        <v>0</v>
      </c>
      <c r="M171" s="16"/>
      <c r="N171" s="18"/>
      <c r="O171" s="19">
        <f>(C171*D171*N171/1000)</f>
        <v>0</v>
      </c>
      <c r="P171" s="16"/>
      <c r="Q171" s="18"/>
      <c r="R171" s="19">
        <f>(C171*D171*Q171/1000)</f>
        <v>0</v>
      </c>
      <c r="S171" s="20">
        <f>+H171+K171+Q171+N171</f>
        <v>0</v>
      </c>
      <c r="T171" s="19">
        <f>+I171+L171+R171+O171</f>
        <v>0</v>
      </c>
      <c r="U171" s="21">
        <f>E171-S171</f>
        <v>1</v>
      </c>
      <c r="V171" s="19">
        <f>F171-T171</f>
        <v>0.109</v>
      </c>
    </row>
    <row r="172" spans="1:22">
      <c r="A172" s="26" t="s">
        <v>13</v>
      </c>
      <c r="B172" s="26" t="s">
        <v>244</v>
      </c>
      <c r="C172" s="30">
        <v>10.9</v>
      </c>
      <c r="D172" s="27">
        <v>10.199999999999999</v>
      </c>
      <c r="E172" s="28"/>
      <c r="F172" s="16">
        <f>(C172*D172*E172/1000)</f>
        <v>0</v>
      </c>
      <c r="G172" t="s">
        <v>610</v>
      </c>
      <c r="H172" s="18">
        <v>1</v>
      </c>
      <c r="I172" s="19">
        <f>(C172*D172*H172/1000)</f>
        <v>0.11117999999999999</v>
      </c>
      <c r="J172" s="16"/>
      <c r="K172" s="18"/>
      <c r="L172" s="19">
        <f>(C172*D172*K172/1000)</f>
        <v>0</v>
      </c>
      <c r="M172" s="16"/>
      <c r="N172" s="18"/>
      <c r="O172" s="19">
        <f>(C172*D172*N172/1000)</f>
        <v>0</v>
      </c>
      <c r="P172" s="16"/>
      <c r="Q172" s="18"/>
      <c r="R172" s="19">
        <f>(C172*D172*Q172/1000)</f>
        <v>0</v>
      </c>
      <c r="S172" s="20">
        <f>+H172+K172+Q172+N172</f>
        <v>1</v>
      </c>
      <c r="T172" s="19">
        <f>+I172+L172+R172+O172</f>
        <v>0.11117999999999999</v>
      </c>
      <c r="U172" s="21">
        <f>E172-S172</f>
        <v>-1</v>
      </c>
      <c r="V172" s="19">
        <f>F172-T172</f>
        <v>-0.11117999999999999</v>
      </c>
    </row>
    <row r="173" spans="1:22">
      <c r="A173" s="36"/>
      <c r="B173" s="36"/>
      <c r="C173" s="37"/>
      <c r="D173" s="38"/>
      <c r="E173" s="31">
        <f t="shared" ref="E173:F173" si="558">SUM(E171:E172)</f>
        <v>1</v>
      </c>
      <c r="F173" s="38">
        <f t="shared" si="558"/>
        <v>0.109</v>
      </c>
      <c r="H173" s="31">
        <f t="shared" ref="H173" si="559">SUM(H171:H172)</f>
        <v>1</v>
      </c>
      <c r="I173" s="38">
        <f t="shared" ref="I173" si="560">SUM(I171:I172)</f>
        <v>0.11117999999999999</v>
      </c>
      <c r="K173" s="31">
        <f t="shared" ref="K173" si="561">SUM(K171:K172)</f>
        <v>0</v>
      </c>
      <c r="L173" s="38">
        <f t="shared" ref="L173" si="562">SUM(L171:L172)</f>
        <v>0</v>
      </c>
      <c r="N173" s="31">
        <f t="shared" ref="N173" si="563">SUM(N171:N172)</f>
        <v>0</v>
      </c>
      <c r="O173" s="38">
        <f t="shared" ref="O173" si="564">SUM(O171:O172)</f>
        <v>0</v>
      </c>
      <c r="Q173" s="31">
        <f t="shared" ref="Q173" si="565">SUM(Q171:Q172)</f>
        <v>0</v>
      </c>
      <c r="R173" s="38">
        <f t="shared" ref="R173" si="566">SUM(R171:R172)</f>
        <v>0</v>
      </c>
      <c r="S173" s="31">
        <f t="shared" ref="S173" si="567">SUM(S171:S172)</f>
        <v>1</v>
      </c>
      <c r="T173" s="38">
        <f t="shared" ref="T173" si="568">SUM(T171:T172)</f>
        <v>0.11117999999999999</v>
      </c>
      <c r="U173" s="31">
        <f t="shared" ref="U173" si="569">SUM(U171:U172)</f>
        <v>0</v>
      </c>
      <c r="V173" s="38">
        <f t="shared" ref="V173" si="570">SUM(V171:V172)</f>
        <v>-2.1799999999999875E-3</v>
      </c>
    </row>
    <row r="174" spans="1:22">
      <c r="A174" s="26" t="s">
        <v>14</v>
      </c>
      <c r="B174" s="26" t="s">
        <v>45</v>
      </c>
      <c r="C174" s="30">
        <v>9.26</v>
      </c>
      <c r="D174" s="27">
        <v>9.6999999999999993</v>
      </c>
      <c r="E174" s="28">
        <v>48</v>
      </c>
      <c r="F174" s="16">
        <f>(C174*D174*E174/1000)</f>
        <v>4.3114559999999988</v>
      </c>
      <c r="G174" s="16" t="s">
        <v>205</v>
      </c>
      <c r="H174" s="18">
        <v>42</v>
      </c>
      <c r="I174" s="19">
        <f>(C174*D174*H174/1000)</f>
        <v>3.7725239999999993</v>
      </c>
      <c r="J174" s="17" t="s">
        <v>111</v>
      </c>
      <c r="K174" s="18">
        <v>6</v>
      </c>
      <c r="L174" s="19">
        <f>(C174*D174*K174/1000)</f>
        <v>0.53893199999999986</v>
      </c>
      <c r="M174" s="16"/>
      <c r="N174" s="18"/>
      <c r="O174" s="19">
        <f>(C174*D174*N174/1000)</f>
        <v>0</v>
      </c>
      <c r="P174" s="16"/>
      <c r="Q174" s="18"/>
      <c r="R174" s="19">
        <f>(C174*D174*Q174/1000)</f>
        <v>0</v>
      </c>
      <c r="S174" s="20">
        <f>+H174+K174+Q174+N174</f>
        <v>48</v>
      </c>
      <c r="T174" s="19">
        <f>+I174+L174+R174+O174</f>
        <v>4.3114559999999988</v>
      </c>
      <c r="U174" s="21">
        <f>E174-S174</f>
        <v>0</v>
      </c>
      <c r="V174" s="19">
        <f>F174-T174</f>
        <v>0</v>
      </c>
    </row>
    <row r="175" spans="1:22">
      <c r="A175" s="36"/>
      <c r="B175" s="36"/>
      <c r="C175" s="37"/>
      <c r="D175" s="38"/>
      <c r="E175" s="31">
        <f t="shared" ref="E175:F175" si="571">SUM(E174)</f>
        <v>48</v>
      </c>
      <c r="F175" s="38">
        <f t="shared" si="571"/>
        <v>4.3114559999999988</v>
      </c>
      <c r="G175" s="16" t="s">
        <v>584</v>
      </c>
      <c r="H175" s="31">
        <f t="shared" ref="H175" si="572">SUM(H174)</f>
        <v>42</v>
      </c>
      <c r="I175" s="38">
        <f t="shared" ref="I175" si="573">SUM(I174)</f>
        <v>3.7725239999999993</v>
      </c>
      <c r="J175" s="17" t="s">
        <v>588</v>
      </c>
      <c r="K175" s="31">
        <f t="shared" ref="K175" si="574">SUM(K174)</f>
        <v>6</v>
      </c>
      <c r="L175" s="38">
        <f t="shared" ref="L175" si="575">SUM(L174)</f>
        <v>0.53893199999999986</v>
      </c>
      <c r="N175" s="31">
        <f t="shared" ref="N175" si="576">SUM(N174)</f>
        <v>0</v>
      </c>
      <c r="O175" s="38">
        <f t="shared" ref="O175" si="577">SUM(O174)</f>
        <v>0</v>
      </c>
      <c r="Q175" s="31">
        <f t="shared" ref="Q175" si="578">SUM(Q174)</f>
        <v>0</v>
      </c>
      <c r="R175" s="38">
        <f t="shared" ref="R175" si="579">SUM(R174)</f>
        <v>0</v>
      </c>
      <c r="S175" s="31">
        <f t="shared" ref="S175" si="580">SUM(S174)</f>
        <v>48</v>
      </c>
      <c r="T175" s="38">
        <f t="shared" ref="T175" si="581">SUM(T174)</f>
        <v>4.3114559999999988</v>
      </c>
      <c r="U175" s="31">
        <f t="shared" ref="U175" si="582">SUM(U174)</f>
        <v>0</v>
      </c>
      <c r="V175" s="38">
        <f t="shared" ref="V175" si="583">SUM(V174)</f>
        <v>0</v>
      </c>
    </row>
    <row r="176" spans="1:22">
      <c r="A176" s="26" t="s">
        <v>14</v>
      </c>
      <c r="B176" s="26" t="s">
        <v>32</v>
      </c>
      <c r="C176" s="30">
        <v>11.8</v>
      </c>
      <c r="D176" s="27">
        <v>9.3000000000000007</v>
      </c>
      <c r="E176" s="28">
        <v>4</v>
      </c>
      <c r="F176" s="16">
        <f>(C176*D176*E176/1000)</f>
        <v>0.43896000000000002</v>
      </c>
      <c r="G176" s="16" t="s">
        <v>111</v>
      </c>
      <c r="H176" s="18">
        <v>4</v>
      </c>
      <c r="I176" s="19">
        <f>(C176*D176*H176/1000)</f>
        <v>0.43896000000000002</v>
      </c>
      <c r="J176" s="16"/>
      <c r="K176" s="18"/>
      <c r="L176" s="19">
        <f>(C176*D176*K176/1000)</f>
        <v>0</v>
      </c>
      <c r="M176" s="16"/>
      <c r="N176" s="18"/>
      <c r="O176" s="19">
        <f>(C176*D176*N176/1000)</f>
        <v>0</v>
      </c>
      <c r="P176" s="16"/>
      <c r="Q176" s="18"/>
      <c r="R176" s="19">
        <f>(C176*D176*Q176/1000)</f>
        <v>0</v>
      </c>
      <c r="S176" s="20">
        <f>+H176+K176+Q176+N176</f>
        <v>4</v>
      </c>
      <c r="T176" s="19">
        <f>+I176+L176+R176+O176</f>
        <v>0.43896000000000002</v>
      </c>
      <c r="U176" s="21">
        <f>E176-S176</f>
        <v>0</v>
      </c>
      <c r="V176" s="19">
        <f>F176-T176</f>
        <v>0</v>
      </c>
    </row>
    <row r="177" spans="1:22">
      <c r="A177" s="36"/>
      <c r="B177" s="36"/>
      <c r="C177" s="37"/>
      <c r="D177" s="38"/>
      <c r="E177" s="31">
        <f t="shared" ref="E177:F177" si="584">SUM(E176)</f>
        <v>4</v>
      </c>
      <c r="F177" s="38">
        <f t="shared" si="584"/>
        <v>0.43896000000000002</v>
      </c>
      <c r="G177" s="16" t="s">
        <v>604</v>
      </c>
      <c r="H177" s="31">
        <f t="shared" ref="H177" si="585">SUM(H176)</f>
        <v>4</v>
      </c>
      <c r="I177" s="38">
        <f t="shared" ref="I177" si="586">SUM(I176)</f>
        <v>0.43896000000000002</v>
      </c>
      <c r="K177" s="31">
        <f t="shared" ref="K177" si="587">SUM(K176)</f>
        <v>0</v>
      </c>
      <c r="L177" s="38">
        <f t="shared" ref="L177" si="588">SUM(L176)</f>
        <v>0</v>
      </c>
      <c r="N177" s="31">
        <f t="shared" ref="N177" si="589">SUM(N176)</f>
        <v>0</v>
      </c>
      <c r="O177" s="38">
        <f t="shared" ref="O177" si="590">SUM(O176)</f>
        <v>0</v>
      </c>
      <c r="Q177" s="31">
        <f t="shared" ref="Q177" si="591">SUM(Q176)</f>
        <v>0</v>
      </c>
      <c r="R177" s="38">
        <f t="shared" ref="R177" si="592">SUM(R176)</f>
        <v>0</v>
      </c>
      <c r="S177" s="31">
        <f t="shared" ref="S177" si="593">SUM(S176)</f>
        <v>4</v>
      </c>
      <c r="T177" s="38">
        <f t="shared" ref="T177" si="594">SUM(T176)</f>
        <v>0.43896000000000002</v>
      </c>
      <c r="U177" s="31">
        <f t="shared" ref="U177" si="595">SUM(U176)</f>
        <v>0</v>
      </c>
      <c r="V177" s="38">
        <f t="shared" ref="V177" si="596">SUM(V176)</f>
        <v>0</v>
      </c>
    </row>
    <row r="178" spans="1:22">
      <c r="A178" s="26" t="s">
        <v>14</v>
      </c>
      <c r="B178" s="26" t="s">
        <v>51</v>
      </c>
      <c r="C178" s="30">
        <v>19.8</v>
      </c>
      <c r="D178" s="27">
        <v>6</v>
      </c>
      <c r="E178" s="28">
        <v>1</v>
      </c>
      <c r="F178" s="16">
        <f>(C178*D178*E178/1000)</f>
        <v>0.11880000000000002</v>
      </c>
      <c r="G178" s="16" t="s">
        <v>111</v>
      </c>
      <c r="H178" s="18">
        <v>1</v>
      </c>
      <c r="I178" s="19">
        <f>(C178*D178*H178/1000)</f>
        <v>0.11880000000000002</v>
      </c>
      <c r="J178" s="16"/>
      <c r="K178" s="18"/>
      <c r="L178" s="19">
        <f>(C178*D178*K178/1000)</f>
        <v>0</v>
      </c>
      <c r="M178" s="16"/>
      <c r="N178" s="18"/>
      <c r="O178" s="19">
        <f>(C178*D178*N178/1000)</f>
        <v>0</v>
      </c>
      <c r="P178" s="16"/>
      <c r="Q178" s="18"/>
      <c r="R178" s="19">
        <f>(C178*D178*Q178/1000)</f>
        <v>0</v>
      </c>
      <c r="S178" s="20">
        <f>+H178+K178+Q178+N178</f>
        <v>1</v>
      </c>
      <c r="T178" s="19">
        <f>+I178+L178+R178+O178</f>
        <v>0.11880000000000002</v>
      </c>
      <c r="U178" s="21">
        <f>E178-S178</f>
        <v>0</v>
      </c>
      <c r="V178" s="19">
        <f>F178-T178</f>
        <v>0</v>
      </c>
    </row>
    <row r="179" spans="1:22">
      <c r="A179" s="36"/>
      <c r="B179" s="36"/>
      <c r="C179" s="37"/>
      <c r="D179" s="38"/>
      <c r="E179" s="31">
        <f t="shared" ref="E179:F179" si="597">SUM(E178)</f>
        <v>1</v>
      </c>
      <c r="F179" s="38">
        <f t="shared" si="597"/>
        <v>0.11880000000000002</v>
      </c>
      <c r="G179" s="16" t="s">
        <v>604</v>
      </c>
      <c r="H179" s="31">
        <f t="shared" ref="H179" si="598">SUM(H178)</f>
        <v>1</v>
      </c>
      <c r="I179" s="38">
        <f t="shared" ref="I179" si="599">SUM(I178)</f>
        <v>0.11880000000000002</v>
      </c>
      <c r="K179" s="31">
        <f t="shared" ref="K179" si="600">SUM(K178)</f>
        <v>0</v>
      </c>
      <c r="L179" s="38">
        <f t="shared" ref="L179" si="601">SUM(L178)</f>
        <v>0</v>
      </c>
      <c r="N179" s="31">
        <f t="shared" ref="N179" si="602">SUM(N178)</f>
        <v>0</v>
      </c>
      <c r="O179" s="38">
        <f t="shared" ref="O179" si="603">SUM(O178)</f>
        <v>0</v>
      </c>
      <c r="Q179" s="31">
        <f t="shared" ref="Q179" si="604">SUM(Q178)</f>
        <v>0</v>
      </c>
      <c r="R179" s="38">
        <f t="shared" ref="R179" si="605">SUM(R178)</f>
        <v>0</v>
      </c>
      <c r="S179" s="31">
        <f t="shared" ref="S179" si="606">SUM(S178)</f>
        <v>1</v>
      </c>
      <c r="T179" s="38">
        <f t="shared" ref="T179" si="607">SUM(T178)</f>
        <v>0.11880000000000002</v>
      </c>
      <c r="U179" s="31">
        <f t="shared" ref="U179" si="608">SUM(U178)</f>
        <v>0</v>
      </c>
      <c r="V179" s="38">
        <f t="shared" ref="V179" si="609">SUM(V178)</f>
        <v>0</v>
      </c>
    </row>
    <row r="180" spans="1:22">
      <c r="A180" s="26" t="s">
        <v>14</v>
      </c>
      <c r="B180" s="26" t="s">
        <v>35</v>
      </c>
      <c r="C180" s="30">
        <v>6.85</v>
      </c>
      <c r="D180" s="27">
        <v>12</v>
      </c>
      <c r="E180" s="28">
        <v>8</v>
      </c>
      <c r="F180" s="16">
        <f>(C180*D180*E180/1000)</f>
        <v>0.65759999999999996</v>
      </c>
      <c r="G180" s="17" t="s">
        <v>111</v>
      </c>
      <c r="H180" s="18"/>
      <c r="I180" s="19">
        <f>(C180*D180*H180/1000)</f>
        <v>0</v>
      </c>
      <c r="J180" s="16"/>
      <c r="K180" s="18"/>
      <c r="L180" s="19">
        <f>(C180*D180*K180/1000)</f>
        <v>0</v>
      </c>
      <c r="M180" s="16"/>
      <c r="N180" s="18"/>
      <c r="O180" s="19">
        <f>(C180*D180*N180/1000)</f>
        <v>0</v>
      </c>
      <c r="P180" s="16"/>
      <c r="Q180" s="18"/>
      <c r="R180" s="19">
        <f>(C180*D180*Q180/1000)</f>
        <v>0</v>
      </c>
      <c r="S180" s="20">
        <f>+H180+K180+Q180+N180</f>
        <v>0</v>
      </c>
      <c r="T180" s="19">
        <f>+I180+L180+R180+O180</f>
        <v>0</v>
      </c>
      <c r="U180" s="21">
        <f>E180-S180</f>
        <v>8</v>
      </c>
      <c r="V180" s="19">
        <f>F180-T180</f>
        <v>0.65759999999999996</v>
      </c>
    </row>
    <row r="181" spans="1:22">
      <c r="A181" s="26" t="s">
        <v>14</v>
      </c>
      <c r="B181" s="26" t="s">
        <v>35</v>
      </c>
      <c r="C181" s="30">
        <v>6.85</v>
      </c>
      <c r="D181" s="27">
        <v>11.5</v>
      </c>
      <c r="E181" s="28"/>
      <c r="F181" s="16">
        <f>(C181*D181*E181/1000)</f>
        <v>0</v>
      </c>
      <c r="G181" s="17" t="s">
        <v>588</v>
      </c>
      <c r="H181" s="18">
        <v>10</v>
      </c>
      <c r="I181" s="19">
        <f>(C181*D181*H181/1000)</f>
        <v>0.78774999999999984</v>
      </c>
      <c r="J181" s="16"/>
      <c r="K181" s="18"/>
      <c r="L181" s="19">
        <f>(C181*D181*K181/1000)</f>
        <v>0</v>
      </c>
      <c r="M181" s="16"/>
      <c r="N181" s="18"/>
      <c r="O181" s="19">
        <f>(C181*D181*N181/1000)</f>
        <v>0</v>
      </c>
      <c r="P181" s="16"/>
      <c r="Q181" s="18"/>
      <c r="R181" s="19">
        <f>(C181*D181*Q181/1000)</f>
        <v>0</v>
      </c>
      <c r="S181" s="20">
        <f>+H181+K181+Q181+N181</f>
        <v>10</v>
      </c>
      <c r="T181" s="19">
        <f>+I181+L181+R181+O181</f>
        <v>0.78774999999999984</v>
      </c>
      <c r="U181" s="21">
        <f>E181-S181</f>
        <v>-10</v>
      </c>
      <c r="V181" s="19">
        <f>F181-T181</f>
        <v>-0.78774999999999984</v>
      </c>
    </row>
    <row r="182" spans="1:22">
      <c r="A182" s="36"/>
      <c r="B182" s="36"/>
      <c r="C182" s="37"/>
      <c r="D182" s="38"/>
      <c r="E182" s="31">
        <f t="shared" ref="E182:F182" si="610">SUM(E180:E181)</f>
        <v>8</v>
      </c>
      <c r="F182" s="38">
        <f t="shared" si="610"/>
        <v>0.65759999999999996</v>
      </c>
      <c r="H182" s="31">
        <f t="shared" ref="H182:I182" si="611">SUM(H180:H181)</f>
        <v>10</v>
      </c>
      <c r="I182" s="38">
        <f t="shared" si="611"/>
        <v>0.78774999999999984</v>
      </c>
      <c r="K182" s="31">
        <f t="shared" ref="K182:L182" si="612">SUM(K180:K181)</f>
        <v>0</v>
      </c>
      <c r="L182" s="38">
        <f t="shared" si="612"/>
        <v>0</v>
      </c>
      <c r="N182" s="31">
        <f t="shared" ref="N182:O182" si="613">SUM(N180:N181)</f>
        <v>0</v>
      </c>
      <c r="O182" s="38">
        <f t="shared" si="613"/>
        <v>0</v>
      </c>
      <c r="Q182" s="31">
        <f t="shared" ref="Q182:V182" si="614">SUM(Q180:Q181)</f>
        <v>0</v>
      </c>
      <c r="R182" s="38">
        <f t="shared" si="614"/>
        <v>0</v>
      </c>
      <c r="S182" s="31">
        <f t="shared" si="614"/>
        <v>10</v>
      </c>
      <c r="T182" s="38">
        <f t="shared" si="614"/>
        <v>0.78774999999999984</v>
      </c>
      <c r="U182" s="31">
        <f t="shared" si="614"/>
        <v>-2</v>
      </c>
      <c r="V182" s="38">
        <f t="shared" si="614"/>
        <v>-0.13014999999999988</v>
      </c>
    </row>
    <row r="183" spans="1:22">
      <c r="A183" s="26" t="s">
        <v>14</v>
      </c>
      <c r="B183" s="26" t="s">
        <v>58</v>
      </c>
      <c r="C183" s="30">
        <v>7.34</v>
      </c>
      <c r="D183" s="27">
        <v>7.1</v>
      </c>
      <c r="E183" s="28">
        <v>8</v>
      </c>
      <c r="F183" s="16">
        <f>(C183*D183*E183/1000)</f>
        <v>0.416912</v>
      </c>
      <c r="G183" s="17" t="s">
        <v>86</v>
      </c>
      <c r="H183" s="18">
        <v>8</v>
      </c>
      <c r="I183" s="19">
        <f>(C183*D183*H183/1000)</f>
        <v>0.416912</v>
      </c>
      <c r="J183" s="16"/>
      <c r="K183" s="18"/>
      <c r="L183" s="19">
        <f>(C183*D183*K183/1000)</f>
        <v>0</v>
      </c>
      <c r="M183" s="16"/>
      <c r="N183" s="18"/>
      <c r="O183" s="19">
        <f>(C183*D183*N183/1000)</f>
        <v>0</v>
      </c>
      <c r="P183" s="16"/>
      <c r="Q183" s="18"/>
      <c r="R183" s="19">
        <f>(C183*D183*Q183/1000)</f>
        <v>0</v>
      </c>
      <c r="S183" s="20">
        <f>+H183+K183+Q183+N183</f>
        <v>8</v>
      </c>
      <c r="T183" s="19">
        <f>+I183+L183+R183+O183</f>
        <v>0.416912</v>
      </c>
      <c r="U183" s="21">
        <f>E183-S183</f>
        <v>0</v>
      </c>
      <c r="V183" s="19">
        <f>F183-T183</f>
        <v>0</v>
      </c>
    </row>
    <row r="184" spans="1:22">
      <c r="A184" s="36"/>
      <c r="B184" s="36"/>
      <c r="C184" s="37"/>
      <c r="D184" s="38"/>
      <c r="E184" s="31">
        <f t="shared" ref="E184:F184" si="615">SUM(E183)</f>
        <v>8</v>
      </c>
      <c r="F184" s="38">
        <f t="shared" si="615"/>
        <v>0.416912</v>
      </c>
      <c r="G184" t="s">
        <v>610</v>
      </c>
      <c r="H184" s="31">
        <f t="shared" ref="H184" si="616">SUM(H183)</f>
        <v>8</v>
      </c>
      <c r="I184" s="38">
        <f t="shared" ref="I184" si="617">SUM(I183)</f>
        <v>0.416912</v>
      </c>
      <c r="K184" s="31">
        <f t="shared" ref="K184" si="618">SUM(K183)</f>
        <v>0</v>
      </c>
      <c r="L184" s="38">
        <f t="shared" ref="L184" si="619">SUM(L183)</f>
        <v>0</v>
      </c>
      <c r="N184" s="31">
        <f t="shared" ref="N184" si="620">SUM(N183)</f>
        <v>0</v>
      </c>
      <c r="O184" s="38">
        <f t="shared" ref="O184" si="621">SUM(O183)</f>
        <v>0</v>
      </c>
      <c r="Q184" s="31">
        <f t="shared" ref="Q184" si="622">SUM(Q183)</f>
        <v>0</v>
      </c>
      <c r="R184" s="38">
        <f t="shared" ref="R184" si="623">SUM(R183)</f>
        <v>0</v>
      </c>
      <c r="S184" s="31">
        <f t="shared" ref="S184" si="624">SUM(S183)</f>
        <v>8</v>
      </c>
      <c r="T184" s="38">
        <f t="shared" ref="T184" si="625">SUM(T183)</f>
        <v>0.416912</v>
      </c>
      <c r="U184" s="31">
        <f t="shared" ref="U184" si="626">SUM(U183)</f>
        <v>0</v>
      </c>
      <c r="V184" s="38">
        <f t="shared" ref="V184" si="627">SUM(V183)</f>
        <v>0</v>
      </c>
    </row>
    <row r="185" spans="1:22">
      <c r="A185" s="26" t="s">
        <v>14</v>
      </c>
      <c r="B185" s="26" t="s">
        <v>26</v>
      </c>
      <c r="C185" s="30">
        <v>8.3000000000000007</v>
      </c>
      <c r="D185" s="27">
        <v>10</v>
      </c>
      <c r="E185" s="28">
        <v>1</v>
      </c>
      <c r="F185" s="16">
        <f>(C185*D185*E185/1000)</f>
        <v>8.3000000000000004E-2</v>
      </c>
      <c r="G185" s="17" t="s">
        <v>107</v>
      </c>
      <c r="H185" s="18">
        <v>1</v>
      </c>
      <c r="I185" s="19">
        <f>(C185*D185*H185/1000)</f>
        <v>8.3000000000000004E-2</v>
      </c>
      <c r="J185" s="16"/>
      <c r="K185" s="18"/>
      <c r="L185" s="19">
        <f>(C185*D185*K185/1000)</f>
        <v>0</v>
      </c>
      <c r="M185" s="16"/>
      <c r="N185" s="18"/>
      <c r="O185" s="19">
        <f>(C185*D185*N185/1000)</f>
        <v>0</v>
      </c>
      <c r="P185" s="16"/>
      <c r="Q185" s="18"/>
      <c r="R185" s="19">
        <f>(C185*D185*Q185/1000)</f>
        <v>0</v>
      </c>
      <c r="S185" s="20">
        <f>+H185+K185+Q185+N185</f>
        <v>1</v>
      </c>
      <c r="T185" s="19">
        <f>+I185+L185+R185+O185</f>
        <v>8.3000000000000004E-2</v>
      </c>
      <c r="U185" s="21">
        <f>E185-S185</f>
        <v>0</v>
      </c>
      <c r="V185" s="19">
        <f>F185-T185</f>
        <v>0</v>
      </c>
    </row>
    <row r="186" spans="1:22">
      <c r="A186" s="26" t="s">
        <v>14</v>
      </c>
      <c r="B186" s="26" t="s">
        <v>26</v>
      </c>
      <c r="C186" s="30">
        <v>8.3000000000000007</v>
      </c>
      <c r="D186" s="27">
        <v>10.5</v>
      </c>
      <c r="E186" s="28">
        <v>1</v>
      </c>
      <c r="F186" s="16">
        <f>(C186*D186*E186/1000)</f>
        <v>8.7150000000000005E-2</v>
      </c>
      <c r="G186" t="s">
        <v>608</v>
      </c>
      <c r="H186" s="18">
        <v>1</v>
      </c>
      <c r="I186" s="19">
        <f>(C186*D186*H186/1000)</f>
        <v>8.7150000000000005E-2</v>
      </c>
      <c r="J186" s="16"/>
      <c r="K186" s="18"/>
      <c r="L186" s="19">
        <f>(C186*D186*K186/1000)</f>
        <v>0</v>
      </c>
      <c r="M186" s="16"/>
      <c r="N186" s="18"/>
      <c r="O186" s="19">
        <f>(C186*D186*N186/1000)</f>
        <v>0</v>
      </c>
      <c r="P186" s="16"/>
      <c r="Q186" s="18"/>
      <c r="R186" s="19">
        <f>(C186*D186*Q186/1000)</f>
        <v>0</v>
      </c>
      <c r="S186" s="20">
        <f>+H186+K186+Q186+N186</f>
        <v>1</v>
      </c>
      <c r="T186" s="19">
        <f>+I186+L186+R186+O186</f>
        <v>8.7150000000000005E-2</v>
      </c>
      <c r="U186" s="21">
        <f>E186-S186</f>
        <v>0</v>
      </c>
      <c r="V186" s="19">
        <f>F186-T186</f>
        <v>0</v>
      </c>
    </row>
    <row r="187" spans="1:22">
      <c r="A187" s="36"/>
      <c r="B187" s="36"/>
      <c r="C187" s="37"/>
      <c r="D187" s="38"/>
      <c r="E187" s="31">
        <f t="shared" ref="E187:F187" si="628">SUM(E185:E186)</f>
        <v>2</v>
      </c>
      <c r="F187" s="38">
        <f t="shared" si="628"/>
        <v>0.17015000000000002</v>
      </c>
      <c r="H187" s="31">
        <f t="shared" ref="H187" si="629">SUM(H185:H186)</f>
        <v>2</v>
      </c>
      <c r="I187" s="38">
        <f t="shared" ref="I187" si="630">SUM(I185:I186)</f>
        <v>0.17015000000000002</v>
      </c>
      <c r="K187" s="31">
        <f t="shared" ref="K187" si="631">SUM(K185:K186)</f>
        <v>0</v>
      </c>
      <c r="L187" s="38">
        <f t="shared" ref="L187" si="632">SUM(L185:L186)</f>
        <v>0</v>
      </c>
      <c r="N187" s="31">
        <f t="shared" ref="N187" si="633">SUM(N185:N186)</f>
        <v>0</v>
      </c>
      <c r="O187" s="38">
        <f t="shared" ref="O187" si="634">SUM(O185:O186)</f>
        <v>0</v>
      </c>
      <c r="Q187" s="31">
        <f t="shared" ref="Q187" si="635">SUM(Q185:Q186)</f>
        <v>0</v>
      </c>
      <c r="R187" s="38">
        <f t="shared" ref="R187" si="636">SUM(R185:R186)</f>
        <v>0</v>
      </c>
      <c r="S187" s="31">
        <f t="shared" ref="S187" si="637">SUM(S185:S186)</f>
        <v>2</v>
      </c>
      <c r="T187" s="38">
        <f t="shared" ref="T187" si="638">SUM(T185:T186)</f>
        <v>0.17015000000000002</v>
      </c>
      <c r="U187" s="31">
        <f t="shared" ref="U187" si="639">SUM(U185:U186)</f>
        <v>0</v>
      </c>
      <c r="V187" s="38">
        <f t="shared" ref="V187" si="640">SUM(V185:V186)</f>
        <v>0</v>
      </c>
    </row>
    <row r="188" spans="1:22">
      <c r="A188" s="33"/>
      <c r="B188" s="33"/>
      <c r="C188" s="34"/>
      <c r="D188" s="34"/>
      <c r="E188" s="34">
        <f t="shared" ref="E188:F188" si="641">SUM(E187,E184,E182,E179,E177,E175,E173,E170,E165,E161,E158,E156,E152,E147,E142,E133,E130,E126,E121,E117,E109,E97,E84,E74,E71,E60,E57,E54,E51,E35,E32,E30,E23,E21,E18,E15)</f>
        <v>986</v>
      </c>
      <c r="F188" s="35">
        <f t="shared" si="641"/>
        <v>141.55056400000004</v>
      </c>
      <c r="H188" s="34">
        <f t="shared" ref="H188" si="642">SUM(H187,H184,H182,H179,H177,H175,H173,H170,H165,H161,H158,H156,H152,H147,H142,H133,H130,H126,H121,H117,H109,H97,H84,H74,H71,H60,H57,H54,H51,H35,H32,H30,H23,H21,H18,H15)</f>
        <v>831</v>
      </c>
      <c r="I188" s="35">
        <f t="shared" ref="I188" si="643">SUM(I187,I184,I182,I179,I177,I175,I173,I170,I165,I161,I158,I156,I152,I147,I142,I133,I130,I126,I121,I117,I109,I97,I84,I74,I71,I60,I57,I54,I51,I35,I32,I30,I23,I21,I18,I15)</f>
        <v>117.77631</v>
      </c>
      <c r="K188" s="34">
        <f t="shared" ref="K188" si="644">SUM(K187,K184,K182,K179,K177,K175,K173,K170,K165,K161,K158,K156,K152,K147,K142,K133,K130,K126,K121,K117,K109,K97,K84,K74,K71,K60,K57,K54,K51,K35,K32,K30,K23,K21,K18,K15)</f>
        <v>141</v>
      </c>
      <c r="L188" s="35">
        <f t="shared" ref="L188" si="645">SUM(L187,L184,L182,L179,L177,L175,L173,L170,L165,L161,L158,L156,L152,L147,L142,L133,L130,L126,L121,L117,L109,L97,L84,L74,L71,L60,L57,L54,L51,L35,L32,L30,L23,L21,L18,L15)</f>
        <v>23.329486000000003</v>
      </c>
      <c r="N188" s="34">
        <f t="shared" ref="N188" si="646">SUM(N187,N184,N182,N179,N177,N175,N173,N170,N165,N161,N158,N156,N152,N147,N142,N133,N130,N126,N121,N117,N109,N97,N84,N74,N71,N60,N57,N54,N51,N35,N32,N30,N23,N21,N18,N15)</f>
        <v>0</v>
      </c>
      <c r="O188" s="35">
        <f t="shared" ref="O188" si="647">SUM(O187,O184,O182,O179,O177,O175,O173,O170,O165,O161,O158,O156,O152,O147,O142,O133,O130,O126,O121,O117,O109,O97,O84,O74,O71,O60,O57,O54,O51,O35,O32,O30,O23,O21,O18,O15)</f>
        <v>0</v>
      </c>
      <c r="Q188" s="34">
        <f t="shared" ref="Q188" si="648">SUM(Q187,Q184,Q182,Q179,Q177,Q175,Q173,Q170,Q165,Q161,Q158,Q156,Q152,Q147,Q142,Q133,Q130,Q126,Q121,Q117,Q109,Q97,Q84,Q74,Q71,Q60,Q57,Q54,Q51,Q35,Q32,Q30,Q23,Q21,Q18,Q15)</f>
        <v>0</v>
      </c>
      <c r="R188" s="35">
        <f t="shared" ref="R188" si="649">SUM(R187,R184,R182,R179,R177,R175,R173,R170,R165,R161,R158,R156,R152,R147,R142,R133,R130,R126,R121,R117,R109,R97,R84,R74,R71,R60,R57,R54,R51,R35,R32,R30,R23,R21,R18,R15)</f>
        <v>0</v>
      </c>
      <c r="S188" s="34">
        <f t="shared" ref="S188" si="650">SUM(S187,S184,S182,S179,S177,S175,S173,S170,S165,S161,S158,S156,S152,S147,S142,S133,S130,S126,S121,S117,S109,S97,S84,S74,S71,S60,S57,S54,S51,S35,S32,S30,S23,S21,S18,S15)</f>
        <v>972</v>
      </c>
      <c r="T188" s="35">
        <f t="shared" ref="T188" si="651">SUM(T187,T184,T182,T179,T177,T175,T173,T170,T165,T161,T158,T156,T152,T147,T142,T133,T130,T126,T121,T117,T109,T97,T84,T74,T71,T60,T57,T54,T51,T35,T32,T30,T23,T21,T18,T15)</f>
        <v>141.10579600000003</v>
      </c>
      <c r="U188" s="34">
        <f t="shared" ref="U188" si="652">SUM(U187,U184,U182,U179,U177,U175,U173,U170,U165,U161,U158,U156,U152,U147,U142,U133,U130,U126,U121,U117,U109,U97,U84,U74,U71,U60,U57,U54,U51,U35,U32,U30,U23,U21,U18,U15)</f>
        <v>14</v>
      </c>
      <c r="V188" s="35">
        <f t="shared" ref="V188" si="653">SUM(V187,V184,V182,V179,V177,V175,V173,V170,V165,V161,V158,V156,V152,V147,V142,V133,V130,V126,V121,V117,V109,V97,V84,V74,V71,V60,V57,V54,V51,V35,V32,V30,V23,V21,V18,V15)</f>
        <v>0.44476799999999939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V11"/>
  <sheetViews>
    <sheetView zoomScale="75" zoomScaleNormal="75" workbookViewId="0">
      <pane ySplit="5" topLeftCell="A6" activePane="bottomLeft" state="frozen"/>
      <selection pane="bottomLeft" activeCell="F8" sqref="F8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LOI-1032  22.11.23</v>
      </c>
      <c r="D1" s="1"/>
      <c r="E1" s="2"/>
      <c r="F1" s="2"/>
      <c r="G1" s="143" t="s">
        <v>535</v>
      </c>
      <c r="H1" s="144"/>
      <c r="I1" s="145" t="s">
        <v>533</v>
      </c>
      <c r="J1" s="144"/>
      <c r="K1" s="3"/>
      <c r="L1" s="4"/>
      <c r="M1" s="4"/>
      <c r="N1" s="3"/>
      <c r="O1" s="4"/>
      <c r="P1" s="146" t="str">
        <f>+F2</f>
        <v>LOI-1032  22.11.23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536</v>
      </c>
      <c r="B2" s="8"/>
      <c r="C2" s="9"/>
      <c r="D2" s="9"/>
      <c r="E2" s="10"/>
      <c r="F2" s="146" t="s">
        <v>534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LOI-1032  22.11.23</v>
      </c>
      <c r="V2" s="146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31</v>
      </c>
      <c r="C6" s="30">
        <v>10.199999999999999</v>
      </c>
      <c r="D6" s="27">
        <v>12</v>
      </c>
      <c r="E6" s="28">
        <v>2</v>
      </c>
      <c r="F6" s="16">
        <f>(C6*D6*E6/1000)</f>
        <v>0.24479999999999999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2</v>
      </c>
      <c r="V6" s="19">
        <f>F6-T6</f>
        <v>0.24479999999999999</v>
      </c>
    </row>
    <row r="7" spans="1:22">
      <c r="A7" s="36"/>
      <c r="B7" s="36"/>
      <c r="C7" s="37"/>
      <c r="D7" s="38"/>
      <c r="E7" s="31">
        <f t="shared" ref="E7:F7" si="0">SUM(E6)</f>
        <v>2</v>
      </c>
      <c r="F7" s="38">
        <f t="shared" si="0"/>
        <v>0.24479999999999999</v>
      </c>
      <c r="G7" s="17"/>
      <c r="H7" s="31">
        <f t="shared" ref="H7:I7" si="1">SUM(H6)</f>
        <v>0</v>
      </c>
      <c r="I7" s="38">
        <f t="shared" si="1"/>
        <v>0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0</v>
      </c>
      <c r="T7" s="38">
        <f t="shared" si="4"/>
        <v>0</v>
      </c>
      <c r="U7" s="31">
        <f t="shared" si="4"/>
        <v>2</v>
      </c>
      <c r="V7" s="38">
        <f t="shared" si="4"/>
        <v>0.24479999999999999</v>
      </c>
    </row>
    <row r="8" spans="1:22">
      <c r="A8" s="26" t="s">
        <v>13</v>
      </c>
      <c r="B8" s="26" t="s">
        <v>36</v>
      </c>
      <c r="C8" s="30">
        <v>6.97</v>
      </c>
      <c r="D8" s="27">
        <v>12</v>
      </c>
      <c r="E8" s="28">
        <v>10</v>
      </c>
      <c r="F8" s="16">
        <f>(C8*D8*E8/1000)</f>
        <v>0.83640000000000003</v>
      </c>
      <c r="G8" s="17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10</v>
      </c>
      <c r="V8" s="19">
        <f>F8-T8</f>
        <v>0.83640000000000003</v>
      </c>
    </row>
    <row r="9" spans="1:22">
      <c r="A9" s="26"/>
      <c r="B9" s="26"/>
      <c r="C9" s="30"/>
      <c r="D9" s="27"/>
      <c r="E9" s="28"/>
      <c r="F9" s="16">
        <f>(C9*D9*E9/1000)</f>
        <v>0</v>
      </c>
      <c r="G9" s="17"/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0</v>
      </c>
      <c r="V9" s="19">
        <f>F9-T9</f>
        <v>0</v>
      </c>
    </row>
    <row r="10" spans="1:22">
      <c r="A10" s="36"/>
      <c r="B10" s="36"/>
      <c r="C10" s="37"/>
      <c r="D10" s="38"/>
      <c r="E10" s="31">
        <f t="shared" ref="E10:F10" si="5">SUM(E8:E9)</f>
        <v>10</v>
      </c>
      <c r="F10" s="38">
        <f t="shared" si="5"/>
        <v>0.83640000000000003</v>
      </c>
      <c r="H10" s="31">
        <f t="shared" ref="H10:I10" si="6">SUM(H8:H9)</f>
        <v>0</v>
      </c>
      <c r="I10" s="38">
        <f t="shared" si="6"/>
        <v>0</v>
      </c>
      <c r="K10" s="31">
        <f t="shared" ref="K10:L10" si="7">SUM(K8:K9)</f>
        <v>0</v>
      </c>
      <c r="L10" s="38">
        <f t="shared" si="7"/>
        <v>0</v>
      </c>
      <c r="N10" s="31">
        <f t="shared" ref="N10:O10" si="8">SUM(N8:N9)</f>
        <v>0</v>
      </c>
      <c r="O10" s="38">
        <f t="shared" si="8"/>
        <v>0</v>
      </c>
      <c r="Q10" s="31">
        <f t="shared" ref="Q10:V10" si="9">SUM(Q8:Q9)</f>
        <v>0</v>
      </c>
      <c r="R10" s="38">
        <f t="shared" si="9"/>
        <v>0</v>
      </c>
      <c r="S10" s="31">
        <f t="shared" si="9"/>
        <v>0</v>
      </c>
      <c r="T10" s="38">
        <f t="shared" si="9"/>
        <v>0</v>
      </c>
      <c r="U10" s="31">
        <f t="shared" si="9"/>
        <v>10</v>
      </c>
      <c r="V10" s="38">
        <f t="shared" si="9"/>
        <v>0.83640000000000003</v>
      </c>
    </row>
    <row r="11" spans="1:22">
      <c r="A11" s="33"/>
      <c r="B11" s="33"/>
      <c r="C11" s="34"/>
      <c r="D11" s="34"/>
      <c r="E11" s="34">
        <f t="shared" ref="E11:F11" si="10">SUM(E10,E7)</f>
        <v>12</v>
      </c>
      <c r="F11" s="35">
        <f t="shared" si="10"/>
        <v>1.0811999999999999</v>
      </c>
      <c r="H11" s="34">
        <f t="shared" ref="H11" si="11">SUM(H10,H7)</f>
        <v>0</v>
      </c>
      <c r="I11" s="35">
        <f t="shared" ref="I11" si="12">SUM(I10,I7)</f>
        <v>0</v>
      </c>
      <c r="K11" s="34">
        <f t="shared" ref="K11" si="13">SUM(K10,K7)</f>
        <v>0</v>
      </c>
      <c r="L11" s="35">
        <f t="shared" ref="L11" si="14">SUM(L10,L7)</f>
        <v>0</v>
      </c>
      <c r="N11" s="34">
        <f t="shared" ref="N11" si="15">SUM(N10,N7)</f>
        <v>0</v>
      </c>
      <c r="O11" s="35">
        <f t="shared" ref="O11" si="16">SUM(O10,O7)</f>
        <v>0</v>
      </c>
      <c r="Q11" s="34">
        <f t="shared" ref="Q11" si="17">SUM(Q10,Q7)</f>
        <v>0</v>
      </c>
      <c r="R11" s="35">
        <f t="shared" ref="R11" si="18">SUM(R10,R7)</f>
        <v>0</v>
      </c>
      <c r="S11" s="34">
        <f t="shared" ref="S11" si="19">SUM(S10,S7)</f>
        <v>0</v>
      </c>
      <c r="T11" s="35">
        <f t="shared" ref="T11" si="20">SUM(T10,T7)</f>
        <v>0</v>
      </c>
      <c r="U11" s="34">
        <f t="shared" ref="U11" si="21">SUM(U10,U7)</f>
        <v>12</v>
      </c>
      <c r="V11" s="35">
        <f t="shared" ref="V11" si="22">SUM(V10,V7)</f>
        <v>1.0811999999999999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V21"/>
  <sheetViews>
    <sheetView zoomScale="75" zoomScaleNormal="75" workbookViewId="0">
      <pane ySplit="5" topLeftCell="A6" activePane="bottomLeft" state="frozen"/>
      <selection pane="bottomLeft" activeCell="U7" sqref="U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LOI-1133  22.11.23</v>
      </c>
      <c r="D1" s="1"/>
      <c r="E1" s="2"/>
      <c r="F1" s="2"/>
      <c r="G1" s="143" t="s">
        <v>498</v>
      </c>
      <c r="H1" s="144"/>
      <c r="I1" s="145" t="s">
        <v>538</v>
      </c>
      <c r="J1" s="144"/>
      <c r="K1" s="3"/>
      <c r="L1" s="4"/>
      <c r="M1" s="4"/>
      <c r="N1" s="3"/>
      <c r="O1" s="4"/>
      <c r="P1" s="146" t="str">
        <f>+F2</f>
        <v>LOI-1133  22.11.23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537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LOI-1133  22.11.23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26">
        <v>12.2</v>
      </c>
      <c r="D6" s="74">
        <v>12</v>
      </c>
      <c r="E6" s="28">
        <v>15</v>
      </c>
      <c r="F6" s="16">
        <f>(C6*D6*E6/1000)</f>
        <v>2.1959999999999997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15</v>
      </c>
      <c r="V6" s="19">
        <f>F6-T6</f>
        <v>2.1959999999999997</v>
      </c>
    </row>
    <row r="7" spans="1:22">
      <c r="A7" s="26"/>
      <c r="B7" s="41" t="s">
        <v>139</v>
      </c>
      <c r="C7" s="26"/>
      <c r="D7" s="74"/>
      <c r="E7" s="31">
        <f>SUM(E6:E6)</f>
        <v>15</v>
      </c>
      <c r="F7" s="77">
        <f>SUM(F6:F6)</f>
        <v>2.1959999999999997</v>
      </c>
      <c r="G7" s="17"/>
      <c r="H7" s="31">
        <f>SUM(H6:H6)</f>
        <v>0</v>
      </c>
      <c r="I7" s="77">
        <f>SUM(I6:I6)</f>
        <v>0</v>
      </c>
      <c r="J7" s="16"/>
      <c r="K7" s="31">
        <f>SUM(K6:K6)</f>
        <v>0</v>
      </c>
      <c r="L7" s="77">
        <f>SUM(L6:L6)</f>
        <v>0</v>
      </c>
      <c r="M7" s="16"/>
      <c r="N7" s="31">
        <f>SUM(N6:N6)</f>
        <v>0</v>
      </c>
      <c r="O7" s="77">
        <f>SUM(O6:O6)</f>
        <v>0</v>
      </c>
      <c r="P7" s="16"/>
      <c r="Q7" s="31">
        <f t="shared" ref="Q7:V7" si="0">SUM(Q6:Q6)</f>
        <v>0</v>
      </c>
      <c r="R7" s="77">
        <f t="shared" si="0"/>
        <v>0</v>
      </c>
      <c r="S7" s="31">
        <f t="shared" si="0"/>
        <v>0</v>
      </c>
      <c r="T7" s="77">
        <f t="shared" si="0"/>
        <v>0</v>
      </c>
      <c r="U7" s="31">
        <f t="shared" si="0"/>
        <v>15</v>
      </c>
      <c r="V7" s="77">
        <f t="shared" si="0"/>
        <v>2.1959999999999997</v>
      </c>
    </row>
    <row r="8" spans="1:22">
      <c r="A8" s="26" t="s">
        <v>13</v>
      </c>
      <c r="B8" s="26" t="s">
        <v>49</v>
      </c>
      <c r="C8" s="26">
        <v>14.7</v>
      </c>
      <c r="D8" s="74">
        <v>12</v>
      </c>
      <c r="E8" s="28">
        <v>12</v>
      </c>
      <c r="F8" s="16">
        <f>(C8*D8*E8/1000)</f>
        <v>2.1167999999999996</v>
      </c>
      <c r="G8" s="16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12</v>
      </c>
      <c r="V8" s="19">
        <f>F8-T8</f>
        <v>2.1167999999999996</v>
      </c>
    </row>
    <row r="9" spans="1:22">
      <c r="A9" s="26"/>
      <c r="B9" s="41" t="s">
        <v>139</v>
      </c>
      <c r="C9" s="26"/>
      <c r="D9" s="74"/>
      <c r="E9" s="31">
        <f>SUM(E8:E8)</f>
        <v>12</v>
      </c>
      <c r="F9" s="77">
        <f>SUM(F8:F8)</f>
        <v>2.1167999999999996</v>
      </c>
      <c r="G9" s="17"/>
      <c r="H9" s="31">
        <f>SUM(H8:H8)</f>
        <v>0</v>
      </c>
      <c r="I9" s="77">
        <f>SUM(I8:I8)</f>
        <v>0</v>
      </c>
      <c r="J9" s="16"/>
      <c r="K9" s="31">
        <f>SUM(K8:K8)</f>
        <v>0</v>
      </c>
      <c r="L9" s="77">
        <f>SUM(L8:L8)</f>
        <v>0</v>
      </c>
      <c r="M9" s="16"/>
      <c r="N9" s="31">
        <f>SUM(N8:N8)</f>
        <v>0</v>
      </c>
      <c r="O9" s="77">
        <f>SUM(O8:O8)</f>
        <v>0</v>
      </c>
      <c r="P9" s="16"/>
      <c r="Q9" s="31">
        <f t="shared" ref="Q9:V9" si="1">SUM(Q8:Q8)</f>
        <v>0</v>
      </c>
      <c r="R9" s="77">
        <f t="shared" si="1"/>
        <v>0</v>
      </c>
      <c r="S9" s="31">
        <f t="shared" si="1"/>
        <v>0</v>
      </c>
      <c r="T9" s="77">
        <f t="shared" si="1"/>
        <v>0</v>
      </c>
      <c r="U9" s="31">
        <f t="shared" si="1"/>
        <v>12</v>
      </c>
      <c r="V9" s="77">
        <f t="shared" si="1"/>
        <v>2.1167999999999996</v>
      </c>
    </row>
    <row r="10" spans="1:22">
      <c r="A10" s="26" t="s">
        <v>13</v>
      </c>
      <c r="B10" s="26" t="s">
        <v>53</v>
      </c>
      <c r="C10" s="26">
        <v>23.6</v>
      </c>
      <c r="D10" s="74">
        <v>12</v>
      </c>
      <c r="E10" s="28">
        <v>5</v>
      </c>
      <c r="F10" s="16">
        <f>(C10*D10*E10/1000)</f>
        <v>1.4160000000000001</v>
      </c>
      <c r="G10" s="16"/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5</v>
      </c>
      <c r="V10" s="19">
        <f>F10-T10</f>
        <v>1.4160000000000001</v>
      </c>
    </row>
    <row r="11" spans="1:22">
      <c r="A11" s="26"/>
      <c r="B11" s="41" t="s">
        <v>139</v>
      </c>
      <c r="C11" s="26"/>
      <c r="D11" s="74"/>
      <c r="E11" s="31">
        <f>SUM(E10:E10)</f>
        <v>5</v>
      </c>
      <c r="F11" s="77">
        <f>SUM(F10:F10)</f>
        <v>1.4160000000000001</v>
      </c>
      <c r="G11" s="17"/>
      <c r="H11" s="31">
        <f>SUM(H10:H10)</f>
        <v>0</v>
      </c>
      <c r="I11" s="77">
        <f>SUM(I10:I10)</f>
        <v>0</v>
      </c>
      <c r="J11" s="16"/>
      <c r="K11" s="31">
        <f>SUM(K10:K10)</f>
        <v>0</v>
      </c>
      <c r="L11" s="77">
        <f>SUM(L10:L10)</f>
        <v>0</v>
      </c>
      <c r="M11" s="16"/>
      <c r="N11" s="31">
        <f>SUM(N10:N10)</f>
        <v>0</v>
      </c>
      <c r="O11" s="77">
        <f>SUM(O10:O10)</f>
        <v>0</v>
      </c>
      <c r="P11" s="16"/>
      <c r="Q11" s="31">
        <f t="shared" ref="Q11:V11" si="2">SUM(Q10:Q10)</f>
        <v>0</v>
      </c>
      <c r="R11" s="77">
        <f t="shared" si="2"/>
        <v>0</v>
      </c>
      <c r="S11" s="31">
        <f t="shared" si="2"/>
        <v>0</v>
      </c>
      <c r="T11" s="77">
        <f t="shared" si="2"/>
        <v>0</v>
      </c>
      <c r="U11" s="31">
        <f t="shared" si="2"/>
        <v>5</v>
      </c>
      <c r="V11" s="77">
        <f t="shared" si="2"/>
        <v>1.4160000000000001</v>
      </c>
    </row>
    <row r="12" spans="1:22">
      <c r="A12" s="26" t="s">
        <v>13</v>
      </c>
      <c r="B12" s="26" t="s">
        <v>181</v>
      </c>
      <c r="C12" s="26">
        <v>6.38</v>
      </c>
      <c r="D12" s="74">
        <v>12</v>
      </c>
      <c r="E12" s="28">
        <v>15</v>
      </c>
      <c r="F12" s="16">
        <f>(C12*D12*E12/1000)</f>
        <v>1.1484000000000001</v>
      </c>
      <c r="G12" s="16" t="s">
        <v>455</v>
      </c>
      <c r="H12" s="18">
        <v>15</v>
      </c>
      <c r="I12" s="19">
        <f>(C12*D12*H12/1000)</f>
        <v>1.1484000000000001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15</v>
      </c>
      <c r="T12" s="19">
        <f>+I12+L12+R12+O12</f>
        <v>1.1484000000000001</v>
      </c>
      <c r="U12" s="21">
        <f>E12-S12</f>
        <v>0</v>
      </c>
      <c r="V12" s="19">
        <f>F12-T12</f>
        <v>0</v>
      </c>
    </row>
    <row r="13" spans="1:22">
      <c r="A13" s="26"/>
      <c r="B13" s="41" t="s">
        <v>139</v>
      </c>
      <c r="C13" s="26"/>
      <c r="D13" s="74"/>
      <c r="E13" s="31">
        <f>SUM(E12:E12)</f>
        <v>15</v>
      </c>
      <c r="F13" s="77">
        <f>SUM(F12:F12)</f>
        <v>1.1484000000000001</v>
      </c>
      <c r="G13" s="17" t="s">
        <v>613</v>
      </c>
      <c r="H13" s="31">
        <f>SUM(H12:H12)</f>
        <v>15</v>
      </c>
      <c r="I13" s="77">
        <f>SUM(I12:I12)</f>
        <v>1.1484000000000001</v>
      </c>
      <c r="J13" s="16"/>
      <c r="K13" s="31">
        <f>SUM(K12:K12)</f>
        <v>0</v>
      </c>
      <c r="L13" s="77">
        <f>SUM(L12:L12)</f>
        <v>0</v>
      </c>
      <c r="M13" s="16"/>
      <c r="N13" s="31">
        <f>SUM(N12:N12)</f>
        <v>0</v>
      </c>
      <c r="O13" s="77">
        <f>SUM(O12:O12)</f>
        <v>0</v>
      </c>
      <c r="P13" s="16"/>
      <c r="Q13" s="31">
        <f t="shared" ref="Q13:V13" si="3">SUM(Q12:Q12)</f>
        <v>0</v>
      </c>
      <c r="R13" s="77">
        <f t="shared" si="3"/>
        <v>0</v>
      </c>
      <c r="S13" s="31">
        <f t="shared" si="3"/>
        <v>15</v>
      </c>
      <c r="T13" s="77">
        <f t="shared" si="3"/>
        <v>1.1484000000000001</v>
      </c>
      <c r="U13" s="31">
        <f t="shared" si="3"/>
        <v>0</v>
      </c>
      <c r="V13" s="77">
        <f t="shared" si="3"/>
        <v>0</v>
      </c>
    </row>
    <row r="14" spans="1:22">
      <c r="A14" s="26" t="s">
        <v>13</v>
      </c>
      <c r="B14" s="26" t="s">
        <v>57</v>
      </c>
      <c r="C14" s="26">
        <v>6.17</v>
      </c>
      <c r="D14" s="74">
        <v>12</v>
      </c>
      <c r="E14" s="28">
        <v>8</v>
      </c>
      <c r="F14" s="16">
        <f>(C14*D14*E14/1000)</f>
        <v>0.59231999999999996</v>
      </c>
      <c r="G14" s="16" t="s">
        <v>389</v>
      </c>
      <c r="H14" s="18">
        <v>8</v>
      </c>
      <c r="I14" s="19">
        <f>(C14*D14*H14/1000)</f>
        <v>0.59231999999999996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8</v>
      </c>
      <c r="T14" s="19">
        <f>+I14+L14+R14+O14</f>
        <v>0.59231999999999996</v>
      </c>
      <c r="U14" s="21">
        <f>E14-S14</f>
        <v>0</v>
      </c>
      <c r="V14" s="19">
        <f>F14-T14</f>
        <v>0</v>
      </c>
    </row>
    <row r="15" spans="1:22">
      <c r="A15" s="26"/>
      <c r="B15" s="41" t="s">
        <v>139</v>
      </c>
      <c r="C15" s="26"/>
      <c r="D15" s="74"/>
      <c r="E15" s="31">
        <f>SUM(E14:E14)</f>
        <v>8</v>
      </c>
      <c r="F15" s="77">
        <f>SUM(F14:F14)</f>
        <v>0.59231999999999996</v>
      </c>
      <c r="G15" s="16" t="s">
        <v>615</v>
      </c>
      <c r="H15" s="31">
        <f>SUM(H14:H14)</f>
        <v>8</v>
      </c>
      <c r="I15" s="77">
        <f>SUM(I14:I14)</f>
        <v>0.59231999999999996</v>
      </c>
      <c r="J15" s="16"/>
      <c r="K15" s="31">
        <f>SUM(K14:K14)</f>
        <v>0</v>
      </c>
      <c r="L15" s="77">
        <f>SUM(L14:L14)</f>
        <v>0</v>
      </c>
      <c r="M15" s="16"/>
      <c r="N15" s="31">
        <f>SUM(N14:N14)</f>
        <v>0</v>
      </c>
      <c r="O15" s="77">
        <f>SUM(O14:O14)</f>
        <v>0</v>
      </c>
      <c r="P15" s="16"/>
      <c r="Q15" s="31">
        <f t="shared" ref="Q15:V15" si="4">SUM(Q14:Q14)</f>
        <v>0</v>
      </c>
      <c r="R15" s="77">
        <f t="shared" si="4"/>
        <v>0</v>
      </c>
      <c r="S15" s="31">
        <f t="shared" si="4"/>
        <v>8</v>
      </c>
      <c r="T15" s="77">
        <f t="shared" si="4"/>
        <v>0.59231999999999996</v>
      </c>
      <c r="U15" s="31">
        <f t="shared" si="4"/>
        <v>0</v>
      </c>
      <c r="V15" s="77">
        <f t="shared" si="4"/>
        <v>0</v>
      </c>
    </row>
    <row r="16" spans="1:22">
      <c r="A16" s="26" t="s">
        <v>13</v>
      </c>
      <c r="B16" s="26" t="s">
        <v>58</v>
      </c>
      <c r="C16" s="26">
        <v>7.34</v>
      </c>
      <c r="D16" s="74">
        <v>12</v>
      </c>
      <c r="E16" s="28">
        <v>35</v>
      </c>
      <c r="F16" s="16">
        <f>(C16*D16*E16/1000)</f>
        <v>3.0827999999999998</v>
      </c>
      <c r="G16" s="16" t="s">
        <v>389</v>
      </c>
      <c r="H16" s="18">
        <v>35</v>
      </c>
      <c r="I16" s="19">
        <f>(C16*D16*H16/1000)</f>
        <v>3.0827999999999998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35</v>
      </c>
      <c r="T16" s="19">
        <f>+I16+L16+R16+O16</f>
        <v>3.0827999999999998</v>
      </c>
      <c r="U16" s="21">
        <f>E16-S16</f>
        <v>0</v>
      </c>
      <c r="V16" s="19">
        <f>F16-T16</f>
        <v>0</v>
      </c>
    </row>
    <row r="17" spans="1:22">
      <c r="A17" s="26"/>
      <c r="B17" s="41" t="s">
        <v>139</v>
      </c>
      <c r="C17" s="26"/>
      <c r="D17" s="74"/>
      <c r="E17" s="31">
        <f>SUM(E16:E16)</f>
        <v>35</v>
      </c>
      <c r="F17" s="77">
        <f>SUM(F16:F16)</f>
        <v>3.0827999999999998</v>
      </c>
      <c r="G17" s="16" t="s">
        <v>615</v>
      </c>
      <c r="H17" s="31">
        <f>SUM(H16:H16)</f>
        <v>35</v>
      </c>
      <c r="I17" s="77">
        <f>SUM(I16:I16)</f>
        <v>3.0827999999999998</v>
      </c>
      <c r="J17" s="16"/>
      <c r="K17" s="31">
        <f>SUM(K16:K16)</f>
        <v>0</v>
      </c>
      <c r="L17" s="77">
        <f>SUM(L16:L16)</f>
        <v>0</v>
      </c>
      <c r="M17" s="16"/>
      <c r="N17" s="31">
        <f>SUM(N16:N16)</f>
        <v>0</v>
      </c>
      <c r="O17" s="77">
        <f>SUM(O16:O16)</f>
        <v>0</v>
      </c>
      <c r="P17" s="16"/>
      <c r="Q17" s="31">
        <f t="shared" ref="Q17:V17" si="5">SUM(Q16:Q16)</f>
        <v>0</v>
      </c>
      <c r="R17" s="77">
        <f t="shared" si="5"/>
        <v>0</v>
      </c>
      <c r="S17" s="31">
        <f t="shared" si="5"/>
        <v>35</v>
      </c>
      <c r="T17" s="77">
        <f t="shared" si="5"/>
        <v>3.0827999999999998</v>
      </c>
      <c r="U17" s="31">
        <f t="shared" si="5"/>
        <v>0</v>
      </c>
      <c r="V17" s="77">
        <f t="shared" si="5"/>
        <v>0</v>
      </c>
    </row>
    <row r="18" spans="1:22">
      <c r="A18" s="26" t="s">
        <v>13</v>
      </c>
      <c r="B18" s="26" t="s">
        <v>26</v>
      </c>
      <c r="C18" s="26">
        <v>8.3000000000000007</v>
      </c>
      <c r="D18" s="74">
        <v>12</v>
      </c>
      <c r="E18" s="28">
        <v>15</v>
      </c>
      <c r="F18" s="16">
        <f>(C18*D18*E18/1000)</f>
        <v>1.4940000000000002</v>
      </c>
      <c r="G18" s="16"/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15</v>
      </c>
      <c r="V18" s="19">
        <f>F18-T18</f>
        <v>1.4940000000000002</v>
      </c>
    </row>
    <row r="19" spans="1:22">
      <c r="A19" s="26" t="s">
        <v>13</v>
      </c>
      <c r="B19" s="26" t="s">
        <v>26</v>
      </c>
      <c r="C19" s="26"/>
      <c r="D19" s="74"/>
      <c r="E19" s="28"/>
      <c r="F19" s="16">
        <f>(C19*D19*E19/1000)</f>
        <v>0</v>
      </c>
      <c r="G19" s="17"/>
      <c r="H19" s="18"/>
      <c r="I19" s="19">
        <f t="shared" ref="I19" si="6">(C19*D19*H19/1000)</f>
        <v>0</v>
      </c>
      <c r="J19" s="16"/>
      <c r="K19" s="18"/>
      <c r="L19" s="19">
        <f t="shared" ref="L19" si="7">(C19*D19*K19/1000)</f>
        <v>0</v>
      </c>
      <c r="M19" s="16"/>
      <c r="N19" s="18"/>
      <c r="O19" s="19">
        <f t="shared" ref="O19" si="8">(C19*D19*N19/1000)</f>
        <v>0</v>
      </c>
      <c r="P19" s="16"/>
      <c r="Q19" s="18"/>
      <c r="R19" s="19">
        <f t="shared" ref="R19" si="9">(C19*D19*Q19/1000)</f>
        <v>0</v>
      </c>
      <c r="S19" s="20">
        <f t="shared" ref="S19:T19" si="10">+H19+K19+Q19+N19</f>
        <v>0</v>
      </c>
      <c r="T19" s="19">
        <f t="shared" si="10"/>
        <v>0</v>
      </c>
      <c r="U19" s="21">
        <f t="shared" ref="U19:V19" si="11">E19-S19</f>
        <v>0</v>
      </c>
      <c r="V19" s="19">
        <f t="shared" si="11"/>
        <v>0</v>
      </c>
    </row>
    <row r="20" spans="1:22">
      <c r="A20" s="26"/>
      <c r="B20" s="41" t="s">
        <v>139</v>
      </c>
      <c r="C20" s="26"/>
      <c r="D20" s="74"/>
      <c r="E20" s="31">
        <f>SUM(E18:E19)</f>
        <v>15</v>
      </c>
      <c r="F20" s="77">
        <f>SUM(F18:F19)</f>
        <v>1.4940000000000002</v>
      </c>
      <c r="G20" s="17"/>
      <c r="H20" s="31">
        <f>SUM(H18:H19)</f>
        <v>0</v>
      </c>
      <c r="I20" s="77">
        <f>SUM(I18:I19)</f>
        <v>0</v>
      </c>
      <c r="J20" s="16"/>
      <c r="K20" s="31">
        <f>SUM(K18:K19)</f>
        <v>0</v>
      </c>
      <c r="L20" s="77">
        <f>SUM(L18:L19)</f>
        <v>0</v>
      </c>
      <c r="M20" s="16"/>
      <c r="N20" s="31">
        <f>SUM(N18:N19)</f>
        <v>0</v>
      </c>
      <c r="O20" s="77">
        <f>SUM(O18:O19)</f>
        <v>0</v>
      </c>
      <c r="P20" s="16"/>
      <c r="Q20" s="31">
        <f t="shared" ref="Q20:V20" si="12">SUM(Q18:Q19)</f>
        <v>0</v>
      </c>
      <c r="R20" s="77">
        <f t="shared" si="12"/>
        <v>0</v>
      </c>
      <c r="S20" s="31">
        <f t="shared" si="12"/>
        <v>0</v>
      </c>
      <c r="T20" s="77">
        <f t="shared" si="12"/>
        <v>0</v>
      </c>
      <c r="U20" s="31">
        <f t="shared" si="12"/>
        <v>15</v>
      </c>
      <c r="V20" s="77">
        <f t="shared" si="12"/>
        <v>1.4940000000000002</v>
      </c>
    </row>
    <row r="21" spans="1:22">
      <c r="A21" s="33"/>
      <c r="B21" s="33"/>
      <c r="C21" s="34"/>
      <c r="D21" s="34"/>
      <c r="E21" s="34">
        <f>SUM(E6:E20)/2</f>
        <v>105</v>
      </c>
      <c r="F21" s="35">
        <f>SUM(F6:F20)/2</f>
        <v>12.04632</v>
      </c>
      <c r="G21" s="26"/>
      <c r="H21" s="34">
        <f>SUM(H6:H20)/2</f>
        <v>58</v>
      </c>
      <c r="I21" s="35">
        <f>SUM(I6:I20)/2</f>
        <v>4.8235200000000003</v>
      </c>
      <c r="J21" s="26"/>
      <c r="K21" s="34">
        <f>SUM(K6:K20)/2</f>
        <v>0</v>
      </c>
      <c r="L21" s="35">
        <f>SUM(L6:L20)/2</f>
        <v>0</v>
      </c>
      <c r="M21" s="26"/>
      <c r="N21" s="34">
        <f>SUM(N6:N20)/2</f>
        <v>0</v>
      </c>
      <c r="O21" s="35">
        <f>SUM(O6:O20)/2</f>
        <v>0</v>
      </c>
      <c r="P21" s="26"/>
      <c r="Q21" s="34">
        <f t="shared" ref="Q21:V21" si="13">SUM(Q6:Q20)/2</f>
        <v>0</v>
      </c>
      <c r="R21" s="35">
        <f t="shared" si="13"/>
        <v>0</v>
      </c>
      <c r="S21" s="34">
        <f t="shared" si="13"/>
        <v>58</v>
      </c>
      <c r="T21" s="35">
        <f t="shared" si="13"/>
        <v>4.8235200000000003</v>
      </c>
      <c r="U21" s="34">
        <f t="shared" si="13"/>
        <v>47</v>
      </c>
      <c r="V21" s="35">
        <f t="shared" si="13"/>
        <v>7.2227999999999994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80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V12"/>
  <sheetViews>
    <sheetView zoomScale="75" zoomScaleNormal="75" workbookViewId="0">
      <pane ySplit="5" topLeftCell="A6" activePane="bottomLeft" state="frozen"/>
      <selection pane="bottomLeft" activeCell="G10" sqref="G10:G11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LOI-1190  01.12.23</v>
      </c>
      <c r="D1" s="1"/>
      <c r="E1" s="2"/>
      <c r="F1" s="2"/>
      <c r="G1" s="143" t="s">
        <v>241</v>
      </c>
      <c r="H1" s="144"/>
      <c r="I1" s="145" t="s">
        <v>538</v>
      </c>
      <c r="J1" s="144"/>
      <c r="K1" s="3"/>
      <c r="L1" s="4"/>
      <c r="M1" s="4"/>
      <c r="N1" s="3"/>
      <c r="O1" s="4"/>
      <c r="P1" s="146" t="str">
        <f>+F2</f>
        <v>LOI-1190  01.12.23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543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LOI-1190  01.12.23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174</v>
      </c>
      <c r="C6" s="26">
        <v>5.37</v>
      </c>
      <c r="D6" s="74">
        <v>12</v>
      </c>
      <c r="E6" s="28">
        <v>30</v>
      </c>
      <c r="F6" s="16">
        <f>(C6*D6*E6/1000)</f>
        <v>1.9331999999999998</v>
      </c>
      <c r="G6" s="17" t="s">
        <v>107</v>
      </c>
      <c r="H6" s="18">
        <v>30</v>
      </c>
      <c r="I6" s="19">
        <f>(C6*D6*H6/1000)</f>
        <v>1.9331999999999998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30</v>
      </c>
      <c r="T6" s="19">
        <f>+I6+L6+R6+O6</f>
        <v>1.9331999999999998</v>
      </c>
      <c r="U6" s="21">
        <f>E6-S6</f>
        <v>0</v>
      </c>
      <c r="V6" s="19">
        <f>F6-T6</f>
        <v>0</v>
      </c>
    </row>
    <row r="7" spans="1:22">
      <c r="A7" s="26"/>
      <c r="B7" s="41" t="s">
        <v>139</v>
      </c>
      <c r="C7" s="26"/>
      <c r="D7" s="74"/>
      <c r="E7" s="31">
        <f>SUM(E6:E6)</f>
        <v>30</v>
      </c>
      <c r="F7" s="77">
        <f>SUM(F6:F6)</f>
        <v>1.9331999999999998</v>
      </c>
      <c r="G7" t="s">
        <v>608</v>
      </c>
      <c r="H7" s="31">
        <f>SUM(H6:H6)</f>
        <v>30</v>
      </c>
      <c r="I7" s="77">
        <f>SUM(I6:I6)</f>
        <v>1.9331999999999998</v>
      </c>
      <c r="J7" s="16"/>
      <c r="K7" s="31">
        <f>SUM(K6:K6)</f>
        <v>0</v>
      </c>
      <c r="L7" s="77">
        <f>SUM(L6:L6)</f>
        <v>0</v>
      </c>
      <c r="M7" s="16"/>
      <c r="N7" s="31">
        <f>SUM(N6:N6)</f>
        <v>0</v>
      </c>
      <c r="O7" s="77">
        <f>SUM(O6:O6)</f>
        <v>0</v>
      </c>
      <c r="P7" s="16"/>
      <c r="Q7" s="31">
        <f t="shared" ref="Q7:V7" si="0">SUM(Q6:Q6)</f>
        <v>0</v>
      </c>
      <c r="R7" s="77">
        <f t="shared" si="0"/>
        <v>0</v>
      </c>
      <c r="S7" s="31">
        <f t="shared" si="0"/>
        <v>30</v>
      </c>
      <c r="T7" s="77">
        <f t="shared" si="0"/>
        <v>1.9331999999999998</v>
      </c>
      <c r="U7" s="31">
        <f t="shared" si="0"/>
        <v>0</v>
      </c>
      <c r="V7" s="77">
        <f t="shared" si="0"/>
        <v>0</v>
      </c>
    </row>
    <row r="8" spans="1:22">
      <c r="A8" s="26" t="s">
        <v>13</v>
      </c>
      <c r="B8" s="26" t="s">
        <v>181</v>
      </c>
      <c r="C8" s="26">
        <v>6.38</v>
      </c>
      <c r="D8" s="74">
        <v>12</v>
      </c>
      <c r="E8" s="28">
        <v>3</v>
      </c>
      <c r="F8" s="16">
        <f>(C8*D8*E8/1000)</f>
        <v>0.22968</v>
      </c>
      <c r="G8" s="17" t="s">
        <v>86</v>
      </c>
      <c r="H8" s="18">
        <v>3</v>
      </c>
      <c r="I8" s="19">
        <f>(C8*D8*H8/1000)</f>
        <v>0.22968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3</v>
      </c>
      <c r="T8" s="19">
        <f>+I8+L8+R8+O8</f>
        <v>0.22968</v>
      </c>
      <c r="U8" s="21">
        <f>E8-S8</f>
        <v>0</v>
      </c>
      <c r="V8" s="19">
        <f>F8-T8</f>
        <v>0</v>
      </c>
    </row>
    <row r="9" spans="1:22">
      <c r="A9" s="26"/>
      <c r="B9" s="41" t="s">
        <v>139</v>
      </c>
      <c r="C9" s="26"/>
      <c r="D9" s="74"/>
      <c r="E9" s="31">
        <f>SUM(E8:E8)</f>
        <v>3</v>
      </c>
      <c r="F9" s="77">
        <f>SUM(F8:F8)</f>
        <v>0.22968</v>
      </c>
      <c r="G9" t="s">
        <v>610</v>
      </c>
      <c r="H9" s="31">
        <f>SUM(H8:H8)</f>
        <v>3</v>
      </c>
      <c r="I9" s="77">
        <f>SUM(I8:I8)</f>
        <v>0.22968</v>
      </c>
      <c r="J9" s="16"/>
      <c r="K9" s="31">
        <f>SUM(K8:K8)</f>
        <v>0</v>
      </c>
      <c r="L9" s="77">
        <f>SUM(L8:L8)</f>
        <v>0</v>
      </c>
      <c r="M9" s="16"/>
      <c r="N9" s="31">
        <f>SUM(N8:N8)</f>
        <v>0</v>
      </c>
      <c r="O9" s="77">
        <f>SUM(O8:O8)</f>
        <v>0</v>
      </c>
      <c r="P9" s="16"/>
      <c r="Q9" s="31">
        <f t="shared" ref="Q9:V9" si="1">SUM(Q8:Q8)</f>
        <v>0</v>
      </c>
      <c r="R9" s="77">
        <f t="shared" si="1"/>
        <v>0</v>
      </c>
      <c r="S9" s="31">
        <f t="shared" si="1"/>
        <v>3</v>
      </c>
      <c r="T9" s="77">
        <f t="shared" si="1"/>
        <v>0.22968</v>
      </c>
      <c r="U9" s="31">
        <f t="shared" si="1"/>
        <v>0</v>
      </c>
      <c r="V9" s="77">
        <f t="shared" si="1"/>
        <v>0</v>
      </c>
    </row>
    <row r="10" spans="1:22">
      <c r="A10" s="26" t="s">
        <v>24</v>
      </c>
      <c r="B10" s="26" t="s">
        <v>174</v>
      </c>
      <c r="C10" s="26">
        <v>5.37</v>
      </c>
      <c r="D10" s="74">
        <v>11.5</v>
      </c>
      <c r="E10" s="28">
        <v>11</v>
      </c>
      <c r="F10" s="16">
        <f>(C10*D10*E10/1000)</f>
        <v>0.67930500000000005</v>
      </c>
      <c r="G10" s="17" t="s">
        <v>86</v>
      </c>
      <c r="H10" s="18">
        <v>11</v>
      </c>
      <c r="I10" s="19">
        <f>(C10*D10*H10/1000)</f>
        <v>0.67930500000000005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11</v>
      </c>
      <c r="T10" s="19">
        <f>+I10+L10+R10+O10</f>
        <v>0.67930500000000005</v>
      </c>
      <c r="U10" s="21">
        <f>E10-S10</f>
        <v>0</v>
      </c>
      <c r="V10" s="19">
        <f>F10-T10</f>
        <v>0</v>
      </c>
    </row>
    <row r="11" spans="1:22">
      <c r="A11" s="26"/>
      <c r="B11" s="41" t="s">
        <v>139</v>
      </c>
      <c r="C11" s="26"/>
      <c r="D11" s="74"/>
      <c r="E11" s="31">
        <f>SUM(E10:E10)</f>
        <v>11</v>
      </c>
      <c r="F11" s="77">
        <f>SUM(F10:F10)</f>
        <v>0.67930500000000005</v>
      </c>
      <c r="G11" t="s">
        <v>610</v>
      </c>
      <c r="H11" s="31">
        <f>SUM(H10:H10)</f>
        <v>11</v>
      </c>
      <c r="I11" s="77">
        <f>SUM(I10:I10)</f>
        <v>0.67930500000000005</v>
      </c>
      <c r="J11" s="16"/>
      <c r="K11" s="31">
        <f>SUM(K10:K10)</f>
        <v>0</v>
      </c>
      <c r="L11" s="77">
        <f>SUM(L10:L10)</f>
        <v>0</v>
      </c>
      <c r="M11" s="16"/>
      <c r="N11" s="31">
        <f>SUM(N10:N10)</f>
        <v>0</v>
      </c>
      <c r="O11" s="77">
        <f>SUM(O10:O10)</f>
        <v>0</v>
      </c>
      <c r="P11" s="16"/>
      <c r="Q11" s="31">
        <f t="shared" ref="Q11:V11" si="2">SUM(Q10:Q10)</f>
        <v>0</v>
      </c>
      <c r="R11" s="77">
        <f t="shared" si="2"/>
        <v>0</v>
      </c>
      <c r="S11" s="31">
        <f t="shared" si="2"/>
        <v>11</v>
      </c>
      <c r="T11" s="77">
        <f t="shared" si="2"/>
        <v>0.67930500000000005</v>
      </c>
      <c r="U11" s="31">
        <f t="shared" si="2"/>
        <v>0</v>
      </c>
      <c r="V11" s="77">
        <f t="shared" si="2"/>
        <v>0</v>
      </c>
    </row>
    <row r="12" spans="1:22">
      <c r="A12" s="33"/>
      <c r="B12" s="33"/>
      <c r="C12" s="34"/>
      <c r="D12" s="34"/>
      <c r="E12" s="34">
        <f>SUM(E6:E11)/2</f>
        <v>44</v>
      </c>
      <c r="F12" s="35">
        <f>SUM(F6:F11)/2</f>
        <v>2.8421850000000002</v>
      </c>
      <c r="G12" s="26"/>
      <c r="H12" s="34">
        <f>SUM(H6:H11)/2</f>
        <v>44</v>
      </c>
      <c r="I12" s="35">
        <f>SUM(I6:I11)/2</f>
        <v>2.8421850000000002</v>
      </c>
      <c r="J12" s="26"/>
      <c r="K12" s="34">
        <f>SUM(K6:K11)/2</f>
        <v>0</v>
      </c>
      <c r="L12" s="35">
        <f>SUM(L6:L11)/2</f>
        <v>0</v>
      </c>
      <c r="M12" s="26"/>
      <c r="N12" s="34">
        <f>SUM(N6:N11)/2</f>
        <v>0</v>
      </c>
      <c r="O12" s="35">
        <f>SUM(O6:O11)/2</f>
        <v>0</v>
      </c>
      <c r="P12" s="26"/>
      <c r="Q12" s="34">
        <f t="shared" ref="Q12:V12" si="3">SUM(Q6:Q11)/2</f>
        <v>0</v>
      </c>
      <c r="R12" s="35">
        <f t="shared" si="3"/>
        <v>0</v>
      </c>
      <c r="S12" s="34">
        <f t="shared" si="3"/>
        <v>44</v>
      </c>
      <c r="T12" s="35">
        <f t="shared" si="3"/>
        <v>2.8421850000000002</v>
      </c>
      <c r="U12" s="34">
        <f t="shared" si="3"/>
        <v>0</v>
      </c>
      <c r="V12" s="35">
        <f t="shared" si="3"/>
        <v>0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V8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LOI-1191  01.12.23</v>
      </c>
      <c r="D1" s="1"/>
      <c r="E1" s="2"/>
      <c r="F1" s="2"/>
      <c r="G1" s="143" t="s">
        <v>498</v>
      </c>
      <c r="H1" s="144"/>
      <c r="I1" s="145" t="s">
        <v>538</v>
      </c>
      <c r="J1" s="144"/>
      <c r="K1" s="3"/>
      <c r="L1" s="4"/>
      <c r="M1" s="4"/>
      <c r="N1" s="3"/>
      <c r="O1" s="4"/>
      <c r="P1" s="146" t="str">
        <f>+F2</f>
        <v>LOI-1191  01.12.23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544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LOI-1191  01.12.23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181</v>
      </c>
      <c r="C6" s="26">
        <v>6.38</v>
      </c>
      <c r="D6" s="74">
        <v>12</v>
      </c>
      <c r="E6" s="28">
        <v>15</v>
      </c>
      <c r="F6" s="16">
        <f>(C6*D6*E6/1000)</f>
        <v>1.1484000000000001</v>
      </c>
      <c r="G6" s="16" t="s">
        <v>389</v>
      </c>
      <c r="H6" s="18">
        <v>15</v>
      </c>
      <c r="I6" s="19">
        <f>(C6*D6*H6/1000)</f>
        <v>1.1484000000000001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15</v>
      </c>
      <c r="T6" s="19">
        <f>+I6+L6+R6+O6</f>
        <v>1.1484000000000001</v>
      </c>
      <c r="U6" s="21">
        <f>E6-S6</f>
        <v>0</v>
      </c>
      <c r="V6" s="19">
        <f>F6-T6</f>
        <v>0</v>
      </c>
    </row>
    <row r="7" spans="1:22">
      <c r="A7" s="26"/>
      <c r="B7" s="41" t="s">
        <v>139</v>
      </c>
      <c r="C7" s="26"/>
      <c r="D7" s="74"/>
      <c r="E7" s="31">
        <f>SUM(E6:E6)</f>
        <v>15</v>
      </c>
      <c r="F7" s="77">
        <f>SUM(F6:F6)</f>
        <v>1.1484000000000001</v>
      </c>
      <c r="G7" s="16" t="s">
        <v>615</v>
      </c>
      <c r="H7" s="31">
        <f>SUM(H6:H6)</f>
        <v>15</v>
      </c>
      <c r="I7" s="77">
        <f>SUM(I6:I6)</f>
        <v>1.1484000000000001</v>
      </c>
      <c r="J7" s="16"/>
      <c r="K7" s="31">
        <f>SUM(K6:K6)</f>
        <v>0</v>
      </c>
      <c r="L7" s="77">
        <f>SUM(L6:L6)</f>
        <v>0</v>
      </c>
      <c r="M7" s="16"/>
      <c r="N7" s="31">
        <f>SUM(N6:N6)</f>
        <v>0</v>
      </c>
      <c r="O7" s="77">
        <f>SUM(O6:O6)</f>
        <v>0</v>
      </c>
      <c r="P7" s="16"/>
      <c r="Q7" s="31">
        <f t="shared" ref="Q7:V7" si="0">SUM(Q6:Q6)</f>
        <v>0</v>
      </c>
      <c r="R7" s="77">
        <f t="shared" si="0"/>
        <v>0</v>
      </c>
      <c r="S7" s="31">
        <f t="shared" si="0"/>
        <v>15</v>
      </c>
      <c r="T7" s="77">
        <f t="shared" si="0"/>
        <v>1.1484000000000001</v>
      </c>
      <c r="U7" s="31">
        <f t="shared" si="0"/>
        <v>0</v>
      </c>
      <c r="V7" s="77">
        <f t="shared" si="0"/>
        <v>0</v>
      </c>
    </row>
    <row r="8" spans="1:22">
      <c r="A8" s="33"/>
      <c r="B8" s="33"/>
      <c r="C8" s="34"/>
      <c r="D8" s="34"/>
      <c r="E8" s="34">
        <f>SUM(E6:E7)/2</f>
        <v>15</v>
      </c>
      <c r="F8" s="35">
        <f>SUM(F6:F7)/2</f>
        <v>1.1484000000000001</v>
      </c>
      <c r="G8" s="26"/>
      <c r="H8" s="34">
        <f>SUM(H6:H7)/2</f>
        <v>15</v>
      </c>
      <c r="I8" s="35">
        <f>SUM(I6:I7)/2</f>
        <v>1.1484000000000001</v>
      </c>
      <c r="J8" s="26"/>
      <c r="K8" s="34">
        <f>SUM(K6:K7)/2</f>
        <v>0</v>
      </c>
      <c r="L8" s="35">
        <f>SUM(L6:L7)/2</f>
        <v>0</v>
      </c>
      <c r="M8" s="26"/>
      <c r="N8" s="34">
        <f>SUM(N6:N7)/2</f>
        <v>0</v>
      </c>
      <c r="O8" s="35">
        <f>SUM(O6:O7)/2</f>
        <v>0</v>
      </c>
      <c r="P8" s="26"/>
      <c r="Q8" s="34">
        <f t="shared" ref="Q8:V8" si="1">SUM(Q6:Q7)/2</f>
        <v>0</v>
      </c>
      <c r="R8" s="35">
        <f t="shared" si="1"/>
        <v>0</v>
      </c>
      <c r="S8" s="34">
        <f t="shared" si="1"/>
        <v>15</v>
      </c>
      <c r="T8" s="35">
        <f t="shared" si="1"/>
        <v>1.1484000000000001</v>
      </c>
      <c r="U8" s="34">
        <f t="shared" si="1"/>
        <v>0</v>
      </c>
      <c r="V8" s="35">
        <f t="shared" si="1"/>
        <v>0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V21"/>
  <sheetViews>
    <sheetView zoomScale="75" zoomScaleNormal="75" workbookViewId="0">
      <pane ySplit="5" topLeftCell="A6" activePane="bottomLeft" state="frozen"/>
      <selection activeCell="A4" sqref="A4"/>
      <selection pane="bottomLeft" activeCell="C15" sqref="C1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LOI-1331  15.12.23</v>
      </c>
      <c r="D1" s="1"/>
      <c r="E1" s="2"/>
      <c r="F1" s="2"/>
      <c r="G1" s="143" t="s">
        <v>568</v>
      </c>
      <c r="H1" s="144"/>
      <c r="I1" s="145" t="s">
        <v>569</v>
      </c>
      <c r="J1" s="144"/>
      <c r="K1" s="3"/>
      <c r="L1" s="4"/>
      <c r="M1" s="4"/>
      <c r="N1" s="3"/>
      <c r="O1" s="4"/>
      <c r="P1" s="146" t="str">
        <f>+F2</f>
        <v>LOI-1331  15.12.23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490</v>
      </c>
      <c r="B2" s="8"/>
      <c r="C2" s="9"/>
      <c r="D2" s="9"/>
      <c r="E2" s="10"/>
      <c r="F2" s="146" t="s">
        <v>567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LOI-1331  15.12.23</v>
      </c>
      <c r="V2" s="146"/>
    </row>
    <row r="3" spans="1:22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125</v>
      </c>
      <c r="C6" s="30">
        <v>27.3</v>
      </c>
      <c r="D6" s="27">
        <v>6.7</v>
      </c>
      <c r="E6" s="28">
        <v>3</v>
      </c>
      <c r="F6" s="16">
        <f>(C6*D6*E6/1000)</f>
        <v>0.54873000000000005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3</v>
      </c>
      <c r="V6" s="19">
        <f>F6-T6</f>
        <v>0.54873000000000005</v>
      </c>
    </row>
    <row r="7" spans="1:22">
      <c r="A7" s="36"/>
      <c r="B7" s="36"/>
      <c r="C7" s="37"/>
      <c r="D7" s="38"/>
      <c r="E7" s="31">
        <f>SUM(E6)</f>
        <v>3</v>
      </c>
      <c r="F7" s="38">
        <f>SUM(F6)</f>
        <v>0.54873000000000005</v>
      </c>
      <c r="G7" s="17"/>
      <c r="H7" s="31">
        <f>SUM(H6)</f>
        <v>0</v>
      </c>
      <c r="I7" s="38">
        <f>SUM(I6)</f>
        <v>0</v>
      </c>
      <c r="J7" s="16"/>
      <c r="K7" s="31">
        <f>SUM(K6)</f>
        <v>0</v>
      </c>
      <c r="L7" s="38">
        <f>SUM(L6)</f>
        <v>0</v>
      </c>
      <c r="M7" s="16"/>
      <c r="N7" s="31">
        <f>SUM(N6)</f>
        <v>0</v>
      </c>
      <c r="O7" s="38">
        <f>SUM(O6)</f>
        <v>0</v>
      </c>
      <c r="P7" s="16"/>
      <c r="Q7" s="31">
        <f t="shared" ref="Q7:V7" si="0">SUM(Q6)</f>
        <v>0</v>
      </c>
      <c r="R7" s="38">
        <f t="shared" si="0"/>
        <v>0</v>
      </c>
      <c r="S7" s="31">
        <f t="shared" si="0"/>
        <v>0</v>
      </c>
      <c r="T7" s="38">
        <f t="shared" si="0"/>
        <v>0</v>
      </c>
      <c r="U7" s="31">
        <f t="shared" si="0"/>
        <v>3</v>
      </c>
      <c r="V7" s="38">
        <f t="shared" si="0"/>
        <v>0.54873000000000005</v>
      </c>
    </row>
    <row r="8" spans="1:22">
      <c r="A8" s="26" t="s">
        <v>13</v>
      </c>
      <c r="B8" s="26" t="s">
        <v>128</v>
      </c>
      <c r="C8" s="30">
        <v>40.1</v>
      </c>
      <c r="D8" s="27">
        <v>8.1</v>
      </c>
      <c r="E8" s="28">
        <v>5</v>
      </c>
      <c r="F8" s="16">
        <f>(C8*D8*E8/1000)</f>
        <v>1.62405</v>
      </c>
      <c r="G8" s="17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5</v>
      </c>
      <c r="V8" s="19">
        <f>F8-T8</f>
        <v>1.62405</v>
      </c>
    </row>
    <row r="9" spans="1:22">
      <c r="A9" s="36"/>
      <c r="B9" s="36"/>
      <c r="C9" s="37"/>
      <c r="D9" s="38"/>
      <c r="E9" s="31">
        <f>SUM(E8)</f>
        <v>5</v>
      </c>
      <c r="F9" s="38">
        <f>SUM(F8)</f>
        <v>1.62405</v>
      </c>
      <c r="G9" s="17"/>
      <c r="H9" s="31">
        <f>SUM(H8)</f>
        <v>0</v>
      </c>
      <c r="I9" s="38">
        <f>SUM(I8)</f>
        <v>0</v>
      </c>
      <c r="J9" s="16"/>
      <c r="K9" s="31">
        <f>SUM(K8)</f>
        <v>0</v>
      </c>
      <c r="L9" s="38">
        <f>SUM(L8)</f>
        <v>0</v>
      </c>
      <c r="M9" s="16"/>
      <c r="N9" s="31">
        <f>SUM(N8)</f>
        <v>0</v>
      </c>
      <c r="O9" s="38">
        <f>SUM(O8)</f>
        <v>0</v>
      </c>
      <c r="P9" s="16"/>
      <c r="Q9" s="31">
        <f t="shared" ref="Q9:V9" si="1">SUM(Q8)</f>
        <v>0</v>
      </c>
      <c r="R9" s="38">
        <f t="shared" si="1"/>
        <v>0</v>
      </c>
      <c r="S9" s="31">
        <f t="shared" si="1"/>
        <v>0</v>
      </c>
      <c r="T9" s="38">
        <f t="shared" si="1"/>
        <v>0</v>
      </c>
      <c r="U9" s="31">
        <f t="shared" si="1"/>
        <v>5</v>
      </c>
      <c r="V9" s="38">
        <f t="shared" si="1"/>
        <v>1.62405</v>
      </c>
    </row>
    <row r="10" spans="1:22">
      <c r="A10" s="26" t="s">
        <v>13</v>
      </c>
      <c r="B10" s="26" t="s">
        <v>181</v>
      </c>
      <c r="C10" s="30">
        <v>6.3</v>
      </c>
      <c r="D10" s="27">
        <v>5</v>
      </c>
      <c r="E10" s="28">
        <v>2</v>
      </c>
      <c r="F10" s="16">
        <f>(C10*D10*E10/1000)</f>
        <v>6.3E-2</v>
      </c>
      <c r="G10" s="17"/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2</v>
      </c>
      <c r="V10" s="19">
        <f>F10-T10</f>
        <v>6.3E-2</v>
      </c>
    </row>
    <row r="11" spans="1:22">
      <c r="A11" s="26" t="s">
        <v>13</v>
      </c>
      <c r="B11" s="26" t="s">
        <v>181</v>
      </c>
      <c r="C11" s="30">
        <v>6.3</v>
      </c>
      <c r="D11" s="27">
        <v>10</v>
      </c>
      <c r="E11" s="28">
        <v>12</v>
      </c>
      <c r="F11" s="16">
        <f>(C11*D11*E11/1000)</f>
        <v>0.75600000000000001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0</v>
      </c>
      <c r="T11" s="19">
        <f>+I11+L11+R11+O11</f>
        <v>0</v>
      </c>
      <c r="U11" s="21">
        <f>E11-S11</f>
        <v>12</v>
      </c>
      <c r="V11" s="19">
        <f>F11-T11</f>
        <v>0.75600000000000001</v>
      </c>
    </row>
    <row r="12" spans="1:22">
      <c r="A12" s="36"/>
      <c r="B12" s="36"/>
      <c r="C12" s="37"/>
      <c r="D12" s="38"/>
      <c r="E12" s="31">
        <f t="shared" ref="E12:F12" si="2">SUM(E10:E11)</f>
        <v>14</v>
      </c>
      <c r="F12" s="38">
        <f t="shared" si="2"/>
        <v>0.81899999999999995</v>
      </c>
      <c r="G12" s="17"/>
      <c r="H12" s="31">
        <f t="shared" ref="H12" si="3">SUM(H10:H11)</f>
        <v>0</v>
      </c>
      <c r="I12" s="38">
        <f t="shared" ref="I12" si="4">SUM(I10:I11)</f>
        <v>0</v>
      </c>
      <c r="J12" s="16"/>
      <c r="K12" s="31">
        <f t="shared" ref="K12" si="5">SUM(K10:K11)</f>
        <v>0</v>
      </c>
      <c r="L12" s="38">
        <f t="shared" ref="L12" si="6">SUM(L10:L11)</f>
        <v>0</v>
      </c>
      <c r="M12" s="16"/>
      <c r="N12" s="31">
        <f t="shared" ref="N12" si="7">SUM(N10:N11)</f>
        <v>0</v>
      </c>
      <c r="O12" s="38">
        <f t="shared" ref="O12" si="8">SUM(O10:O11)</f>
        <v>0</v>
      </c>
      <c r="P12" s="16"/>
      <c r="Q12" s="31">
        <f t="shared" ref="Q12" si="9">SUM(Q10:Q11)</f>
        <v>0</v>
      </c>
      <c r="R12" s="38">
        <f t="shared" ref="R12" si="10">SUM(R10:R11)</f>
        <v>0</v>
      </c>
      <c r="S12" s="31">
        <f t="shared" ref="S12" si="11">SUM(S10:S11)</f>
        <v>0</v>
      </c>
      <c r="T12" s="38">
        <f t="shared" ref="T12" si="12">SUM(T10:T11)</f>
        <v>0</v>
      </c>
      <c r="U12" s="31">
        <f t="shared" ref="U12" si="13">SUM(U10:U11)</f>
        <v>14</v>
      </c>
      <c r="V12" s="38">
        <f t="shared" ref="V12" si="14">SUM(V10:V11)</f>
        <v>0.81899999999999995</v>
      </c>
    </row>
    <row r="13" spans="1:22">
      <c r="A13" s="26" t="s">
        <v>13</v>
      </c>
      <c r="B13" s="26" t="s">
        <v>58</v>
      </c>
      <c r="C13" s="30">
        <v>7.3</v>
      </c>
      <c r="D13" s="27">
        <v>10</v>
      </c>
      <c r="E13" s="28">
        <v>5</v>
      </c>
      <c r="F13" s="16">
        <f>(C13*D13*E13/1000)</f>
        <v>0.36499999999999999</v>
      </c>
      <c r="G13" s="17"/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0</v>
      </c>
      <c r="T13" s="19">
        <f>+I13+L13+R13+O13</f>
        <v>0</v>
      </c>
      <c r="U13" s="21">
        <f>E13-S13</f>
        <v>5</v>
      </c>
      <c r="V13" s="19">
        <f>F13-T13</f>
        <v>0.36499999999999999</v>
      </c>
    </row>
    <row r="14" spans="1:22">
      <c r="A14" s="36"/>
      <c r="B14" s="36"/>
      <c r="C14" s="37"/>
      <c r="D14" s="38"/>
      <c r="E14" s="31">
        <f>SUM(E13)</f>
        <v>5</v>
      </c>
      <c r="F14" s="38">
        <f>SUM(F13)</f>
        <v>0.36499999999999999</v>
      </c>
      <c r="G14" s="17"/>
      <c r="H14" s="31">
        <f>SUM(H13)</f>
        <v>0</v>
      </c>
      <c r="I14" s="38">
        <f>SUM(I13)</f>
        <v>0</v>
      </c>
      <c r="J14" s="16"/>
      <c r="K14" s="31">
        <f>SUM(K13)</f>
        <v>0</v>
      </c>
      <c r="L14" s="38">
        <f>SUM(L13)</f>
        <v>0</v>
      </c>
      <c r="M14" s="16"/>
      <c r="N14" s="31">
        <f>SUM(N13)</f>
        <v>0</v>
      </c>
      <c r="O14" s="38">
        <f>SUM(O13)</f>
        <v>0</v>
      </c>
      <c r="P14" s="16"/>
      <c r="Q14" s="31">
        <f t="shared" ref="Q14:V14" si="15">SUM(Q13)</f>
        <v>0</v>
      </c>
      <c r="R14" s="38">
        <f t="shared" si="15"/>
        <v>0</v>
      </c>
      <c r="S14" s="31">
        <f t="shared" si="15"/>
        <v>0</v>
      </c>
      <c r="T14" s="38">
        <f t="shared" si="15"/>
        <v>0</v>
      </c>
      <c r="U14" s="31">
        <f t="shared" si="15"/>
        <v>5</v>
      </c>
      <c r="V14" s="38">
        <f t="shared" si="15"/>
        <v>0.36499999999999999</v>
      </c>
    </row>
    <row r="15" spans="1:22">
      <c r="A15" s="26" t="s">
        <v>14</v>
      </c>
      <c r="B15" s="26" t="s">
        <v>174</v>
      </c>
      <c r="C15" s="30">
        <v>5.3</v>
      </c>
      <c r="D15" s="27">
        <v>10</v>
      </c>
      <c r="E15" s="28">
        <v>7</v>
      </c>
      <c r="F15" s="16">
        <f>(C15*D15*E15/1000)</f>
        <v>0.371</v>
      </c>
      <c r="G15" s="17"/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7</v>
      </c>
      <c r="V15" s="19">
        <f>F15-T15</f>
        <v>0.371</v>
      </c>
    </row>
    <row r="16" spans="1:22">
      <c r="A16" s="36"/>
      <c r="B16" s="36"/>
      <c r="C16" s="37"/>
      <c r="D16" s="38"/>
      <c r="E16" s="31">
        <f>SUM(E15)</f>
        <v>7</v>
      </c>
      <c r="F16" s="38">
        <f>SUM(F15)</f>
        <v>0.371</v>
      </c>
      <c r="G16" s="17"/>
      <c r="H16" s="31">
        <f>SUM(H15)</f>
        <v>0</v>
      </c>
      <c r="I16" s="38">
        <f>SUM(I15)</f>
        <v>0</v>
      </c>
      <c r="J16" s="16"/>
      <c r="K16" s="31">
        <f>SUM(K15)</f>
        <v>0</v>
      </c>
      <c r="L16" s="38">
        <f>SUM(L15)</f>
        <v>0</v>
      </c>
      <c r="M16" s="16"/>
      <c r="N16" s="31">
        <f>SUM(N15)</f>
        <v>0</v>
      </c>
      <c r="O16" s="38">
        <f>SUM(O15)</f>
        <v>0</v>
      </c>
      <c r="P16" s="16"/>
      <c r="Q16" s="31">
        <f t="shared" ref="Q16:V16" si="16">SUM(Q15)</f>
        <v>0</v>
      </c>
      <c r="R16" s="38">
        <f t="shared" si="16"/>
        <v>0</v>
      </c>
      <c r="S16" s="31">
        <f t="shared" si="16"/>
        <v>0</v>
      </c>
      <c r="T16" s="38">
        <f t="shared" si="16"/>
        <v>0</v>
      </c>
      <c r="U16" s="31">
        <f t="shared" si="16"/>
        <v>7</v>
      </c>
      <c r="V16" s="38">
        <f t="shared" si="16"/>
        <v>0.371</v>
      </c>
    </row>
    <row r="17" spans="1:22">
      <c r="A17" s="26" t="s">
        <v>14</v>
      </c>
      <c r="B17" s="26" t="s">
        <v>181</v>
      </c>
      <c r="C17" s="30">
        <v>6.3</v>
      </c>
      <c r="D17" s="27">
        <v>6.6</v>
      </c>
      <c r="E17" s="28">
        <v>4</v>
      </c>
      <c r="F17" s="16">
        <f>(C17*D17*E17/1000)</f>
        <v>0.16632</v>
      </c>
      <c r="G17" s="17"/>
      <c r="H17" s="18"/>
      <c r="I17" s="19">
        <f>(C17*D17*H17/1000)</f>
        <v>0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0</v>
      </c>
      <c r="T17" s="19">
        <f>+I17+L17+R17+O17</f>
        <v>0</v>
      </c>
      <c r="U17" s="21">
        <f>E17-S17</f>
        <v>4</v>
      </c>
      <c r="V17" s="19">
        <f>F17-T17</f>
        <v>0.16632</v>
      </c>
    </row>
    <row r="18" spans="1:22">
      <c r="A18" s="36"/>
      <c r="B18" s="36"/>
      <c r="C18" s="37"/>
      <c r="D18" s="38"/>
      <c r="E18" s="31">
        <f>SUM(E17)</f>
        <v>4</v>
      </c>
      <c r="F18" s="38">
        <f>SUM(F17)</f>
        <v>0.16632</v>
      </c>
      <c r="G18" s="17"/>
      <c r="H18" s="31">
        <f>SUM(H17)</f>
        <v>0</v>
      </c>
      <c r="I18" s="38">
        <f>SUM(I17)</f>
        <v>0</v>
      </c>
      <c r="J18" s="16"/>
      <c r="K18" s="31">
        <f>SUM(K17)</f>
        <v>0</v>
      </c>
      <c r="L18" s="38">
        <f>SUM(L17)</f>
        <v>0</v>
      </c>
      <c r="M18" s="16"/>
      <c r="N18" s="31">
        <f>SUM(N17)</f>
        <v>0</v>
      </c>
      <c r="O18" s="38">
        <f>SUM(O17)</f>
        <v>0</v>
      </c>
      <c r="P18" s="16"/>
      <c r="Q18" s="31">
        <f t="shared" ref="Q18:V18" si="17">SUM(Q17)</f>
        <v>0</v>
      </c>
      <c r="R18" s="38">
        <f t="shared" si="17"/>
        <v>0</v>
      </c>
      <c r="S18" s="31">
        <f t="shared" si="17"/>
        <v>0</v>
      </c>
      <c r="T18" s="38">
        <f t="shared" si="17"/>
        <v>0</v>
      </c>
      <c r="U18" s="31">
        <f t="shared" si="17"/>
        <v>4</v>
      </c>
      <c r="V18" s="38">
        <f t="shared" si="17"/>
        <v>0.16632</v>
      </c>
    </row>
    <row r="19" spans="1:22">
      <c r="A19" s="26" t="s">
        <v>14</v>
      </c>
      <c r="B19" s="26" t="s">
        <v>58</v>
      </c>
      <c r="C19" s="30">
        <v>7.36</v>
      </c>
      <c r="D19" s="27">
        <v>10.5</v>
      </c>
      <c r="E19" s="28">
        <v>11</v>
      </c>
      <c r="F19" s="16">
        <f>(C19*D19*E19/1000)</f>
        <v>0.85008000000000006</v>
      </c>
      <c r="G19" s="17"/>
      <c r="H19" s="18"/>
      <c r="I19" s="19">
        <f>(C19*D19*H19/1000)</f>
        <v>0</v>
      </c>
      <c r="J19" s="16"/>
      <c r="K19" s="18"/>
      <c r="L19" s="19">
        <f>(C19*D19*K19/1000)</f>
        <v>0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>+H19+K19+Q19+N19</f>
        <v>0</v>
      </c>
      <c r="T19" s="19">
        <f>+I19+L19+R19+O19</f>
        <v>0</v>
      </c>
      <c r="U19" s="21">
        <f>E19-S19</f>
        <v>11</v>
      </c>
      <c r="V19" s="19">
        <f>F19-T19</f>
        <v>0.85008000000000006</v>
      </c>
    </row>
    <row r="20" spans="1:22">
      <c r="A20" s="36"/>
      <c r="B20" s="36"/>
      <c r="C20" s="37"/>
      <c r="D20" s="38"/>
      <c r="E20" s="31">
        <f>SUM(E19)</f>
        <v>11</v>
      </c>
      <c r="F20" s="38">
        <f>SUM(F19)</f>
        <v>0.85008000000000006</v>
      </c>
      <c r="G20" s="17"/>
      <c r="H20" s="31">
        <f>SUM(H19)</f>
        <v>0</v>
      </c>
      <c r="I20" s="38">
        <f>SUM(I19)</f>
        <v>0</v>
      </c>
      <c r="J20" s="16"/>
      <c r="K20" s="31">
        <f>SUM(K19)</f>
        <v>0</v>
      </c>
      <c r="L20" s="38">
        <f>SUM(L19)</f>
        <v>0</v>
      </c>
      <c r="M20" s="16"/>
      <c r="N20" s="31">
        <f>SUM(N19)</f>
        <v>0</v>
      </c>
      <c r="O20" s="38">
        <f>SUM(O19)</f>
        <v>0</v>
      </c>
      <c r="P20" s="16"/>
      <c r="Q20" s="31">
        <f t="shared" ref="Q20:V20" si="18">SUM(Q19)</f>
        <v>0</v>
      </c>
      <c r="R20" s="38">
        <f t="shared" si="18"/>
        <v>0</v>
      </c>
      <c r="S20" s="31">
        <f t="shared" si="18"/>
        <v>0</v>
      </c>
      <c r="T20" s="38">
        <f t="shared" si="18"/>
        <v>0</v>
      </c>
      <c r="U20" s="31">
        <f t="shared" si="18"/>
        <v>11</v>
      </c>
      <c r="V20" s="38">
        <f t="shared" si="18"/>
        <v>0.85008000000000006</v>
      </c>
    </row>
    <row r="21" spans="1:22">
      <c r="A21" s="33"/>
      <c r="B21" s="33"/>
      <c r="C21" s="70"/>
      <c r="D21" s="34"/>
      <c r="E21" s="34">
        <f>SUM(E6:E20)/2</f>
        <v>49</v>
      </c>
      <c r="F21" s="35">
        <f>SUM(F6:F20)/2</f>
        <v>4.744180000000001</v>
      </c>
      <c r="H21" s="34">
        <f>SUM(H6:H20)/2</f>
        <v>0</v>
      </c>
      <c r="I21" s="35">
        <f>SUM(I6:I20)/2</f>
        <v>0</v>
      </c>
      <c r="K21" s="34">
        <f>SUM(K6:K20)/2</f>
        <v>0</v>
      </c>
      <c r="L21" s="35">
        <f>SUM(L6:L20)/2</f>
        <v>0</v>
      </c>
      <c r="N21" s="34">
        <f>SUM(N6:N20)/2</f>
        <v>0</v>
      </c>
      <c r="O21" s="35">
        <f>SUM(O6:O20)/2</f>
        <v>0</v>
      </c>
      <c r="Q21" s="34">
        <f t="shared" ref="Q21:V21" si="19">SUM(Q6:Q20)/2</f>
        <v>0</v>
      </c>
      <c r="R21" s="35">
        <f t="shared" si="19"/>
        <v>0</v>
      </c>
      <c r="S21" s="34">
        <f t="shared" si="19"/>
        <v>0</v>
      </c>
      <c r="T21" s="35">
        <f t="shared" si="19"/>
        <v>0</v>
      </c>
      <c r="U21" s="34">
        <f t="shared" si="19"/>
        <v>49</v>
      </c>
      <c r="V21" s="35">
        <f t="shared" si="19"/>
        <v>4.744180000000001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V10"/>
  <sheetViews>
    <sheetView zoomScale="75" zoomScaleNormal="75" workbookViewId="0">
      <pane ySplit="5" topLeftCell="A6" activePane="bottomLeft" state="frozen"/>
      <selection activeCell="A4" sqref="A4"/>
      <selection pane="bottomLeft" activeCell="F10" sqref="F1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LOI-1332  15.12.23</v>
      </c>
      <c r="D1" s="1"/>
      <c r="E1" s="2"/>
      <c r="F1" s="2"/>
      <c r="G1" s="143" t="s">
        <v>568</v>
      </c>
      <c r="H1" s="144"/>
      <c r="I1" s="145" t="s">
        <v>569</v>
      </c>
      <c r="J1" s="144"/>
      <c r="K1" s="3"/>
      <c r="L1" s="4"/>
      <c r="M1" s="4"/>
      <c r="N1" s="3"/>
      <c r="O1" s="4"/>
      <c r="P1" s="146" t="str">
        <f>+F2</f>
        <v>LOI-1332  15.12.23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571</v>
      </c>
      <c r="B2" s="8"/>
      <c r="C2" s="9"/>
      <c r="D2" s="9"/>
      <c r="E2" s="10"/>
      <c r="F2" s="146" t="s">
        <v>570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LOI-1332  15.12.23</v>
      </c>
      <c r="V2" s="146"/>
    </row>
    <row r="3" spans="1:22">
      <c r="A3" s="12" t="s">
        <v>572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52</v>
      </c>
      <c r="C6" s="30">
        <v>21.7</v>
      </c>
      <c r="D6" s="27">
        <v>6</v>
      </c>
      <c r="E6" s="28">
        <v>2</v>
      </c>
      <c r="F6" s="16">
        <f>(C6*D6*E6/1000)</f>
        <v>0.26039999999999996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2</v>
      </c>
      <c r="V6" s="19">
        <f>F6-T6</f>
        <v>0.26039999999999996</v>
      </c>
    </row>
    <row r="7" spans="1:22">
      <c r="A7" s="36"/>
      <c r="B7" s="36"/>
      <c r="C7" s="37"/>
      <c r="D7" s="38"/>
      <c r="E7" s="31">
        <f>SUM(E6)</f>
        <v>2</v>
      </c>
      <c r="F7" s="38">
        <f>SUM(F6)</f>
        <v>0.26039999999999996</v>
      </c>
      <c r="G7" s="17"/>
      <c r="H7" s="31">
        <f>SUM(H6)</f>
        <v>0</v>
      </c>
      <c r="I7" s="38">
        <f>SUM(I6)</f>
        <v>0</v>
      </c>
      <c r="J7" s="16"/>
      <c r="K7" s="31">
        <f>SUM(K6)</f>
        <v>0</v>
      </c>
      <c r="L7" s="38">
        <f>SUM(L6)</f>
        <v>0</v>
      </c>
      <c r="M7" s="16"/>
      <c r="N7" s="31">
        <f>SUM(N6)</f>
        <v>0</v>
      </c>
      <c r="O7" s="38">
        <f>SUM(O6)</f>
        <v>0</v>
      </c>
      <c r="P7" s="16"/>
      <c r="Q7" s="31">
        <f t="shared" ref="Q7:V7" si="0">SUM(Q6)</f>
        <v>0</v>
      </c>
      <c r="R7" s="38">
        <f t="shared" si="0"/>
        <v>0</v>
      </c>
      <c r="S7" s="31">
        <f t="shared" si="0"/>
        <v>0</v>
      </c>
      <c r="T7" s="38">
        <f t="shared" si="0"/>
        <v>0</v>
      </c>
      <c r="U7" s="31">
        <f t="shared" si="0"/>
        <v>2</v>
      </c>
      <c r="V7" s="38">
        <f t="shared" si="0"/>
        <v>0.26039999999999996</v>
      </c>
    </row>
    <row r="8" spans="1:22">
      <c r="A8" s="26" t="s">
        <v>13</v>
      </c>
      <c r="B8" s="26" t="s">
        <v>124</v>
      </c>
      <c r="C8" s="30">
        <v>22.93</v>
      </c>
      <c r="D8" s="27">
        <v>6</v>
      </c>
      <c r="E8" s="28">
        <v>2</v>
      </c>
      <c r="F8" s="16">
        <f>(C8*D8*E8/1000)</f>
        <v>0.27515999999999996</v>
      </c>
      <c r="G8" s="17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2</v>
      </c>
      <c r="V8" s="19">
        <f>F8-T8</f>
        <v>0.27515999999999996</v>
      </c>
    </row>
    <row r="9" spans="1:22">
      <c r="A9" s="36"/>
      <c r="B9" s="36"/>
      <c r="C9" s="37"/>
      <c r="D9" s="38"/>
      <c r="E9" s="31">
        <f>SUM(E8)</f>
        <v>2</v>
      </c>
      <c r="F9" s="38">
        <f>SUM(F8)</f>
        <v>0.27515999999999996</v>
      </c>
      <c r="G9" s="17"/>
      <c r="H9" s="31">
        <f>SUM(H8)</f>
        <v>0</v>
      </c>
      <c r="I9" s="38">
        <f>SUM(I8)</f>
        <v>0</v>
      </c>
      <c r="J9" s="16"/>
      <c r="K9" s="31">
        <f>SUM(K8)</f>
        <v>0</v>
      </c>
      <c r="L9" s="38">
        <f>SUM(L8)</f>
        <v>0</v>
      </c>
      <c r="M9" s="16"/>
      <c r="N9" s="31">
        <f>SUM(N8)</f>
        <v>0</v>
      </c>
      <c r="O9" s="38">
        <f>SUM(O8)</f>
        <v>0</v>
      </c>
      <c r="P9" s="16"/>
      <c r="Q9" s="31">
        <f t="shared" ref="Q9:V9" si="1">SUM(Q8)</f>
        <v>0</v>
      </c>
      <c r="R9" s="38">
        <f t="shared" si="1"/>
        <v>0</v>
      </c>
      <c r="S9" s="31">
        <f t="shared" si="1"/>
        <v>0</v>
      </c>
      <c r="T9" s="38">
        <f t="shared" si="1"/>
        <v>0</v>
      </c>
      <c r="U9" s="31">
        <f t="shared" si="1"/>
        <v>2</v>
      </c>
      <c r="V9" s="38">
        <f t="shared" si="1"/>
        <v>0.27515999999999996</v>
      </c>
    </row>
    <row r="10" spans="1:22">
      <c r="A10" s="33"/>
      <c r="B10" s="33"/>
      <c r="C10" s="70"/>
      <c r="D10" s="34"/>
      <c r="E10" s="34">
        <f>SUM(E6:E9)/2</f>
        <v>4</v>
      </c>
      <c r="F10" s="35">
        <f>SUM(F6:F9)/2</f>
        <v>0.53555999999999993</v>
      </c>
      <c r="H10" s="34">
        <f>SUM(H6:H9)/2</f>
        <v>0</v>
      </c>
      <c r="I10" s="35">
        <f>SUM(I6:I9)/2</f>
        <v>0</v>
      </c>
      <c r="K10" s="34">
        <f>SUM(K6:K9)/2</f>
        <v>0</v>
      </c>
      <c r="L10" s="35">
        <f>SUM(L6:L9)/2</f>
        <v>0</v>
      </c>
      <c r="N10" s="34">
        <f>SUM(N6:N9)/2</f>
        <v>0</v>
      </c>
      <c r="O10" s="35">
        <f>SUM(O6:O9)/2</f>
        <v>0</v>
      </c>
      <c r="Q10" s="34">
        <f t="shared" ref="Q10:V10" si="2">SUM(Q6:Q9)/2</f>
        <v>0</v>
      </c>
      <c r="R10" s="35">
        <f t="shared" si="2"/>
        <v>0</v>
      </c>
      <c r="S10" s="34">
        <f t="shared" si="2"/>
        <v>0</v>
      </c>
      <c r="T10" s="35">
        <f t="shared" si="2"/>
        <v>0</v>
      </c>
      <c r="U10" s="34">
        <f t="shared" si="2"/>
        <v>4</v>
      </c>
      <c r="V10" s="35">
        <f t="shared" si="2"/>
        <v>0.53555999999999993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V29"/>
  <sheetViews>
    <sheetView tabSelected="1" zoomScale="75" zoomScaleNormal="75" workbookViewId="0">
      <pane ySplit="5" topLeftCell="A9" activePane="bottomLeft" state="frozen"/>
      <selection pane="bottomLeft" activeCell="E15" sqref="E1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LOI-1333  15.12.23</v>
      </c>
      <c r="D1" s="1"/>
      <c r="E1" s="2"/>
      <c r="F1" s="2"/>
      <c r="G1" s="143" t="s">
        <v>574</v>
      </c>
      <c r="H1" s="144"/>
      <c r="I1" s="145" t="s">
        <v>575</v>
      </c>
      <c r="J1" s="144"/>
      <c r="K1" s="3"/>
      <c r="L1" s="4"/>
      <c r="M1" s="4"/>
      <c r="N1" s="3"/>
      <c r="O1" s="4"/>
      <c r="P1" s="146" t="str">
        <f>+F2</f>
        <v>LOI-1333  15.12.23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536</v>
      </c>
      <c r="B2" s="8"/>
      <c r="C2" s="9"/>
      <c r="D2" s="9"/>
      <c r="E2" s="10"/>
      <c r="F2" s="146" t="s">
        <v>573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LOI-1333  15.12.23</v>
      </c>
      <c r="V2" s="146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30">
        <v>15</v>
      </c>
      <c r="D6" s="27">
        <v>6</v>
      </c>
      <c r="E6" s="28">
        <v>1</v>
      </c>
      <c r="F6" s="16">
        <f t="shared" ref="F6" si="0">(C6*D6*E6/1000)</f>
        <v>0.09</v>
      </c>
      <c r="G6" s="17"/>
      <c r="H6" s="18"/>
      <c r="I6" s="19">
        <f t="shared" ref="I6" si="1">(C6*D6*H6/1000)</f>
        <v>0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16"/>
      <c r="Q6" s="18"/>
      <c r="R6" s="19">
        <f t="shared" ref="R6" si="4">(C6*D6*Q6/1000)</f>
        <v>0</v>
      </c>
      <c r="S6" s="20">
        <f t="shared" ref="S6:T6" si="5">+H6+K6+Q6+N6</f>
        <v>0</v>
      </c>
      <c r="T6" s="19">
        <f t="shared" si="5"/>
        <v>0</v>
      </c>
      <c r="U6" s="21">
        <f t="shared" ref="U6:V6" si="6">E6-S6</f>
        <v>1</v>
      </c>
      <c r="V6" s="19">
        <f t="shared" si="6"/>
        <v>0.09</v>
      </c>
    </row>
    <row r="7" spans="1:22">
      <c r="A7" s="36"/>
      <c r="B7" s="36"/>
      <c r="C7" s="37"/>
      <c r="D7" s="38"/>
      <c r="E7" s="31">
        <f>SUM(E6:E6)</f>
        <v>1</v>
      </c>
      <c r="F7" s="38">
        <f>SUM(F6:F6)</f>
        <v>0.09</v>
      </c>
      <c r="G7" s="17"/>
      <c r="H7" s="31">
        <f>SUM(H6:H6)</f>
        <v>0</v>
      </c>
      <c r="I7" s="38">
        <f>SUM(I6:I6)</f>
        <v>0</v>
      </c>
      <c r="J7" s="16"/>
      <c r="K7" s="31">
        <f>SUM(K6:K6)</f>
        <v>0</v>
      </c>
      <c r="L7" s="38">
        <f>SUM(L6:L6)</f>
        <v>0</v>
      </c>
      <c r="M7" s="16"/>
      <c r="N7" s="31">
        <f>SUM(N6:N6)</f>
        <v>0</v>
      </c>
      <c r="O7" s="38">
        <f>SUM(O6:O6)</f>
        <v>0</v>
      </c>
      <c r="P7" s="16"/>
      <c r="Q7" s="31">
        <f t="shared" ref="Q7:V7" si="7">SUM(Q6:Q6)</f>
        <v>0</v>
      </c>
      <c r="R7" s="38">
        <f t="shared" si="7"/>
        <v>0</v>
      </c>
      <c r="S7" s="31">
        <f t="shared" si="7"/>
        <v>0</v>
      </c>
      <c r="T7" s="38">
        <f t="shared" si="7"/>
        <v>0</v>
      </c>
      <c r="U7" s="31">
        <f t="shared" si="7"/>
        <v>1</v>
      </c>
      <c r="V7" s="38">
        <f t="shared" si="7"/>
        <v>0.09</v>
      </c>
    </row>
    <row r="8" spans="1:22">
      <c r="A8" s="26" t="s">
        <v>13</v>
      </c>
      <c r="B8" s="26" t="s">
        <v>25</v>
      </c>
      <c r="C8" s="30">
        <v>13.4</v>
      </c>
      <c r="D8" s="27">
        <v>6</v>
      </c>
      <c r="E8" s="28">
        <v>2</v>
      </c>
      <c r="F8" s="16">
        <f t="shared" ref="F8" si="8">(C8*D8*E8/1000)</f>
        <v>0.1608</v>
      </c>
      <c r="G8" s="17"/>
      <c r="H8" s="18"/>
      <c r="I8" s="19">
        <f t="shared" ref="I8" si="9">(C8*D8*H8/1000)</f>
        <v>0</v>
      </c>
      <c r="J8" s="16"/>
      <c r="K8" s="18"/>
      <c r="L8" s="19">
        <f t="shared" ref="L8" si="10">(C8*D8*K8/1000)</f>
        <v>0</v>
      </c>
      <c r="M8" s="16"/>
      <c r="N8" s="18"/>
      <c r="O8" s="19">
        <f t="shared" ref="O8" si="11">(C8*D8*N8/1000)</f>
        <v>0</v>
      </c>
      <c r="P8" s="16"/>
      <c r="Q8" s="18"/>
      <c r="R8" s="19">
        <f t="shared" ref="R8" si="12">(C8*D8*Q8/1000)</f>
        <v>0</v>
      </c>
      <c r="S8" s="20">
        <f t="shared" ref="S8" si="13">+H8+K8+Q8+N8</f>
        <v>0</v>
      </c>
      <c r="T8" s="19">
        <f t="shared" ref="T8" si="14">+I8+L8+R8+O8</f>
        <v>0</v>
      </c>
      <c r="U8" s="21">
        <f t="shared" ref="U8" si="15">E8-S8</f>
        <v>2</v>
      </c>
      <c r="V8" s="19">
        <f t="shared" ref="V8" si="16">F8-T8</f>
        <v>0.1608</v>
      </c>
    </row>
    <row r="9" spans="1:22">
      <c r="A9" s="36"/>
      <c r="B9" s="36"/>
      <c r="C9" s="37"/>
      <c r="D9" s="38"/>
      <c r="E9" s="31">
        <f t="shared" ref="E9:F9" si="17">SUM(E8)</f>
        <v>2</v>
      </c>
      <c r="F9" s="38">
        <f t="shared" si="17"/>
        <v>0.1608</v>
      </c>
      <c r="G9" s="16"/>
      <c r="H9" s="31">
        <f t="shared" ref="H9:I9" si="18">SUM(H8)</f>
        <v>0</v>
      </c>
      <c r="I9" s="38">
        <f t="shared" si="18"/>
        <v>0</v>
      </c>
      <c r="J9" s="16"/>
      <c r="K9" s="31">
        <f t="shared" ref="K9:L9" si="19">SUM(K8)</f>
        <v>0</v>
      </c>
      <c r="L9" s="38">
        <f t="shared" si="19"/>
        <v>0</v>
      </c>
      <c r="M9" s="16"/>
      <c r="N9" s="31">
        <f t="shared" ref="N9:O9" si="20">SUM(N8)</f>
        <v>0</v>
      </c>
      <c r="O9" s="38">
        <f t="shared" si="20"/>
        <v>0</v>
      </c>
      <c r="P9" s="26"/>
      <c r="Q9" s="31">
        <f t="shared" ref="Q9:V9" si="21">SUM(Q8)</f>
        <v>0</v>
      </c>
      <c r="R9" s="38">
        <f t="shared" si="21"/>
        <v>0</v>
      </c>
      <c r="S9" s="31">
        <f t="shared" si="21"/>
        <v>0</v>
      </c>
      <c r="T9" s="38">
        <f t="shared" si="21"/>
        <v>0</v>
      </c>
      <c r="U9" s="31">
        <f t="shared" si="21"/>
        <v>2</v>
      </c>
      <c r="V9" s="38">
        <f t="shared" si="21"/>
        <v>0.1608</v>
      </c>
    </row>
    <row r="10" spans="1:22">
      <c r="A10" s="26" t="s">
        <v>13</v>
      </c>
      <c r="B10" s="26" t="s">
        <v>53</v>
      </c>
      <c r="C10" s="30">
        <v>23.5</v>
      </c>
      <c r="D10" s="27">
        <v>6</v>
      </c>
      <c r="E10" s="28">
        <v>1</v>
      </c>
      <c r="F10" s="16">
        <f t="shared" ref="F10" si="22">(C10*D10*E10/1000)</f>
        <v>0.14099999999999999</v>
      </c>
      <c r="G10" s="17"/>
      <c r="H10" s="18"/>
      <c r="I10" s="19">
        <f t="shared" ref="I10" si="23">(C10*D10*H10/1000)</f>
        <v>0</v>
      </c>
      <c r="J10" s="16"/>
      <c r="K10" s="18"/>
      <c r="L10" s="19">
        <f t="shared" ref="L10" si="24">(C10*D10*K10/1000)</f>
        <v>0</v>
      </c>
      <c r="M10" s="16"/>
      <c r="N10" s="18"/>
      <c r="O10" s="19">
        <f t="shared" ref="O10" si="25">(C10*D10*N10/1000)</f>
        <v>0</v>
      </c>
      <c r="P10" s="16"/>
      <c r="Q10" s="18"/>
      <c r="R10" s="19">
        <f t="shared" ref="R10" si="26">(C10*D10*Q10/1000)</f>
        <v>0</v>
      </c>
      <c r="S10" s="20">
        <f t="shared" ref="S10" si="27">+H10+K10+Q10+N10</f>
        <v>0</v>
      </c>
      <c r="T10" s="19">
        <f t="shared" ref="T10" si="28">+I10+L10+R10+O10</f>
        <v>0</v>
      </c>
      <c r="U10" s="21">
        <f t="shared" ref="U10" si="29">E10-S10</f>
        <v>1</v>
      </c>
      <c r="V10" s="19">
        <f t="shared" ref="V10" si="30">F10-T10</f>
        <v>0.14099999999999999</v>
      </c>
    </row>
    <row r="11" spans="1:22">
      <c r="A11" s="36"/>
      <c r="B11" s="36"/>
      <c r="C11" s="37"/>
      <c r="D11" s="38"/>
      <c r="E11" s="31">
        <f>SUM(E10:E10)</f>
        <v>1</v>
      </c>
      <c r="F11" s="38">
        <f>SUM(F10:F10)</f>
        <v>0.14099999999999999</v>
      </c>
      <c r="G11" s="17"/>
      <c r="H11" s="31">
        <f>SUM(H10:H10)</f>
        <v>0</v>
      </c>
      <c r="I11" s="38">
        <f>SUM(I10:I10)</f>
        <v>0</v>
      </c>
      <c r="J11" s="16"/>
      <c r="K11" s="31">
        <f>SUM(K10:K10)</f>
        <v>0</v>
      </c>
      <c r="L11" s="38">
        <f>SUM(L10:L10)</f>
        <v>0</v>
      </c>
      <c r="M11" s="16"/>
      <c r="N11" s="31">
        <f>SUM(N10:N10)</f>
        <v>0</v>
      </c>
      <c r="O11" s="38">
        <f>SUM(O10:O10)</f>
        <v>0</v>
      </c>
      <c r="P11" s="16"/>
      <c r="Q11" s="31">
        <f t="shared" ref="Q11:V11" si="31">SUM(Q10:Q10)</f>
        <v>0</v>
      </c>
      <c r="R11" s="38">
        <f t="shared" si="31"/>
        <v>0</v>
      </c>
      <c r="S11" s="31">
        <f t="shared" si="31"/>
        <v>0</v>
      </c>
      <c r="T11" s="38">
        <f t="shared" si="31"/>
        <v>0</v>
      </c>
      <c r="U11" s="31">
        <f t="shared" si="31"/>
        <v>1</v>
      </c>
      <c r="V11" s="38">
        <f t="shared" si="31"/>
        <v>0.14099999999999999</v>
      </c>
    </row>
    <row r="12" spans="1:22">
      <c r="A12" s="26" t="s">
        <v>13</v>
      </c>
      <c r="B12" s="26" t="s">
        <v>58</v>
      </c>
      <c r="C12" s="30">
        <v>7.3</v>
      </c>
      <c r="D12" s="27">
        <v>10</v>
      </c>
      <c r="E12" s="28">
        <v>7</v>
      </c>
      <c r="F12" s="16">
        <f t="shared" ref="F12" si="32">(C12*D12*E12/1000)</f>
        <v>0.51100000000000001</v>
      </c>
      <c r="G12" s="17"/>
      <c r="H12" s="18"/>
      <c r="I12" s="19">
        <f t="shared" ref="I12" si="33">(C12*D12*H12/1000)</f>
        <v>0</v>
      </c>
      <c r="J12" s="16"/>
      <c r="K12" s="18"/>
      <c r="L12" s="19">
        <f t="shared" ref="L12" si="34">(C12*D12*K12/1000)</f>
        <v>0</v>
      </c>
      <c r="M12" s="16"/>
      <c r="N12" s="18"/>
      <c r="O12" s="19">
        <f t="shared" ref="O12" si="35">(C12*D12*N12/1000)</f>
        <v>0</v>
      </c>
      <c r="P12" s="16"/>
      <c r="Q12" s="18"/>
      <c r="R12" s="19">
        <f t="shared" ref="R12" si="36">(C12*D12*Q12/1000)</f>
        <v>0</v>
      </c>
      <c r="S12" s="20">
        <f t="shared" ref="S12" si="37">+H12+K12+Q12+N12</f>
        <v>0</v>
      </c>
      <c r="T12" s="19">
        <f t="shared" ref="T12" si="38">+I12+L12+R12+O12</f>
        <v>0</v>
      </c>
      <c r="U12" s="21">
        <f t="shared" ref="U12" si="39">E12-S12</f>
        <v>7</v>
      </c>
      <c r="V12" s="19">
        <f t="shared" ref="V12" si="40">F12-T12</f>
        <v>0.51100000000000001</v>
      </c>
    </row>
    <row r="13" spans="1:22">
      <c r="A13" s="36"/>
      <c r="B13" s="36"/>
      <c r="C13" s="37"/>
      <c r="D13" s="38"/>
      <c r="E13" s="31">
        <f t="shared" ref="E13:F13" si="41">SUM(E12)</f>
        <v>7</v>
      </c>
      <c r="F13" s="38">
        <f t="shared" si="41"/>
        <v>0.51100000000000001</v>
      </c>
      <c r="G13" s="16"/>
      <c r="H13" s="31">
        <f t="shared" ref="H13:I13" si="42">SUM(H12)</f>
        <v>0</v>
      </c>
      <c r="I13" s="38">
        <f t="shared" si="42"/>
        <v>0</v>
      </c>
      <c r="J13" s="17"/>
      <c r="K13" s="31">
        <f t="shared" ref="K13:L13" si="43">SUM(K12)</f>
        <v>0</v>
      </c>
      <c r="L13" s="38">
        <f t="shared" si="43"/>
        <v>0</v>
      </c>
      <c r="M13" s="16"/>
      <c r="N13" s="31">
        <f t="shared" ref="N13:O13" si="44">SUM(N12)</f>
        <v>0</v>
      </c>
      <c r="O13" s="38">
        <f t="shared" si="44"/>
        <v>0</v>
      </c>
      <c r="P13" s="16"/>
      <c r="Q13" s="31">
        <f t="shared" ref="Q13:V13" si="45">SUM(Q12)</f>
        <v>0</v>
      </c>
      <c r="R13" s="38">
        <f t="shared" si="45"/>
        <v>0</v>
      </c>
      <c r="S13" s="31">
        <f t="shared" si="45"/>
        <v>0</v>
      </c>
      <c r="T13" s="38">
        <f t="shared" si="45"/>
        <v>0</v>
      </c>
      <c r="U13" s="31">
        <f t="shared" si="45"/>
        <v>7</v>
      </c>
      <c r="V13" s="38">
        <f t="shared" si="45"/>
        <v>0.51100000000000001</v>
      </c>
    </row>
    <row r="14" spans="1:22">
      <c r="A14" s="26" t="s">
        <v>13</v>
      </c>
      <c r="B14" s="26" t="s">
        <v>37</v>
      </c>
      <c r="C14" s="30">
        <v>9.61</v>
      </c>
      <c r="D14" s="27">
        <v>11</v>
      </c>
      <c r="E14" s="28">
        <v>1</v>
      </c>
      <c r="F14" s="16">
        <f t="shared" ref="F14" si="46">(C14*D14*E14/1000)</f>
        <v>0.10571</v>
      </c>
      <c r="G14" s="17"/>
      <c r="H14" s="18"/>
      <c r="I14" s="19">
        <f t="shared" ref="I14" si="47">(C14*D14*H14/1000)</f>
        <v>0</v>
      </c>
      <c r="J14" s="16"/>
      <c r="K14" s="18"/>
      <c r="L14" s="19">
        <f t="shared" ref="L14" si="48">(C14*D14*K14/1000)</f>
        <v>0</v>
      </c>
      <c r="M14" s="16"/>
      <c r="N14" s="18"/>
      <c r="O14" s="19">
        <f t="shared" ref="O14" si="49">(C14*D14*N14/1000)</f>
        <v>0</v>
      </c>
      <c r="P14" s="16"/>
      <c r="Q14" s="18"/>
      <c r="R14" s="19">
        <f t="shared" ref="R14" si="50">(C14*D14*Q14/1000)</f>
        <v>0</v>
      </c>
      <c r="S14" s="20">
        <f t="shared" ref="S14" si="51">+H14+K14+Q14+N14</f>
        <v>0</v>
      </c>
      <c r="T14" s="19">
        <f t="shared" ref="T14" si="52">+I14+L14+R14+O14</f>
        <v>0</v>
      </c>
      <c r="U14" s="21">
        <f t="shared" ref="U14" si="53">E14-S14</f>
        <v>1</v>
      </c>
      <c r="V14" s="19">
        <f t="shared" ref="V14" si="54">F14-T14</f>
        <v>0.10571</v>
      </c>
    </row>
    <row r="15" spans="1:22">
      <c r="A15" s="36"/>
      <c r="B15" s="36"/>
      <c r="C15" s="37"/>
      <c r="D15" s="38"/>
      <c r="E15" s="31">
        <f>SUM(E14:E14)</f>
        <v>1</v>
      </c>
      <c r="F15" s="38">
        <f>SUM(F14:F14)</f>
        <v>0.10571</v>
      </c>
      <c r="G15" s="16"/>
      <c r="H15" s="31">
        <f>SUM(H14:H14)</f>
        <v>0</v>
      </c>
      <c r="I15" s="38">
        <f>SUM(I14:I14)</f>
        <v>0</v>
      </c>
      <c r="J15" s="16"/>
      <c r="K15" s="31">
        <f>SUM(K14:K14)</f>
        <v>0</v>
      </c>
      <c r="L15" s="38">
        <f>SUM(L14:L14)</f>
        <v>0</v>
      </c>
      <c r="M15" s="16"/>
      <c r="N15" s="31">
        <f>SUM(N14:N14)</f>
        <v>0</v>
      </c>
      <c r="O15" s="38">
        <f>SUM(O14:O14)</f>
        <v>0</v>
      </c>
      <c r="P15" s="16"/>
      <c r="Q15" s="31">
        <f t="shared" ref="Q15:V15" si="55">SUM(Q14:Q14)</f>
        <v>0</v>
      </c>
      <c r="R15" s="38">
        <f t="shared" si="55"/>
        <v>0</v>
      </c>
      <c r="S15" s="31">
        <f t="shared" si="55"/>
        <v>0</v>
      </c>
      <c r="T15" s="38">
        <f t="shared" si="55"/>
        <v>0</v>
      </c>
      <c r="U15" s="31">
        <f t="shared" si="55"/>
        <v>1</v>
      </c>
      <c r="V15" s="38">
        <f t="shared" si="55"/>
        <v>0.10571</v>
      </c>
    </row>
    <row r="16" spans="1:22">
      <c r="A16" s="26" t="s">
        <v>14</v>
      </c>
      <c r="B16" s="26" t="s">
        <v>45</v>
      </c>
      <c r="C16" s="30">
        <v>9.26</v>
      </c>
      <c r="D16" s="27">
        <v>6</v>
      </c>
      <c r="E16" s="28">
        <v>2</v>
      </c>
      <c r="F16" s="16">
        <f t="shared" ref="F16:F17" si="56">(C16*D16*E16/1000)</f>
        <v>0.11112000000000001</v>
      </c>
      <c r="G16" s="17"/>
      <c r="H16" s="18"/>
      <c r="I16" s="19">
        <f t="shared" ref="I16:I17" si="57">(C16*D16*H16/1000)</f>
        <v>0</v>
      </c>
      <c r="J16" s="16"/>
      <c r="K16" s="18"/>
      <c r="L16" s="19">
        <f t="shared" ref="L16:L17" si="58">(C16*D16*K16/1000)</f>
        <v>0</v>
      </c>
      <c r="M16" s="16"/>
      <c r="N16" s="18"/>
      <c r="O16" s="19">
        <f t="shared" ref="O16:O17" si="59">(C16*D16*N16/1000)</f>
        <v>0</v>
      </c>
      <c r="P16" s="16"/>
      <c r="Q16" s="18"/>
      <c r="R16" s="19">
        <f t="shared" ref="R16:R17" si="60">(C16*D16*Q16/1000)</f>
        <v>0</v>
      </c>
      <c r="S16" s="20">
        <f t="shared" ref="S16:T17" si="61">+H16+K16+Q16+N16</f>
        <v>0</v>
      </c>
      <c r="T16" s="19">
        <f t="shared" si="61"/>
        <v>0</v>
      </c>
      <c r="U16" s="21">
        <f t="shared" ref="U16:V17" si="62">E16-S16</f>
        <v>2</v>
      </c>
      <c r="V16" s="19">
        <f t="shared" si="62"/>
        <v>0.11112000000000001</v>
      </c>
    </row>
    <row r="17" spans="1:22">
      <c r="A17" s="26" t="s">
        <v>14</v>
      </c>
      <c r="B17" s="26" t="s">
        <v>45</v>
      </c>
      <c r="C17" s="30">
        <v>9.26</v>
      </c>
      <c r="D17" s="27">
        <v>7.1</v>
      </c>
      <c r="E17" s="28">
        <v>1</v>
      </c>
      <c r="F17" s="16">
        <f t="shared" si="56"/>
        <v>6.5745999999999999E-2</v>
      </c>
      <c r="G17" s="17"/>
      <c r="H17" s="18"/>
      <c r="I17" s="19">
        <f t="shared" si="57"/>
        <v>0</v>
      </c>
      <c r="J17" s="16"/>
      <c r="K17" s="18"/>
      <c r="L17" s="19">
        <f t="shared" si="58"/>
        <v>0</v>
      </c>
      <c r="M17" s="16"/>
      <c r="N17" s="18"/>
      <c r="O17" s="19">
        <f t="shared" si="59"/>
        <v>0</v>
      </c>
      <c r="P17" s="16"/>
      <c r="Q17" s="18"/>
      <c r="R17" s="19">
        <f t="shared" si="60"/>
        <v>0</v>
      </c>
      <c r="S17" s="20">
        <f t="shared" si="61"/>
        <v>0</v>
      </c>
      <c r="T17" s="19">
        <f t="shared" si="61"/>
        <v>0</v>
      </c>
      <c r="U17" s="21">
        <f t="shared" si="62"/>
        <v>1</v>
      </c>
      <c r="V17" s="19">
        <f t="shared" si="62"/>
        <v>6.5745999999999999E-2</v>
      </c>
    </row>
    <row r="18" spans="1:22">
      <c r="A18" s="36"/>
      <c r="B18" s="36"/>
      <c r="C18" s="37"/>
      <c r="D18" s="38"/>
      <c r="E18" s="31">
        <f t="shared" ref="E18:F18" si="63">SUM(E16:E17)</f>
        <v>3</v>
      </c>
      <c r="F18" s="38">
        <f t="shared" si="63"/>
        <v>0.17686600000000002</v>
      </c>
      <c r="G18" s="17"/>
      <c r="H18" s="31">
        <f t="shared" ref="H18:I18" si="64">SUM(H16:H17)</f>
        <v>0</v>
      </c>
      <c r="I18" s="38">
        <f t="shared" si="64"/>
        <v>0</v>
      </c>
      <c r="J18" s="16"/>
      <c r="K18" s="31">
        <f t="shared" ref="K18:L18" si="65">SUM(K16:K17)</f>
        <v>0</v>
      </c>
      <c r="L18" s="38">
        <f t="shared" si="65"/>
        <v>0</v>
      </c>
      <c r="M18" s="16"/>
      <c r="N18" s="31">
        <f t="shared" ref="N18:O18" si="66">SUM(N16:N17)</f>
        <v>0</v>
      </c>
      <c r="O18" s="38">
        <f t="shared" si="66"/>
        <v>0</v>
      </c>
      <c r="P18" s="16"/>
      <c r="Q18" s="31">
        <f t="shared" ref="Q18:V18" si="67">SUM(Q16:Q17)</f>
        <v>0</v>
      </c>
      <c r="R18" s="38">
        <f t="shared" si="67"/>
        <v>0</v>
      </c>
      <c r="S18" s="31">
        <f t="shared" si="67"/>
        <v>0</v>
      </c>
      <c r="T18" s="38">
        <f t="shared" si="67"/>
        <v>0</v>
      </c>
      <c r="U18" s="31">
        <f t="shared" si="67"/>
        <v>3</v>
      </c>
      <c r="V18" s="38">
        <f t="shared" si="67"/>
        <v>0.17686600000000002</v>
      </c>
    </row>
    <row r="19" spans="1:22">
      <c r="A19" s="26" t="s">
        <v>14</v>
      </c>
      <c r="B19" s="26" t="s">
        <v>25</v>
      </c>
      <c r="C19" s="30">
        <v>13.4</v>
      </c>
      <c r="D19" s="27">
        <v>6</v>
      </c>
      <c r="E19" s="28">
        <v>1</v>
      </c>
      <c r="F19" s="16">
        <f t="shared" ref="F19" si="68">(C19*D19*E19/1000)</f>
        <v>8.0399999999999999E-2</v>
      </c>
      <c r="G19" s="17"/>
      <c r="H19" s="18"/>
      <c r="I19" s="19">
        <f t="shared" ref="I19" si="69">(C19*D19*H19/1000)</f>
        <v>0</v>
      </c>
      <c r="J19" s="16"/>
      <c r="K19" s="18"/>
      <c r="L19" s="19">
        <f t="shared" ref="L19" si="70">(C19*D19*K19/1000)</f>
        <v>0</v>
      </c>
      <c r="M19" s="16"/>
      <c r="N19" s="18"/>
      <c r="O19" s="19">
        <f t="shared" ref="O19" si="71">(C19*D19*N19/1000)</f>
        <v>0</v>
      </c>
      <c r="P19" s="16"/>
      <c r="Q19" s="18"/>
      <c r="R19" s="19">
        <f t="shared" ref="R19" si="72">(C19*D19*Q19/1000)</f>
        <v>0</v>
      </c>
      <c r="S19" s="20">
        <f t="shared" ref="S19" si="73">+H19+K19+Q19+N19</f>
        <v>0</v>
      </c>
      <c r="T19" s="19">
        <f t="shared" ref="T19" si="74">+I19+L19+R19+O19</f>
        <v>0</v>
      </c>
      <c r="U19" s="21">
        <f t="shared" ref="U19" si="75">E19-S19</f>
        <v>1</v>
      </c>
      <c r="V19" s="19">
        <f t="shared" ref="V19" si="76">F19-T19</f>
        <v>8.0399999999999999E-2</v>
      </c>
    </row>
    <row r="20" spans="1:22">
      <c r="A20" s="36"/>
      <c r="B20" s="36"/>
      <c r="C20" s="37"/>
      <c r="D20" s="38"/>
      <c r="E20" s="31">
        <f>SUM(E19:E19)</f>
        <v>1</v>
      </c>
      <c r="F20" s="38">
        <f>SUM(F19:F19)</f>
        <v>8.0399999999999999E-2</v>
      </c>
      <c r="G20" s="17"/>
      <c r="H20" s="31">
        <f>SUM(H19:H19)</f>
        <v>0</v>
      </c>
      <c r="I20" s="38">
        <f>SUM(I19:I19)</f>
        <v>0</v>
      </c>
      <c r="J20" s="16"/>
      <c r="K20" s="31">
        <f>SUM(K19:K19)</f>
        <v>0</v>
      </c>
      <c r="L20" s="38">
        <f>SUM(L19:L19)</f>
        <v>0</v>
      </c>
      <c r="M20" s="16"/>
      <c r="N20" s="31">
        <f>SUM(N19:N19)</f>
        <v>0</v>
      </c>
      <c r="O20" s="38">
        <f>SUM(O19:O19)</f>
        <v>0</v>
      </c>
      <c r="P20" s="16"/>
      <c r="Q20" s="31">
        <f t="shared" ref="Q20:V20" si="77">SUM(Q19:Q19)</f>
        <v>0</v>
      </c>
      <c r="R20" s="38">
        <f t="shared" si="77"/>
        <v>0</v>
      </c>
      <c r="S20" s="31">
        <f t="shared" si="77"/>
        <v>0</v>
      </c>
      <c r="T20" s="38">
        <f t="shared" si="77"/>
        <v>0</v>
      </c>
      <c r="U20" s="31">
        <f t="shared" si="77"/>
        <v>1</v>
      </c>
      <c r="V20" s="38">
        <f t="shared" si="77"/>
        <v>8.0399999999999999E-2</v>
      </c>
    </row>
    <row r="21" spans="1:22">
      <c r="A21" s="26" t="s">
        <v>14</v>
      </c>
      <c r="B21" s="26" t="s">
        <v>174</v>
      </c>
      <c r="C21" s="30">
        <v>5.37</v>
      </c>
      <c r="D21" s="27">
        <v>10</v>
      </c>
      <c r="E21" s="28">
        <v>18</v>
      </c>
      <c r="F21" s="16">
        <f t="shared" ref="F21:F24" si="78">(C21*D21*E21/1000)</f>
        <v>0.96660000000000001</v>
      </c>
      <c r="G21" s="17"/>
      <c r="H21" s="18"/>
      <c r="I21" s="19">
        <f t="shared" ref="I21:I24" si="79">(C21*D21*H21/1000)</f>
        <v>0</v>
      </c>
      <c r="J21" s="16"/>
      <c r="K21" s="18"/>
      <c r="L21" s="19">
        <f t="shared" ref="L21:L24" si="80">(C21*D21*K21/1000)</f>
        <v>0</v>
      </c>
      <c r="M21" s="16"/>
      <c r="N21" s="18"/>
      <c r="O21" s="19">
        <f t="shared" ref="O21:O24" si="81">(C21*D21*N21/1000)</f>
        <v>0</v>
      </c>
      <c r="P21" s="16"/>
      <c r="Q21" s="18"/>
      <c r="R21" s="19">
        <f t="shared" ref="R21:R24" si="82">(C21*D21*Q21/1000)</f>
        <v>0</v>
      </c>
      <c r="S21" s="20">
        <f t="shared" ref="S21:S24" si="83">+H21+K21+Q21+N21</f>
        <v>0</v>
      </c>
      <c r="T21" s="19">
        <f t="shared" ref="T21:T24" si="84">+I21+L21+R21+O21</f>
        <v>0</v>
      </c>
      <c r="U21" s="21">
        <f t="shared" ref="U21:U24" si="85">E21-S21</f>
        <v>18</v>
      </c>
      <c r="V21" s="19">
        <f t="shared" ref="V21:V24" si="86">F21-T21</f>
        <v>0.96660000000000001</v>
      </c>
    </row>
    <row r="22" spans="1:22">
      <c r="A22" s="26" t="s">
        <v>14</v>
      </c>
      <c r="B22" s="26" t="s">
        <v>174</v>
      </c>
      <c r="C22" s="30">
        <v>5.37</v>
      </c>
      <c r="D22" s="27">
        <v>10.5</v>
      </c>
      <c r="E22" s="28">
        <v>22</v>
      </c>
      <c r="F22" s="16">
        <f t="shared" si="78"/>
        <v>1.24047</v>
      </c>
      <c r="G22" s="17"/>
      <c r="H22" s="18"/>
      <c r="I22" s="19">
        <f t="shared" si="79"/>
        <v>0</v>
      </c>
      <c r="J22" s="16"/>
      <c r="K22" s="18"/>
      <c r="L22" s="19">
        <f t="shared" si="80"/>
        <v>0</v>
      </c>
      <c r="M22" s="16"/>
      <c r="N22" s="18"/>
      <c r="O22" s="19">
        <f t="shared" si="81"/>
        <v>0</v>
      </c>
      <c r="P22" s="16"/>
      <c r="Q22" s="18"/>
      <c r="R22" s="19">
        <f t="shared" si="82"/>
        <v>0</v>
      </c>
      <c r="S22" s="20">
        <f t="shared" si="83"/>
        <v>0</v>
      </c>
      <c r="T22" s="19">
        <f t="shared" si="84"/>
        <v>0</v>
      </c>
      <c r="U22" s="21">
        <f t="shared" si="85"/>
        <v>22</v>
      </c>
      <c r="V22" s="19">
        <f t="shared" si="86"/>
        <v>1.24047</v>
      </c>
    </row>
    <row r="23" spans="1:22">
      <c r="A23" s="26" t="s">
        <v>14</v>
      </c>
      <c r="B23" s="26" t="s">
        <v>174</v>
      </c>
      <c r="C23" s="30">
        <v>5.37</v>
      </c>
      <c r="D23" s="27">
        <v>11</v>
      </c>
      <c r="E23" s="28">
        <v>13</v>
      </c>
      <c r="F23" s="16">
        <f t="shared" si="78"/>
        <v>0.76790999999999998</v>
      </c>
      <c r="G23" s="17"/>
      <c r="H23" s="18"/>
      <c r="I23" s="19">
        <f t="shared" si="79"/>
        <v>0</v>
      </c>
      <c r="J23" s="16"/>
      <c r="K23" s="18"/>
      <c r="L23" s="19">
        <f t="shared" si="80"/>
        <v>0</v>
      </c>
      <c r="M23" s="16"/>
      <c r="N23" s="18"/>
      <c r="O23" s="19">
        <f t="shared" si="81"/>
        <v>0</v>
      </c>
      <c r="P23" s="16"/>
      <c r="Q23" s="18"/>
      <c r="R23" s="19">
        <f t="shared" si="82"/>
        <v>0</v>
      </c>
      <c r="S23" s="20">
        <f t="shared" si="83"/>
        <v>0</v>
      </c>
      <c r="T23" s="19">
        <f t="shared" si="84"/>
        <v>0</v>
      </c>
      <c r="U23" s="21">
        <f t="shared" si="85"/>
        <v>13</v>
      </c>
      <c r="V23" s="19">
        <f t="shared" si="86"/>
        <v>0.76790999999999998</v>
      </c>
    </row>
    <row r="24" spans="1:22">
      <c r="A24" s="26" t="s">
        <v>14</v>
      </c>
      <c r="B24" s="26" t="s">
        <v>174</v>
      </c>
      <c r="C24" s="30">
        <v>5.37</v>
      </c>
      <c r="D24" s="27">
        <v>11.5</v>
      </c>
      <c r="E24" s="28">
        <v>31</v>
      </c>
      <c r="F24" s="16">
        <f t="shared" si="78"/>
        <v>1.9144049999999999</v>
      </c>
      <c r="G24" s="17"/>
      <c r="H24" s="18"/>
      <c r="I24" s="19">
        <f t="shared" si="79"/>
        <v>0</v>
      </c>
      <c r="J24" s="16"/>
      <c r="K24" s="18"/>
      <c r="L24" s="19">
        <f t="shared" si="80"/>
        <v>0</v>
      </c>
      <c r="M24" s="16"/>
      <c r="N24" s="18"/>
      <c r="O24" s="19">
        <f t="shared" si="81"/>
        <v>0</v>
      </c>
      <c r="P24" s="16"/>
      <c r="Q24" s="18"/>
      <c r="R24" s="19">
        <f t="shared" si="82"/>
        <v>0</v>
      </c>
      <c r="S24" s="20">
        <f t="shared" si="83"/>
        <v>0</v>
      </c>
      <c r="T24" s="19">
        <f t="shared" si="84"/>
        <v>0</v>
      </c>
      <c r="U24" s="21">
        <f t="shared" si="85"/>
        <v>31</v>
      </c>
      <c r="V24" s="19">
        <f t="shared" si="86"/>
        <v>1.9144049999999999</v>
      </c>
    </row>
    <row r="25" spans="1:22">
      <c r="A25" s="36"/>
      <c r="B25" s="36"/>
      <c r="C25" s="37"/>
      <c r="D25" s="38"/>
      <c r="E25" s="31">
        <f>SUM(E21:E24)</f>
        <v>84</v>
      </c>
      <c r="F25" s="38">
        <f>SUM(F21:F24)</f>
        <v>4.8893849999999999</v>
      </c>
      <c r="G25" s="26"/>
      <c r="H25" s="31">
        <f>SUM(H21:H24)</f>
        <v>0</v>
      </c>
      <c r="I25" s="38">
        <f>SUM(I21:I24)</f>
        <v>0</v>
      </c>
      <c r="J25" s="26"/>
      <c r="K25" s="31">
        <f>SUM(K21:K24)</f>
        <v>0</v>
      </c>
      <c r="L25" s="38">
        <f>SUM(L21:L24)</f>
        <v>0</v>
      </c>
      <c r="M25" s="26"/>
      <c r="N25" s="31">
        <f>SUM(N21:N24)</f>
        <v>0</v>
      </c>
      <c r="O25" s="38">
        <f>SUM(O21:O24)</f>
        <v>0</v>
      </c>
      <c r="P25" s="26"/>
      <c r="Q25" s="31">
        <f t="shared" ref="Q25:V25" si="87">SUM(Q21:Q24)</f>
        <v>0</v>
      </c>
      <c r="R25" s="38">
        <f t="shared" si="87"/>
        <v>0</v>
      </c>
      <c r="S25" s="31">
        <f t="shared" si="87"/>
        <v>0</v>
      </c>
      <c r="T25" s="38">
        <f t="shared" si="87"/>
        <v>0</v>
      </c>
      <c r="U25" s="31">
        <f t="shared" si="87"/>
        <v>84</v>
      </c>
      <c r="V25" s="38">
        <f t="shared" si="87"/>
        <v>4.8893849999999999</v>
      </c>
    </row>
    <row r="26" spans="1:22">
      <c r="A26" s="26" t="s">
        <v>14</v>
      </c>
      <c r="B26" s="26" t="s">
        <v>37</v>
      </c>
      <c r="C26" s="30">
        <v>9.61</v>
      </c>
      <c r="D26" s="27">
        <v>6.4</v>
      </c>
      <c r="E26" s="28">
        <v>4</v>
      </c>
      <c r="F26" s="16">
        <f t="shared" ref="F26:F27" si="88">(C26*D26*E26/1000)</f>
        <v>0.24601599999999998</v>
      </c>
      <c r="G26" s="17" t="s">
        <v>455</v>
      </c>
      <c r="H26" s="18">
        <v>4</v>
      </c>
      <c r="I26" s="19">
        <f t="shared" ref="I26:I27" si="89">(C26*D26*H26/1000)</f>
        <v>0.24601599999999998</v>
      </c>
      <c r="J26" s="16"/>
      <c r="K26" s="18"/>
      <c r="L26" s="19">
        <f t="shared" ref="L26:L27" si="90">(C26*D26*K26/1000)</f>
        <v>0</v>
      </c>
      <c r="M26" s="16"/>
      <c r="N26" s="18"/>
      <c r="O26" s="19">
        <f t="shared" ref="O26:O27" si="91">(C26*D26*N26/1000)</f>
        <v>0</v>
      </c>
      <c r="P26" s="16"/>
      <c r="Q26" s="18"/>
      <c r="R26" s="19">
        <f t="shared" ref="R26:R27" si="92">(C26*D26*Q26/1000)</f>
        <v>0</v>
      </c>
      <c r="S26" s="20">
        <f t="shared" ref="S26:S27" si="93">+H26+K26+Q26+N26</f>
        <v>4</v>
      </c>
      <c r="T26" s="19">
        <f t="shared" ref="T26:T27" si="94">+I26+L26+R26+O26</f>
        <v>0.24601599999999998</v>
      </c>
      <c r="U26" s="21">
        <f t="shared" ref="U26:U27" si="95">E26-S26</f>
        <v>0</v>
      </c>
      <c r="V26" s="19">
        <f t="shared" ref="V26:V27" si="96">F26-T26</f>
        <v>0</v>
      </c>
    </row>
    <row r="27" spans="1:22">
      <c r="A27" s="26" t="s">
        <v>14</v>
      </c>
      <c r="B27" s="26" t="s">
        <v>37</v>
      </c>
      <c r="C27" s="30">
        <v>9.61</v>
      </c>
      <c r="D27" s="27">
        <v>11.4</v>
      </c>
      <c r="E27" s="28">
        <v>29</v>
      </c>
      <c r="F27" s="16">
        <f t="shared" si="88"/>
        <v>3.1770660000000004</v>
      </c>
      <c r="G27" s="17" t="s">
        <v>613</v>
      </c>
      <c r="H27" s="18">
        <v>29</v>
      </c>
      <c r="I27" s="19">
        <f t="shared" si="89"/>
        <v>3.1770660000000004</v>
      </c>
      <c r="J27" s="16"/>
      <c r="K27" s="18"/>
      <c r="L27" s="19">
        <f t="shared" si="90"/>
        <v>0</v>
      </c>
      <c r="M27" s="16"/>
      <c r="N27" s="18"/>
      <c r="O27" s="19">
        <f t="shared" si="91"/>
        <v>0</v>
      </c>
      <c r="P27" s="16"/>
      <c r="Q27" s="18"/>
      <c r="R27" s="19">
        <f t="shared" si="92"/>
        <v>0</v>
      </c>
      <c r="S27" s="20">
        <f t="shared" si="93"/>
        <v>29</v>
      </c>
      <c r="T27" s="19">
        <f t="shared" si="94"/>
        <v>3.1770660000000004</v>
      </c>
      <c r="U27" s="21">
        <f t="shared" si="95"/>
        <v>0</v>
      </c>
      <c r="V27" s="19">
        <f t="shared" si="96"/>
        <v>0</v>
      </c>
    </row>
    <row r="28" spans="1:22">
      <c r="A28" s="36"/>
      <c r="B28" s="36"/>
      <c r="C28" s="37"/>
      <c r="D28" s="38"/>
      <c r="E28" s="31">
        <f>SUM(E26:E27)</f>
        <v>33</v>
      </c>
      <c r="F28" s="38">
        <f>SUM(F26:F27)</f>
        <v>3.4230820000000004</v>
      </c>
      <c r="G28" s="16"/>
      <c r="H28" s="31">
        <f>SUM(H26:H27)</f>
        <v>33</v>
      </c>
      <c r="I28" s="38">
        <f>SUM(I26:I27)</f>
        <v>3.4230820000000004</v>
      </c>
      <c r="J28" s="16"/>
      <c r="K28" s="31">
        <f>SUM(K26:K27)</f>
        <v>0</v>
      </c>
      <c r="L28" s="38">
        <f>SUM(L26:L27)</f>
        <v>0</v>
      </c>
      <c r="M28" s="16"/>
      <c r="N28" s="31">
        <f>SUM(N26:N27)</f>
        <v>0</v>
      </c>
      <c r="O28" s="38">
        <f>SUM(O26:O27)</f>
        <v>0</v>
      </c>
      <c r="P28" s="16"/>
      <c r="Q28" s="31">
        <f t="shared" ref="Q28:V28" si="97">SUM(Q26:Q27)</f>
        <v>0</v>
      </c>
      <c r="R28" s="38">
        <f t="shared" si="97"/>
        <v>0</v>
      </c>
      <c r="S28" s="31">
        <f t="shared" si="97"/>
        <v>33</v>
      </c>
      <c r="T28" s="38">
        <f t="shared" si="97"/>
        <v>3.4230820000000004</v>
      </c>
      <c r="U28" s="31">
        <f t="shared" si="97"/>
        <v>0</v>
      </c>
      <c r="V28" s="38">
        <f t="shared" si="97"/>
        <v>0</v>
      </c>
    </row>
    <row r="29" spans="1:22">
      <c r="A29" s="33"/>
      <c r="B29" s="33"/>
      <c r="C29" s="34"/>
      <c r="D29" s="34"/>
      <c r="E29" s="34">
        <f>SUM(E6:E28)/2</f>
        <v>133</v>
      </c>
      <c r="F29" s="35">
        <f>SUM(F6:F28)/2</f>
        <v>9.5782429999999987</v>
      </c>
      <c r="G29" s="17"/>
      <c r="H29" s="34">
        <f>SUM(H6:H28)/2</f>
        <v>33</v>
      </c>
      <c r="I29" s="35">
        <f>SUM(I6:I28)/2</f>
        <v>3.4230820000000004</v>
      </c>
      <c r="J29" s="16"/>
      <c r="K29" s="34">
        <f>SUM(K6:K28)/2</f>
        <v>0</v>
      </c>
      <c r="L29" s="35">
        <f>SUM(L6:L28)/2</f>
        <v>0</v>
      </c>
      <c r="M29" s="16"/>
      <c r="N29" s="34">
        <f>SUM(N6:N28)/2</f>
        <v>0</v>
      </c>
      <c r="O29" s="35">
        <f>SUM(O6:O28)/2</f>
        <v>0</v>
      </c>
      <c r="P29" s="16"/>
      <c r="Q29" s="34">
        <f t="shared" ref="Q29:V29" si="98">SUM(Q6:Q28)/2</f>
        <v>0</v>
      </c>
      <c r="R29" s="35">
        <f t="shared" si="98"/>
        <v>0</v>
      </c>
      <c r="S29" s="34">
        <f t="shared" si="98"/>
        <v>33</v>
      </c>
      <c r="T29" s="35">
        <f t="shared" si="98"/>
        <v>3.4230820000000004</v>
      </c>
      <c r="U29" s="34">
        <f t="shared" si="98"/>
        <v>100</v>
      </c>
      <c r="V29" s="35">
        <f t="shared" si="98"/>
        <v>6.1551609999999997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V26"/>
  <sheetViews>
    <sheetView zoomScale="75" zoomScaleNormal="75" workbookViewId="0">
      <pane ySplit="5" topLeftCell="A6" activePane="bottomLeft" state="frozen"/>
      <selection pane="bottomLeft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LOI-1334  15.12.23</v>
      </c>
      <c r="D1" s="1"/>
      <c r="E1" s="2"/>
      <c r="F1" s="2"/>
      <c r="G1" s="143" t="s">
        <v>498</v>
      </c>
      <c r="H1" s="144"/>
      <c r="I1" s="145" t="s">
        <v>575</v>
      </c>
      <c r="J1" s="144"/>
      <c r="K1" s="3"/>
      <c r="L1" s="4"/>
      <c r="M1" s="4"/>
      <c r="N1" s="3"/>
      <c r="O1" s="4"/>
      <c r="P1" s="146" t="str">
        <f>+F2</f>
        <v>LOI-1334  15.12.23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576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LOI-1334  15.12.23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26">
        <v>12.2</v>
      </c>
      <c r="D6" s="74">
        <v>7.6</v>
      </c>
      <c r="E6" s="28">
        <v>5</v>
      </c>
      <c r="F6" s="16">
        <f>(C6*D6*E6/1000)</f>
        <v>0.4635999999999999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5</v>
      </c>
      <c r="V6" s="19">
        <f>F6-T6</f>
        <v>0.4635999999999999</v>
      </c>
    </row>
    <row r="7" spans="1:22">
      <c r="A7" s="26" t="s">
        <v>13</v>
      </c>
      <c r="B7" s="26" t="s">
        <v>61</v>
      </c>
      <c r="C7" s="26">
        <v>12.2</v>
      </c>
      <c r="D7" s="74">
        <v>10.4</v>
      </c>
      <c r="E7" s="28">
        <v>2</v>
      </c>
      <c r="F7" s="16">
        <f>(C7*D7*E7/1000)</f>
        <v>0.25375999999999999</v>
      </c>
      <c r="G7" s="16"/>
      <c r="H7" s="18"/>
      <c r="I7" s="19">
        <f>(C7*D7*H7/1000)</f>
        <v>0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+H7+K7+Q7+N7</f>
        <v>0</v>
      </c>
      <c r="T7" s="19">
        <f>+I7+L7+R7+O7</f>
        <v>0</v>
      </c>
      <c r="U7" s="21">
        <f>E7-S7</f>
        <v>2</v>
      </c>
      <c r="V7" s="19">
        <f>F7-T7</f>
        <v>0.25375999999999999</v>
      </c>
    </row>
    <row r="8" spans="1:22">
      <c r="A8" s="26"/>
      <c r="B8" s="41"/>
      <c r="C8" s="26"/>
      <c r="D8" s="74"/>
      <c r="E8" s="31">
        <f t="shared" ref="E8:F8" si="0">SUM(E6:E7)</f>
        <v>7</v>
      </c>
      <c r="F8" s="77">
        <f t="shared" si="0"/>
        <v>0.71735999999999989</v>
      </c>
      <c r="G8" s="17"/>
      <c r="H8" s="31">
        <f t="shared" ref="H8" si="1">SUM(H6:H7)</f>
        <v>0</v>
      </c>
      <c r="I8" s="77">
        <f t="shared" ref="I8" si="2">SUM(I6:I7)</f>
        <v>0</v>
      </c>
      <c r="J8" s="16"/>
      <c r="K8" s="31">
        <f t="shared" ref="K8" si="3">SUM(K6:K7)</f>
        <v>0</v>
      </c>
      <c r="L8" s="77">
        <f t="shared" ref="L8" si="4">SUM(L6:L7)</f>
        <v>0</v>
      </c>
      <c r="M8" s="16"/>
      <c r="N8" s="31">
        <f t="shared" ref="N8" si="5">SUM(N6:N7)</f>
        <v>0</v>
      </c>
      <c r="O8" s="77">
        <f t="shared" ref="O8" si="6">SUM(O6:O7)</f>
        <v>0</v>
      </c>
      <c r="P8" s="16"/>
      <c r="Q8" s="31">
        <f t="shared" ref="Q8" si="7">SUM(Q6:Q7)</f>
        <v>0</v>
      </c>
      <c r="R8" s="77">
        <f t="shared" ref="R8" si="8">SUM(R6:R7)</f>
        <v>0</v>
      </c>
      <c r="S8" s="31">
        <f t="shared" ref="S8" si="9">SUM(S6:S7)</f>
        <v>0</v>
      </c>
      <c r="T8" s="77">
        <f t="shared" ref="T8" si="10">SUM(T6:T7)</f>
        <v>0</v>
      </c>
      <c r="U8" s="31">
        <f t="shared" ref="U8" si="11">SUM(U6:U7)</f>
        <v>7</v>
      </c>
      <c r="V8" s="77">
        <f t="shared" ref="V8" si="12">SUM(V6:V7)</f>
        <v>0.71735999999999989</v>
      </c>
    </row>
    <row r="9" spans="1:22">
      <c r="A9" s="26" t="s">
        <v>13</v>
      </c>
      <c r="B9" s="26" t="s">
        <v>180</v>
      </c>
      <c r="C9" s="30">
        <v>13.6</v>
      </c>
      <c r="D9" s="27">
        <v>7.6</v>
      </c>
      <c r="E9" s="28">
        <v>1</v>
      </c>
      <c r="F9" s="16">
        <f t="shared" ref="F9" si="13">(C9*D9*E9/1000)</f>
        <v>0.10335999999999999</v>
      </c>
      <c r="G9" s="17"/>
      <c r="H9" s="18"/>
      <c r="I9" s="19">
        <f t="shared" ref="I9" si="14">(C9*D9*H9/1000)</f>
        <v>0</v>
      </c>
      <c r="J9" s="16"/>
      <c r="K9" s="18"/>
      <c r="L9" s="19">
        <f t="shared" ref="L9" si="15">(C9*D9*K9/1000)</f>
        <v>0</v>
      </c>
      <c r="M9" s="16"/>
      <c r="N9" s="18"/>
      <c r="O9" s="19">
        <f t="shared" ref="O9" si="16">(C9*D9*N9/1000)</f>
        <v>0</v>
      </c>
      <c r="P9" s="16"/>
      <c r="Q9" s="18"/>
      <c r="R9" s="19">
        <f t="shared" ref="R9" si="17">(C9*D9*Q9/1000)</f>
        <v>0</v>
      </c>
      <c r="S9" s="20">
        <f t="shared" ref="S9:T9" si="18">+H9+K9+Q9+N9</f>
        <v>0</v>
      </c>
      <c r="T9" s="19">
        <f t="shared" si="18"/>
        <v>0</v>
      </c>
      <c r="U9" s="21">
        <f t="shared" ref="U9:V9" si="19">E9-S9</f>
        <v>1</v>
      </c>
      <c r="V9" s="19">
        <f t="shared" si="19"/>
        <v>0.10335999999999999</v>
      </c>
    </row>
    <row r="10" spans="1:22">
      <c r="A10" s="36"/>
      <c r="B10" s="36"/>
      <c r="C10" s="37"/>
      <c r="D10" s="38"/>
      <c r="E10" s="31">
        <f>SUM(E9:E9)</f>
        <v>1</v>
      </c>
      <c r="F10" s="38">
        <f>SUM(F9:F9)</f>
        <v>0.10335999999999999</v>
      </c>
      <c r="G10" s="17"/>
      <c r="H10" s="31">
        <f>SUM(H9:H9)</f>
        <v>0</v>
      </c>
      <c r="I10" s="38">
        <f>SUM(I9:I9)</f>
        <v>0</v>
      </c>
      <c r="J10" s="16"/>
      <c r="K10" s="31">
        <f>SUM(K9:K9)</f>
        <v>0</v>
      </c>
      <c r="L10" s="38">
        <f>SUM(L9:L9)</f>
        <v>0</v>
      </c>
      <c r="M10" s="16"/>
      <c r="N10" s="31">
        <f>SUM(N9:N9)</f>
        <v>0</v>
      </c>
      <c r="O10" s="38">
        <f>SUM(O9:O9)</f>
        <v>0</v>
      </c>
      <c r="P10" s="16"/>
      <c r="Q10" s="31">
        <f t="shared" ref="Q10:V10" si="20">SUM(Q9:Q9)</f>
        <v>0</v>
      </c>
      <c r="R10" s="38">
        <f t="shared" si="20"/>
        <v>0</v>
      </c>
      <c r="S10" s="31">
        <f t="shared" si="20"/>
        <v>0</v>
      </c>
      <c r="T10" s="38">
        <f t="shared" si="20"/>
        <v>0</v>
      </c>
      <c r="U10" s="31">
        <f t="shared" si="20"/>
        <v>1</v>
      </c>
      <c r="V10" s="38">
        <f t="shared" si="20"/>
        <v>0.10335999999999999</v>
      </c>
    </row>
    <row r="11" spans="1:22">
      <c r="A11" s="26" t="s">
        <v>13</v>
      </c>
      <c r="B11" s="26" t="s">
        <v>53</v>
      </c>
      <c r="C11" s="30">
        <v>23.5</v>
      </c>
      <c r="D11" s="27">
        <v>11.3</v>
      </c>
      <c r="E11" s="28">
        <v>2</v>
      </c>
      <c r="F11" s="16">
        <f t="shared" ref="F11" si="21">(C11*D11*E11/1000)</f>
        <v>0.53110000000000002</v>
      </c>
      <c r="G11" s="17"/>
      <c r="H11" s="18"/>
      <c r="I11" s="19">
        <f t="shared" ref="I11" si="22">(C11*D11*H11/1000)</f>
        <v>0</v>
      </c>
      <c r="J11" s="16"/>
      <c r="K11" s="18"/>
      <c r="L11" s="19">
        <f t="shared" ref="L11" si="23">(C11*D11*K11/1000)</f>
        <v>0</v>
      </c>
      <c r="M11" s="16"/>
      <c r="N11" s="18"/>
      <c r="O11" s="19">
        <f t="shared" ref="O11" si="24">(C11*D11*N11/1000)</f>
        <v>0</v>
      </c>
      <c r="P11" s="16"/>
      <c r="Q11" s="18"/>
      <c r="R11" s="19">
        <f t="shared" ref="R11" si="25">(C11*D11*Q11/1000)</f>
        <v>0</v>
      </c>
      <c r="S11" s="20">
        <f t="shared" ref="S11:T11" si="26">+H11+K11+Q11+N11</f>
        <v>0</v>
      </c>
      <c r="T11" s="19">
        <f t="shared" si="26"/>
        <v>0</v>
      </c>
      <c r="U11" s="21">
        <f t="shared" ref="U11:V11" si="27">E11-S11</f>
        <v>2</v>
      </c>
      <c r="V11" s="19">
        <f t="shared" si="27"/>
        <v>0.53110000000000002</v>
      </c>
    </row>
    <row r="12" spans="1:22">
      <c r="A12" s="36"/>
      <c r="B12" s="36"/>
      <c r="C12" s="37"/>
      <c r="D12" s="38"/>
      <c r="E12" s="31">
        <f t="shared" ref="E12:F12" si="28">SUM(E11)</f>
        <v>2</v>
      </c>
      <c r="F12" s="38">
        <f t="shared" si="28"/>
        <v>0.53110000000000002</v>
      </c>
      <c r="G12" s="16"/>
      <c r="H12" s="31">
        <f t="shared" ref="H12:I12" si="29">SUM(H11)</f>
        <v>0</v>
      </c>
      <c r="I12" s="38">
        <f t="shared" si="29"/>
        <v>0</v>
      </c>
      <c r="J12" s="16"/>
      <c r="K12" s="31">
        <f t="shared" ref="K12:L12" si="30">SUM(K11)</f>
        <v>0</v>
      </c>
      <c r="L12" s="38">
        <f t="shared" si="30"/>
        <v>0</v>
      </c>
      <c r="M12" s="16"/>
      <c r="N12" s="31">
        <f t="shared" ref="N12:O12" si="31">SUM(N11)</f>
        <v>0</v>
      </c>
      <c r="O12" s="38">
        <f t="shared" si="31"/>
        <v>0</v>
      </c>
      <c r="P12" s="26"/>
      <c r="Q12" s="31">
        <f t="shared" ref="Q12:V12" si="32">SUM(Q11)</f>
        <v>0</v>
      </c>
      <c r="R12" s="38">
        <f t="shared" si="32"/>
        <v>0</v>
      </c>
      <c r="S12" s="31">
        <f t="shared" si="32"/>
        <v>0</v>
      </c>
      <c r="T12" s="38">
        <f t="shared" si="32"/>
        <v>0</v>
      </c>
      <c r="U12" s="31">
        <f t="shared" si="32"/>
        <v>2</v>
      </c>
      <c r="V12" s="38">
        <f t="shared" si="32"/>
        <v>0.53110000000000002</v>
      </c>
    </row>
    <row r="13" spans="1:22">
      <c r="A13" s="26" t="s">
        <v>13</v>
      </c>
      <c r="B13" s="26" t="s">
        <v>125</v>
      </c>
      <c r="C13" s="30">
        <v>27.3</v>
      </c>
      <c r="D13" s="27">
        <v>12.75</v>
      </c>
      <c r="E13" s="28">
        <v>4</v>
      </c>
      <c r="F13" s="16">
        <f t="shared" ref="F13" si="33">(C13*D13*E13/1000)</f>
        <v>1.3922999999999999</v>
      </c>
      <c r="G13" s="17"/>
      <c r="H13" s="18"/>
      <c r="I13" s="19">
        <f t="shared" ref="I13" si="34">(C13*D13*H13/1000)</f>
        <v>0</v>
      </c>
      <c r="J13" s="16"/>
      <c r="K13" s="18"/>
      <c r="L13" s="19">
        <f t="shared" ref="L13" si="35">(C13*D13*K13/1000)</f>
        <v>0</v>
      </c>
      <c r="M13" s="16"/>
      <c r="N13" s="18"/>
      <c r="O13" s="19">
        <f t="shared" ref="O13" si="36">(C13*D13*N13/1000)</f>
        <v>0</v>
      </c>
      <c r="P13" s="16"/>
      <c r="Q13" s="18"/>
      <c r="R13" s="19">
        <f t="shared" ref="R13" si="37">(C13*D13*Q13/1000)</f>
        <v>0</v>
      </c>
      <c r="S13" s="20">
        <f t="shared" ref="S13:T13" si="38">+H13+K13+Q13+N13</f>
        <v>0</v>
      </c>
      <c r="T13" s="19">
        <f t="shared" si="38"/>
        <v>0</v>
      </c>
      <c r="U13" s="21">
        <f t="shared" ref="U13:V13" si="39">E13-S13</f>
        <v>4</v>
      </c>
      <c r="V13" s="19">
        <f t="shared" si="39"/>
        <v>1.3922999999999999</v>
      </c>
    </row>
    <row r="14" spans="1:22">
      <c r="A14" s="36"/>
      <c r="B14" s="36"/>
      <c r="C14" s="37"/>
      <c r="D14" s="38"/>
      <c r="E14" s="31">
        <f>SUM(E13:E13)</f>
        <v>4</v>
      </c>
      <c r="F14" s="38">
        <f>SUM(F13:F13)</f>
        <v>1.3922999999999999</v>
      </c>
      <c r="G14" s="17"/>
      <c r="H14" s="31">
        <f>SUM(H13:H13)</f>
        <v>0</v>
      </c>
      <c r="I14" s="38">
        <f>SUM(I13:I13)</f>
        <v>0</v>
      </c>
      <c r="J14" s="16"/>
      <c r="K14" s="31">
        <f>SUM(K13:K13)</f>
        <v>0</v>
      </c>
      <c r="L14" s="38">
        <f>SUM(L13:L13)</f>
        <v>0</v>
      </c>
      <c r="M14" s="16"/>
      <c r="N14" s="31">
        <f>SUM(N13:N13)</f>
        <v>0</v>
      </c>
      <c r="O14" s="38">
        <f>SUM(O13:O13)</f>
        <v>0</v>
      </c>
      <c r="P14" s="16"/>
      <c r="Q14" s="31">
        <f t="shared" ref="Q14:V14" si="40">SUM(Q13:Q13)</f>
        <v>0</v>
      </c>
      <c r="R14" s="38">
        <f t="shared" si="40"/>
        <v>0</v>
      </c>
      <c r="S14" s="31">
        <f t="shared" si="40"/>
        <v>0</v>
      </c>
      <c r="T14" s="38">
        <f t="shared" si="40"/>
        <v>0</v>
      </c>
      <c r="U14" s="31">
        <f t="shared" si="40"/>
        <v>4</v>
      </c>
      <c r="V14" s="38">
        <f t="shared" si="40"/>
        <v>1.3922999999999999</v>
      </c>
    </row>
    <row r="15" spans="1:22">
      <c r="A15" s="26" t="s">
        <v>13</v>
      </c>
      <c r="B15" s="26" t="s">
        <v>181</v>
      </c>
      <c r="C15" s="30">
        <v>6.38</v>
      </c>
      <c r="D15" s="27">
        <v>10</v>
      </c>
      <c r="E15" s="28">
        <v>15</v>
      </c>
      <c r="F15" s="16">
        <f t="shared" ref="F15" si="41">(C15*D15*E15/1000)</f>
        <v>0.95699999999999996</v>
      </c>
      <c r="G15" s="17" t="s">
        <v>455</v>
      </c>
      <c r="H15" s="18">
        <v>15</v>
      </c>
      <c r="I15" s="19">
        <f t="shared" ref="I15" si="42">(C15*D15*H15/1000)</f>
        <v>0.95699999999999996</v>
      </c>
      <c r="J15" s="16"/>
      <c r="K15" s="18"/>
      <c r="L15" s="19">
        <f t="shared" ref="L15" si="43">(C15*D15*K15/1000)</f>
        <v>0</v>
      </c>
      <c r="M15" s="16"/>
      <c r="N15" s="18"/>
      <c r="O15" s="19">
        <f t="shared" ref="O15" si="44">(C15*D15*N15/1000)</f>
        <v>0</v>
      </c>
      <c r="P15" s="16"/>
      <c r="Q15" s="18"/>
      <c r="R15" s="19">
        <f t="shared" ref="R15" si="45">(C15*D15*Q15/1000)</f>
        <v>0</v>
      </c>
      <c r="S15" s="20">
        <f t="shared" ref="S15:T15" si="46">+H15+K15+Q15+N15</f>
        <v>15</v>
      </c>
      <c r="T15" s="19">
        <f t="shared" si="46"/>
        <v>0.95699999999999996</v>
      </c>
      <c r="U15" s="21">
        <f t="shared" ref="U15:V15" si="47">E15-S15</f>
        <v>0</v>
      </c>
      <c r="V15" s="19">
        <f t="shared" si="47"/>
        <v>0</v>
      </c>
    </row>
    <row r="16" spans="1:22">
      <c r="A16" s="26" t="s">
        <v>13</v>
      </c>
      <c r="B16" s="26" t="s">
        <v>181</v>
      </c>
      <c r="C16" s="30">
        <v>6.38</v>
      </c>
      <c r="D16" s="27">
        <v>12</v>
      </c>
      <c r="E16" s="28">
        <v>15</v>
      </c>
      <c r="F16" s="16">
        <f t="shared" ref="F16" si="48">(C16*D16*E16/1000)</f>
        <v>1.1484000000000001</v>
      </c>
      <c r="G16" s="17" t="s">
        <v>613</v>
      </c>
      <c r="H16" s="18">
        <v>15</v>
      </c>
      <c r="I16" s="19">
        <f t="shared" ref="I16" si="49">(C16*D16*H16/1000)</f>
        <v>1.1484000000000001</v>
      </c>
      <c r="J16" s="16"/>
      <c r="K16" s="18"/>
      <c r="L16" s="19">
        <f t="shared" ref="L16" si="50">(C16*D16*K16/1000)</f>
        <v>0</v>
      </c>
      <c r="M16" s="16"/>
      <c r="N16" s="18"/>
      <c r="O16" s="19">
        <f t="shared" ref="O16" si="51">(C16*D16*N16/1000)</f>
        <v>0</v>
      </c>
      <c r="P16" s="16"/>
      <c r="Q16" s="18"/>
      <c r="R16" s="19">
        <f t="shared" ref="R16" si="52">(C16*D16*Q16/1000)</f>
        <v>0</v>
      </c>
      <c r="S16" s="20">
        <f t="shared" ref="S16" si="53">+H16+K16+Q16+N16</f>
        <v>15</v>
      </c>
      <c r="T16" s="19">
        <f t="shared" ref="T16" si="54">+I16+L16+R16+O16</f>
        <v>1.1484000000000001</v>
      </c>
      <c r="U16" s="21">
        <f t="shared" ref="U16" si="55">E16-S16</f>
        <v>0</v>
      </c>
      <c r="V16" s="19">
        <f t="shared" ref="V16" si="56">F16-T16</f>
        <v>0</v>
      </c>
    </row>
    <row r="17" spans="1:22">
      <c r="A17" s="36"/>
      <c r="B17" s="36"/>
      <c r="C17" s="37"/>
      <c r="D17" s="38"/>
      <c r="E17" s="31">
        <f>SUM(E15:E16)</f>
        <v>30</v>
      </c>
      <c r="F17" s="38">
        <f>SUM(F15:F16)</f>
        <v>2.1053999999999999</v>
      </c>
      <c r="G17" s="16"/>
      <c r="H17" s="31">
        <f t="shared" ref="H17" si="57">SUM(H15:H16)</f>
        <v>30</v>
      </c>
      <c r="I17" s="38">
        <f t="shared" ref="I17" si="58">SUM(I15:I16)</f>
        <v>2.1053999999999999</v>
      </c>
      <c r="J17" s="17"/>
      <c r="K17" s="31">
        <f t="shared" ref="K17" si="59">SUM(K15:K16)</f>
        <v>0</v>
      </c>
      <c r="L17" s="38">
        <f t="shared" ref="L17" si="60">SUM(L15:L16)</f>
        <v>0</v>
      </c>
      <c r="M17" s="16"/>
      <c r="N17" s="31">
        <f t="shared" ref="N17" si="61">SUM(N15:N16)</f>
        <v>0</v>
      </c>
      <c r="O17" s="38">
        <f t="shared" ref="O17" si="62">SUM(O15:O16)</f>
        <v>0</v>
      </c>
      <c r="P17" s="16"/>
      <c r="Q17" s="31">
        <f t="shared" ref="Q17" si="63">SUM(Q15:Q16)</f>
        <v>0</v>
      </c>
      <c r="R17" s="38">
        <f t="shared" ref="R17" si="64">SUM(R15:R16)</f>
        <v>0</v>
      </c>
      <c r="S17" s="31">
        <f t="shared" ref="S17" si="65">SUM(S15:S16)</f>
        <v>30</v>
      </c>
      <c r="T17" s="38">
        <f t="shared" ref="T17" si="66">SUM(T15:T16)</f>
        <v>2.1053999999999999</v>
      </c>
      <c r="U17" s="31">
        <f t="shared" ref="U17" si="67">SUM(U15:U16)</f>
        <v>0</v>
      </c>
      <c r="V17" s="38">
        <f t="shared" ref="V17" si="68">SUM(V15:V16)</f>
        <v>0</v>
      </c>
    </row>
    <row r="18" spans="1:22">
      <c r="A18" s="26" t="s">
        <v>13</v>
      </c>
      <c r="B18" s="26" t="s">
        <v>34</v>
      </c>
      <c r="C18" s="30">
        <v>5.76</v>
      </c>
      <c r="D18" s="27">
        <v>10</v>
      </c>
      <c r="E18" s="28">
        <v>3</v>
      </c>
      <c r="F18" s="16">
        <f t="shared" ref="F18" si="69">(C18*D18*E18/1000)</f>
        <v>0.17279999999999998</v>
      </c>
      <c r="G18" s="17"/>
      <c r="H18" s="18"/>
      <c r="I18" s="19">
        <f t="shared" ref="I18" si="70">(C18*D18*H18/1000)</f>
        <v>0</v>
      </c>
      <c r="J18" s="16"/>
      <c r="K18" s="18"/>
      <c r="L18" s="19">
        <f t="shared" ref="L18" si="71">(C18*D18*K18/1000)</f>
        <v>0</v>
      </c>
      <c r="M18" s="16"/>
      <c r="N18" s="18"/>
      <c r="O18" s="19">
        <f t="shared" ref="O18" si="72">(C18*D18*N18/1000)</f>
        <v>0</v>
      </c>
      <c r="P18" s="16"/>
      <c r="Q18" s="18"/>
      <c r="R18" s="19">
        <f t="shared" ref="R18" si="73">(C18*D18*Q18/1000)</f>
        <v>0</v>
      </c>
      <c r="S18" s="20">
        <f t="shared" ref="S18:T18" si="74">+H18+K18+Q18+N18</f>
        <v>0</v>
      </c>
      <c r="T18" s="19">
        <f t="shared" si="74"/>
        <v>0</v>
      </c>
      <c r="U18" s="21">
        <f t="shared" ref="U18:V18" si="75">E18-S18</f>
        <v>3</v>
      </c>
      <c r="V18" s="19">
        <f t="shared" si="75"/>
        <v>0.17279999999999998</v>
      </c>
    </row>
    <row r="19" spans="1:22">
      <c r="A19" s="36"/>
      <c r="B19" s="36"/>
      <c r="C19" s="37"/>
      <c r="D19" s="38"/>
      <c r="E19" s="31">
        <f>SUM(E18:E18)</f>
        <v>3</v>
      </c>
      <c r="F19" s="38">
        <f>SUM(F18:F18)</f>
        <v>0.17279999999999998</v>
      </c>
      <c r="G19" s="16"/>
      <c r="H19" s="31">
        <f>SUM(H18:H18)</f>
        <v>0</v>
      </c>
      <c r="I19" s="38">
        <f>SUM(I18:I18)</f>
        <v>0</v>
      </c>
      <c r="J19" s="16"/>
      <c r="K19" s="31">
        <f>SUM(K18:K18)</f>
        <v>0</v>
      </c>
      <c r="L19" s="38">
        <f>SUM(L18:L18)</f>
        <v>0</v>
      </c>
      <c r="M19" s="16"/>
      <c r="N19" s="31">
        <f>SUM(N18:N18)</f>
        <v>0</v>
      </c>
      <c r="O19" s="38">
        <f>SUM(O18:O18)</f>
        <v>0</v>
      </c>
      <c r="P19" s="16"/>
      <c r="Q19" s="31">
        <f t="shared" ref="Q19:V19" si="76">SUM(Q18:Q18)</f>
        <v>0</v>
      </c>
      <c r="R19" s="38">
        <f t="shared" si="76"/>
        <v>0</v>
      </c>
      <c r="S19" s="31">
        <f t="shared" si="76"/>
        <v>0</v>
      </c>
      <c r="T19" s="38">
        <f t="shared" si="76"/>
        <v>0</v>
      </c>
      <c r="U19" s="31">
        <f t="shared" si="76"/>
        <v>3</v>
      </c>
      <c r="V19" s="38">
        <f t="shared" si="76"/>
        <v>0.17279999999999998</v>
      </c>
    </row>
    <row r="20" spans="1:22">
      <c r="A20" s="26" t="s">
        <v>13</v>
      </c>
      <c r="B20" s="26" t="s">
        <v>35</v>
      </c>
      <c r="C20" s="30">
        <v>6.85</v>
      </c>
      <c r="D20" s="27">
        <v>10</v>
      </c>
      <c r="E20" s="28">
        <v>7</v>
      </c>
      <c r="F20" s="16">
        <f t="shared" ref="F20" si="77">(C20*D20*E20/1000)</f>
        <v>0.47949999999999998</v>
      </c>
      <c r="G20" s="17"/>
      <c r="H20" s="18"/>
      <c r="I20" s="19">
        <f t="shared" ref="I20" si="78">(C20*D20*H20/1000)</f>
        <v>0</v>
      </c>
      <c r="J20" s="16"/>
      <c r="K20" s="18"/>
      <c r="L20" s="19">
        <f t="shared" ref="L20" si="79">(C20*D20*K20/1000)</f>
        <v>0</v>
      </c>
      <c r="M20" s="16"/>
      <c r="N20" s="18"/>
      <c r="O20" s="19">
        <f t="shared" ref="O20" si="80">(C20*D20*N20/1000)</f>
        <v>0</v>
      </c>
      <c r="P20" s="16"/>
      <c r="Q20" s="18"/>
      <c r="R20" s="19">
        <f t="shared" ref="R20" si="81">(C20*D20*Q20/1000)</f>
        <v>0</v>
      </c>
      <c r="S20" s="20">
        <f t="shared" ref="S20:T20" si="82">+H20+K20+Q20+N20</f>
        <v>0</v>
      </c>
      <c r="T20" s="19">
        <f t="shared" si="82"/>
        <v>0</v>
      </c>
      <c r="U20" s="21">
        <f t="shared" ref="U20:V20" si="83">E20-S20</f>
        <v>7</v>
      </c>
      <c r="V20" s="19">
        <f t="shared" si="83"/>
        <v>0.47949999999999998</v>
      </c>
    </row>
    <row r="21" spans="1:22">
      <c r="A21" s="36"/>
      <c r="B21" s="36"/>
      <c r="C21" s="37"/>
      <c r="D21" s="38"/>
      <c r="E21" s="31">
        <f>SUM(E20:E20)</f>
        <v>7</v>
      </c>
      <c r="F21" s="38">
        <f>SUM(F20:F20)</f>
        <v>0.47949999999999998</v>
      </c>
      <c r="G21" s="17"/>
      <c r="H21" s="31">
        <f>SUM(H20:H20)</f>
        <v>0</v>
      </c>
      <c r="I21" s="38">
        <f>SUM(I20:I20)</f>
        <v>0</v>
      </c>
      <c r="J21" s="16"/>
      <c r="K21" s="31">
        <f>SUM(K20:K20)</f>
        <v>0</v>
      </c>
      <c r="L21" s="38">
        <f>SUM(L20:L20)</f>
        <v>0</v>
      </c>
      <c r="M21" s="16"/>
      <c r="N21" s="31">
        <f>SUM(N20:N20)</f>
        <v>0</v>
      </c>
      <c r="O21" s="38">
        <f>SUM(O20:O20)</f>
        <v>0</v>
      </c>
      <c r="P21" s="16"/>
      <c r="Q21" s="31">
        <f t="shared" ref="Q21:V21" si="84">SUM(Q20:Q20)</f>
        <v>0</v>
      </c>
      <c r="R21" s="38">
        <f t="shared" si="84"/>
        <v>0</v>
      </c>
      <c r="S21" s="31">
        <f t="shared" si="84"/>
        <v>0</v>
      </c>
      <c r="T21" s="38">
        <f t="shared" si="84"/>
        <v>0</v>
      </c>
      <c r="U21" s="31">
        <f t="shared" si="84"/>
        <v>7</v>
      </c>
      <c r="V21" s="38">
        <f t="shared" si="84"/>
        <v>0.47949999999999998</v>
      </c>
    </row>
    <row r="22" spans="1:22">
      <c r="A22" s="26" t="s">
        <v>13</v>
      </c>
      <c r="B22" s="26" t="s">
        <v>58</v>
      </c>
      <c r="C22" s="30">
        <v>7.36</v>
      </c>
      <c r="D22" s="27">
        <v>11</v>
      </c>
      <c r="E22" s="28">
        <v>7</v>
      </c>
      <c r="F22" s="16">
        <f t="shared" ref="F22" si="85">(C22*D22*E22/1000)</f>
        <v>0.56672</v>
      </c>
      <c r="G22" s="17"/>
      <c r="H22" s="18"/>
      <c r="I22" s="19">
        <f t="shared" ref="I22" si="86">(C22*D22*H22/1000)</f>
        <v>0</v>
      </c>
      <c r="J22" s="16"/>
      <c r="K22" s="18"/>
      <c r="L22" s="19">
        <f t="shared" ref="L22" si="87">(C22*D22*K22/1000)</f>
        <v>0</v>
      </c>
      <c r="M22" s="16"/>
      <c r="N22" s="18"/>
      <c r="O22" s="19">
        <f t="shared" ref="O22" si="88">(C22*D22*N22/1000)</f>
        <v>0</v>
      </c>
      <c r="P22" s="16"/>
      <c r="Q22" s="18"/>
      <c r="R22" s="19">
        <f t="shared" ref="R22" si="89">(C22*D22*Q22/1000)</f>
        <v>0</v>
      </c>
      <c r="S22" s="20">
        <f t="shared" ref="S22:T22" si="90">+H22+K22+Q22+N22</f>
        <v>0</v>
      </c>
      <c r="T22" s="19">
        <f t="shared" si="90"/>
        <v>0</v>
      </c>
      <c r="U22" s="21">
        <f t="shared" ref="U22:V22" si="91">E22-S22</f>
        <v>7</v>
      </c>
      <c r="V22" s="19">
        <f t="shared" si="91"/>
        <v>0.56672</v>
      </c>
    </row>
    <row r="23" spans="1:22">
      <c r="A23" s="36"/>
      <c r="B23" s="36"/>
      <c r="C23" s="37"/>
      <c r="D23" s="38"/>
      <c r="E23" s="31">
        <f>SUM(E22:E22)</f>
        <v>7</v>
      </c>
      <c r="F23" s="38">
        <f>SUM(F22:F22)</f>
        <v>0.56672</v>
      </c>
      <c r="G23" s="17"/>
      <c r="H23" s="31">
        <f>SUM(H22:H22)</f>
        <v>0</v>
      </c>
      <c r="I23" s="38">
        <f>SUM(I22:I22)</f>
        <v>0</v>
      </c>
      <c r="J23" s="16"/>
      <c r="K23" s="31">
        <f>SUM(K22:K22)</f>
        <v>0</v>
      </c>
      <c r="L23" s="38">
        <f>SUM(L22:L22)</f>
        <v>0</v>
      </c>
      <c r="M23" s="16"/>
      <c r="N23" s="31">
        <f>SUM(N22:N22)</f>
        <v>0</v>
      </c>
      <c r="O23" s="38">
        <f>SUM(O22:O22)</f>
        <v>0</v>
      </c>
      <c r="P23" s="16"/>
      <c r="Q23" s="31">
        <f t="shared" ref="Q23:V23" si="92">SUM(Q22:Q22)</f>
        <v>0</v>
      </c>
      <c r="R23" s="38">
        <f t="shared" si="92"/>
        <v>0</v>
      </c>
      <c r="S23" s="31">
        <f t="shared" si="92"/>
        <v>0</v>
      </c>
      <c r="T23" s="38">
        <f t="shared" si="92"/>
        <v>0</v>
      </c>
      <c r="U23" s="31">
        <f t="shared" si="92"/>
        <v>7</v>
      </c>
      <c r="V23" s="38">
        <f t="shared" si="92"/>
        <v>0.56672</v>
      </c>
    </row>
    <row r="24" spans="1:22">
      <c r="A24" s="26" t="s">
        <v>13</v>
      </c>
      <c r="B24" s="26" t="s">
        <v>37</v>
      </c>
      <c r="C24" s="30">
        <v>9.61</v>
      </c>
      <c r="D24" s="27">
        <v>12</v>
      </c>
      <c r="E24" s="28">
        <v>7</v>
      </c>
      <c r="F24" s="16">
        <f t="shared" ref="F24" si="93">(C24*D24*E24/1000)</f>
        <v>0.80723999999999996</v>
      </c>
      <c r="G24" s="17"/>
      <c r="H24" s="18"/>
      <c r="I24" s="19">
        <f t="shared" ref="I24" si="94">(C24*D24*H24/1000)</f>
        <v>0</v>
      </c>
      <c r="J24" s="16"/>
      <c r="K24" s="18"/>
      <c r="L24" s="19">
        <f t="shared" ref="L24" si="95">(C24*D24*K24/1000)</f>
        <v>0</v>
      </c>
      <c r="M24" s="16"/>
      <c r="N24" s="18"/>
      <c r="O24" s="19">
        <f t="shared" ref="O24" si="96">(C24*D24*N24/1000)</f>
        <v>0</v>
      </c>
      <c r="P24" s="16"/>
      <c r="Q24" s="18"/>
      <c r="R24" s="19">
        <f t="shared" ref="R24" si="97">(C24*D24*Q24/1000)</f>
        <v>0</v>
      </c>
      <c r="S24" s="20">
        <f t="shared" ref="S24:T24" si="98">+H24+K24+Q24+N24</f>
        <v>0</v>
      </c>
      <c r="T24" s="19">
        <f t="shared" si="98"/>
        <v>0</v>
      </c>
      <c r="U24" s="21">
        <f t="shared" ref="U24:V24" si="99">E24-S24</f>
        <v>7</v>
      </c>
      <c r="V24" s="19">
        <f t="shared" si="99"/>
        <v>0.80723999999999996</v>
      </c>
    </row>
    <row r="25" spans="1:22">
      <c r="A25" s="36"/>
      <c r="B25" s="36"/>
      <c r="C25" s="37"/>
      <c r="D25" s="38"/>
      <c r="E25" s="31">
        <f>SUM(E24:E24)</f>
        <v>7</v>
      </c>
      <c r="F25" s="38">
        <f>SUM(F24:F24)</f>
        <v>0.80723999999999996</v>
      </c>
      <c r="G25" s="26"/>
      <c r="H25" s="31">
        <f>SUM(H24:H24)</f>
        <v>0</v>
      </c>
      <c r="I25" s="38">
        <f>SUM(I24:I24)</f>
        <v>0</v>
      </c>
      <c r="J25" s="26"/>
      <c r="K25" s="31">
        <f>SUM(K24:K24)</f>
        <v>0</v>
      </c>
      <c r="L25" s="38">
        <f>SUM(L24:L24)</f>
        <v>0</v>
      </c>
      <c r="M25" s="26"/>
      <c r="N25" s="31">
        <f>SUM(N24:N24)</f>
        <v>0</v>
      </c>
      <c r="O25" s="38">
        <f>SUM(O24:O24)</f>
        <v>0</v>
      </c>
      <c r="P25" s="26"/>
      <c r="Q25" s="31">
        <f t="shared" ref="Q25:V25" si="100">SUM(Q24:Q24)</f>
        <v>0</v>
      </c>
      <c r="R25" s="38">
        <f t="shared" si="100"/>
        <v>0</v>
      </c>
      <c r="S25" s="31">
        <f t="shared" si="100"/>
        <v>0</v>
      </c>
      <c r="T25" s="38">
        <f t="shared" si="100"/>
        <v>0</v>
      </c>
      <c r="U25" s="31">
        <f t="shared" si="100"/>
        <v>7</v>
      </c>
      <c r="V25" s="38">
        <f t="shared" si="100"/>
        <v>0.80723999999999996</v>
      </c>
    </row>
    <row r="26" spans="1:22">
      <c r="A26" s="33"/>
      <c r="B26" s="33"/>
      <c r="C26" s="34"/>
      <c r="D26" s="34"/>
      <c r="E26" s="34">
        <f>SUM(E6:E25)/2</f>
        <v>68</v>
      </c>
      <c r="F26" s="35">
        <f>SUM(F6:F25)/2</f>
        <v>6.8757799999999998</v>
      </c>
      <c r="G26" s="26"/>
      <c r="H26" s="34">
        <f>SUM(H6:H25)/2</f>
        <v>30</v>
      </c>
      <c r="I26" s="35">
        <f>SUM(I6:I25)/2</f>
        <v>2.1053999999999999</v>
      </c>
      <c r="J26" s="26"/>
      <c r="K26" s="34">
        <f>SUM(K6:K25)/2</f>
        <v>0</v>
      </c>
      <c r="L26" s="35">
        <f>SUM(L6:L25)/2</f>
        <v>0</v>
      </c>
      <c r="M26" s="26"/>
      <c r="N26" s="34">
        <f>SUM(N6:N25)/2</f>
        <v>0</v>
      </c>
      <c r="O26" s="35">
        <f>SUM(O6:O25)/2</f>
        <v>0</v>
      </c>
      <c r="P26" s="26"/>
      <c r="Q26" s="34">
        <f t="shared" ref="Q26:V26" si="101">SUM(Q6:Q25)/2</f>
        <v>0</v>
      </c>
      <c r="R26" s="35">
        <f t="shared" si="101"/>
        <v>0</v>
      </c>
      <c r="S26" s="34">
        <f t="shared" si="101"/>
        <v>30</v>
      </c>
      <c r="T26" s="35">
        <f t="shared" si="101"/>
        <v>2.1053999999999999</v>
      </c>
      <c r="U26" s="34">
        <f t="shared" si="101"/>
        <v>38</v>
      </c>
      <c r="V26" s="35">
        <f t="shared" si="101"/>
        <v>4.7703799999999994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V25"/>
  <sheetViews>
    <sheetView zoomScale="75" zoomScaleNormal="75" workbookViewId="0">
      <pane ySplit="5" topLeftCell="A6" activePane="bottomLeft" state="frozen"/>
      <selection pane="bottomLeft" activeCell="G10" sqref="G10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LOI-1356  18.12.23</v>
      </c>
      <c r="D1" s="1"/>
      <c r="E1" s="2"/>
      <c r="F1" s="2"/>
      <c r="G1" s="143" t="s">
        <v>578</v>
      </c>
      <c r="H1" s="144"/>
      <c r="I1" s="145" t="s">
        <v>575</v>
      </c>
      <c r="J1" s="144"/>
      <c r="K1" s="3"/>
      <c r="L1" s="4"/>
      <c r="M1" s="4"/>
      <c r="N1" s="3"/>
      <c r="O1" s="4"/>
      <c r="P1" s="146" t="str">
        <f>+F2</f>
        <v>LOI-1356  18.12.23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468</v>
      </c>
      <c r="B2" s="8"/>
      <c r="C2" s="9"/>
      <c r="D2" s="9"/>
      <c r="E2" s="10"/>
      <c r="F2" s="146" t="s">
        <v>579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LOI-1356  18.12.23</v>
      </c>
      <c r="V2" s="146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46</v>
      </c>
      <c r="C6" s="30">
        <v>10.73</v>
      </c>
      <c r="D6" s="27">
        <v>6.1</v>
      </c>
      <c r="E6" s="28">
        <v>1</v>
      </c>
      <c r="F6" s="16">
        <f>(C6*D6*E6/1000)</f>
        <v>6.5452999999999997E-2</v>
      </c>
      <c r="G6" s="17" t="s">
        <v>150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1</v>
      </c>
      <c r="V6" s="19">
        <f>F6-T6</f>
        <v>6.5452999999999997E-2</v>
      </c>
    </row>
    <row r="7" spans="1:22">
      <c r="A7" s="26" t="s">
        <v>13</v>
      </c>
      <c r="B7" s="26" t="s">
        <v>46</v>
      </c>
      <c r="C7" s="30">
        <v>10.73</v>
      </c>
      <c r="D7" s="27">
        <v>7.5</v>
      </c>
      <c r="E7" s="28"/>
      <c r="F7" s="16">
        <f>(C7*D7*E7/1000)</f>
        <v>0</v>
      </c>
      <c r="G7" s="17" t="s">
        <v>611</v>
      </c>
      <c r="H7" s="18">
        <v>1</v>
      </c>
      <c r="I7" s="19">
        <f>(C7*D7*H7/1000)</f>
        <v>8.0475000000000005E-2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+H7+K7+Q7+N7</f>
        <v>1</v>
      </c>
      <c r="T7" s="19">
        <f>+I7+L7+R7+O7</f>
        <v>8.0475000000000005E-2</v>
      </c>
      <c r="U7" s="21">
        <f>E7-S7</f>
        <v>-1</v>
      </c>
      <c r="V7" s="19">
        <f>F7-T7</f>
        <v>-8.0475000000000005E-2</v>
      </c>
    </row>
    <row r="8" spans="1:22">
      <c r="A8" s="36"/>
      <c r="B8" s="36"/>
      <c r="C8" s="30"/>
      <c r="D8" s="38"/>
      <c r="E8" s="31">
        <f t="shared" ref="E8:F8" si="0">SUM(E6:E7)</f>
        <v>1</v>
      </c>
      <c r="F8" s="38">
        <f t="shared" si="0"/>
        <v>6.5452999999999997E-2</v>
      </c>
      <c r="G8" s="17"/>
      <c r="H8" s="31">
        <f t="shared" ref="H8" si="1">SUM(H6:H7)</f>
        <v>1</v>
      </c>
      <c r="I8" s="38">
        <f t="shared" ref="I8" si="2">SUM(I6:I7)</f>
        <v>8.0475000000000005E-2</v>
      </c>
      <c r="J8" s="16"/>
      <c r="K8" s="31">
        <f t="shared" ref="K8" si="3">SUM(K6:K7)</f>
        <v>0</v>
      </c>
      <c r="L8" s="38">
        <f t="shared" ref="L8" si="4">SUM(L6:L7)</f>
        <v>0</v>
      </c>
      <c r="M8" s="16"/>
      <c r="N8" s="31">
        <f t="shared" ref="N8" si="5">SUM(N6:N7)</f>
        <v>0</v>
      </c>
      <c r="O8" s="38">
        <f t="shared" ref="O8" si="6">SUM(O6:O7)</f>
        <v>0</v>
      </c>
      <c r="P8" s="16"/>
      <c r="Q8" s="31">
        <f t="shared" ref="Q8" si="7">SUM(Q6:Q7)</f>
        <v>0</v>
      </c>
      <c r="R8" s="38">
        <f t="shared" ref="R8" si="8">SUM(R6:R7)</f>
        <v>0</v>
      </c>
      <c r="S8" s="31">
        <f t="shared" ref="S8" si="9">SUM(S6:S7)</f>
        <v>1</v>
      </c>
      <c r="T8" s="38">
        <f t="shared" ref="T8" si="10">SUM(T6:T7)</f>
        <v>8.0475000000000005E-2</v>
      </c>
      <c r="U8" s="31">
        <f t="shared" ref="U8" si="11">SUM(U6:U7)</f>
        <v>0</v>
      </c>
      <c r="V8" s="38">
        <f t="shared" ref="V8" si="12">SUM(V6:V7)</f>
        <v>-1.5022000000000008E-2</v>
      </c>
    </row>
    <row r="9" spans="1:22">
      <c r="A9" s="26" t="s">
        <v>13</v>
      </c>
      <c r="B9" s="26" t="s">
        <v>61</v>
      </c>
      <c r="C9" s="30">
        <v>12.2</v>
      </c>
      <c r="D9" s="27">
        <v>6.1</v>
      </c>
      <c r="E9" s="28">
        <v>2</v>
      </c>
      <c r="F9" s="16">
        <f>(C9*D9*E9/1000)</f>
        <v>0.14883999999999997</v>
      </c>
      <c r="G9" s="17"/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2</v>
      </c>
      <c r="V9" s="19">
        <f>F9-T9</f>
        <v>0.14883999999999997</v>
      </c>
    </row>
    <row r="10" spans="1:22">
      <c r="A10" s="36"/>
      <c r="B10" s="36"/>
      <c r="C10" s="30"/>
      <c r="D10" s="38"/>
      <c r="E10" s="31">
        <f t="shared" ref="E10:F10" si="13">SUM(E9)</f>
        <v>2</v>
      </c>
      <c r="F10" s="38">
        <f t="shared" si="13"/>
        <v>0.14883999999999997</v>
      </c>
      <c r="H10" s="31">
        <f t="shared" ref="H10" si="14">SUM(H9)</f>
        <v>0</v>
      </c>
      <c r="I10" s="38">
        <f t="shared" ref="I10" si="15">SUM(I9)</f>
        <v>0</v>
      </c>
      <c r="K10" s="31">
        <f t="shared" ref="K10" si="16">SUM(K9)</f>
        <v>0</v>
      </c>
      <c r="L10" s="38">
        <f t="shared" ref="L10" si="17">SUM(L9)</f>
        <v>0</v>
      </c>
      <c r="N10" s="31">
        <f t="shared" ref="N10" si="18">SUM(N9)</f>
        <v>0</v>
      </c>
      <c r="O10" s="38">
        <f t="shared" ref="O10" si="19">SUM(O9)</f>
        <v>0</v>
      </c>
      <c r="Q10" s="31">
        <f t="shared" ref="Q10" si="20">SUM(Q9)</f>
        <v>0</v>
      </c>
      <c r="R10" s="38">
        <f t="shared" ref="R10" si="21">SUM(R9)</f>
        <v>0</v>
      </c>
      <c r="S10" s="31">
        <f t="shared" ref="S10" si="22">SUM(S9)</f>
        <v>0</v>
      </c>
      <c r="T10" s="38">
        <f t="shared" ref="T10" si="23">SUM(T9)</f>
        <v>0</v>
      </c>
      <c r="U10" s="31">
        <f t="shared" ref="U10" si="24">SUM(U9)</f>
        <v>2</v>
      </c>
      <c r="V10" s="38">
        <f t="shared" ref="V10" si="25">SUM(V9)</f>
        <v>0.14883999999999997</v>
      </c>
    </row>
    <row r="11" spans="1:22">
      <c r="A11" s="26" t="s">
        <v>13</v>
      </c>
      <c r="B11" s="26" t="s">
        <v>25</v>
      </c>
      <c r="C11" s="30">
        <v>13.4</v>
      </c>
      <c r="D11" s="27">
        <v>7.5</v>
      </c>
      <c r="E11" s="28">
        <v>1</v>
      </c>
      <c r="F11" s="16">
        <f>(C11*D11*E11/1000)</f>
        <v>0.10050000000000001</v>
      </c>
      <c r="G11" s="16" t="s">
        <v>111</v>
      </c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0</v>
      </c>
      <c r="T11" s="19">
        <f>+I11+L11+R11+O11</f>
        <v>0</v>
      </c>
      <c r="U11" s="21">
        <f>E11-S11</f>
        <v>1</v>
      </c>
      <c r="V11" s="19">
        <f>F11-T11</f>
        <v>0.10050000000000001</v>
      </c>
    </row>
    <row r="12" spans="1:22">
      <c r="A12" s="26" t="s">
        <v>13</v>
      </c>
      <c r="B12" s="26" t="s">
        <v>25</v>
      </c>
      <c r="C12" s="30">
        <v>13.4</v>
      </c>
      <c r="D12" s="27">
        <v>8.1</v>
      </c>
      <c r="E12" s="28"/>
      <c r="F12" s="16">
        <f>(C12*D12*E12/1000)</f>
        <v>0</v>
      </c>
      <c r="G12" s="16" t="s">
        <v>604</v>
      </c>
      <c r="H12" s="18">
        <v>1</v>
      </c>
      <c r="I12" s="19">
        <f>(C12*D12*H12/1000)</f>
        <v>0.10854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1</v>
      </c>
      <c r="T12" s="19">
        <f>+I12+L12+R12+O12</f>
        <v>0.10854</v>
      </c>
      <c r="U12" s="21">
        <f>E12-S12</f>
        <v>-1</v>
      </c>
      <c r="V12" s="19">
        <f>F12-T12</f>
        <v>-0.10854</v>
      </c>
    </row>
    <row r="13" spans="1:22">
      <c r="A13" s="36"/>
      <c r="B13" s="36"/>
      <c r="C13" s="30"/>
      <c r="D13" s="38"/>
      <c r="E13" s="31">
        <f t="shared" ref="E13:F13" si="26">SUM(E11:E12)</f>
        <v>1</v>
      </c>
      <c r="F13" s="38">
        <f t="shared" si="26"/>
        <v>0.10050000000000001</v>
      </c>
      <c r="G13" s="16"/>
      <c r="H13" s="31">
        <f t="shared" ref="H13" si="27">SUM(H11:H12)</f>
        <v>1</v>
      </c>
      <c r="I13" s="38">
        <f t="shared" ref="I13" si="28">SUM(I11:I12)</f>
        <v>0.10854</v>
      </c>
      <c r="K13" s="31">
        <f t="shared" ref="K13" si="29">SUM(K11:K12)</f>
        <v>0</v>
      </c>
      <c r="L13" s="38">
        <f t="shared" ref="L13" si="30">SUM(L11:L12)</f>
        <v>0</v>
      </c>
      <c r="N13" s="31">
        <f t="shared" ref="N13" si="31">SUM(N11:N12)</f>
        <v>0</v>
      </c>
      <c r="O13" s="38">
        <f t="shared" ref="O13" si="32">SUM(O11:O12)</f>
        <v>0</v>
      </c>
      <c r="Q13" s="31">
        <f t="shared" ref="Q13" si="33">SUM(Q11:Q12)</f>
        <v>0</v>
      </c>
      <c r="R13" s="38">
        <f t="shared" ref="R13" si="34">SUM(R11:R12)</f>
        <v>0</v>
      </c>
      <c r="S13" s="31">
        <f t="shared" ref="S13" si="35">SUM(S11:S12)</f>
        <v>1</v>
      </c>
      <c r="T13" s="38">
        <f t="shared" ref="T13" si="36">SUM(T11:T12)</f>
        <v>0.10854</v>
      </c>
      <c r="U13" s="31">
        <f t="shared" ref="U13" si="37">SUM(U11:U12)</f>
        <v>0</v>
      </c>
      <c r="V13" s="38">
        <f t="shared" ref="V13" si="38">SUM(V11:V12)</f>
        <v>-8.0399999999999916E-3</v>
      </c>
    </row>
    <row r="14" spans="1:22">
      <c r="A14" s="26" t="s">
        <v>13</v>
      </c>
      <c r="B14" s="26" t="s">
        <v>47</v>
      </c>
      <c r="C14" s="30">
        <v>18.2</v>
      </c>
      <c r="D14" s="27">
        <v>9.5</v>
      </c>
      <c r="E14" s="28">
        <v>2</v>
      </c>
      <c r="F14" s="16">
        <f>(C14*D14*E14/1000)</f>
        <v>0.3458</v>
      </c>
      <c r="G14" s="17" t="s">
        <v>150</v>
      </c>
      <c r="H14" s="18">
        <v>2</v>
      </c>
      <c r="I14" s="19">
        <f>(C14*D14*H14/1000)</f>
        <v>0.3458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2</v>
      </c>
      <c r="T14" s="19">
        <f>+I14+L14+R14+O14</f>
        <v>0.3458</v>
      </c>
      <c r="U14" s="21">
        <f>E14-S14</f>
        <v>0</v>
      </c>
      <c r="V14" s="19">
        <f>F14-T14</f>
        <v>0</v>
      </c>
    </row>
    <row r="15" spans="1:22">
      <c r="A15" s="36"/>
      <c r="B15" s="36"/>
      <c r="C15" s="30"/>
      <c r="D15" s="38"/>
      <c r="E15" s="31">
        <f t="shared" ref="E15:F15" si="39">SUM(E14)</f>
        <v>2</v>
      </c>
      <c r="F15" s="38">
        <f t="shared" si="39"/>
        <v>0.3458</v>
      </c>
      <c r="G15" s="17" t="s">
        <v>611</v>
      </c>
      <c r="H15" s="31">
        <f t="shared" ref="H15" si="40">SUM(H14)</f>
        <v>2</v>
      </c>
      <c r="I15" s="38">
        <f t="shared" ref="I15" si="41">SUM(I14)</f>
        <v>0.3458</v>
      </c>
      <c r="K15" s="31">
        <f t="shared" ref="K15" si="42">SUM(K14)</f>
        <v>0</v>
      </c>
      <c r="L15" s="38">
        <f t="shared" ref="L15" si="43">SUM(L14)</f>
        <v>0</v>
      </c>
      <c r="N15" s="31">
        <f t="shared" ref="N15" si="44">SUM(N14)</f>
        <v>0</v>
      </c>
      <c r="O15" s="38">
        <f t="shared" ref="O15" si="45">SUM(O14)</f>
        <v>0</v>
      </c>
      <c r="Q15" s="31">
        <f t="shared" ref="Q15" si="46">SUM(Q14)</f>
        <v>0</v>
      </c>
      <c r="R15" s="38">
        <f t="shared" ref="R15" si="47">SUM(R14)</f>
        <v>0</v>
      </c>
      <c r="S15" s="31">
        <f t="shared" ref="S15" si="48">SUM(S14)</f>
        <v>2</v>
      </c>
      <c r="T15" s="38">
        <f t="shared" ref="T15" si="49">SUM(T14)</f>
        <v>0.3458</v>
      </c>
      <c r="U15" s="31">
        <f t="shared" ref="U15" si="50">SUM(U14)</f>
        <v>0</v>
      </c>
      <c r="V15" s="38">
        <f t="shared" ref="V15" si="51">SUM(V14)</f>
        <v>0</v>
      </c>
    </row>
    <row r="16" spans="1:22">
      <c r="A16" s="26" t="s">
        <v>13</v>
      </c>
      <c r="B16" s="26" t="s">
        <v>49</v>
      </c>
      <c r="C16" s="30">
        <v>14.7</v>
      </c>
      <c r="D16" s="27">
        <v>8.5500000000000007</v>
      </c>
      <c r="E16" s="28">
        <v>2</v>
      </c>
      <c r="F16" s="16">
        <f>(C16*D16*E16/1000)</f>
        <v>0.25136999999999998</v>
      </c>
      <c r="G16" s="17" t="s">
        <v>150</v>
      </c>
      <c r="H16" s="18"/>
      <c r="I16" s="19">
        <f>(C16*D16*H16/1000)</f>
        <v>0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0</v>
      </c>
      <c r="T16" s="19">
        <f>+I16+L16+R16+O16</f>
        <v>0</v>
      </c>
      <c r="U16" s="21">
        <f>E16-S16</f>
        <v>2</v>
      </c>
      <c r="V16" s="19">
        <f>F16-T16</f>
        <v>0.25136999999999998</v>
      </c>
    </row>
    <row r="17" spans="1:22">
      <c r="A17" s="26" t="s">
        <v>13</v>
      </c>
      <c r="B17" s="26" t="s">
        <v>49</v>
      </c>
      <c r="C17" s="30">
        <v>14.7</v>
      </c>
      <c r="D17" s="27">
        <v>9</v>
      </c>
      <c r="E17" s="28"/>
      <c r="F17" s="16">
        <f>(C17*D17*E17/1000)</f>
        <v>0</v>
      </c>
      <c r="G17" s="17" t="s">
        <v>611</v>
      </c>
      <c r="H17" s="18">
        <v>2</v>
      </c>
      <c r="I17" s="19">
        <f>(C17*D17*H17/1000)</f>
        <v>0.26459999999999995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2</v>
      </c>
      <c r="T17" s="19">
        <f>+I17+L17+R17+O17</f>
        <v>0.26459999999999995</v>
      </c>
      <c r="U17" s="21">
        <f>E17-S17</f>
        <v>-2</v>
      </c>
      <c r="V17" s="19">
        <f>F17-T17</f>
        <v>-0.26459999999999995</v>
      </c>
    </row>
    <row r="18" spans="1:22">
      <c r="A18" s="36"/>
      <c r="B18" s="36"/>
      <c r="C18" s="30"/>
      <c r="D18" s="38"/>
      <c r="E18" s="31">
        <f t="shared" ref="E18" si="52">SUM(E16:E17)</f>
        <v>2</v>
      </c>
      <c r="F18" s="38">
        <f t="shared" ref="F18" si="53">SUM(F16:F17)</f>
        <v>0.25136999999999998</v>
      </c>
      <c r="G18" s="17"/>
      <c r="H18" s="31">
        <f t="shared" ref="H18" si="54">SUM(H16:H17)</f>
        <v>2</v>
      </c>
      <c r="I18" s="38">
        <f t="shared" ref="I18" si="55">SUM(I16:I17)</f>
        <v>0.26459999999999995</v>
      </c>
      <c r="J18" s="16"/>
      <c r="K18" s="31">
        <f t="shared" ref="K18" si="56">SUM(K16:K17)</f>
        <v>0</v>
      </c>
      <c r="L18" s="38">
        <f t="shared" ref="L18" si="57">SUM(L16:L17)</f>
        <v>0</v>
      </c>
      <c r="M18" s="16"/>
      <c r="N18" s="31">
        <f t="shared" ref="N18" si="58">SUM(N16:N17)</f>
        <v>0</v>
      </c>
      <c r="O18" s="38">
        <f t="shared" ref="O18" si="59">SUM(O16:O17)</f>
        <v>0</v>
      </c>
      <c r="P18" s="16"/>
      <c r="Q18" s="31">
        <f t="shared" ref="Q18" si="60">SUM(Q16:Q17)</f>
        <v>0</v>
      </c>
      <c r="R18" s="38">
        <f t="shared" ref="R18" si="61">SUM(R16:R17)</f>
        <v>0</v>
      </c>
      <c r="S18" s="31">
        <f t="shared" ref="S18" si="62">SUM(S16:S17)</f>
        <v>2</v>
      </c>
      <c r="T18" s="38">
        <f t="shared" ref="T18" si="63">SUM(T16:T17)</f>
        <v>0.26459999999999995</v>
      </c>
      <c r="U18" s="31">
        <f t="shared" ref="U18" si="64">SUM(U16:U17)</f>
        <v>0</v>
      </c>
      <c r="V18" s="38">
        <f t="shared" ref="V18" si="65">SUM(V16:V17)</f>
        <v>-1.3229999999999964E-2</v>
      </c>
    </row>
    <row r="19" spans="1:22">
      <c r="A19" s="26" t="s">
        <v>13</v>
      </c>
      <c r="B19" s="26" t="s">
        <v>53</v>
      </c>
      <c r="C19" s="30">
        <v>23.6</v>
      </c>
      <c r="D19" s="27">
        <v>10.3</v>
      </c>
      <c r="E19" s="28">
        <v>2</v>
      </c>
      <c r="F19" s="16">
        <f>(C19*D19*E19/1000)</f>
        <v>0.48616000000000009</v>
      </c>
      <c r="G19" s="17" t="s">
        <v>150</v>
      </c>
      <c r="H19" s="18"/>
      <c r="I19" s="19">
        <f>(C19*D19*H19/1000)</f>
        <v>0</v>
      </c>
      <c r="J19" s="16"/>
      <c r="K19" s="18"/>
      <c r="L19" s="19">
        <f>(C19*D19*K19/1000)</f>
        <v>0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>+H19+K19+Q19+N19</f>
        <v>0</v>
      </c>
      <c r="T19" s="19">
        <f>+I19+L19+R19+O19</f>
        <v>0</v>
      </c>
      <c r="U19" s="21">
        <f>E19-S19</f>
        <v>2</v>
      </c>
      <c r="V19" s="19">
        <f>F19-T19</f>
        <v>0.48616000000000009</v>
      </c>
    </row>
    <row r="20" spans="1:22">
      <c r="A20" s="26" t="s">
        <v>13</v>
      </c>
      <c r="B20" s="26" t="s">
        <v>53</v>
      </c>
      <c r="C20" s="30">
        <v>23.6</v>
      </c>
      <c r="D20" s="27">
        <v>11</v>
      </c>
      <c r="E20" s="28"/>
      <c r="F20" s="16">
        <f>(C20*D20*E20/1000)</f>
        <v>0</v>
      </c>
      <c r="G20" s="17" t="s">
        <v>611</v>
      </c>
      <c r="H20" s="18">
        <v>2</v>
      </c>
      <c r="I20" s="19">
        <f>(C20*D20*H20/1000)</f>
        <v>0.51919999999999999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2</v>
      </c>
      <c r="T20" s="19">
        <f>+I20+L20+R20+O20</f>
        <v>0.51919999999999999</v>
      </c>
      <c r="U20" s="21">
        <f>E20-S20</f>
        <v>-2</v>
      </c>
      <c r="V20" s="19">
        <f>F20-T20</f>
        <v>-0.51919999999999999</v>
      </c>
    </row>
    <row r="21" spans="1:22">
      <c r="A21" s="36"/>
      <c r="B21" s="36"/>
      <c r="C21" s="30"/>
      <c r="D21" s="38"/>
      <c r="E21" s="31">
        <f t="shared" ref="E21" si="66">SUM(E19:E20)</f>
        <v>2</v>
      </c>
      <c r="F21" s="38">
        <f t="shared" ref="F21" si="67">SUM(F19:F20)</f>
        <v>0.48616000000000009</v>
      </c>
      <c r="G21" s="17"/>
      <c r="H21" s="31">
        <f t="shared" ref="H21" si="68">SUM(H19:H20)</f>
        <v>2</v>
      </c>
      <c r="I21" s="38">
        <f t="shared" ref="I21" si="69">SUM(I19:I20)</f>
        <v>0.51919999999999999</v>
      </c>
      <c r="J21" s="16"/>
      <c r="K21" s="31">
        <f t="shared" ref="K21" si="70">SUM(K19:K20)</f>
        <v>0</v>
      </c>
      <c r="L21" s="38">
        <f t="shared" ref="L21" si="71">SUM(L19:L20)</f>
        <v>0</v>
      </c>
      <c r="M21" s="16"/>
      <c r="N21" s="31">
        <f t="shared" ref="N21" si="72">SUM(N19:N20)</f>
        <v>0</v>
      </c>
      <c r="O21" s="38">
        <f t="shared" ref="O21" si="73">SUM(O19:O20)</f>
        <v>0</v>
      </c>
      <c r="P21" s="16"/>
      <c r="Q21" s="31">
        <f t="shared" ref="Q21" si="74">SUM(Q19:Q20)</f>
        <v>0</v>
      </c>
      <c r="R21" s="38">
        <f t="shared" ref="R21" si="75">SUM(R19:R20)</f>
        <v>0</v>
      </c>
      <c r="S21" s="31">
        <f t="shared" ref="S21" si="76">SUM(S19:S20)</f>
        <v>2</v>
      </c>
      <c r="T21" s="38">
        <f t="shared" ref="T21" si="77">SUM(T19:T20)</f>
        <v>0.51919999999999999</v>
      </c>
      <c r="U21" s="31">
        <f t="shared" ref="U21" si="78">SUM(U19:U20)</f>
        <v>0</v>
      </c>
      <c r="V21" s="38">
        <f t="shared" ref="V21" si="79">SUM(V19:V20)</f>
        <v>-3.3039999999999903E-2</v>
      </c>
    </row>
    <row r="22" spans="1:22">
      <c r="A22" s="26" t="s">
        <v>13</v>
      </c>
      <c r="B22" s="26" t="s">
        <v>212</v>
      </c>
      <c r="C22" s="30">
        <v>29.5</v>
      </c>
      <c r="D22" s="27">
        <v>7.3</v>
      </c>
      <c r="E22" s="28">
        <v>2</v>
      </c>
      <c r="F22" s="16">
        <f>(C22*D22*E22/1000)</f>
        <v>0.43069999999999997</v>
      </c>
      <c r="G22" s="17" t="s">
        <v>150</v>
      </c>
      <c r="H22" s="18"/>
      <c r="I22" s="19">
        <f>(C22*D22*H22/1000)</f>
        <v>0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0</v>
      </c>
      <c r="T22" s="19">
        <f>+I22+L22+R22+O22</f>
        <v>0</v>
      </c>
      <c r="U22" s="21">
        <f>E22-S22</f>
        <v>2</v>
      </c>
      <c r="V22" s="19">
        <f>F22-T22</f>
        <v>0.43069999999999997</v>
      </c>
    </row>
    <row r="23" spans="1:22">
      <c r="A23" s="26" t="s">
        <v>13</v>
      </c>
      <c r="B23" s="26" t="s">
        <v>212</v>
      </c>
      <c r="C23" s="30">
        <v>29.5</v>
      </c>
      <c r="D23" s="27">
        <v>9.6</v>
      </c>
      <c r="E23" s="28"/>
      <c r="F23" s="16">
        <f>(C23*D23*E23/1000)</f>
        <v>0</v>
      </c>
      <c r="G23" s="17" t="s">
        <v>611</v>
      </c>
      <c r="H23" s="18">
        <v>2</v>
      </c>
      <c r="I23" s="19">
        <f>(C23*D23*H23/1000)</f>
        <v>0.56640000000000001</v>
      </c>
      <c r="J23" s="16"/>
      <c r="K23" s="18"/>
      <c r="L23" s="19">
        <f>(C23*D23*K23/1000)</f>
        <v>0</v>
      </c>
      <c r="M23" s="16"/>
      <c r="N23" s="18"/>
      <c r="O23" s="19">
        <f>(C23*D23*N23/1000)</f>
        <v>0</v>
      </c>
      <c r="P23" s="16"/>
      <c r="Q23" s="18"/>
      <c r="R23" s="19">
        <f>(C23*D23*Q23/1000)</f>
        <v>0</v>
      </c>
      <c r="S23" s="20">
        <f>+H23+K23+Q23+N23</f>
        <v>2</v>
      </c>
      <c r="T23" s="19">
        <f>+I23+L23+R23+O23</f>
        <v>0.56640000000000001</v>
      </c>
      <c r="U23" s="21">
        <f>E23-S23</f>
        <v>-2</v>
      </c>
      <c r="V23" s="19">
        <f>F23-T23</f>
        <v>-0.56640000000000001</v>
      </c>
    </row>
    <row r="24" spans="1:22">
      <c r="A24" s="36"/>
      <c r="B24" s="36"/>
      <c r="C24" s="30"/>
      <c r="D24" s="38"/>
      <c r="E24" s="31">
        <f t="shared" ref="E24" si="80">SUM(E22:E23)</f>
        <v>2</v>
      </c>
      <c r="F24" s="38">
        <f t="shared" ref="F24" si="81">SUM(F22:F23)</f>
        <v>0.43069999999999997</v>
      </c>
      <c r="G24" s="17"/>
      <c r="H24" s="31">
        <f t="shared" ref="H24" si="82">SUM(H22:H23)</f>
        <v>2</v>
      </c>
      <c r="I24" s="38">
        <f t="shared" ref="I24" si="83">SUM(I22:I23)</f>
        <v>0.56640000000000001</v>
      </c>
      <c r="J24" s="16"/>
      <c r="K24" s="31">
        <f t="shared" ref="K24" si="84">SUM(K22:K23)</f>
        <v>0</v>
      </c>
      <c r="L24" s="38">
        <f t="shared" ref="L24" si="85">SUM(L22:L23)</f>
        <v>0</v>
      </c>
      <c r="M24" s="16"/>
      <c r="N24" s="31">
        <f t="shared" ref="N24" si="86">SUM(N22:N23)</f>
        <v>0</v>
      </c>
      <c r="O24" s="38">
        <f t="shared" ref="O24" si="87">SUM(O22:O23)</f>
        <v>0</v>
      </c>
      <c r="P24" s="16"/>
      <c r="Q24" s="31">
        <f t="shared" ref="Q24" si="88">SUM(Q22:Q23)</f>
        <v>0</v>
      </c>
      <c r="R24" s="38">
        <f t="shared" ref="R24" si="89">SUM(R22:R23)</f>
        <v>0</v>
      </c>
      <c r="S24" s="31">
        <f t="shared" ref="S24" si="90">SUM(S22:S23)</f>
        <v>2</v>
      </c>
      <c r="T24" s="38">
        <f t="shared" ref="T24" si="91">SUM(T22:T23)</f>
        <v>0.56640000000000001</v>
      </c>
      <c r="U24" s="31">
        <f t="shared" ref="U24" si="92">SUM(U22:U23)</f>
        <v>0</v>
      </c>
      <c r="V24" s="38">
        <f t="shared" ref="V24" si="93">SUM(V22:V23)</f>
        <v>-0.13570000000000004</v>
      </c>
    </row>
    <row r="25" spans="1:22">
      <c r="A25" s="33"/>
      <c r="B25" s="33"/>
      <c r="C25" s="34"/>
      <c r="D25" s="34"/>
      <c r="E25" s="34">
        <f>SUM(E6:E24)/2</f>
        <v>12</v>
      </c>
      <c r="F25" s="35">
        <f>SUM(F6:F24)/2</f>
        <v>1.8288229999999999</v>
      </c>
      <c r="H25" s="34">
        <f>SUM(H6:H24)/2</f>
        <v>10</v>
      </c>
      <c r="I25" s="35">
        <f>SUM(I6:I24)/2</f>
        <v>1.8850150000000001</v>
      </c>
      <c r="K25" s="34">
        <f>SUM(K6:K24)/2</f>
        <v>0</v>
      </c>
      <c r="L25" s="35">
        <f>SUM(L6:L24)/2</f>
        <v>0</v>
      </c>
      <c r="N25" s="34">
        <f>SUM(N6:N24)/2</f>
        <v>0</v>
      </c>
      <c r="O25" s="35">
        <f>SUM(O6:O24)/2</f>
        <v>0</v>
      </c>
      <c r="Q25" s="34">
        <f t="shared" ref="Q25:V25" si="94">SUM(Q6:Q24)/2</f>
        <v>0</v>
      </c>
      <c r="R25" s="35">
        <f t="shared" si="94"/>
        <v>0</v>
      </c>
      <c r="S25" s="34">
        <f t="shared" si="94"/>
        <v>10</v>
      </c>
      <c r="T25" s="35">
        <f t="shared" si="94"/>
        <v>1.8850150000000001</v>
      </c>
      <c r="U25" s="34">
        <f t="shared" si="94"/>
        <v>2</v>
      </c>
      <c r="V25" s="35">
        <f t="shared" si="94"/>
        <v>-5.6191999999999964E-2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03"/>
  <sheetViews>
    <sheetView zoomScale="75" zoomScaleNormal="75" workbookViewId="0">
      <pane ySplit="5" topLeftCell="A39" activePane="bottomLeft" state="frozen"/>
      <selection pane="bottomLeft" activeCell="G49" sqref="G49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LOI-1357  18.12.23</v>
      </c>
      <c r="D1" s="1"/>
      <c r="E1" s="2"/>
      <c r="F1" s="2"/>
      <c r="G1" s="143" t="s">
        <v>582</v>
      </c>
      <c r="H1" s="144"/>
      <c r="I1" s="145" t="s">
        <v>581</v>
      </c>
      <c r="J1" s="144"/>
      <c r="K1" s="3"/>
      <c r="L1" s="4"/>
      <c r="M1" s="4"/>
      <c r="N1" s="3"/>
      <c r="O1" s="4"/>
      <c r="P1" s="146" t="str">
        <f>+F2</f>
        <v>LOI-1357  18.12.23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463</v>
      </c>
      <c r="B2" s="8"/>
      <c r="C2" s="9"/>
      <c r="D2" s="9"/>
      <c r="E2" s="10"/>
      <c r="F2" s="146" t="s">
        <v>580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LOI-1357  18.12.23</v>
      </c>
      <c r="V2" s="146"/>
    </row>
    <row r="3" spans="1:22">
      <c r="A3" s="12" t="s">
        <v>464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30">
        <v>9.26</v>
      </c>
      <c r="D6" s="27">
        <v>6.4</v>
      </c>
      <c r="E6" s="28">
        <v>17</v>
      </c>
      <c r="F6" s="16">
        <f t="shared" ref="F6:F11" si="0">(C6*D6*E6/1000)</f>
        <v>1.0074880000000002</v>
      </c>
      <c r="G6" s="17"/>
      <c r="H6" s="18"/>
      <c r="I6" s="19">
        <f t="shared" ref="I6:I11" si="1">(C6*D6*H6/1000)</f>
        <v>0</v>
      </c>
      <c r="J6" s="16"/>
      <c r="K6" s="18"/>
      <c r="L6" s="19">
        <f t="shared" ref="L6:L11" si="2">(C6*D6*K6/1000)</f>
        <v>0</v>
      </c>
      <c r="M6" s="16"/>
      <c r="N6" s="18"/>
      <c r="O6" s="19">
        <f t="shared" ref="O6:O11" si="3">(C6*D6*N6/1000)</f>
        <v>0</v>
      </c>
      <c r="P6" s="16"/>
      <c r="Q6" s="18"/>
      <c r="R6" s="19">
        <f t="shared" ref="R6:R11" si="4">(C6*D6*Q6/1000)</f>
        <v>0</v>
      </c>
      <c r="S6" s="20">
        <f t="shared" ref="S6:S11" si="5">+H6+K6+Q6+N6</f>
        <v>0</v>
      </c>
      <c r="T6" s="19">
        <f t="shared" ref="T6:T11" si="6">+I6+L6+R6+O6</f>
        <v>0</v>
      </c>
      <c r="U6" s="21">
        <f t="shared" ref="U6:U11" si="7">E6-S6</f>
        <v>17</v>
      </c>
      <c r="V6" s="19">
        <f t="shared" ref="V6:V11" si="8">F6-T6</f>
        <v>1.0074880000000002</v>
      </c>
    </row>
    <row r="7" spans="1:22">
      <c r="A7" s="26" t="s">
        <v>13</v>
      </c>
      <c r="B7" s="26" t="s">
        <v>45</v>
      </c>
      <c r="C7" s="30">
        <v>9.26</v>
      </c>
      <c r="D7" s="27">
        <v>9</v>
      </c>
      <c r="E7" s="28">
        <v>18</v>
      </c>
      <c r="F7" s="16">
        <f t="shared" si="0"/>
        <v>1.5001200000000001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6"/>
        <v>0</v>
      </c>
      <c r="U7" s="21">
        <f t="shared" si="7"/>
        <v>18</v>
      </c>
      <c r="V7" s="19">
        <f t="shared" si="8"/>
        <v>1.5001200000000001</v>
      </c>
    </row>
    <row r="8" spans="1:22">
      <c r="A8" s="26" t="s">
        <v>13</v>
      </c>
      <c r="B8" s="26" t="s">
        <v>45</v>
      </c>
      <c r="C8" s="30">
        <v>9.26</v>
      </c>
      <c r="D8" s="27">
        <v>10.85</v>
      </c>
      <c r="E8" s="28">
        <v>4</v>
      </c>
      <c r="F8" s="16">
        <f t="shared" si="0"/>
        <v>0.40188399999999996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4</v>
      </c>
      <c r="V8" s="19">
        <f t="shared" si="8"/>
        <v>0.40188399999999996</v>
      </c>
    </row>
    <row r="9" spans="1:22">
      <c r="A9" s="26" t="s">
        <v>13</v>
      </c>
      <c r="B9" s="26" t="s">
        <v>45</v>
      </c>
      <c r="C9" s="30">
        <v>9.26</v>
      </c>
      <c r="D9" s="27">
        <v>11.1</v>
      </c>
      <c r="E9" s="28">
        <v>4</v>
      </c>
      <c r="F9" s="16">
        <f t="shared" si="0"/>
        <v>0.41114400000000001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4</v>
      </c>
      <c r="V9" s="19">
        <f t="shared" si="8"/>
        <v>0.41114400000000001</v>
      </c>
    </row>
    <row r="10" spans="1:22">
      <c r="A10" s="26" t="s">
        <v>13</v>
      </c>
      <c r="B10" s="26" t="s">
        <v>45</v>
      </c>
      <c r="C10" s="30">
        <v>9.26</v>
      </c>
      <c r="D10" s="27">
        <v>11.3</v>
      </c>
      <c r="E10" s="28">
        <v>11</v>
      </c>
      <c r="F10" s="16">
        <f t="shared" si="0"/>
        <v>1.1510180000000001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6"/>
        <v>0</v>
      </c>
      <c r="U10" s="21">
        <f t="shared" si="7"/>
        <v>11</v>
      </c>
      <c r="V10" s="19">
        <f t="shared" si="8"/>
        <v>1.1510180000000001</v>
      </c>
    </row>
    <row r="11" spans="1:22">
      <c r="A11" s="26" t="s">
        <v>13</v>
      </c>
      <c r="B11" s="26" t="s">
        <v>45</v>
      </c>
      <c r="C11" s="30">
        <v>9.26</v>
      </c>
      <c r="D11" s="27">
        <v>11.9</v>
      </c>
      <c r="E11" s="28">
        <v>9</v>
      </c>
      <c r="F11" s="16">
        <f t="shared" si="0"/>
        <v>0.99174600000000002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9</v>
      </c>
      <c r="V11" s="19">
        <f t="shared" si="8"/>
        <v>0.99174600000000002</v>
      </c>
    </row>
    <row r="12" spans="1:22">
      <c r="A12" s="36"/>
      <c r="B12" s="36"/>
      <c r="C12" s="37"/>
      <c r="D12" s="38"/>
      <c r="E12" s="31">
        <f t="shared" ref="E12:F12" si="9">SUM(E6:E11)</f>
        <v>63</v>
      </c>
      <c r="F12" s="38">
        <f t="shared" si="9"/>
        <v>5.4634000000000009</v>
      </c>
      <c r="G12" s="17"/>
      <c r="H12" s="31">
        <f t="shared" ref="H12" si="10">SUM(H6:H11)</f>
        <v>0</v>
      </c>
      <c r="I12" s="38">
        <f t="shared" ref="I12" si="11">SUM(I6:I11)</f>
        <v>0</v>
      </c>
      <c r="J12" s="16"/>
      <c r="K12" s="31">
        <f t="shared" ref="K12" si="12">SUM(K6:K11)</f>
        <v>0</v>
      </c>
      <c r="L12" s="38">
        <f t="shared" ref="L12" si="13">SUM(L6:L11)</f>
        <v>0</v>
      </c>
      <c r="M12" s="16"/>
      <c r="N12" s="31">
        <f t="shared" ref="N12" si="14">SUM(N6:N11)</f>
        <v>0</v>
      </c>
      <c r="O12" s="38">
        <f t="shared" ref="O12" si="15">SUM(O6:O11)</f>
        <v>0</v>
      </c>
      <c r="P12" s="16"/>
      <c r="Q12" s="31">
        <f t="shared" ref="Q12" si="16">SUM(Q6:Q11)</f>
        <v>0</v>
      </c>
      <c r="R12" s="38">
        <f t="shared" ref="R12" si="17">SUM(R6:R11)</f>
        <v>0</v>
      </c>
      <c r="S12" s="31">
        <f t="shared" ref="S12" si="18">SUM(S6:S11)</f>
        <v>0</v>
      </c>
      <c r="T12" s="38">
        <f t="shared" ref="T12" si="19">SUM(T6:T11)</f>
        <v>0</v>
      </c>
      <c r="U12" s="31">
        <f t="shared" ref="U12" si="20">SUM(U6:U11)</f>
        <v>63</v>
      </c>
      <c r="V12" s="38">
        <f t="shared" ref="V12" si="21">SUM(V6:V11)</f>
        <v>5.4634000000000009</v>
      </c>
    </row>
    <row r="13" spans="1:22">
      <c r="A13" s="26" t="s">
        <v>13</v>
      </c>
      <c r="B13" s="26" t="s">
        <v>46</v>
      </c>
      <c r="C13" s="30">
        <v>10.7</v>
      </c>
      <c r="D13" s="27">
        <v>6.1</v>
      </c>
      <c r="E13" s="28">
        <v>16</v>
      </c>
      <c r="F13" s="16">
        <f t="shared" ref="F13:F18" si="22">(C13*D13*E13/1000)</f>
        <v>1.0443199999999999</v>
      </c>
      <c r="G13" s="17"/>
      <c r="H13" s="18"/>
      <c r="I13" s="19">
        <f t="shared" ref="I13:I18" si="23">(C13*D13*H13/1000)</f>
        <v>0</v>
      </c>
      <c r="J13" s="16"/>
      <c r="K13" s="18"/>
      <c r="L13" s="19">
        <f t="shared" ref="L13:L18" si="24">(C13*D13*K13/1000)</f>
        <v>0</v>
      </c>
      <c r="M13" s="16"/>
      <c r="N13" s="18"/>
      <c r="O13" s="19">
        <f t="shared" ref="O13:O18" si="25">(C13*D13*N13/1000)</f>
        <v>0</v>
      </c>
      <c r="P13" s="16"/>
      <c r="Q13" s="18"/>
      <c r="R13" s="19">
        <f t="shared" ref="R13:R18" si="26">(C13*D13*Q13/1000)</f>
        <v>0</v>
      </c>
      <c r="S13" s="20">
        <f t="shared" ref="S13:S18" si="27">+H13+K13+Q13+N13</f>
        <v>0</v>
      </c>
      <c r="T13" s="19">
        <f t="shared" ref="T13:T18" si="28">+I13+L13+R13+O13</f>
        <v>0</v>
      </c>
      <c r="U13" s="21">
        <f t="shared" ref="U13:U18" si="29">E13-S13</f>
        <v>16</v>
      </c>
      <c r="V13" s="19">
        <f t="shared" ref="V13:V18" si="30">F13-T13</f>
        <v>1.0443199999999999</v>
      </c>
    </row>
    <row r="14" spans="1:22">
      <c r="A14" s="26" t="s">
        <v>13</v>
      </c>
      <c r="B14" s="26" t="s">
        <v>46</v>
      </c>
      <c r="C14" s="30">
        <v>10.7</v>
      </c>
      <c r="D14" s="27">
        <v>7.8</v>
      </c>
      <c r="E14" s="28">
        <v>2</v>
      </c>
      <c r="F14" s="16">
        <f t="shared" si="22"/>
        <v>0.16691999999999999</v>
      </c>
      <c r="G14" s="17"/>
      <c r="H14" s="18"/>
      <c r="I14" s="19">
        <f t="shared" si="23"/>
        <v>0</v>
      </c>
      <c r="J14" s="16"/>
      <c r="K14" s="18"/>
      <c r="L14" s="19">
        <f t="shared" si="24"/>
        <v>0</v>
      </c>
      <c r="M14" s="16"/>
      <c r="N14" s="18"/>
      <c r="O14" s="19">
        <f t="shared" si="25"/>
        <v>0</v>
      </c>
      <c r="P14" s="16"/>
      <c r="Q14" s="18"/>
      <c r="R14" s="19">
        <f t="shared" si="26"/>
        <v>0</v>
      </c>
      <c r="S14" s="20">
        <f t="shared" si="27"/>
        <v>0</v>
      </c>
      <c r="T14" s="19">
        <f t="shared" si="28"/>
        <v>0</v>
      </c>
      <c r="U14" s="21">
        <f t="shared" si="29"/>
        <v>2</v>
      </c>
      <c r="V14" s="19">
        <f t="shared" si="30"/>
        <v>0.16691999999999999</v>
      </c>
    </row>
    <row r="15" spans="1:22">
      <c r="A15" s="26" t="s">
        <v>13</v>
      </c>
      <c r="B15" s="26" t="s">
        <v>46</v>
      </c>
      <c r="C15" s="30">
        <v>10.7</v>
      </c>
      <c r="D15" s="27">
        <v>9.35</v>
      </c>
      <c r="E15" s="28">
        <v>24</v>
      </c>
      <c r="F15" s="16">
        <f t="shared" si="22"/>
        <v>2.4010799999999999</v>
      </c>
      <c r="G15" s="17"/>
      <c r="H15" s="18"/>
      <c r="I15" s="19">
        <f t="shared" si="23"/>
        <v>0</v>
      </c>
      <c r="J15" s="16"/>
      <c r="K15" s="18"/>
      <c r="L15" s="19">
        <f t="shared" si="24"/>
        <v>0</v>
      </c>
      <c r="M15" s="16"/>
      <c r="N15" s="18"/>
      <c r="O15" s="19">
        <f t="shared" si="25"/>
        <v>0</v>
      </c>
      <c r="P15" s="16"/>
      <c r="Q15" s="18"/>
      <c r="R15" s="19">
        <f t="shared" si="26"/>
        <v>0</v>
      </c>
      <c r="S15" s="20">
        <f t="shared" si="27"/>
        <v>0</v>
      </c>
      <c r="T15" s="19">
        <f t="shared" si="28"/>
        <v>0</v>
      </c>
      <c r="U15" s="21">
        <f t="shared" si="29"/>
        <v>24</v>
      </c>
      <c r="V15" s="19">
        <f t="shared" si="30"/>
        <v>2.4010799999999999</v>
      </c>
    </row>
    <row r="16" spans="1:22">
      <c r="A16" s="26" t="s">
        <v>13</v>
      </c>
      <c r="B16" s="26" t="s">
        <v>46</v>
      </c>
      <c r="C16" s="30">
        <v>10.7</v>
      </c>
      <c r="D16" s="27">
        <v>10.4</v>
      </c>
      <c r="E16" s="28">
        <v>6</v>
      </c>
      <c r="F16" s="16">
        <f t="shared" si="22"/>
        <v>0.66768000000000005</v>
      </c>
      <c r="G16" s="17"/>
      <c r="H16" s="18"/>
      <c r="I16" s="19">
        <f t="shared" si="23"/>
        <v>0</v>
      </c>
      <c r="J16" s="16"/>
      <c r="K16" s="18"/>
      <c r="L16" s="19">
        <f t="shared" si="24"/>
        <v>0</v>
      </c>
      <c r="M16" s="16"/>
      <c r="N16" s="18"/>
      <c r="O16" s="19">
        <f t="shared" si="25"/>
        <v>0</v>
      </c>
      <c r="P16" s="16"/>
      <c r="Q16" s="18"/>
      <c r="R16" s="19">
        <f t="shared" si="26"/>
        <v>0</v>
      </c>
      <c r="S16" s="20">
        <f t="shared" si="27"/>
        <v>0</v>
      </c>
      <c r="T16" s="19">
        <f t="shared" si="28"/>
        <v>0</v>
      </c>
      <c r="U16" s="21">
        <f t="shared" si="29"/>
        <v>6</v>
      </c>
      <c r="V16" s="19">
        <f t="shared" si="30"/>
        <v>0.66768000000000005</v>
      </c>
    </row>
    <row r="17" spans="1:22">
      <c r="A17" s="26" t="s">
        <v>13</v>
      </c>
      <c r="B17" s="26" t="s">
        <v>46</v>
      </c>
      <c r="C17" s="30">
        <v>10.7</v>
      </c>
      <c r="D17" s="27">
        <v>11.1</v>
      </c>
      <c r="E17" s="28">
        <v>14</v>
      </c>
      <c r="F17" s="16">
        <f t="shared" si="22"/>
        <v>1.6627799999999997</v>
      </c>
      <c r="G17" s="17"/>
      <c r="H17" s="18"/>
      <c r="I17" s="19">
        <f t="shared" si="23"/>
        <v>0</v>
      </c>
      <c r="J17" s="16"/>
      <c r="K17" s="18"/>
      <c r="L17" s="19">
        <f t="shared" si="24"/>
        <v>0</v>
      </c>
      <c r="M17" s="16"/>
      <c r="N17" s="18"/>
      <c r="O17" s="19">
        <f t="shared" si="25"/>
        <v>0</v>
      </c>
      <c r="P17" s="16"/>
      <c r="Q17" s="18"/>
      <c r="R17" s="19">
        <f t="shared" si="26"/>
        <v>0</v>
      </c>
      <c r="S17" s="20">
        <f t="shared" si="27"/>
        <v>0</v>
      </c>
      <c r="T17" s="19">
        <f t="shared" si="28"/>
        <v>0</v>
      </c>
      <c r="U17" s="21">
        <f t="shared" si="29"/>
        <v>14</v>
      </c>
      <c r="V17" s="19">
        <f t="shared" si="30"/>
        <v>1.6627799999999997</v>
      </c>
    </row>
    <row r="18" spans="1:22">
      <c r="A18" s="26" t="s">
        <v>13</v>
      </c>
      <c r="B18" s="26" t="s">
        <v>46</v>
      </c>
      <c r="C18" s="30">
        <v>10.7</v>
      </c>
      <c r="D18" s="27">
        <v>12</v>
      </c>
      <c r="E18" s="28">
        <v>5</v>
      </c>
      <c r="F18" s="16">
        <f t="shared" si="22"/>
        <v>0.6419999999999999</v>
      </c>
      <c r="G18" s="17"/>
      <c r="H18" s="18"/>
      <c r="I18" s="19">
        <f t="shared" si="23"/>
        <v>0</v>
      </c>
      <c r="J18" s="16"/>
      <c r="K18" s="18"/>
      <c r="L18" s="19">
        <f t="shared" si="24"/>
        <v>0</v>
      </c>
      <c r="M18" s="16"/>
      <c r="N18" s="18"/>
      <c r="O18" s="19">
        <f t="shared" si="25"/>
        <v>0</v>
      </c>
      <c r="P18" s="16"/>
      <c r="Q18" s="18"/>
      <c r="R18" s="19">
        <f t="shared" si="26"/>
        <v>0</v>
      </c>
      <c r="S18" s="20">
        <f t="shared" si="27"/>
        <v>0</v>
      </c>
      <c r="T18" s="19">
        <f t="shared" si="28"/>
        <v>0</v>
      </c>
      <c r="U18" s="21">
        <f t="shared" si="29"/>
        <v>5</v>
      </c>
      <c r="V18" s="19">
        <f t="shared" si="30"/>
        <v>0.6419999999999999</v>
      </c>
    </row>
    <row r="19" spans="1:22">
      <c r="A19" s="36"/>
      <c r="B19" s="36"/>
      <c r="C19" s="37"/>
      <c r="D19" s="38"/>
      <c r="E19" s="31">
        <f t="shared" ref="E19:F19" si="31">SUM(E13:E18)</f>
        <v>67</v>
      </c>
      <c r="F19" s="38">
        <f t="shared" si="31"/>
        <v>6.5847799999999985</v>
      </c>
      <c r="H19" s="31">
        <f t="shared" ref="H19" si="32">SUM(H13:H18)</f>
        <v>0</v>
      </c>
      <c r="I19" s="38">
        <f t="shared" ref="I19" si="33">SUM(I13:I18)</f>
        <v>0</v>
      </c>
      <c r="K19" s="31">
        <f t="shared" ref="K19" si="34">SUM(K13:K18)</f>
        <v>0</v>
      </c>
      <c r="L19" s="38">
        <f t="shared" ref="L19" si="35">SUM(L13:L18)</f>
        <v>0</v>
      </c>
      <c r="N19" s="31">
        <f t="shared" ref="N19" si="36">SUM(N13:N18)</f>
        <v>0</v>
      </c>
      <c r="O19" s="38">
        <f t="shared" ref="O19" si="37">SUM(O13:O18)</f>
        <v>0</v>
      </c>
      <c r="Q19" s="31">
        <f t="shared" ref="Q19" si="38">SUM(Q13:Q18)</f>
        <v>0</v>
      </c>
      <c r="R19" s="38">
        <f t="shared" ref="R19" si="39">SUM(R13:R18)</f>
        <v>0</v>
      </c>
      <c r="S19" s="31">
        <f t="shared" ref="S19" si="40">SUM(S13:S18)</f>
        <v>0</v>
      </c>
      <c r="T19" s="38">
        <f t="shared" ref="T19" si="41">SUM(T13:T18)</f>
        <v>0</v>
      </c>
      <c r="U19" s="31">
        <f t="shared" ref="U19" si="42">SUM(U13:U18)</f>
        <v>67</v>
      </c>
      <c r="V19" s="38">
        <f t="shared" ref="V19" si="43">SUM(V13:V18)</f>
        <v>6.5847799999999985</v>
      </c>
    </row>
    <row r="20" spans="1:22">
      <c r="A20" s="26" t="s">
        <v>13</v>
      </c>
      <c r="B20" s="26" t="s">
        <v>61</v>
      </c>
      <c r="C20" s="30">
        <v>12.2</v>
      </c>
      <c r="D20" s="27">
        <v>6.1</v>
      </c>
      <c r="E20" s="28">
        <v>30</v>
      </c>
      <c r="F20" s="16">
        <f t="shared" ref="F20:F24" si="44">(C20*D20*E20/1000)</f>
        <v>2.2325999999999993</v>
      </c>
      <c r="G20" s="17"/>
      <c r="H20" s="18"/>
      <c r="I20" s="19">
        <f t="shared" ref="I20:I24" si="45">(C20*D20*H20/1000)</f>
        <v>0</v>
      </c>
      <c r="J20" s="16"/>
      <c r="K20" s="18"/>
      <c r="L20" s="19">
        <f t="shared" ref="L20:L24" si="46">(C20*D20*K20/1000)</f>
        <v>0</v>
      </c>
      <c r="M20" s="16"/>
      <c r="N20" s="18"/>
      <c r="O20" s="19">
        <f t="shared" ref="O20:O24" si="47">(C20*D20*N20/1000)</f>
        <v>0</v>
      </c>
      <c r="P20" s="16"/>
      <c r="Q20" s="18"/>
      <c r="R20" s="19">
        <f t="shared" ref="R20:R24" si="48">(C20*D20*Q20/1000)</f>
        <v>0</v>
      </c>
      <c r="S20" s="20">
        <f t="shared" ref="S20:S24" si="49">+H20+K20+Q20+N20</f>
        <v>0</v>
      </c>
      <c r="T20" s="19">
        <f t="shared" ref="T20:T24" si="50">+I20+L20+R20+O20</f>
        <v>0</v>
      </c>
      <c r="U20" s="21">
        <f t="shared" ref="U20:U24" si="51">E20-S20</f>
        <v>30</v>
      </c>
      <c r="V20" s="19">
        <f t="shared" ref="V20:V24" si="52">F20-T20</f>
        <v>2.2325999999999993</v>
      </c>
    </row>
    <row r="21" spans="1:22">
      <c r="A21" s="26" t="s">
        <v>13</v>
      </c>
      <c r="B21" s="26" t="s">
        <v>61</v>
      </c>
      <c r="C21" s="30">
        <v>12.2</v>
      </c>
      <c r="D21" s="27">
        <v>6.9</v>
      </c>
      <c r="E21" s="28">
        <v>15</v>
      </c>
      <c r="F21" s="16">
        <f t="shared" si="44"/>
        <v>1.2626999999999997</v>
      </c>
      <c r="G21" s="17"/>
      <c r="H21" s="18"/>
      <c r="I21" s="19">
        <f t="shared" si="45"/>
        <v>0</v>
      </c>
      <c r="J21" s="16"/>
      <c r="K21" s="18"/>
      <c r="L21" s="19">
        <f t="shared" si="46"/>
        <v>0</v>
      </c>
      <c r="M21" s="16"/>
      <c r="N21" s="18"/>
      <c r="O21" s="19">
        <f t="shared" si="47"/>
        <v>0</v>
      </c>
      <c r="P21" s="16"/>
      <c r="Q21" s="18"/>
      <c r="R21" s="19">
        <f t="shared" si="48"/>
        <v>0</v>
      </c>
      <c r="S21" s="20">
        <f t="shared" si="49"/>
        <v>0</v>
      </c>
      <c r="T21" s="19">
        <f t="shared" si="50"/>
        <v>0</v>
      </c>
      <c r="U21" s="21">
        <f t="shared" si="51"/>
        <v>15</v>
      </c>
      <c r="V21" s="19">
        <f t="shared" si="52"/>
        <v>1.2626999999999997</v>
      </c>
    </row>
    <row r="22" spans="1:22">
      <c r="A22" s="26" t="s">
        <v>13</v>
      </c>
      <c r="B22" s="26" t="s">
        <v>61</v>
      </c>
      <c r="C22" s="30">
        <v>12.2</v>
      </c>
      <c r="D22" s="27">
        <v>9.8000000000000007</v>
      </c>
      <c r="E22" s="28">
        <v>8</v>
      </c>
      <c r="F22" s="16">
        <f t="shared" si="44"/>
        <v>0.95648</v>
      </c>
      <c r="G22" s="17"/>
      <c r="H22" s="18"/>
      <c r="I22" s="19">
        <f t="shared" si="45"/>
        <v>0</v>
      </c>
      <c r="J22" s="16"/>
      <c r="K22" s="18"/>
      <c r="L22" s="19">
        <f t="shared" si="46"/>
        <v>0</v>
      </c>
      <c r="M22" s="16"/>
      <c r="N22" s="18"/>
      <c r="O22" s="19">
        <f t="shared" si="47"/>
        <v>0</v>
      </c>
      <c r="P22" s="16"/>
      <c r="Q22" s="18"/>
      <c r="R22" s="19">
        <f t="shared" si="48"/>
        <v>0</v>
      </c>
      <c r="S22" s="20">
        <f t="shared" si="49"/>
        <v>0</v>
      </c>
      <c r="T22" s="19">
        <f t="shared" si="50"/>
        <v>0</v>
      </c>
      <c r="U22" s="21">
        <f t="shared" si="51"/>
        <v>8</v>
      </c>
      <c r="V22" s="19">
        <f t="shared" si="52"/>
        <v>0.95648</v>
      </c>
    </row>
    <row r="23" spans="1:22">
      <c r="A23" s="26" t="s">
        <v>13</v>
      </c>
      <c r="B23" s="26" t="s">
        <v>61</v>
      </c>
      <c r="C23" s="30">
        <v>12.2</v>
      </c>
      <c r="D23" s="27">
        <v>10.85</v>
      </c>
      <c r="E23" s="28">
        <v>5</v>
      </c>
      <c r="F23" s="16">
        <f t="shared" si="44"/>
        <v>0.66184999999999994</v>
      </c>
      <c r="G23" s="17"/>
      <c r="H23" s="18"/>
      <c r="I23" s="19">
        <f t="shared" si="45"/>
        <v>0</v>
      </c>
      <c r="J23" s="16"/>
      <c r="K23" s="18"/>
      <c r="L23" s="19">
        <f t="shared" si="46"/>
        <v>0</v>
      </c>
      <c r="M23" s="16"/>
      <c r="N23" s="18"/>
      <c r="O23" s="19">
        <f t="shared" si="47"/>
        <v>0</v>
      </c>
      <c r="P23" s="16"/>
      <c r="Q23" s="18"/>
      <c r="R23" s="19">
        <f t="shared" si="48"/>
        <v>0</v>
      </c>
      <c r="S23" s="20">
        <f t="shared" si="49"/>
        <v>0</v>
      </c>
      <c r="T23" s="19">
        <f t="shared" si="50"/>
        <v>0</v>
      </c>
      <c r="U23" s="21">
        <f t="shared" si="51"/>
        <v>5</v>
      </c>
      <c r="V23" s="19">
        <f t="shared" si="52"/>
        <v>0.66184999999999994</v>
      </c>
    </row>
    <row r="24" spans="1:22">
      <c r="A24" s="26" t="s">
        <v>13</v>
      </c>
      <c r="B24" s="26" t="s">
        <v>61</v>
      </c>
      <c r="C24" s="30">
        <v>12.2</v>
      </c>
      <c r="D24" s="27">
        <v>11</v>
      </c>
      <c r="E24" s="28">
        <v>24</v>
      </c>
      <c r="F24" s="16">
        <f t="shared" si="44"/>
        <v>3.2207999999999997</v>
      </c>
      <c r="G24" s="17"/>
      <c r="H24" s="18"/>
      <c r="I24" s="19">
        <f t="shared" si="45"/>
        <v>0</v>
      </c>
      <c r="J24" s="16"/>
      <c r="K24" s="18"/>
      <c r="L24" s="19">
        <f t="shared" si="46"/>
        <v>0</v>
      </c>
      <c r="M24" s="16"/>
      <c r="N24" s="18"/>
      <c r="O24" s="19">
        <f t="shared" si="47"/>
        <v>0</v>
      </c>
      <c r="P24" s="16"/>
      <c r="Q24" s="18"/>
      <c r="R24" s="19">
        <f t="shared" si="48"/>
        <v>0</v>
      </c>
      <c r="S24" s="20">
        <f t="shared" si="49"/>
        <v>0</v>
      </c>
      <c r="T24" s="19">
        <f t="shared" si="50"/>
        <v>0</v>
      </c>
      <c r="U24" s="21">
        <f t="shared" si="51"/>
        <v>24</v>
      </c>
      <c r="V24" s="19">
        <f t="shared" si="52"/>
        <v>3.2207999999999997</v>
      </c>
    </row>
    <row r="25" spans="1:22">
      <c r="A25" s="36"/>
      <c r="B25" s="36"/>
      <c r="C25" s="37"/>
      <c r="D25" s="38"/>
      <c r="E25" s="31">
        <f t="shared" ref="E25:F25" si="53">SUM(E20:E24)</f>
        <v>82</v>
      </c>
      <c r="F25" s="38">
        <f t="shared" si="53"/>
        <v>8.3344299999999993</v>
      </c>
      <c r="H25" s="31">
        <f t="shared" ref="H25" si="54">SUM(H20:H24)</f>
        <v>0</v>
      </c>
      <c r="I25" s="38">
        <f t="shared" ref="I25" si="55">SUM(I20:I24)</f>
        <v>0</v>
      </c>
      <c r="K25" s="31">
        <f t="shared" ref="K25" si="56">SUM(K20:K24)</f>
        <v>0</v>
      </c>
      <c r="L25" s="38">
        <f t="shared" ref="L25" si="57">SUM(L20:L24)</f>
        <v>0</v>
      </c>
      <c r="N25" s="31">
        <f t="shared" ref="N25" si="58">SUM(N20:N24)</f>
        <v>0</v>
      </c>
      <c r="O25" s="38">
        <f t="shared" ref="O25" si="59">SUM(O20:O24)</f>
        <v>0</v>
      </c>
      <c r="Q25" s="31">
        <f t="shared" ref="Q25" si="60">SUM(Q20:Q24)</f>
        <v>0</v>
      </c>
      <c r="R25" s="38">
        <f t="shared" ref="R25" si="61">SUM(R20:R24)</f>
        <v>0</v>
      </c>
      <c r="S25" s="31">
        <f t="shared" ref="S25" si="62">SUM(S20:S24)</f>
        <v>0</v>
      </c>
      <c r="T25" s="38">
        <f t="shared" ref="T25" si="63">SUM(T20:T24)</f>
        <v>0</v>
      </c>
      <c r="U25" s="31">
        <f t="shared" ref="U25" si="64">SUM(U20:U24)</f>
        <v>82</v>
      </c>
      <c r="V25" s="38">
        <f t="shared" ref="V25" si="65">SUM(V20:V24)</f>
        <v>8.3344299999999993</v>
      </c>
    </row>
    <row r="26" spans="1:22">
      <c r="A26" s="26" t="s">
        <v>13</v>
      </c>
      <c r="B26" s="26" t="s">
        <v>18</v>
      </c>
      <c r="C26" s="30">
        <v>16.600000000000001</v>
      </c>
      <c r="D26" s="27">
        <v>6.1</v>
      </c>
      <c r="E26" s="28">
        <v>10</v>
      </c>
      <c r="F26" s="16">
        <f t="shared" ref="F26:F28" si="66">(C26*D26*E26/1000)</f>
        <v>1.0125999999999999</v>
      </c>
      <c r="G26" s="17"/>
      <c r="H26" s="18"/>
      <c r="I26" s="19">
        <f t="shared" ref="I26:I28" si="67">(C26*D26*H26/1000)</f>
        <v>0</v>
      </c>
      <c r="J26" s="16"/>
      <c r="K26" s="18"/>
      <c r="L26" s="19">
        <f t="shared" ref="L26:L28" si="68">(C26*D26*K26/1000)</f>
        <v>0</v>
      </c>
      <c r="M26" s="16"/>
      <c r="N26" s="18"/>
      <c r="O26" s="19">
        <f t="shared" ref="O26:O28" si="69">(C26*D26*N26/1000)</f>
        <v>0</v>
      </c>
      <c r="P26" s="16"/>
      <c r="Q26" s="18"/>
      <c r="R26" s="19">
        <f t="shared" ref="R26:R28" si="70">(C26*D26*Q26/1000)</f>
        <v>0</v>
      </c>
      <c r="S26" s="20">
        <f t="shared" ref="S26:S28" si="71">+H26+K26+Q26+N26</f>
        <v>0</v>
      </c>
      <c r="T26" s="19">
        <f t="shared" ref="T26:T28" si="72">+I26+L26+R26+O26</f>
        <v>0</v>
      </c>
      <c r="U26" s="21">
        <f t="shared" ref="U26:U28" si="73">E26-S26</f>
        <v>10</v>
      </c>
      <c r="V26" s="19">
        <f t="shared" ref="V26:V28" si="74">F26-T26</f>
        <v>1.0125999999999999</v>
      </c>
    </row>
    <row r="27" spans="1:22">
      <c r="A27" s="26" t="s">
        <v>13</v>
      </c>
      <c r="B27" s="26" t="s">
        <v>18</v>
      </c>
      <c r="C27" s="30">
        <v>16.600000000000001</v>
      </c>
      <c r="D27" s="27">
        <v>8.4</v>
      </c>
      <c r="E27" s="28">
        <v>12</v>
      </c>
      <c r="F27" s="16">
        <f t="shared" si="66"/>
        <v>1.6732800000000001</v>
      </c>
      <c r="G27" s="17"/>
      <c r="H27" s="18"/>
      <c r="I27" s="19">
        <f t="shared" si="67"/>
        <v>0</v>
      </c>
      <c r="J27" s="16"/>
      <c r="K27" s="18"/>
      <c r="L27" s="19">
        <f t="shared" si="68"/>
        <v>0</v>
      </c>
      <c r="M27" s="16"/>
      <c r="N27" s="18"/>
      <c r="O27" s="19">
        <f t="shared" si="69"/>
        <v>0</v>
      </c>
      <c r="P27" s="16"/>
      <c r="Q27" s="18"/>
      <c r="R27" s="19">
        <f t="shared" si="70"/>
        <v>0</v>
      </c>
      <c r="S27" s="20">
        <f t="shared" si="71"/>
        <v>0</v>
      </c>
      <c r="T27" s="19">
        <f t="shared" si="72"/>
        <v>0</v>
      </c>
      <c r="U27" s="21">
        <f t="shared" si="73"/>
        <v>12</v>
      </c>
      <c r="V27" s="19">
        <f t="shared" si="74"/>
        <v>1.6732800000000001</v>
      </c>
    </row>
    <row r="28" spans="1:22">
      <c r="A28" s="26" t="s">
        <v>13</v>
      </c>
      <c r="B28" s="26" t="s">
        <v>18</v>
      </c>
      <c r="C28" s="30">
        <v>16.600000000000001</v>
      </c>
      <c r="D28" s="27">
        <v>9.6999999999999993</v>
      </c>
      <c r="E28" s="28">
        <v>2</v>
      </c>
      <c r="F28" s="16">
        <f t="shared" si="66"/>
        <v>0.32203999999999999</v>
      </c>
      <c r="G28" s="17"/>
      <c r="H28" s="18"/>
      <c r="I28" s="19">
        <f t="shared" si="67"/>
        <v>0</v>
      </c>
      <c r="J28" s="16"/>
      <c r="K28" s="18"/>
      <c r="L28" s="19">
        <f t="shared" si="68"/>
        <v>0</v>
      </c>
      <c r="M28" s="16"/>
      <c r="N28" s="18"/>
      <c r="O28" s="19">
        <f t="shared" si="69"/>
        <v>0</v>
      </c>
      <c r="P28" s="16"/>
      <c r="Q28" s="18"/>
      <c r="R28" s="19">
        <f t="shared" si="70"/>
        <v>0</v>
      </c>
      <c r="S28" s="20">
        <f t="shared" si="71"/>
        <v>0</v>
      </c>
      <c r="T28" s="19">
        <f t="shared" si="72"/>
        <v>0</v>
      </c>
      <c r="U28" s="21">
        <f t="shared" si="73"/>
        <v>2</v>
      </c>
      <c r="V28" s="19">
        <f t="shared" si="74"/>
        <v>0.32203999999999999</v>
      </c>
    </row>
    <row r="29" spans="1:22">
      <c r="A29" s="36"/>
      <c r="B29" s="36"/>
      <c r="C29" s="37"/>
      <c r="D29" s="38"/>
      <c r="E29" s="31">
        <f t="shared" ref="E29:F29" si="75">SUM(E26:E28)</f>
        <v>24</v>
      </c>
      <c r="F29" s="38">
        <f t="shared" si="75"/>
        <v>3.0079199999999999</v>
      </c>
      <c r="H29" s="31">
        <f t="shared" ref="H29" si="76">SUM(H26:H28)</f>
        <v>0</v>
      </c>
      <c r="I29" s="38">
        <f t="shared" ref="I29" si="77">SUM(I26:I28)</f>
        <v>0</v>
      </c>
      <c r="K29" s="31">
        <f t="shared" ref="K29" si="78">SUM(K26:K28)</f>
        <v>0</v>
      </c>
      <c r="L29" s="38">
        <f t="shared" ref="L29" si="79">SUM(L26:L28)</f>
        <v>0</v>
      </c>
      <c r="N29" s="31">
        <f t="shared" ref="N29" si="80">SUM(N26:N28)</f>
        <v>0</v>
      </c>
      <c r="O29" s="38">
        <f t="shared" ref="O29" si="81">SUM(O26:O28)</f>
        <v>0</v>
      </c>
      <c r="Q29" s="31">
        <f t="shared" ref="Q29" si="82">SUM(Q26:Q28)</f>
        <v>0</v>
      </c>
      <c r="R29" s="38">
        <f t="shared" ref="R29" si="83">SUM(R26:R28)</f>
        <v>0</v>
      </c>
      <c r="S29" s="31">
        <f t="shared" ref="S29" si="84">SUM(S26:S28)</f>
        <v>0</v>
      </c>
      <c r="T29" s="38">
        <f t="shared" ref="T29" si="85">SUM(T26:T28)</f>
        <v>0</v>
      </c>
      <c r="U29" s="31">
        <f t="shared" ref="U29" si="86">SUM(U26:U28)</f>
        <v>24</v>
      </c>
      <c r="V29" s="38">
        <f t="shared" ref="V29" si="87">SUM(V26:V28)</f>
        <v>3.0079199999999999</v>
      </c>
    </row>
    <row r="30" spans="1:22">
      <c r="A30" s="26" t="s">
        <v>13</v>
      </c>
      <c r="B30" s="26" t="s">
        <v>25</v>
      </c>
      <c r="C30" s="30">
        <v>13.4</v>
      </c>
      <c r="D30" s="27">
        <v>7.5</v>
      </c>
      <c r="E30" s="28">
        <v>13</v>
      </c>
      <c r="F30" s="16">
        <f t="shared" ref="F30:F32" si="88">(C30*D30*E30/1000)</f>
        <v>1.3065</v>
      </c>
      <c r="G30" s="16" t="s">
        <v>86</v>
      </c>
      <c r="H30" s="18">
        <v>13</v>
      </c>
      <c r="I30" s="19">
        <f t="shared" ref="I30:I32" si="89">(C30*D30*H30/1000)</f>
        <v>1.3065</v>
      </c>
      <c r="J30" s="16"/>
      <c r="K30" s="18"/>
      <c r="L30" s="19">
        <f t="shared" ref="L30:L32" si="90">(C30*D30*K30/1000)</f>
        <v>0</v>
      </c>
      <c r="M30" s="16"/>
      <c r="N30" s="18"/>
      <c r="O30" s="19">
        <f t="shared" ref="O30:O32" si="91">(C30*D30*N30/1000)</f>
        <v>0</v>
      </c>
      <c r="P30" s="16"/>
      <c r="Q30" s="18"/>
      <c r="R30" s="19">
        <f t="shared" ref="R30:R32" si="92">(C30*D30*Q30/1000)</f>
        <v>0</v>
      </c>
      <c r="S30" s="20">
        <f t="shared" ref="S30:S32" si="93">+H30+K30+Q30+N30</f>
        <v>13</v>
      </c>
      <c r="T30" s="19">
        <f t="shared" ref="T30:T32" si="94">+I30+L30+R30+O30</f>
        <v>1.3065</v>
      </c>
      <c r="U30" s="21">
        <f t="shared" ref="U30:U32" si="95">E30-S30</f>
        <v>0</v>
      </c>
      <c r="V30" s="19">
        <f t="shared" ref="V30:V32" si="96">F30-T30</f>
        <v>0</v>
      </c>
    </row>
    <row r="31" spans="1:22">
      <c r="A31" s="26" t="s">
        <v>13</v>
      </c>
      <c r="B31" s="26" t="s">
        <v>25</v>
      </c>
      <c r="C31" s="30">
        <v>13.4</v>
      </c>
      <c r="D31" s="27">
        <v>10.199999999999999</v>
      </c>
      <c r="E31" s="28">
        <v>10</v>
      </c>
      <c r="F31" s="16">
        <f t="shared" si="88"/>
        <v>1.3668000000000002</v>
      </c>
      <c r="G31" s="16" t="s">
        <v>613</v>
      </c>
      <c r="H31" s="18">
        <v>10</v>
      </c>
      <c r="I31" s="19">
        <f t="shared" si="89"/>
        <v>1.3668000000000002</v>
      </c>
      <c r="J31" s="16"/>
      <c r="K31" s="18"/>
      <c r="L31" s="19">
        <f t="shared" si="90"/>
        <v>0</v>
      </c>
      <c r="M31" s="16"/>
      <c r="N31" s="18"/>
      <c r="O31" s="19">
        <f t="shared" si="91"/>
        <v>0</v>
      </c>
      <c r="P31" s="16"/>
      <c r="Q31" s="18"/>
      <c r="R31" s="19">
        <f t="shared" si="92"/>
        <v>0</v>
      </c>
      <c r="S31" s="20">
        <f t="shared" si="93"/>
        <v>10</v>
      </c>
      <c r="T31" s="19">
        <f t="shared" si="94"/>
        <v>1.3668000000000002</v>
      </c>
      <c r="U31" s="21">
        <f t="shared" si="95"/>
        <v>0</v>
      </c>
      <c r="V31" s="19">
        <f t="shared" si="96"/>
        <v>0</v>
      </c>
    </row>
    <row r="32" spans="1:22">
      <c r="A32" s="26" t="s">
        <v>13</v>
      </c>
      <c r="B32" s="26" t="s">
        <v>25</v>
      </c>
      <c r="C32" s="30">
        <v>13.4</v>
      </c>
      <c r="D32" s="27">
        <v>11.4</v>
      </c>
      <c r="E32" s="28">
        <v>11</v>
      </c>
      <c r="F32" s="16">
        <f t="shared" si="88"/>
        <v>1.6803600000000001</v>
      </c>
      <c r="G32" s="17"/>
      <c r="H32" s="18">
        <v>11</v>
      </c>
      <c r="I32" s="19">
        <f t="shared" si="89"/>
        <v>1.6803600000000001</v>
      </c>
      <c r="J32" s="16"/>
      <c r="K32" s="18"/>
      <c r="L32" s="19">
        <f t="shared" si="90"/>
        <v>0</v>
      </c>
      <c r="M32" s="16"/>
      <c r="N32" s="18"/>
      <c r="O32" s="19">
        <f t="shared" si="91"/>
        <v>0</v>
      </c>
      <c r="P32" s="16"/>
      <c r="Q32" s="18"/>
      <c r="R32" s="19">
        <f t="shared" si="92"/>
        <v>0</v>
      </c>
      <c r="S32" s="20">
        <f t="shared" si="93"/>
        <v>11</v>
      </c>
      <c r="T32" s="19">
        <f t="shared" si="94"/>
        <v>1.6803600000000001</v>
      </c>
      <c r="U32" s="21">
        <f t="shared" si="95"/>
        <v>0</v>
      </c>
      <c r="V32" s="19">
        <f t="shared" si="96"/>
        <v>0</v>
      </c>
    </row>
    <row r="33" spans="1:22">
      <c r="A33" s="36"/>
      <c r="B33" s="36"/>
      <c r="C33" s="37"/>
      <c r="D33" s="38"/>
      <c r="E33" s="31">
        <f t="shared" ref="E33:F33" si="97">SUM(E30:E32)</f>
        <v>34</v>
      </c>
      <c r="F33" s="38">
        <f t="shared" si="97"/>
        <v>4.3536600000000005</v>
      </c>
      <c r="H33" s="31">
        <f t="shared" ref="H33" si="98">SUM(H30:H32)</f>
        <v>34</v>
      </c>
      <c r="I33" s="38">
        <f t="shared" ref="I33" si="99">SUM(I30:I32)</f>
        <v>4.3536600000000005</v>
      </c>
      <c r="K33" s="31">
        <f t="shared" ref="K33" si="100">SUM(K30:K32)</f>
        <v>0</v>
      </c>
      <c r="L33" s="38">
        <f t="shared" ref="L33" si="101">SUM(L30:L32)</f>
        <v>0</v>
      </c>
      <c r="N33" s="31">
        <f t="shared" ref="N33" si="102">SUM(N30:N32)</f>
        <v>0</v>
      </c>
      <c r="O33" s="38">
        <f t="shared" ref="O33" si="103">SUM(O30:O32)</f>
        <v>0</v>
      </c>
      <c r="Q33" s="31">
        <f t="shared" ref="Q33" si="104">SUM(Q30:Q32)</f>
        <v>0</v>
      </c>
      <c r="R33" s="38">
        <f t="shared" ref="R33" si="105">SUM(R30:R32)</f>
        <v>0</v>
      </c>
      <c r="S33" s="31">
        <f t="shared" ref="S33" si="106">SUM(S30:S32)</f>
        <v>34</v>
      </c>
      <c r="T33" s="38">
        <f t="shared" ref="T33" si="107">SUM(T30:T32)</f>
        <v>4.3536600000000005</v>
      </c>
      <c r="U33" s="31">
        <f t="shared" ref="U33" si="108">SUM(U30:U32)</f>
        <v>0</v>
      </c>
      <c r="V33" s="38">
        <f t="shared" ref="V33" si="109">SUM(V30:V32)</f>
        <v>0</v>
      </c>
    </row>
    <row r="34" spans="1:22">
      <c r="A34" s="26" t="s">
        <v>13</v>
      </c>
      <c r="B34" s="26" t="s">
        <v>47</v>
      </c>
      <c r="C34" s="30">
        <v>18.2</v>
      </c>
      <c r="D34" s="27">
        <v>7.4</v>
      </c>
      <c r="E34" s="28">
        <v>12</v>
      </c>
      <c r="F34" s="16">
        <f t="shared" ref="F34:F39" si="110">(C34*D34*E34/1000)</f>
        <v>1.61616</v>
      </c>
      <c r="G34" s="17"/>
      <c r="H34" s="18"/>
      <c r="I34" s="19">
        <f t="shared" ref="I34:I39" si="111">(C34*D34*H34/1000)</f>
        <v>0</v>
      </c>
      <c r="J34" s="16"/>
      <c r="K34" s="18"/>
      <c r="L34" s="19">
        <f t="shared" ref="L34:L39" si="112">(C34*D34*K34/1000)</f>
        <v>0</v>
      </c>
      <c r="M34" s="16"/>
      <c r="N34" s="18"/>
      <c r="O34" s="19">
        <f t="shared" ref="O34:O39" si="113">(C34*D34*N34/1000)</f>
        <v>0</v>
      </c>
      <c r="P34" s="16"/>
      <c r="Q34" s="18"/>
      <c r="R34" s="19">
        <f t="shared" ref="R34:R39" si="114">(C34*D34*Q34/1000)</f>
        <v>0</v>
      </c>
      <c r="S34" s="20">
        <f t="shared" ref="S34:S39" si="115">+H34+K34+Q34+N34</f>
        <v>0</v>
      </c>
      <c r="T34" s="19">
        <f t="shared" ref="T34:T39" si="116">+I34+L34+R34+O34</f>
        <v>0</v>
      </c>
      <c r="U34" s="21">
        <f t="shared" ref="U34:U39" si="117">E34-S34</f>
        <v>12</v>
      </c>
      <c r="V34" s="19">
        <f t="shared" ref="V34:V39" si="118">F34-T34</f>
        <v>1.61616</v>
      </c>
    </row>
    <row r="35" spans="1:22">
      <c r="A35" s="26" t="s">
        <v>13</v>
      </c>
      <c r="B35" s="26" t="s">
        <v>47</v>
      </c>
      <c r="C35" s="30">
        <v>18.2</v>
      </c>
      <c r="D35" s="27">
        <v>8.1999999999999993</v>
      </c>
      <c r="E35" s="28">
        <v>24</v>
      </c>
      <c r="F35" s="16">
        <f t="shared" si="110"/>
        <v>3.5817599999999992</v>
      </c>
      <c r="G35" s="17"/>
      <c r="H35" s="18"/>
      <c r="I35" s="19">
        <f t="shared" si="111"/>
        <v>0</v>
      </c>
      <c r="J35" s="16"/>
      <c r="K35" s="18"/>
      <c r="L35" s="19">
        <f t="shared" si="112"/>
        <v>0</v>
      </c>
      <c r="M35" s="16"/>
      <c r="N35" s="18"/>
      <c r="O35" s="19">
        <f t="shared" si="113"/>
        <v>0</v>
      </c>
      <c r="P35" s="16"/>
      <c r="Q35" s="18"/>
      <c r="R35" s="19">
        <f t="shared" si="114"/>
        <v>0</v>
      </c>
      <c r="S35" s="20">
        <f t="shared" si="115"/>
        <v>0</v>
      </c>
      <c r="T35" s="19">
        <f t="shared" si="116"/>
        <v>0</v>
      </c>
      <c r="U35" s="21">
        <f t="shared" si="117"/>
        <v>24</v>
      </c>
      <c r="V35" s="19">
        <f t="shared" si="118"/>
        <v>3.5817599999999992</v>
      </c>
    </row>
    <row r="36" spans="1:22">
      <c r="A36" s="26" t="s">
        <v>13</v>
      </c>
      <c r="B36" s="26" t="s">
        <v>47</v>
      </c>
      <c r="C36" s="30">
        <v>18.2</v>
      </c>
      <c r="D36" s="27">
        <v>9.5</v>
      </c>
      <c r="E36" s="28">
        <v>3</v>
      </c>
      <c r="F36" s="16">
        <f t="shared" si="110"/>
        <v>0.51870000000000005</v>
      </c>
      <c r="G36" s="17"/>
      <c r="H36" s="18"/>
      <c r="I36" s="19">
        <f t="shared" si="111"/>
        <v>0</v>
      </c>
      <c r="J36" s="16"/>
      <c r="K36" s="18"/>
      <c r="L36" s="19">
        <f t="shared" si="112"/>
        <v>0</v>
      </c>
      <c r="M36" s="16"/>
      <c r="N36" s="18"/>
      <c r="O36" s="19">
        <f t="shared" si="113"/>
        <v>0</v>
      </c>
      <c r="P36" s="16"/>
      <c r="Q36" s="18"/>
      <c r="R36" s="19">
        <f t="shared" si="114"/>
        <v>0</v>
      </c>
      <c r="S36" s="20">
        <f t="shared" si="115"/>
        <v>0</v>
      </c>
      <c r="T36" s="19">
        <f t="shared" si="116"/>
        <v>0</v>
      </c>
      <c r="U36" s="21">
        <f t="shared" si="117"/>
        <v>3</v>
      </c>
      <c r="V36" s="19">
        <f t="shared" si="118"/>
        <v>0.51870000000000005</v>
      </c>
    </row>
    <row r="37" spans="1:22">
      <c r="A37" s="26" t="s">
        <v>13</v>
      </c>
      <c r="B37" s="26" t="s">
        <v>47</v>
      </c>
      <c r="C37" s="30">
        <v>18.2</v>
      </c>
      <c r="D37" s="27">
        <v>10.6</v>
      </c>
      <c r="E37" s="28">
        <v>12</v>
      </c>
      <c r="F37" s="16">
        <f t="shared" si="110"/>
        <v>2.3150399999999998</v>
      </c>
      <c r="G37" s="17"/>
      <c r="H37" s="18"/>
      <c r="I37" s="19">
        <f t="shared" si="111"/>
        <v>0</v>
      </c>
      <c r="J37" s="16"/>
      <c r="K37" s="18"/>
      <c r="L37" s="19">
        <f t="shared" si="112"/>
        <v>0</v>
      </c>
      <c r="M37" s="16"/>
      <c r="N37" s="18"/>
      <c r="O37" s="19">
        <f t="shared" si="113"/>
        <v>0</v>
      </c>
      <c r="P37" s="16"/>
      <c r="Q37" s="18"/>
      <c r="R37" s="19">
        <f t="shared" si="114"/>
        <v>0</v>
      </c>
      <c r="S37" s="20">
        <f t="shared" si="115"/>
        <v>0</v>
      </c>
      <c r="T37" s="19">
        <f t="shared" si="116"/>
        <v>0</v>
      </c>
      <c r="U37" s="21">
        <f t="shared" si="117"/>
        <v>12</v>
      </c>
      <c r="V37" s="19">
        <f t="shared" si="118"/>
        <v>2.3150399999999998</v>
      </c>
    </row>
    <row r="38" spans="1:22">
      <c r="A38" s="26" t="s">
        <v>13</v>
      </c>
      <c r="B38" s="26" t="s">
        <v>47</v>
      </c>
      <c r="C38" s="30">
        <v>18.2</v>
      </c>
      <c r="D38" s="27">
        <v>11.3</v>
      </c>
      <c r="E38" s="28">
        <v>20</v>
      </c>
      <c r="F38" s="16">
        <f t="shared" si="110"/>
        <v>4.1132</v>
      </c>
      <c r="G38" s="17"/>
      <c r="H38" s="18"/>
      <c r="I38" s="19">
        <f t="shared" si="111"/>
        <v>0</v>
      </c>
      <c r="J38" s="16"/>
      <c r="K38" s="18"/>
      <c r="L38" s="19">
        <f t="shared" si="112"/>
        <v>0</v>
      </c>
      <c r="M38" s="16"/>
      <c r="N38" s="18"/>
      <c r="O38" s="19">
        <f t="shared" si="113"/>
        <v>0</v>
      </c>
      <c r="P38" s="16"/>
      <c r="Q38" s="18"/>
      <c r="R38" s="19">
        <f t="shared" si="114"/>
        <v>0</v>
      </c>
      <c r="S38" s="20">
        <f t="shared" si="115"/>
        <v>0</v>
      </c>
      <c r="T38" s="19">
        <f t="shared" si="116"/>
        <v>0</v>
      </c>
      <c r="U38" s="21">
        <f t="shared" si="117"/>
        <v>20</v>
      </c>
      <c r="V38" s="19">
        <f t="shared" si="118"/>
        <v>4.1132</v>
      </c>
    </row>
    <row r="39" spans="1:22">
      <c r="A39" s="26" t="s">
        <v>13</v>
      </c>
      <c r="B39" s="26" t="s">
        <v>47</v>
      </c>
      <c r="C39" s="30">
        <v>18.2</v>
      </c>
      <c r="D39" s="27">
        <v>11.8</v>
      </c>
      <c r="E39" s="28">
        <v>4</v>
      </c>
      <c r="F39" s="16">
        <f t="shared" si="110"/>
        <v>0.85903999999999991</v>
      </c>
      <c r="G39" s="17"/>
      <c r="H39" s="18"/>
      <c r="I39" s="19">
        <f t="shared" si="111"/>
        <v>0</v>
      </c>
      <c r="J39" s="16"/>
      <c r="K39" s="18"/>
      <c r="L39" s="19">
        <f t="shared" si="112"/>
        <v>0</v>
      </c>
      <c r="M39" s="16"/>
      <c r="N39" s="18"/>
      <c r="O39" s="19">
        <f t="shared" si="113"/>
        <v>0</v>
      </c>
      <c r="P39" s="16"/>
      <c r="Q39" s="18"/>
      <c r="R39" s="19">
        <f t="shared" si="114"/>
        <v>0</v>
      </c>
      <c r="S39" s="20">
        <f t="shared" si="115"/>
        <v>0</v>
      </c>
      <c r="T39" s="19">
        <f t="shared" si="116"/>
        <v>0</v>
      </c>
      <c r="U39" s="21">
        <f t="shared" si="117"/>
        <v>4</v>
      </c>
      <c r="V39" s="19">
        <f t="shared" si="118"/>
        <v>0.85903999999999991</v>
      </c>
    </row>
    <row r="40" spans="1:22">
      <c r="A40" s="36"/>
      <c r="B40" s="36"/>
      <c r="C40" s="37"/>
      <c r="D40" s="38"/>
      <c r="E40" s="31">
        <f t="shared" ref="E40:F40" si="119">SUM(E34:E39)</f>
        <v>75</v>
      </c>
      <c r="F40" s="38">
        <f t="shared" si="119"/>
        <v>13.003899999999998</v>
      </c>
      <c r="H40" s="31">
        <f t="shared" ref="H40" si="120">SUM(H34:H39)</f>
        <v>0</v>
      </c>
      <c r="I40" s="38">
        <f t="shared" ref="I40" si="121">SUM(I34:I39)</f>
        <v>0</v>
      </c>
      <c r="K40" s="31">
        <f t="shared" ref="K40" si="122">SUM(K34:K39)</f>
        <v>0</v>
      </c>
      <c r="L40" s="38">
        <f t="shared" ref="L40" si="123">SUM(L34:L39)</f>
        <v>0</v>
      </c>
      <c r="N40" s="31">
        <f t="shared" ref="N40" si="124">SUM(N34:N39)</f>
        <v>0</v>
      </c>
      <c r="O40" s="38">
        <f t="shared" ref="O40" si="125">SUM(O34:O39)</f>
        <v>0</v>
      </c>
      <c r="Q40" s="31">
        <f t="shared" ref="Q40" si="126">SUM(Q34:Q39)</f>
        <v>0</v>
      </c>
      <c r="R40" s="38">
        <f t="shared" ref="R40" si="127">SUM(R34:R39)</f>
        <v>0</v>
      </c>
      <c r="S40" s="31">
        <f t="shared" ref="S40" si="128">SUM(S34:S39)</f>
        <v>0</v>
      </c>
      <c r="T40" s="38">
        <f t="shared" ref="T40" si="129">SUM(T34:T39)</f>
        <v>0</v>
      </c>
      <c r="U40" s="31">
        <f t="shared" ref="U40" si="130">SUM(U34:U39)</f>
        <v>75</v>
      </c>
      <c r="V40" s="38">
        <f t="shared" ref="V40" si="131">SUM(V34:V39)</f>
        <v>13.003899999999998</v>
      </c>
    </row>
    <row r="41" spans="1:22">
      <c r="A41" s="26" t="s">
        <v>13</v>
      </c>
      <c r="B41" s="26" t="s">
        <v>49</v>
      </c>
      <c r="C41" s="30">
        <v>14.7</v>
      </c>
      <c r="D41" s="27">
        <v>11.4</v>
      </c>
      <c r="E41" s="28">
        <v>10</v>
      </c>
      <c r="F41" s="16">
        <f>(C41*D41*E41/1000)</f>
        <v>1.6757999999999997</v>
      </c>
      <c r="G41" s="17"/>
      <c r="H41" s="18"/>
      <c r="I41" s="19">
        <f>(C41*D41*H41/1000)</f>
        <v>0</v>
      </c>
      <c r="J41" s="16"/>
      <c r="K41" s="18"/>
      <c r="L41" s="19">
        <f>(C41*D41*K41/1000)</f>
        <v>0</v>
      </c>
      <c r="M41" s="16"/>
      <c r="N41" s="18"/>
      <c r="O41" s="19">
        <f>(C41*D41*N41/1000)</f>
        <v>0</v>
      </c>
      <c r="P41" s="16"/>
      <c r="Q41" s="18"/>
      <c r="R41" s="19">
        <f>(C41*D41*Q41/1000)</f>
        <v>0</v>
      </c>
      <c r="S41" s="20">
        <f>+H41+K41+Q41+N41</f>
        <v>0</v>
      </c>
      <c r="T41" s="19">
        <f>+I41+L41+R41+O41</f>
        <v>0</v>
      </c>
      <c r="U41" s="21">
        <f>E41-S41</f>
        <v>10</v>
      </c>
      <c r="V41" s="19">
        <f>F41-T41</f>
        <v>1.6757999999999997</v>
      </c>
    </row>
    <row r="42" spans="1:22">
      <c r="A42" s="36"/>
      <c r="B42" s="36"/>
      <c r="C42" s="37"/>
      <c r="D42" s="38"/>
      <c r="E42" s="31">
        <f t="shared" ref="E42:F42" si="132">SUM(E41)</f>
        <v>10</v>
      </c>
      <c r="F42" s="38">
        <f t="shared" si="132"/>
        <v>1.6757999999999997</v>
      </c>
      <c r="H42" s="31">
        <f t="shared" ref="H42" si="133">SUM(H41)</f>
        <v>0</v>
      </c>
      <c r="I42" s="38">
        <f t="shared" ref="I42" si="134">SUM(I41)</f>
        <v>0</v>
      </c>
      <c r="K42" s="31">
        <f t="shared" ref="K42" si="135">SUM(K41)</f>
        <v>0</v>
      </c>
      <c r="L42" s="38">
        <f t="shared" ref="L42" si="136">SUM(L41)</f>
        <v>0</v>
      </c>
      <c r="N42" s="31">
        <f t="shared" ref="N42" si="137">SUM(N41)</f>
        <v>0</v>
      </c>
      <c r="O42" s="38">
        <f t="shared" ref="O42" si="138">SUM(O41)</f>
        <v>0</v>
      </c>
      <c r="Q42" s="31">
        <f t="shared" ref="Q42" si="139">SUM(Q41)</f>
        <v>0</v>
      </c>
      <c r="R42" s="38">
        <f t="shared" ref="R42" si="140">SUM(R41)</f>
        <v>0</v>
      </c>
      <c r="S42" s="31">
        <f t="shared" ref="S42" si="141">SUM(S41)</f>
        <v>0</v>
      </c>
      <c r="T42" s="38">
        <f t="shared" ref="T42" si="142">SUM(T41)</f>
        <v>0</v>
      </c>
      <c r="U42" s="31">
        <f t="shared" ref="U42" si="143">SUM(U41)</f>
        <v>10</v>
      </c>
      <c r="V42" s="38">
        <f t="shared" ref="V42" si="144">SUM(V41)</f>
        <v>1.6757999999999997</v>
      </c>
    </row>
    <row r="43" spans="1:22">
      <c r="A43" s="26" t="s">
        <v>13</v>
      </c>
      <c r="B43" s="26" t="s">
        <v>51</v>
      </c>
      <c r="C43" s="30">
        <v>19.8</v>
      </c>
      <c r="D43" s="27">
        <v>9.25</v>
      </c>
      <c r="E43" s="28">
        <v>7</v>
      </c>
      <c r="F43" s="16">
        <f>(C43*D43*E43/1000)</f>
        <v>1.2820499999999999</v>
      </c>
      <c r="G43" s="17"/>
      <c r="H43" s="18"/>
      <c r="I43" s="19">
        <f>(C43*D43*H43/1000)</f>
        <v>0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>+H43+K43+Q43+N43</f>
        <v>0</v>
      </c>
      <c r="T43" s="19">
        <f>+I43+L43+R43+O43</f>
        <v>0</v>
      </c>
      <c r="U43" s="21">
        <f>E43-S43</f>
        <v>7</v>
      </c>
      <c r="V43" s="19">
        <f>F43-T43</f>
        <v>1.2820499999999999</v>
      </c>
    </row>
    <row r="44" spans="1:22">
      <c r="A44" s="36"/>
      <c r="B44" s="36"/>
      <c r="C44" s="37"/>
      <c r="D44" s="38"/>
      <c r="E44" s="31">
        <f t="shared" ref="E44:F44" si="145">SUM(E43)</f>
        <v>7</v>
      </c>
      <c r="F44" s="38">
        <f t="shared" si="145"/>
        <v>1.2820499999999999</v>
      </c>
      <c r="H44" s="31">
        <f t="shared" ref="H44" si="146">SUM(H43)</f>
        <v>0</v>
      </c>
      <c r="I44" s="38">
        <f t="shared" ref="I44" si="147">SUM(I43)</f>
        <v>0</v>
      </c>
      <c r="K44" s="31">
        <f t="shared" ref="K44" si="148">SUM(K43)</f>
        <v>0</v>
      </c>
      <c r="L44" s="38">
        <f t="shared" ref="L44" si="149">SUM(L43)</f>
        <v>0</v>
      </c>
      <c r="N44" s="31">
        <f t="shared" ref="N44" si="150">SUM(N43)</f>
        <v>0</v>
      </c>
      <c r="O44" s="38">
        <f t="shared" ref="O44" si="151">SUM(O43)</f>
        <v>0</v>
      </c>
      <c r="Q44" s="31">
        <f t="shared" ref="Q44" si="152">SUM(Q43)</f>
        <v>0</v>
      </c>
      <c r="R44" s="38">
        <f t="shared" ref="R44" si="153">SUM(R43)</f>
        <v>0</v>
      </c>
      <c r="S44" s="31">
        <f t="shared" ref="S44" si="154">SUM(S43)</f>
        <v>0</v>
      </c>
      <c r="T44" s="38">
        <f t="shared" ref="T44" si="155">SUM(T43)</f>
        <v>0</v>
      </c>
      <c r="U44" s="31">
        <f t="shared" ref="U44" si="156">SUM(U43)</f>
        <v>7</v>
      </c>
      <c r="V44" s="38">
        <f t="shared" ref="V44" si="157">SUM(V43)</f>
        <v>1.2820499999999999</v>
      </c>
    </row>
    <row r="45" spans="1:22">
      <c r="A45" s="26" t="s">
        <v>13</v>
      </c>
      <c r="B45" s="26" t="s">
        <v>52</v>
      </c>
      <c r="C45" s="30">
        <v>21.7</v>
      </c>
      <c r="D45" s="27">
        <v>7</v>
      </c>
      <c r="E45" s="28">
        <v>24</v>
      </c>
      <c r="F45" s="16">
        <f t="shared" ref="F45:F46" si="158">(C45*D45*E45/1000)</f>
        <v>3.6456000000000004</v>
      </c>
      <c r="G45" s="17"/>
      <c r="H45" s="18"/>
      <c r="I45" s="19">
        <f t="shared" ref="I45:I46" si="159">(C45*D45*H45/1000)</f>
        <v>0</v>
      </c>
      <c r="J45" s="16"/>
      <c r="K45" s="18"/>
      <c r="L45" s="19">
        <f t="shared" ref="L45:L46" si="160">(C45*D45*K45/1000)</f>
        <v>0</v>
      </c>
      <c r="M45" s="16"/>
      <c r="N45" s="18"/>
      <c r="O45" s="19">
        <f t="shared" ref="O45:O46" si="161">(C45*D45*N45/1000)</f>
        <v>0</v>
      </c>
      <c r="P45" s="16"/>
      <c r="Q45" s="18"/>
      <c r="R45" s="19">
        <f t="shared" ref="R45:R46" si="162">(C45*D45*Q45/1000)</f>
        <v>0</v>
      </c>
      <c r="S45" s="20">
        <f t="shared" ref="S45:S46" si="163">+H45+K45+Q45+N45</f>
        <v>0</v>
      </c>
      <c r="T45" s="19">
        <f t="shared" ref="T45:T46" si="164">+I45+L45+R45+O45</f>
        <v>0</v>
      </c>
      <c r="U45" s="21">
        <f t="shared" ref="U45:U46" si="165">E45-S45</f>
        <v>24</v>
      </c>
      <c r="V45" s="19">
        <f t="shared" ref="V45:V46" si="166">F45-T45</f>
        <v>3.6456000000000004</v>
      </c>
    </row>
    <row r="46" spans="1:22">
      <c r="A46" s="26" t="s">
        <v>13</v>
      </c>
      <c r="B46" s="26" t="s">
        <v>52</v>
      </c>
      <c r="C46" s="30">
        <v>21.7</v>
      </c>
      <c r="D46" s="27">
        <v>8.5500000000000007</v>
      </c>
      <c r="E46" s="28">
        <v>24</v>
      </c>
      <c r="F46" s="16">
        <f t="shared" si="158"/>
        <v>4.4528400000000001</v>
      </c>
      <c r="G46" s="17"/>
      <c r="H46" s="18"/>
      <c r="I46" s="19">
        <f t="shared" si="159"/>
        <v>0</v>
      </c>
      <c r="J46" s="16"/>
      <c r="K46" s="18"/>
      <c r="L46" s="19">
        <f t="shared" si="160"/>
        <v>0</v>
      </c>
      <c r="M46" s="16"/>
      <c r="N46" s="18"/>
      <c r="O46" s="19">
        <f t="shared" si="161"/>
        <v>0</v>
      </c>
      <c r="P46" s="16"/>
      <c r="Q46" s="18"/>
      <c r="R46" s="19">
        <f t="shared" si="162"/>
        <v>0</v>
      </c>
      <c r="S46" s="20">
        <f t="shared" si="163"/>
        <v>0</v>
      </c>
      <c r="T46" s="19">
        <f t="shared" si="164"/>
        <v>0</v>
      </c>
      <c r="U46" s="21">
        <f t="shared" si="165"/>
        <v>24</v>
      </c>
      <c r="V46" s="19">
        <f t="shared" si="166"/>
        <v>4.4528400000000001</v>
      </c>
    </row>
    <row r="47" spans="1:22">
      <c r="A47" s="36"/>
      <c r="B47" s="36"/>
      <c r="C47" s="37"/>
      <c r="D47" s="38"/>
      <c r="E47" s="31">
        <f t="shared" ref="E47:F47" si="167">SUM(E45:E46)</f>
        <v>48</v>
      </c>
      <c r="F47" s="38">
        <f t="shared" si="167"/>
        <v>8.0984400000000001</v>
      </c>
      <c r="H47" s="31">
        <f t="shared" ref="H47" si="168">SUM(H45:H46)</f>
        <v>0</v>
      </c>
      <c r="I47" s="38">
        <f t="shared" ref="I47" si="169">SUM(I45:I46)</f>
        <v>0</v>
      </c>
      <c r="K47" s="31">
        <f t="shared" ref="K47" si="170">SUM(K45:K46)</f>
        <v>0</v>
      </c>
      <c r="L47" s="38">
        <f t="shared" ref="L47" si="171">SUM(L45:L46)</f>
        <v>0</v>
      </c>
      <c r="N47" s="31">
        <f t="shared" ref="N47" si="172">SUM(N45:N46)</f>
        <v>0</v>
      </c>
      <c r="O47" s="38">
        <f t="shared" ref="O47" si="173">SUM(O45:O46)</f>
        <v>0</v>
      </c>
      <c r="Q47" s="31">
        <f t="shared" ref="Q47" si="174">SUM(Q45:Q46)</f>
        <v>0</v>
      </c>
      <c r="R47" s="38">
        <f t="shared" ref="R47" si="175">SUM(R45:R46)</f>
        <v>0</v>
      </c>
      <c r="S47" s="31">
        <f t="shared" ref="S47" si="176">SUM(S45:S46)</f>
        <v>0</v>
      </c>
      <c r="T47" s="38">
        <f t="shared" ref="T47" si="177">SUM(T45:T46)</f>
        <v>0</v>
      </c>
      <c r="U47" s="31">
        <f t="shared" ref="U47" si="178">SUM(U45:U46)</f>
        <v>48</v>
      </c>
      <c r="V47" s="38">
        <f t="shared" ref="V47" si="179">SUM(V45:V46)</f>
        <v>8.0984400000000001</v>
      </c>
    </row>
    <row r="48" spans="1:22">
      <c r="A48" s="26" t="s">
        <v>13</v>
      </c>
      <c r="B48" s="26" t="s">
        <v>53</v>
      </c>
      <c r="C48" s="30">
        <v>23.6</v>
      </c>
      <c r="D48" s="27">
        <v>10.3</v>
      </c>
      <c r="E48" s="28">
        <v>2</v>
      </c>
      <c r="F48" s="16">
        <f t="shared" ref="F48:F50" si="180">(C48*D48*E48/1000)</f>
        <v>0.48616000000000009</v>
      </c>
      <c r="G48" s="17"/>
      <c r="H48" s="18"/>
      <c r="I48" s="19">
        <f t="shared" ref="I48:I50" si="181">(C48*D48*H48/1000)</f>
        <v>0</v>
      </c>
      <c r="J48" s="16"/>
      <c r="K48" s="18"/>
      <c r="L48" s="19">
        <f t="shared" ref="L48:L50" si="182">(C48*D48*K48/1000)</f>
        <v>0</v>
      </c>
      <c r="M48" s="16"/>
      <c r="N48" s="18"/>
      <c r="O48" s="19">
        <f t="shared" ref="O48:O50" si="183">(C48*D48*N48/1000)</f>
        <v>0</v>
      </c>
      <c r="P48" s="16"/>
      <c r="Q48" s="18"/>
      <c r="R48" s="19">
        <f t="shared" ref="R48:R50" si="184">(C48*D48*Q48/1000)</f>
        <v>0</v>
      </c>
      <c r="S48" s="20">
        <f t="shared" ref="S48:S50" si="185">+H48+K48+Q48+N48</f>
        <v>0</v>
      </c>
      <c r="T48" s="19">
        <f t="shared" ref="T48:T50" si="186">+I48+L48+R48+O48</f>
        <v>0</v>
      </c>
      <c r="U48" s="21">
        <f t="shared" ref="U48:U50" si="187">E48-S48</f>
        <v>2</v>
      </c>
      <c r="V48" s="19">
        <f t="shared" ref="V48:V50" si="188">F48-T48</f>
        <v>0.48616000000000009</v>
      </c>
    </row>
    <row r="49" spans="1:22">
      <c r="A49" s="26" t="s">
        <v>13</v>
      </c>
      <c r="B49" s="26" t="s">
        <v>53</v>
      </c>
      <c r="C49" s="30">
        <v>23.6</v>
      </c>
      <c r="D49" s="27">
        <v>10.4</v>
      </c>
      <c r="E49" s="28">
        <v>2</v>
      </c>
      <c r="F49" s="16">
        <f t="shared" si="180"/>
        <v>0.49088000000000004</v>
      </c>
      <c r="G49" s="17"/>
      <c r="H49" s="18"/>
      <c r="I49" s="19">
        <f t="shared" si="181"/>
        <v>0</v>
      </c>
      <c r="J49" s="16"/>
      <c r="K49" s="18"/>
      <c r="L49" s="19">
        <f t="shared" si="182"/>
        <v>0</v>
      </c>
      <c r="M49" s="16"/>
      <c r="N49" s="18"/>
      <c r="O49" s="19">
        <f t="shared" si="183"/>
        <v>0</v>
      </c>
      <c r="P49" s="16"/>
      <c r="Q49" s="18"/>
      <c r="R49" s="19">
        <f t="shared" si="184"/>
        <v>0</v>
      </c>
      <c r="S49" s="20">
        <f t="shared" si="185"/>
        <v>0</v>
      </c>
      <c r="T49" s="19">
        <f t="shared" si="186"/>
        <v>0</v>
      </c>
      <c r="U49" s="21">
        <f t="shared" si="187"/>
        <v>2</v>
      </c>
      <c r="V49" s="19">
        <f t="shared" si="188"/>
        <v>0.49088000000000004</v>
      </c>
    </row>
    <row r="50" spans="1:22">
      <c r="A50" s="26" t="s">
        <v>13</v>
      </c>
      <c r="B50" s="26" t="s">
        <v>53</v>
      </c>
      <c r="C50" s="30">
        <v>23.6</v>
      </c>
      <c r="D50" s="27">
        <v>11.5</v>
      </c>
      <c r="E50" s="28">
        <v>11</v>
      </c>
      <c r="F50" s="16">
        <f t="shared" si="180"/>
        <v>2.9854000000000007</v>
      </c>
      <c r="G50" s="17"/>
      <c r="H50" s="18"/>
      <c r="I50" s="19">
        <f t="shared" si="181"/>
        <v>0</v>
      </c>
      <c r="J50" s="16"/>
      <c r="K50" s="18"/>
      <c r="L50" s="19">
        <f t="shared" si="182"/>
        <v>0</v>
      </c>
      <c r="M50" s="16"/>
      <c r="N50" s="18"/>
      <c r="O50" s="19">
        <f t="shared" si="183"/>
        <v>0</v>
      </c>
      <c r="P50" s="16"/>
      <c r="Q50" s="18"/>
      <c r="R50" s="19">
        <f t="shared" si="184"/>
        <v>0</v>
      </c>
      <c r="S50" s="20">
        <f t="shared" si="185"/>
        <v>0</v>
      </c>
      <c r="T50" s="19">
        <f t="shared" si="186"/>
        <v>0</v>
      </c>
      <c r="U50" s="21">
        <f t="shared" si="187"/>
        <v>11</v>
      </c>
      <c r="V50" s="19">
        <f t="shared" si="188"/>
        <v>2.9854000000000007</v>
      </c>
    </row>
    <row r="51" spans="1:22">
      <c r="A51" s="36"/>
      <c r="B51" s="36"/>
      <c r="C51" s="37"/>
      <c r="D51" s="38"/>
      <c r="E51" s="31">
        <f t="shared" ref="E51:F51" si="189">SUM(E48:E50)</f>
        <v>15</v>
      </c>
      <c r="F51" s="38">
        <f t="shared" si="189"/>
        <v>3.9624400000000009</v>
      </c>
      <c r="H51" s="31">
        <f t="shared" ref="H51" si="190">SUM(H48:H50)</f>
        <v>0</v>
      </c>
      <c r="I51" s="38">
        <f t="shared" ref="I51" si="191">SUM(I48:I50)</f>
        <v>0</v>
      </c>
      <c r="K51" s="31">
        <f t="shared" ref="K51" si="192">SUM(K48:K50)</f>
        <v>0</v>
      </c>
      <c r="L51" s="38">
        <f t="shared" ref="L51" si="193">SUM(L48:L50)</f>
        <v>0</v>
      </c>
      <c r="N51" s="31">
        <f t="shared" ref="N51" si="194">SUM(N48:N50)</f>
        <v>0</v>
      </c>
      <c r="O51" s="38">
        <f t="shared" ref="O51" si="195">SUM(O48:O50)</f>
        <v>0</v>
      </c>
      <c r="Q51" s="31">
        <f t="shared" ref="Q51" si="196">SUM(Q48:Q50)</f>
        <v>0</v>
      </c>
      <c r="R51" s="38">
        <f t="shared" ref="R51" si="197">SUM(R48:R50)</f>
        <v>0</v>
      </c>
      <c r="S51" s="31">
        <f t="shared" ref="S51" si="198">SUM(S48:S50)</f>
        <v>0</v>
      </c>
      <c r="T51" s="38">
        <f t="shared" ref="T51" si="199">SUM(T48:T50)</f>
        <v>0</v>
      </c>
      <c r="U51" s="31">
        <f t="shared" ref="U51" si="200">SUM(U48:U50)</f>
        <v>15</v>
      </c>
      <c r="V51" s="38">
        <f t="shared" ref="V51" si="201">SUM(V48:V50)</f>
        <v>3.9624400000000009</v>
      </c>
    </row>
    <row r="52" spans="1:22">
      <c r="A52" s="26" t="s">
        <v>13</v>
      </c>
      <c r="B52" s="26" t="s">
        <v>56</v>
      </c>
      <c r="C52" s="30">
        <v>17.899999999999999</v>
      </c>
      <c r="D52" s="27">
        <v>6.1</v>
      </c>
      <c r="E52" s="28">
        <v>20</v>
      </c>
      <c r="F52" s="16">
        <f t="shared" ref="F52:F53" si="202">(C52*D52*E52/1000)</f>
        <v>2.1837999999999997</v>
      </c>
      <c r="G52" s="17"/>
      <c r="H52" s="18"/>
      <c r="I52" s="19">
        <f t="shared" ref="I52:I53" si="203">(C52*D52*H52/1000)</f>
        <v>0</v>
      </c>
      <c r="J52" s="16"/>
      <c r="K52" s="18"/>
      <c r="L52" s="19">
        <f t="shared" ref="L52:L53" si="204">(C52*D52*K52/1000)</f>
        <v>0</v>
      </c>
      <c r="M52" s="16"/>
      <c r="N52" s="18"/>
      <c r="O52" s="19">
        <f t="shared" ref="O52:O53" si="205">(C52*D52*N52/1000)</f>
        <v>0</v>
      </c>
      <c r="P52" s="16"/>
      <c r="Q52" s="18"/>
      <c r="R52" s="19">
        <f t="shared" ref="R52:R53" si="206">(C52*D52*Q52/1000)</f>
        <v>0</v>
      </c>
      <c r="S52" s="20">
        <f t="shared" ref="S52:S53" si="207">+H52+K52+Q52+N52</f>
        <v>0</v>
      </c>
      <c r="T52" s="19">
        <f t="shared" ref="T52:T53" si="208">+I52+L52+R52+O52</f>
        <v>0</v>
      </c>
      <c r="U52" s="21">
        <f t="shared" ref="U52:U53" si="209">E52-S52</f>
        <v>20</v>
      </c>
      <c r="V52" s="19">
        <f t="shared" ref="V52:V53" si="210">F52-T52</f>
        <v>2.1837999999999997</v>
      </c>
    </row>
    <row r="53" spans="1:22">
      <c r="A53" s="26" t="s">
        <v>13</v>
      </c>
      <c r="B53" s="26" t="s">
        <v>56</v>
      </c>
      <c r="C53" s="30">
        <v>17.899999999999999</v>
      </c>
      <c r="D53" s="27">
        <v>7.1</v>
      </c>
      <c r="E53" s="28">
        <v>22</v>
      </c>
      <c r="F53" s="16">
        <f t="shared" si="202"/>
        <v>2.7959799999999997</v>
      </c>
      <c r="G53" s="17"/>
      <c r="H53" s="18"/>
      <c r="I53" s="19">
        <f t="shared" si="203"/>
        <v>0</v>
      </c>
      <c r="J53" s="16"/>
      <c r="K53" s="18"/>
      <c r="L53" s="19">
        <f t="shared" si="204"/>
        <v>0</v>
      </c>
      <c r="M53" s="16"/>
      <c r="N53" s="18"/>
      <c r="O53" s="19">
        <f t="shared" si="205"/>
        <v>0</v>
      </c>
      <c r="P53" s="16"/>
      <c r="Q53" s="18"/>
      <c r="R53" s="19">
        <f t="shared" si="206"/>
        <v>0</v>
      </c>
      <c r="S53" s="20">
        <f t="shared" si="207"/>
        <v>0</v>
      </c>
      <c r="T53" s="19">
        <f t="shared" si="208"/>
        <v>0</v>
      </c>
      <c r="U53" s="21">
        <f t="shared" si="209"/>
        <v>22</v>
      </c>
      <c r="V53" s="19">
        <f t="shared" si="210"/>
        <v>2.7959799999999997</v>
      </c>
    </row>
    <row r="54" spans="1:22">
      <c r="A54" s="36"/>
      <c r="B54" s="36"/>
      <c r="C54" s="37"/>
      <c r="D54" s="38"/>
      <c r="E54" s="31">
        <f t="shared" ref="E54:F54" si="211">SUM(E52:E53)</f>
        <v>42</v>
      </c>
      <c r="F54" s="38">
        <f t="shared" si="211"/>
        <v>4.9797799999999999</v>
      </c>
      <c r="H54" s="31">
        <f t="shared" ref="H54" si="212">SUM(H52:H53)</f>
        <v>0</v>
      </c>
      <c r="I54" s="38">
        <f t="shared" ref="I54" si="213">SUM(I52:I53)</f>
        <v>0</v>
      </c>
      <c r="K54" s="31">
        <f t="shared" ref="K54" si="214">SUM(K52:K53)</f>
        <v>0</v>
      </c>
      <c r="L54" s="38">
        <f t="shared" ref="L54" si="215">SUM(L52:L53)</f>
        <v>0</v>
      </c>
      <c r="N54" s="31">
        <f t="shared" ref="N54" si="216">SUM(N52:N53)</f>
        <v>0</v>
      </c>
      <c r="O54" s="38">
        <f t="shared" ref="O54" si="217">SUM(O52:O53)</f>
        <v>0</v>
      </c>
      <c r="Q54" s="31">
        <f t="shared" ref="Q54" si="218">SUM(Q52:Q53)</f>
        <v>0</v>
      </c>
      <c r="R54" s="38">
        <f t="shared" ref="R54" si="219">SUM(R52:R53)</f>
        <v>0</v>
      </c>
      <c r="S54" s="31">
        <f t="shared" ref="S54" si="220">SUM(S52:S53)</f>
        <v>0</v>
      </c>
      <c r="T54" s="38">
        <f t="shared" ref="T54" si="221">SUM(T52:T53)</f>
        <v>0</v>
      </c>
      <c r="U54" s="31">
        <f t="shared" ref="U54" si="222">SUM(U52:U53)</f>
        <v>42</v>
      </c>
      <c r="V54" s="38">
        <f t="shared" ref="V54" si="223">SUM(V52:V53)</f>
        <v>4.9797799999999999</v>
      </c>
    </row>
    <row r="55" spans="1:22">
      <c r="A55" s="26" t="s">
        <v>13</v>
      </c>
      <c r="B55" s="26" t="s">
        <v>75</v>
      </c>
      <c r="C55" s="30">
        <v>31.6</v>
      </c>
      <c r="D55" s="27">
        <v>8.1999999999999993</v>
      </c>
      <c r="E55" s="28">
        <v>9</v>
      </c>
      <c r="F55" s="16">
        <f>(C55*D55*E55/1000)</f>
        <v>2.3320799999999999</v>
      </c>
      <c r="G55" s="17"/>
      <c r="H55" s="18"/>
      <c r="I55" s="19">
        <f>(C55*D55*H55/1000)</f>
        <v>0</v>
      </c>
      <c r="J55" s="16"/>
      <c r="K55" s="18"/>
      <c r="L55" s="19">
        <f>(C55*D55*K55/1000)</f>
        <v>0</v>
      </c>
      <c r="M55" s="16"/>
      <c r="N55" s="18"/>
      <c r="O55" s="19">
        <f>(C55*D55*N55/1000)</f>
        <v>0</v>
      </c>
      <c r="P55" s="16"/>
      <c r="Q55" s="18"/>
      <c r="R55" s="19">
        <f>(C55*D55*Q55/1000)</f>
        <v>0</v>
      </c>
      <c r="S55" s="20">
        <f>+H55+K55+Q55+N55</f>
        <v>0</v>
      </c>
      <c r="T55" s="19">
        <f>+I55+L55+R55+O55</f>
        <v>0</v>
      </c>
      <c r="U55" s="21">
        <f>E55-S55</f>
        <v>9</v>
      </c>
      <c r="V55" s="19">
        <f>F55-T55</f>
        <v>2.3320799999999999</v>
      </c>
    </row>
    <row r="56" spans="1:22">
      <c r="A56" s="36"/>
      <c r="B56" s="36"/>
      <c r="C56" s="37"/>
      <c r="D56" s="38"/>
      <c r="E56" s="31">
        <f t="shared" ref="E56:F56" si="224">SUM(E55)</f>
        <v>9</v>
      </c>
      <c r="F56" s="38">
        <f t="shared" si="224"/>
        <v>2.3320799999999999</v>
      </c>
      <c r="H56" s="31">
        <f t="shared" ref="H56" si="225">SUM(H55)</f>
        <v>0</v>
      </c>
      <c r="I56" s="38">
        <f t="shared" ref="I56" si="226">SUM(I55)</f>
        <v>0</v>
      </c>
      <c r="K56" s="31">
        <f t="shared" ref="K56" si="227">SUM(K55)</f>
        <v>0</v>
      </c>
      <c r="L56" s="38">
        <f t="shared" ref="L56" si="228">SUM(L55)</f>
        <v>0</v>
      </c>
      <c r="N56" s="31">
        <f t="shared" ref="N56" si="229">SUM(N55)</f>
        <v>0</v>
      </c>
      <c r="O56" s="38">
        <f t="shared" ref="O56" si="230">SUM(O55)</f>
        <v>0</v>
      </c>
      <c r="Q56" s="31">
        <f t="shared" ref="Q56" si="231">SUM(Q55)</f>
        <v>0</v>
      </c>
      <c r="R56" s="38">
        <f t="shared" ref="R56" si="232">SUM(R55)</f>
        <v>0</v>
      </c>
      <c r="S56" s="31">
        <f t="shared" ref="S56" si="233">SUM(S55)</f>
        <v>0</v>
      </c>
      <c r="T56" s="38">
        <f t="shared" ref="T56" si="234">SUM(T55)</f>
        <v>0</v>
      </c>
      <c r="U56" s="31">
        <f t="shared" ref="U56" si="235">SUM(U55)</f>
        <v>9</v>
      </c>
      <c r="V56" s="38">
        <f t="shared" ref="V56" si="236">SUM(V55)</f>
        <v>2.3320799999999999</v>
      </c>
    </row>
    <row r="57" spans="1:22">
      <c r="A57" s="26" t="s">
        <v>13</v>
      </c>
      <c r="B57" s="26" t="s">
        <v>126</v>
      </c>
      <c r="C57" s="30">
        <v>33.799999999999997</v>
      </c>
      <c r="D57" s="27">
        <v>8.1</v>
      </c>
      <c r="E57" s="28">
        <v>9</v>
      </c>
      <c r="F57" s="16">
        <f t="shared" ref="F57:F61" si="237">(C57*D57*E57/1000)</f>
        <v>2.4640199999999997</v>
      </c>
      <c r="G57" s="17"/>
      <c r="H57" s="18"/>
      <c r="I57" s="19">
        <f t="shared" ref="I57:I61" si="238">(C57*D57*H57/1000)</f>
        <v>0</v>
      </c>
      <c r="J57" s="16"/>
      <c r="K57" s="18"/>
      <c r="L57" s="19">
        <f t="shared" ref="L57:L61" si="239">(C57*D57*K57/1000)</f>
        <v>0</v>
      </c>
      <c r="M57" s="16"/>
      <c r="N57" s="18"/>
      <c r="O57" s="19">
        <f t="shared" ref="O57:O61" si="240">(C57*D57*N57/1000)</f>
        <v>0</v>
      </c>
      <c r="P57" s="16"/>
      <c r="Q57" s="18"/>
      <c r="R57" s="19">
        <f t="shared" ref="R57:R61" si="241">(C57*D57*Q57/1000)</f>
        <v>0</v>
      </c>
      <c r="S57" s="20">
        <f t="shared" ref="S57:S61" si="242">+H57+K57+Q57+N57</f>
        <v>0</v>
      </c>
      <c r="T57" s="19">
        <f t="shared" ref="T57:T61" si="243">+I57+L57+R57+O57</f>
        <v>0</v>
      </c>
      <c r="U57" s="21">
        <f t="shared" ref="U57:U61" si="244">E57-S57</f>
        <v>9</v>
      </c>
      <c r="V57" s="19">
        <f t="shared" ref="V57:V61" si="245">F57-T57</f>
        <v>2.4640199999999997</v>
      </c>
    </row>
    <row r="58" spans="1:22">
      <c r="A58" s="26" t="s">
        <v>13</v>
      </c>
      <c r="B58" s="26" t="s">
        <v>126</v>
      </c>
      <c r="C58" s="30">
        <v>33.799999999999997</v>
      </c>
      <c r="D58" s="27">
        <v>8.8000000000000007</v>
      </c>
      <c r="E58" s="28">
        <v>8</v>
      </c>
      <c r="F58" s="16">
        <f t="shared" si="237"/>
        <v>2.3795199999999999</v>
      </c>
      <c r="G58" s="17"/>
      <c r="H58" s="18"/>
      <c r="I58" s="19">
        <f t="shared" si="238"/>
        <v>0</v>
      </c>
      <c r="J58" s="16"/>
      <c r="K58" s="18"/>
      <c r="L58" s="19">
        <f t="shared" si="239"/>
        <v>0</v>
      </c>
      <c r="M58" s="16"/>
      <c r="N58" s="18"/>
      <c r="O58" s="19">
        <f t="shared" si="240"/>
        <v>0</v>
      </c>
      <c r="P58" s="16"/>
      <c r="Q58" s="18"/>
      <c r="R58" s="19">
        <f t="shared" si="241"/>
        <v>0</v>
      </c>
      <c r="S58" s="20">
        <f t="shared" si="242"/>
        <v>0</v>
      </c>
      <c r="T58" s="19">
        <f t="shared" si="243"/>
        <v>0</v>
      </c>
      <c r="U58" s="21">
        <f t="shared" si="244"/>
        <v>8</v>
      </c>
      <c r="V58" s="19">
        <f t="shared" si="245"/>
        <v>2.3795199999999999</v>
      </c>
    </row>
    <row r="59" spans="1:22">
      <c r="A59" s="26" t="s">
        <v>13</v>
      </c>
      <c r="B59" s="26" t="s">
        <v>126</v>
      </c>
      <c r="C59" s="30">
        <v>33.799999999999997</v>
      </c>
      <c r="D59" s="27">
        <v>10.35</v>
      </c>
      <c r="E59" s="28">
        <v>14</v>
      </c>
      <c r="F59" s="16">
        <f t="shared" si="237"/>
        <v>4.8976199999999999</v>
      </c>
      <c r="G59" s="17"/>
      <c r="H59" s="18"/>
      <c r="I59" s="19">
        <f t="shared" si="238"/>
        <v>0</v>
      </c>
      <c r="J59" s="16"/>
      <c r="K59" s="18"/>
      <c r="L59" s="19">
        <f t="shared" si="239"/>
        <v>0</v>
      </c>
      <c r="M59" s="16"/>
      <c r="N59" s="18"/>
      <c r="O59" s="19">
        <f t="shared" si="240"/>
        <v>0</v>
      </c>
      <c r="P59" s="16"/>
      <c r="Q59" s="18"/>
      <c r="R59" s="19">
        <f t="shared" si="241"/>
        <v>0</v>
      </c>
      <c r="S59" s="20">
        <f t="shared" si="242"/>
        <v>0</v>
      </c>
      <c r="T59" s="19">
        <f t="shared" si="243"/>
        <v>0</v>
      </c>
      <c r="U59" s="21">
        <f t="shared" si="244"/>
        <v>14</v>
      </c>
      <c r="V59" s="19">
        <f t="shared" si="245"/>
        <v>4.8976199999999999</v>
      </c>
    </row>
    <row r="60" spans="1:22">
      <c r="A60" s="26" t="s">
        <v>13</v>
      </c>
      <c r="B60" s="26" t="s">
        <v>126</v>
      </c>
      <c r="C60" s="30">
        <v>33.799999999999997</v>
      </c>
      <c r="D60" s="27">
        <v>11.3</v>
      </c>
      <c r="E60" s="28">
        <v>7</v>
      </c>
      <c r="F60" s="16">
        <f t="shared" si="237"/>
        <v>2.6735799999999998</v>
      </c>
      <c r="G60" s="17"/>
      <c r="H60" s="18"/>
      <c r="I60" s="19">
        <f t="shared" si="238"/>
        <v>0</v>
      </c>
      <c r="J60" s="16"/>
      <c r="K60" s="18"/>
      <c r="L60" s="19">
        <f t="shared" si="239"/>
        <v>0</v>
      </c>
      <c r="M60" s="16"/>
      <c r="N60" s="18"/>
      <c r="O60" s="19">
        <f t="shared" si="240"/>
        <v>0</v>
      </c>
      <c r="P60" s="16"/>
      <c r="Q60" s="18"/>
      <c r="R60" s="19">
        <f t="shared" si="241"/>
        <v>0</v>
      </c>
      <c r="S60" s="20">
        <f t="shared" si="242"/>
        <v>0</v>
      </c>
      <c r="T60" s="19">
        <f t="shared" si="243"/>
        <v>0</v>
      </c>
      <c r="U60" s="21">
        <f t="shared" si="244"/>
        <v>7</v>
      </c>
      <c r="V60" s="19">
        <f t="shared" si="245"/>
        <v>2.6735799999999998</v>
      </c>
    </row>
    <row r="61" spans="1:22">
      <c r="A61" s="26" t="s">
        <v>13</v>
      </c>
      <c r="B61" s="26" t="s">
        <v>126</v>
      </c>
      <c r="C61" s="30">
        <v>33.799999999999997</v>
      </c>
      <c r="D61" s="27">
        <v>11.5</v>
      </c>
      <c r="E61" s="28">
        <v>6</v>
      </c>
      <c r="F61" s="16">
        <f t="shared" si="237"/>
        <v>2.3321999999999998</v>
      </c>
      <c r="G61" s="17"/>
      <c r="H61" s="18"/>
      <c r="I61" s="19">
        <f t="shared" si="238"/>
        <v>0</v>
      </c>
      <c r="J61" s="16"/>
      <c r="K61" s="18"/>
      <c r="L61" s="19">
        <f t="shared" si="239"/>
        <v>0</v>
      </c>
      <c r="M61" s="16"/>
      <c r="N61" s="18"/>
      <c r="O61" s="19">
        <f t="shared" si="240"/>
        <v>0</v>
      </c>
      <c r="P61" s="16"/>
      <c r="Q61" s="18"/>
      <c r="R61" s="19">
        <f t="shared" si="241"/>
        <v>0</v>
      </c>
      <c r="S61" s="20">
        <f t="shared" si="242"/>
        <v>0</v>
      </c>
      <c r="T61" s="19">
        <f t="shared" si="243"/>
        <v>0</v>
      </c>
      <c r="U61" s="21">
        <f t="shared" si="244"/>
        <v>6</v>
      </c>
      <c r="V61" s="19">
        <f t="shared" si="245"/>
        <v>2.3321999999999998</v>
      </c>
    </row>
    <row r="62" spans="1:22">
      <c r="A62" s="36"/>
      <c r="B62" s="36"/>
      <c r="C62" s="37"/>
      <c r="D62" s="38"/>
      <c r="E62" s="31">
        <f t="shared" ref="E62:F62" si="246">SUM(E57:E61)</f>
        <v>44</v>
      </c>
      <c r="F62" s="38">
        <f t="shared" si="246"/>
        <v>14.746939999999999</v>
      </c>
      <c r="H62" s="31">
        <f t="shared" ref="H62" si="247">SUM(H57:H61)</f>
        <v>0</v>
      </c>
      <c r="I62" s="38">
        <f t="shared" ref="I62" si="248">SUM(I57:I61)</f>
        <v>0</v>
      </c>
      <c r="K62" s="31">
        <f t="shared" ref="K62" si="249">SUM(K57:K61)</f>
        <v>0</v>
      </c>
      <c r="L62" s="38">
        <f t="shared" ref="L62" si="250">SUM(L57:L61)</f>
        <v>0</v>
      </c>
      <c r="N62" s="31">
        <f t="shared" ref="N62" si="251">SUM(N57:N61)</f>
        <v>0</v>
      </c>
      <c r="O62" s="38">
        <f t="shared" ref="O62" si="252">SUM(O57:O61)</f>
        <v>0</v>
      </c>
      <c r="Q62" s="31">
        <f t="shared" ref="Q62" si="253">SUM(Q57:Q61)</f>
        <v>0</v>
      </c>
      <c r="R62" s="38">
        <f t="shared" ref="R62" si="254">SUM(R57:R61)</f>
        <v>0</v>
      </c>
      <c r="S62" s="31">
        <f t="shared" ref="S62" si="255">SUM(S57:S61)</f>
        <v>0</v>
      </c>
      <c r="T62" s="38">
        <f t="shared" ref="T62" si="256">SUM(T57:T61)</f>
        <v>0</v>
      </c>
      <c r="U62" s="31">
        <f t="shared" ref="U62" si="257">SUM(U57:U61)</f>
        <v>44</v>
      </c>
      <c r="V62" s="38">
        <f t="shared" ref="V62" si="258">SUM(V57:V61)</f>
        <v>14.746939999999999</v>
      </c>
    </row>
    <row r="63" spans="1:22">
      <c r="A63" s="26" t="s">
        <v>13</v>
      </c>
      <c r="B63" s="26" t="s">
        <v>128</v>
      </c>
      <c r="C63" s="30">
        <v>40.1</v>
      </c>
      <c r="D63" s="27">
        <v>10</v>
      </c>
      <c r="E63" s="28">
        <v>7</v>
      </c>
      <c r="F63" s="16">
        <f>(C63*D63*E63/1000)</f>
        <v>2.8069999999999999</v>
      </c>
      <c r="G63" s="17"/>
      <c r="H63" s="18"/>
      <c r="I63" s="19">
        <f>(C63*D63*H63/1000)</f>
        <v>0</v>
      </c>
      <c r="J63" s="16"/>
      <c r="K63" s="18"/>
      <c r="L63" s="19">
        <f>(C63*D63*K63/1000)</f>
        <v>0</v>
      </c>
      <c r="M63" s="16"/>
      <c r="N63" s="18"/>
      <c r="O63" s="19">
        <f>(C63*D63*N63/1000)</f>
        <v>0</v>
      </c>
      <c r="P63" s="16"/>
      <c r="Q63" s="18"/>
      <c r="R63" s="19">
        <f>(C63*D63*Q63/1000)</f>
        <v>0</v>
      </c>
      <c r="S63" s="20">
        <f>+H63+K63+Q63+N63</f>
        <v>0</v>
      </c>
      <c r="T63" s="19">
        <f>+I63+L63+R63+O63</f>
        <v>0</v>
      </c>
      <c r="U63" s="21">
        <f>E63-S63</f>
        <v>7</v>
      </c>
      <c r="V63" s="19">
        <f>F63-T63</f>
        <v>2.8069999999999999</v>
      </c>
    </row>
    <row r="64" spans="1:22">
      <c r="A64" s="36"/>
      <c r="B64" s="36"/>
      <c r="C64" s="37"/>
      <c r="D64" s="38"/>
      <c r="E64" s="31">
        <f t="shared" ref="E64:F64" si="259">SUM(E63)</f>
        <v>7</v>
      </c>
      <c r="F64" s="38">
        <f t="shared" si="259"/>
        <v>2.8069999999999999</v>
      </c>
      <c r="H64" s="31">
        <f t="shared" ref="H64" si="260">SUM(H63)</f>
        <v>0</v>
      </c>
      <c r="I64" s="38">
        <f t="shared" ref="I64" si="261">SUM(I63)</f>
        <v>0</v>
      </c>
      <c r="K64" s="31">
        <f t="shared" ref="K64" si="262">SUM(K63)</f>
        <v>0</v>
      </c>
      <c r="L64" s="38">
        <f t="shared" ref="L64" si="263">SUM(L63)</f>
        <v>0</v>
      </c>
      <c r="N64" s="31">
        <f t="shared" ref="N64" si="264">SUM(N63)</f>
        <v>0</v>
      </c>
      <c r="O64" s="38">
        <f t="shared" ref="O64" si="265">SUM(O63)</f>
        <v>0</v>
      </c>
      <c r="Q64" s="31">
        <f t="shared" ref="Q64" si="266">SUM(Q63)</f>
        <v>0</v>
      </c>
      <c r="R64" s="38">
        <f t="shared" ref="R64" si="267">SUM(R63)</f>
        <v>0</v>
      </c>
      <c r="S64" s="31">
        <f t="shared" ref="S64" si="268">SUM(S63)</f>
        <v>0</v>
      </c>
      <c r="T64" s="38">
        <f t="shared" ref="T64" si="269">SUM(T63)</f>
        <v>0</v>
      </c>
      <c r="U64" s="31">
        <f t="shared" ref="U64" si="270">SUM(U63)</f>
        <v>7</v>
      </c>
      <c r="V64" s="38">
        <f t="shared" ref="V64" si="271">SUM(V63)</f>
        <v>2.8069999999999999</v>
      </c>
    </row>
    <row r="65" spans="1:22">
      <c r="A65" s="26" t="s">
        <v>13</v>
      </c>
      <c r="B65" s="26" t="s">
        <v>174</v>
      </c>
      <c r="C65" s="30">
        <v>5.37</v>
      </c>
      <c r="D65" s="27">
        <v>6.6</v>
      </c>
      <c r="E65" s="28">
        <v>12</v>
      </c>
      <c r="F65" s="16">
        <f t="shared" ref="F65:F67" si="272">(C65*D65*E65/1000)</f>
        <v>0.42530399999999996</v>
      </c>
      <c r="G65" s="17"/>
      <c r="H65" s="18"/>
      <c r="I65" s="19">
        <f t="shared" ref="I65:I67" si="273">(C65*D65*H65/1000)</f>
        <v>0</v>
      </c>
      <c r="J65" s="16"/>
      <c r="K65" s="18"/>
      <c r="L65" s="19">
        <f t="shared" ref="L65:L67" si="274">(C65*D65*K65/1000)</f>
        <v>0</v>
      </c>
      <c r="M65" s="16"/>
      <c r="N65" s="18"/>
      <c r="O65" s="19">
        <f t="shared" ref="O65:O67" si="275">(C65*D65*N65/1000)</f>
        <v>0</v>
      </c>
      <c r="P65" s="16"/>
      <c r="Q65" s="18"/>
      <c r="R65" s="19">
        <f t="shared" ref="R65:R67" si="276">(C65*D65*Q65/1000)</f>
        <v>0</v>
      </c>
      <c r="S65" s="20">
        <f t="shared" ref="S65:S67" si="277">+H65+K65+Q65+N65</f>
        <v>0</v>
      </c>
      <c r="T65" s="19">
        <f t="shared" ref="T65:T67" si="278">+I65+L65+R65+O65</f>
        <v>0</v>
      </c>
      <c r="U65" s="21">
        <f t="shared" ref="U65:U67" si="279">E65-S65</f>
        <v>12</v>
      </c>
      <c r="V65" s="19">
        <f t="shared" ref="V65:V67" si="280">F65-T65</f>
        <v>0.42530399999999996</v>
      </c>
    </row>
    <row r="66" spans="1:22">
      <c r="A66" s="26" t="s">
        <v>13</v>
      </c>
      <c r="B66" s="26" t="s">
        <v>174</v>
      </c>
      <c r="C66" s="30">
        <v>5.37</v>
      </c>
      <c r="D66" s="27">
        <v>10</v>
      </c>
      <c r="E66" s="28">
        <v>34</v>
      </c>
      <c r="F66" s="16">
        <f t="shared" si="272"/>
        <v>1.8258000000000001</v>
      </c>
      <c r="G66" s="17"/>
      <c r="H66" s="18"/>
      <c r="I66" s="19">
        <f t="shared" si="273"/>
        <v>0</v>
      </c>
      <c r="J66" s="16"/>
      <c r="K66" s="18"/>
      <c r="L66" s="19">
        <f t="shared" si="274"/>
        <v>0</v>
      </c>
      <c r="M66" s="16"/>
      <c r="N66" s="18"/>
      <c r="O66" s="19">
        <f t="shared" si="275"/>
        <v>0</v>
      </c>
      <c r="P66" s="16"/>
      <c r="Q66" s="18"/>
      <c r="R66" s="19">
        <f t="shared" si="276"/>
        <v>0</v>
      </c>
      <c r="S66" s="20">
        <f t="shared" si="277"/>
        <v>0</v>
      </c>
      <c r="T66" s="19">
        <f t="shared" si="278"/>
        <v>0</v>
      </c>
      <c r="U66" s="21">
        <f t="shared" si="279"/>
        <v>34</v>
      </c>
      <c r="V66" s="19">
        <f t="shared" si="280"/>
        <v>1.8258000000000001</v>
      </c>
    </row>
    <row r="67" spans="1:22">
      <c r="A67" s="26" t="s">
        <v>13</v>
      </c>
      <c r="B67" s="26" t="s">
        <v>174</v>
      </c>
      <c r="C67" s="30">
        <v>5.37</v>
      </c>
      <c r="D67" s="27">
        <v>11.5</v>
      </c>
      <c r="E67" s="28">
        <v>43</v>
      </c>
      <c r="F67" s="16">
        <f t="shared" si="272"/>
        <v>2.655465</v>
      </c>
      <c r="G67" s="17"/>
      <c r="H67" s="18"/>
      <c r="I67" s="19">
        <f t="shared" si="273"/>
        <v>0</v>
      </c>
      <c r="J67" s="16"/>
      <c r="K67" s="18"/>
      <c r="L67" s="19">
        <f t="shared" si="274"/>
        <v>0</v>
      </c>
      <c r="M67" s="16"/>
      <c r="N67" s="18"/>
      <c r="O67" s="19">
        <f t="shared" si="275"/>
        <v>0</v>
      </c>
      <c r="P67" s="16"/>
      <c r="Q67" s="18"/>
      <c r="R67" s="19">
        <f t="shared" si="276"/>
        <v>0</v>
      </c>
      <c r="S67" s="20">
        <f t="shared" si="277"/>
        <v>0</v>
      </c>
      <c r="T67" s="19">
        <f t="shared" si="278"/>
        <v>0</v>
      </c>
      <c r="U67" s="21">
        <f t="shared" si="279"/>
        <v>43</v>
      </c>
      <c r="V67" s="19">
        <f t="shared" si="280"/>
        <v>2.655465</v>
      </c>
    </row>
    <row r="68" spans="1:22">
      <c r="A68" s="36"/>
      <c r="B68" s="36"/>
      <c r="C68" s="37"/>
      <c r="D68" s="38"/>
      <c r="E68" s="31">
        <f t="shared" ref="E68:F68" si="281">SUM(E65:E67)</f>
        <v>89</v>
      </c>
      <c r="F68" s="38">
        <f t="shared" si="281"/>
        <v>4.9065690000000002</v>
      </c>
      <c r="H68" s="31">
        <f t="shared" ref="H68" si="282">SUM(H65:H67)</f>
        <v>0</v>
      </c>
      <c r="I68" s="38">
        <f t="shared" ref="I68" si="283">SUM(I65:I67)</f>
        <v>0</v>
      </c>
      <c r="K68" s="31">
        <f t="shared" ref="K68" si="284">SUM(K65:K67)</f>
        <v>0</v>
      </c>
      <c r="L68" s="38">
        <f t="shared" ref="L68" si="285">SUM(L65:L67)</f>
        <v>0</v>
      </c>
      <c r="N68" s="31">
        <f t="shared" ref="N68" si="286">SUM(N65:N67)</f>
        <v>0</v>
      </c>
      <c r="O68" s="38">
        <f t="shared" ref="O68" si="287">SUM(O65:O67)</f>
        <v>0</v>
      </c>
      <c r="Q68" s="31">
        <f t="shared" ref="Q68" si="288">SUM(Q65:Q67)</f>
        <v>0</v>
      </c>
      <c r="R68" s="38">
        <f t="shared" ref="R68" si="289">SUM(R65:R67)</f>
        <v>0</v>
      </c>
      <c r="S68" s="31">
        <f t="shared" ref="S68" si="290">SUM(S65:S67)</f>
        <v>0</v>
      </c>
      <c r="T68" s="38">
        <f t="shared" ref="T68" si="291">SUM(T65:T67)</f>
        <v>0</v>
      </c>
      <c r="U68" s="31">
        <f t="shared" ref="U68" si="292">SUM(U65:U67)</f>
        <v>89</v>
      </c>
      <c r="V68" s="38">
        <f t="shared" ref="V68" si="293">SUM(V65:V67)</f>
        <v>4.9065690000000002</v>
      </c>
    </row>
    <row r="69" spans="1:22">
      <c r="A69" s="26" t="s">
        <v>13</v>
      </c>
      <c r="B69" s="26" t="s">
        <v>181</v>
      </c>
      <c r="C69" s="30">
        <v>6.38</v>
      </c>
      <c r="D69" s="27">
        <v>6.15</v>
      </c>
      <c r="E69" s="28">
        <v>20</v>
      </c>
      <c r="F69" s="16">
        <f t="shared" ref="F69:F72" si="294">(C69*D69*E69/1000)</f>
        <v>0.78473999999999999</v>
      </c>
      <c r="G69" s="17"/>
      <c r="H69" s="18"/>
      <c r="I69" s="19">
        <f t="shared" ref="I69:I72" si="295">(C69*D69*H69/1000)</f>
        <v>0</v>
      </c>
      <c r="J69" s="16"/>
      <c r="K69" s="18"/>
      <c r="L69" s="19">
        <f t="shared" ref="L69:L72" si="296">(C69*D69*K69/1000)</f>
        <v>0</v>
      </c>
      <c r="M69" s="16"/>
      <c r="N69" s="18"/>
      <c r="O69" s="19">
        <f t="shared" ref="O69:O72" si="297">(C69*D69*N69/1000)</f>
        <v>0</v>
      </c>
      <c r="P69" s="16"/>
      <c r="Q69" s="18"/>
      <c r="R69" s="19">
        <f t="shared" ref="R69:R72" si="298">(C69*D69*Q69/1000)</f>
        <v>0</v>
      </c>
      <c r="S69" s="20">
        <f t="shared" ref="S69:S72" si="299">+H69+K69+Q69+N69</f>
        <v>0</v>
      </c>
      <c r="T69" s="19">
        <f t="shared" ref="T69:T72" si="300">+I69+L69+R69+O69</f>
        <v>0</v>
      </c>
      <c r="U69" s="21">
        <f t="shared" ref="U69:U72" si="301">E69-S69</f>
        <v>20</v>
      </c>
      <c r="V69" s="19">
        <f t="shared" ref="V69:V72" si="302">F69-T69</f>
        <v>0.78473999999999999</v>
      </c>
    </row>
    <row r="70" spans="1:22">
      <c r="A70" s="26" t="s">
        <v>13</v>
      </c>
      <c r="B70" s="26" t="s">
        <v>181</v>
      </c>
      <c r="C70" s="30">
        <v>6.38</v>
      </c>
      <c r="D70" s="27">
        <v>8.6</v>
      </c>
      <c r="E70" s="28">
        <v>28</v>
      </c>
      <c r="F70" s="16">
        <f t="shared" si="294"/>
        <v>1.5363039999999999</v>
      </c>
      <c r="G70" s="17"/>
      <c r="H70" s="18"/>
      <c r="I70" s="19">
        <f t="shared" si="295"/>
        <v>0</v>
      </c>
      <c r="J70" s="16"/>
      <c r="K70" s="18"/>
      <c r="L70" s="19">
        <f t="shared" si="296"/>
        <v>0</v>
      </c>
      <c r="M70" s="16"/>
      <c r="N70" s="18"/>
      <c r="O70" s="19">
        <f t="shared" si="297"/>
        <v>0</v>
      </c>
      <c r="P70" s="16"/>
      <c r="Q70" s="18"/>
      <c r="R70" s="19">
        <f t="shared" si="298"/>
        <v>0</v>
      </c>
      <c r="S70" s="20">
        <f t="shared" si="299"/>
        <v>0</v>
      </c>
      <c r="T70" s="19">
        <f t="shared" si="300"/>
        <v>0</v>
      </c>
      <c r="U70" s="21">
        <f t="shared" si="301"/>
        <v>28</v>
      </c>
      <c r="V70" s="19">
        <f t="shared" si="302"/>
        <v>1.5363039999999999</v>
      </c>
    </row>
    <row r="71" spans="1:22">
      <c r="A71" s="26" t="s">
        <v>13</v>
      </c>
      <c r="B71" s="26" t="s">
        <v>181</v>
      </c>
      <c r="C71" s="30">
        <v>6.38</v>
      </c>
      <c r="D71" s="27">
        <v>11</v>
      </c>
      <c r="E71" s="28">
        <v>10</v>
      </c>
      <c r="F71" s="16">
        <f t="shared" si="294"/>
        <v>0.70179999999999998</v>
      </c>
      <c r="G71" s="17"/>
      <c r="H71" s="18"/>
      <c r="I71" s="19">
        <f t="shared" si="295"/>
        <v>0</v>
      </c>
      <c r="J71" s="16"/>
      <c r="K71" s="18"/>
      <c r="L71" s="19">
        <f t="shared" si="296"/>
        <v>0</v>
      </c>
      <c r="M71" s="16"/>
      <c r="N71" s="18"/>
      <c r="O71" s="19">
        <f t="shared" si="297"/>
        <v>0</v>
      </c>
      <c r="P71" s="16"/>
      <c r="Q71" s="18"/>
      <c r="R71" s="19">
        <f t="shared" si="298"/>
        <v>0</v>
      </c>
      <c r="S71" s="20">
        <f t="shared" si="299"/>
        <v>0</v>
      </c>
      <c r="T71" s="19">
        <f t="shared" si="300"/>
        <v>0</v>
      </c>
      <c r="U71" s="21">
        <f t="shared" si="301"/>
        <v>10</v>
      </c>
      <c r="V71" s="19">
        <f t="shared" si="302"/>
        <v>0.70179999999999998</v>
      </c>
    </row>
    <row r="72" spans="1:22">
      <c r="A72" s="26" t="s">
        <v>13</v>
      </c>
      <c r="B72" s="26" t="s">
        <v>181</v>
      </c>
      <c r="C72" s="30">
        <v>6.38</v>
      </c>
      <c r="D72" s="27">
        <v>12</v>
      </c>
      <c r="E72" s="28">
        <v>28</v>
      </c>
      <c r="F72" s="16">
        <f t="shared" si="294"/>
        <v>2.1436800000000003</v>
      </c>
      <c r="G72" s="17"/>
      <c r="H72" s="18"/>
      <c r="I72" s="19">
        <f t="shared" si="295"/>
        <v>0</v>
      </c>
      <c r="J72" s="16"/>
      <c r="K72" s="18"/>
      <c r="L72" s="19">
        <f t="shared" si="296"/>
        <v>0</v>
      </c>
      <c r="M72" s="16"/>
      <c r="N72" s="18"/>
      <c r="O72" s="19">
        <f t="shared" si="297"/>
        <v>0</v>
      </c>
      <c r="P72" s="16"/>
      <c r="Q72" s="18"/>
      <c r="R72" s="19">
        <f t="shared" si="298"/>
        <v>0</v>
      </c>
      <c r="S72" s="20">
        <f t="shared" si="299"/>
        <v>0</v>
      </c>
      <c r="T72" s="19">
        <f t="shared" si="300"/>
        <v>0</v>
      </c>
      <c r="U72" s="21">
        <f t="shared" si="301"/>
        <v>28</v>
      </c>
      <c r="V72" s="19">
        <f t="shared" si="302"/>
        <v>2.1436800000000003</v>
      </c>
    </row>
    <row r="73" spans="1:22">
      <c r="A73" s="36"/>
      <c r="B73" s="36"/>
      <c r="C73" s="37"/>
      <c r="D73" s="38"/>
      <c r="E73" s="31">
        <f t="shared" ref="E73:F73" si="303">SUM(E69:E72)</f>
        <v>86</v>
      </c>
      <c r="F73" s="38">
        <f t="shared" si="303"/>
        <v>5.1665239999999999</v>
      </c>
      <c r="H73" s="31">
        <f t="shared" ref="H73" si="304">SUM(H69:H72)</f>
        <v>0</v>
      </c>
      <c r="I73" s="38">
        <f t="shared" ref="I73" si="305">SUM(I69:I72)</f>
        <v>0</v>
      </c>
      <c r="K73" s="31">
        <f t="shared" ref="K73" si="306">SUM(K69:K72)</f>
        <v>0</v>
      </c>
      <c r="L73" s="38">
        <f t="shared" ref="L73" si="307">SUM(L69:L72)</f>
        <v>0</v>
      </c>
      <c r="N73" s="31">
        <f t="shared" ref="N73" si="308">SUM(N69:N72)</f>
        <v>0</v>
      </c>
      <c r="O73" s="38">
        <f t="shared" ref="O73" si="309">SUM(O69:O72)</f>
        <v>0</v>
      </c>
      <c r="Q73" s="31">
        <f t="shared" ref="Q73" si="310">SUM(Q69:Q72)</f>
        <v>0</v>
      </c>
      <c r="R73" s="38">
        <f t="shared" ref="R73" si="311">SUM(R69:R72)</f>
        <v>0</v>
      </c>
      <c r="S73" s="31">
        <f t="shared" ref="S73" si="312">SUM(S69:S72)</f>
        <v>0</v>
      </c>
      <c r="T73" s="38">
        <f t="shared" ref="T73" si="313">SUM(T69:T72)</f>
        <v>0</v>
      </c>
      <c r="U73" s="31">
        <f t="shared" ref="U73" si="314">SUM(U69:U72)</f>
        <v>86</v>
      </c>
      <c r="V73" s="38">
        <f t="shared" ref="V73" si="315">SUM(V69:V72)</f>
        <v>5.1665239999999999</v>
      </c>
    </row>
    <row r="74" spans="1:22">
      <c r="A74" s="26" t="s">
        <v>13</v>
      </c>
      <c r="B74" s="26" t="s">
        <v>34</v>
      </c>
      <c r="C74" s="30">
        <v>5.76</v>
      </c>
      <c r="D74" s="27">
        <v>7.1</v>
      </c>
      <c r="E74" s="28">
        <v>77</v>
      </c>
      <c r="F74" s="16">
        <f t="shared" ref="F74:F76" si="316">(C74*D74*E74/1000)</f>
        <v>3.1489919999999998</v>
      </c>
      <c r="G74" s="17"/>
      <c r="H74" s="18"/>
      <c r="I74" s="19">
        <f t="shared" ref="I74:I76" si="317">(C74*D74*H74/1000)</f>
        <v>0</v>
      </c>
      <c r="J74" s="16"/>
      <c r="K74" s="18"/>
      <c r="L74" s="19">
        <f t="shared" ref="L74:L76" si="318">(C74*D74*K74/1000)</f>
        <v>0</v>
      </c>
      <c r="M74" s="16"/>
      <c r="N74" s="18"/>
      <c r="O74" s="19">
        <f t="shared" ref="O74:O76" si="319">(C74*D74*N74/1000)</f>
        <v>0</v>
      </c>
      <c r="P74" s="16"/>
      <c r="Q74" s="18"/>
      <c r="R74" s="19">
        <f t="shared" ref="R74:R76" si="320">(C74*D74*Q74/1000)</f>
        <v>0</v>
      </c>
      <c r="S74" s="20">
        <f t="shared" ref="S74:S76" si="321">+H74+K74+Q74+N74</f>
        <v>0</v>
      </c>
      <c r="T74" s="19">
        <f t="shared" ref="T74:T76" si="322">+I74+L74+R74+O74</f>
        <v>0</v>
      </c>
      <c r="U74" s="21">
        <f t="shared" ref="U74:U76" si="323">E74-S74</f>
        <v>77</v>
      </c>
      <c r="V74" s="19">
        <f t="shared" ref="V74:V76" si="324">F74-T74</f>
        <v>3.1489919999999998</v>
      </c>
    </row>
    <row r="75" spans="1:22">
      <c r="A75" s="26" t="s">
        <v>13</v>
      </c>
      <c r="B75" s="26" t="s">
        <v>34</v>
      </c>
      <c r="C75" s="30">
        <v>5.76</v>
      </c>
      <c r="D75" s="27">
        <v>11</v>
      </c>
      <c r="E75" s="28">
        <v>16</v>
      </c>
      <c r="F75" s="16">
        <f t="shared" si="316"/>
        <v>1.01376</v>
      </c>
      <c r="G75" s="17"/>
      <c r="H75" s="18"/>
      <c r="I75" s="19">
        <f t="shared" si="317"/>
        <v>0</v>
      </c>
      <c r="J75" s="16"/>
      <c r="K75" s="18"/>
      <c r="L75" s="19">
        <f t="shared" si="318"/>
        <v>0</v>
      </c>
      <c r="M75" s="16"/>
      <c r="N75" s="18"/>
      <c r="O75" s="19">
        <f t="shared" si="319"/>
        <v>0</v>
      </c>
      <c r="P75" s="16"/>
      <c r="Q75" s="18"/>
      <c r="R75" s="19">
        <f t="shared" si="320"/>
        <v>0</v>
      </c>
      <c r="S75" s="20">
        <f t="shared" si="321"/>
        <v>0</v>
      </c>
      <c r="T75" s="19">
        <f t="shared" si="322"/>
        <v>0</v>
      </c>
      <c r="U75" s="21">
        <f t="shared" si="323"/>
        <v>16</v>
      </c>
      <c r="V75" s="19">
        <f t="shared" si="324"/>
        <v>1.01376</v>
      </c>
    </row>
    <row r="76" spans="1:22">
      <c r="A76" s="26" t="s">
        <v>13</v>
      </c>
      <c r="B76" s="26" t="s">
        <v>34</v>
      </c>
      <c r="C76" s="30">
        <v>5.76</v>
      </c>
      <c r="D76" s="27">
        <v>12</v>
      </c>
      <c r="E76" s="28">
        <v>4</v>
      </c>
      <c r="F76" s="16">
        <f t="shared" si="316"/>
        <v>0.27648</v>
      </c>
      <c r="G76" s="17"/>
      <c r="H76" s="18"/>
      <c r="I76" s="19">
        <f t="shared" si="317"/>
        <v>0</v>
      </c>
      <c r="J76" s="16"/>
      <c r="K76" s="18"/>
      <c r="L76" s="19">
        <f t="shared" si="318"/>
        <v>0</v>
      </c>
      <c r="M76" s="16"/>
      <c r="N76" s="18"/>
      <c r="O76" s="19">
        <f t="shared" si="319"/>
        <v>0</v>
      </c>
      <c r="P76" s="16"/>
      <c r="Q76" s="18"/>
      <c r="R76" s="19">
        <f t="shared" si="320"/>
        <v>0</v>
      </c>
      <c r="S76" s="20">
        <f t="shared" si="321"/>
        <v>0</v>
      </c>
      <c r="T76" s="19">
        <f t="shared" si="322"/>
        <v>0</v>
      </c>
      <c r="U76" s="21">
        <f t="shared" si="323"/>
        <v>4</v>
      </c>
      <c r="V76" s="19">
        <f t="shared" si="324"/>
        <v>0.27648</v>
      </c>
    </row>
    <row r="77" spans="1:22">
      <c r="A77" s="36"/>
      <c r="B77" s="36"/>
      <c r="C77" s="37"/>
      <c r="D77" s="38"/>
      <c r="E77" s="31">
        <f t="shared" ref="E77:F77" si="325">SUM(E74:E76)</f>
        <v>97</v>
      </c>
      <c r="F77" s="38">
        <f t="shared" si="325"/>
        <v>4.4392319999999996</v>
      </c>
      <c r="H77" s="31">
        <f t="shared" ref="H77" si="326">SUM(H74:H76)</f>
        <v>0</v>
      </c>
      <c r="I77" s="38">
        <f t="shared" ref="I77" si="327">SUM(I74:I76)</f>
        <v>0</v>
      </c>
      <c r="K77" s="31">
        <f t="shared" ref="K77" si="328">SUM(K74:K76)</f>
        <v>0</v>
      </c>
      <c r="L77" s="38">
        <f t="shared" ref="L77" si="329">SUM(L74:L76)</f>
        <v>0</v>
      </c>
      <c r="N77" s="31">
        <f t="shared" ref="N77" si="330">SUM(N74:N76)</f>
        <v>0</v>
      </c>
      <c r="O77" s="38">
        <f t="shared" ref="O77" si="331">SUM(O74:O76)</f>
        <v>0</v>
      </c>
      <c r="Q77" s="31">
        <f t="shared" ref="Q77" si="332">SUM(Q74:Q76)</f>
        <v>0</v>
      </c>
      <c r="R77" s="38">
        <f t="shared" ref="R77" si="333">SUM(R74:R76)</f>
        <v>0</v>
      </c>
      <c r="S77" s="31">
        <f t="shared" ref="S77" si="334">SUM(S74:S76)</f>
        <v>0</v>
      </c>
      <c r="T77" s="38">
        <f t="shared" ref="T77" si="335">SUM(T74:T76)</f>
        <v>0</v>
      </c>
      <c r="U77" s="31">
        <f t="shared" ref="U77" si="336">SUM(U74:U76)</f>
        <v>97</v>
      </c>
      <c r="V77" s="38">
        <f t="shared" ref="V77" si="337">SUM(V74:V76)</f>
        <v>4.4392319999999996</v>
      </c>
    </row>
    <row r="78" spans="1:22">
      <c r="A78" s="26" t="s">
        <v>13</v>
      </c>
      <c r="B78" s="26" t="s">
        <v>35</v>
      </c>
      <c r="C78" s="30">
        <v>6.85</v>
      </c>
      <c r="D78" s="27">
        <v>6.8</v>
      </c>
      <c r="E78" s="28">
        <v>34</v>
      </c>
      <c r="F78" s="16">
        <f t="shared" ref="F78:F85" si="338">(C78*D78*E78/1000)</f>
        <v>1.58372</v>
      </c>
      <c r="G78" s="17"/>
      <c r="H78" s="18"/>
      <c r="I78" s="19">
        <f t="shared" ref="I78:I85" si="339">(C78*D78*H78/1000)</f>
        <v>0</v>
      </c>
      <c r="J78" s="16"/>
      <c r="K78" s="18"/>
      <c r="L78" s="19">
        <f t="shared" ref="L78:L85" si="340">(C78*D78*K78/1000)</f>
        <v>0</v>
      </c>
      <c r="M78" s="16"/>
      <c r="N78" s="18"/>
      <c r="O78" s="19">
        <f t="shared" ref="O78:O85" si="341">(C78*D78*N78/1000)</f>
        <v>0</v>
      </c>
      <c r="P78" s="16"/>
      <c r="Q78" s="18"/>
      <c r="R78" s="19">
        <f t="shared" ref="R78:R85" si="342">(C78*D78*Q78/1000)</f>
        <v>0</v>
      </c>
      <c r="S78" s="20">
        <f t="shared" ref="S78:S85" si="343">+H78+K78+Q78+N78</f>
        <v>0</v>
      </c>
      <c r="T78" s="19">
        <f t="shared" ref="T78:T85" si="344">+I78+L78+R78+O78</f>
        <v>0</v>
      </c>
      <c r="U78" s="21">
        <f t="shared" ref="U78:U85" si="345">E78-S78</f>
        <v>34</v>
      </c>
      <c r="V78" s="19">
        <f t="shared" ref="V78:V85" si="346">F78-T78</f>
        <v>1.58372</v>
      </c>
    </row>
    <row r="79" spans="1:22">
      <c r="A79" s="26" t="s">
        <v>13</v>
      </c>
      <c r="B79" s="26" t="s">
        <v>35</v>
      </c>
      <c r="C79" s="30">
        <v>6.85</v>
      </c>
      <c r="D79" s="27">
        <v>11.3</v>
      </c>
      <c r="E79" s="28">
        <v>16</v>
      </c>
      <c r="F79" s="16">
        <f t="shared" si="338"/>
        <v>1.23848</v>
      </c>
      <c r="G79" s="17"/>
      <c r="H79" s="18"/>
      <c r="I79" s="19">
        <f t="shared" si="339"/>
        <v>0</v>
      </c>
      <c r="J79" s="16"/>
      <c r="K79" s="18"/>
      <c r="L79" s="19">
        <f t="shared" si="340"/>
        <v>0</v>
      </c>
      <c r="M79" s="16"/>
      <c r="N79" s="18"/>
      <c r="O79" s="19">
        <f t="shared" si="341"/>
        <v>0</v>
      </c>
      <c r="P79" s="16"/>
      <c r="Q79" s="18"/>
      <c r="R79" s="19">
        <f t="shared" si="342"/>
        <v>0</v>
      </c>
      <c r="S79" s="20">
        <f t="shared" si="343"/>
        <v>0</v>
      </c>
      <c r="T79" s="19">
        <f t="shared" si="344"/>
        <v>0</v>
      </c>
      <c r="U79" s="21">
        <f t="shared" si="345"/>
        <v>16</v>
      </c>
      <c r="V79" s="19">
        <f t="shared" si="346"/>
        <v>1.23848</v>
      </c>
    </row>
    <row r="80" spans="1:22">
      <c r="A80" s="26" t="s">
        <v>13</v>
      </c>
      <c r="B80" s="26" t="s">
        <v>35</v>
      </c>
      <c r="C80" s="30">
        <v>6.85</v>
      </c>
      <c r="D80" s="27">
        <v>12</v>
      </c>
      <c r="E80" s="28">
        <v>36</v>
      </c>
      <c r="F80" s="16">
        <f t="shared" si="338"/>
        <v>2.9591999999999996</v>
      </c>
      <c r="G80" s="17"/>
      <c r="H80" s="18"/>
      <c r="I80" s="19">
        <f t="shared" si="339"/>
        <v>0</v>
      </c>
      <c r="J80" s="16"/>
      <c r="K80" s="18"/>
      <c r="L80" s="19">
        <f t="shared" si="340"/>
        <v>0</v>
      </c>
      <c r="M80" s="16"/>
      <c r="N80" s="18"/>
      <c r="O80" s="19">
        <f t="shared" si="341"/>
        <v>0</v>
      </c>
      <c r="P80" s="16"/>
      <c r="Q80" s="18"/>
      <c r="R80" s="19">
        <f t="shared" si="342"/>
        <v>0</v>
      </c>
      <c r="S80" s="20">
        <f t="shared" si="343"/>
        <v>0</v>
      </c>
      <c r="T80" s="19">
        <f t="shared" si="344"/>
        <v>0</v>
      </c>
      <c r="U80" s="21">
        <f t="shared" si="345"/>
        <v>36</v>
      </c>
      <c r="V80" s="19">
        <f t="shared" si="346"/>
        <v>2.9591999999999996</v>
      </c>
    </row>
    <row r="81" spans="1:22">
      <c r="A81" s="36"/>
      <c r="B81" s="36"/>
      <c r="C81" s="37"/>
      <c r="D81" s="38"/>
      <c r="E81" s="31">
        <f t="shared" ref="E81" si="347">SUM(E78:E80)</f>
        <v>86</v>
      </c>
      <c r="F81" s="16">
        <f t="shared" si="338"/>
        <v>0</v>
      </c>
      <c r="G81" s="17"/>
      <c r="H81" s="18"/>
      <c r="I81" s="19">
        <f t="shared" si="339"/>
        <v>0</v>
      </c>
      <c r="J81" s="16"/>
      <c r="K81" s="18"/>
      <c r="L81" s="19">
        <f t="shared" si="340"/>
        <v>0</v>
      </c>
      <c r="M81" s="16"/>
      <c r="N81" s="18"/>
      <c r="O81" s="19">
        <f t="shared" si="341"/>
        <v>0</v>
      </c>
      <c r="P81" s="16"/>
      <c r="Q81" s="18"/>
      <c r="R81" s="19">
        <f t="shared" si="342"/>
        <v>0</v>
      </c>
      <c r="S81" s="20">
        <f t="shared" si="343"/>
        <v>0</v>
      </c>
      <c r="T81" s="19">
        <f t="shared" si="344"/>
        <v>0</v>
      </c>
      <c r="U81" s="21">
        <f t="shared" si="345"/>
        <v>86</v>
      </c>
      <c r="V81" s="19">
        <f t="shared" si="346"/>
        <v>0</v>
      </c>
    </row>
    <row r="82" spans="1:22">
      <c r="A82" s="26" t="s">
        <v>13</v>
      </c>
      <c r="B82" s="26" t="s">
        <v>58</v>
      </c>
      <c r="C82" s="30">
        <v>7.34</v>
      </c>
      <c r="D82" s="27">
        <v>8</v>
      </c>
      <c r="E82" s="28">
        <v>16</v>
      </c>
      <c r="F82" s="16">
        <f t="shared" si="338"/>
        <v>0.93952000000000002</v>
      </c>
      <c r="G82" s="17"/>
      <c r="H82" s="18"/>
      <c r="I82" s="19">
        <f t="shared" si="339"/>
        <v>0</v>
      </c>
      <c r="J82" s="16"/>
      <c r="K82" s="18"/>
      <c r="L82" s="19">
        <f t="shared" si="340"/>
        <v>0</v>
      </c>
      <c r="M82" s="16"/>
      <c r="N82" s="18"/>
      <c r="O82" s="19">
        <f t="shared" si="341"/>
        <v>0</v>
      </c>
      <c r="P82" s="16"/>
      <c r="Q82" s="18"/>
      <c r="R82" s="19">
        <f t="shared" si="342"/>
        <v>0</v>
      </c>
      <c r="S82" s="20">
        <f t="shared" si="343"/>
        <v>0</v>
      </c>
      <c r="T82" s="19">
        <f t="shared" si="344"/>
        <v>0</v>
      </c>
      <c r="U82" s="21">
        <f t="shared" si="345"/>
        <v>16</v>
      </c>
      <c r="V82" s="19">
        <f t="shared" si="346"/>
        <v>0.93952000000000002</v>
      </c>
    </row>
    <row r="83" spans="1:22">
      <c r="A83" s="26" t="s">
        <v>13</v>
      </c>
      <c r="B83" s="26" t="s">
        <v>58</v>
      </c>
      <c r="C83" s="30">
        <v>7.34</v>
      </c>
      <c r="D83" s="27">
        <v>11</v>
      </c>
      <c r="E83" s="28">
        <v>24</v>
      </c>
      <c r="F83" s="16">
        <f t="shared" si="338"/>
        <v>1.9377599999999997</v>
      </c>
      <c r="G83" s="17"/>
      <c r="H83" s="18"/>
      <c r="I83" s="19">
        <f t="shared" si="339"/>
        <v>0</v>
      </c>
      <c r="J83" s="16"/>
      <c r="K83" s="18"/>
      <c r="L83" s="19">
        <f t="shared" si="340"/>
        <v>0</v>
      </c>
      <c r="M83" s="16"/>
      <c r="N83" s="18"/>
      <c r="O83" s="19">
        <f t="shared" si="341"/>
        <v>0</v>
      </c>
      <c r="P83" s="16"/>
      <c r="Q83" s="18"/>
      <c r="R83" s="19">
        <f t="shared" si="342"/>
        <v>0</v>
      </c>
      <c r="S83" s="20">
        <f t="shared" si="343"/>
        <v>0</v>
      </c>
      <c r="T83" s="19">
        <f t="shared" si="344"/>
        <v>0</v>
      </c>
      <c r="U83" s="21">
        <f t="shared" si="345"/>
        <v>24</v>
      </c>
      <c r="V83" s="19">
        <f t="shared" si="346"/>
        <v>1.9377599999999997</v>
      </c>
    </row>
    <row r="84" spans="1:22">
      <c r="A84" s="26" t="s">
        <v>13</v>
      </c>
      <c r="B84" s="26" t="s">
        <v>58</v>
      </c>
      <c r="C84" s="30">
        <v>7.34</v>
      </c>
      <c r="D84" s="27">
        <v>11.3</v>
      </c>
      <c r="E84" s="28">
        <v>49</v>
      </c>
      <c r="F84" s="16">
        <f t="shared" si="338"/>
        <v>4.0641579999999999</v>
      </c>
      <c r="G84" s="17"/>
      <c r="H84" s="18"/>
      <c r="I84" s="19">
        <f t="shared" si="339"/>
        <v>0</v>
      </c>
      <c r="J84" s="16"/>
      <c r="K84" s="18"/>
      <c r="L84" s="19">
        <f t="shared" si="340"/>
        <v>0</v>
      </c>
      <c r="M84" s="16"/>
      <c r="N84" s="18"/>
      <c r="O84" s="19">
        <f t="shared" si="341"/>
        <v>0</v>
      </c>
      <c r="P84" s="16"/>
      <c r="Q84" s="18"/>
      <c r="R84" s="19">
        <f t="shared" si="342"/>
        <v>0</v>
      </c>
      <c r="S84" s="20">
        <f t="shared" si="343"/>
        <v>0</v>
      </c>
      <c r="T84" s="19">
        <f t="shared" si="344"/>
        <v>0</v>
      </c>
      <c r="U84" s="21">
        <f t="shared" si="345"/>
        <v>49</v>
      </c>
      <c r="V84" s="19">
        <f t="shared" si="346"/>
        <v>4.0641579999999999</v>
      </c>
    </row>
    <row r="85" spans="1:22">
      <c r="A85" s="26" t="s">
        <v>13</v>
      </c>
      <c r="B85" s="26" t="s">
        <v>58</v>
      </c>
      <c r="C85" s="30">
        <v>7.34</v>
      </c>
      <c r="D85" s="27">
        <v>11.8</v>
      </c>
      <c r="E85" s="28">
        <v>32</v>
      </c>
      <c r="F85" s="16">
        <f t="shared" si="338"/>
        <v>2.7715840000000003</v>
      </c>
      <c r="G85" s="17"/>
      <c r="H85" s="18"/>
      <c r="I85" s="19">
        <f t="shared" si="339"/>
        <v>0</v>
      </c>
      <c r="J85" s="16"/>
      <c r="K85" s="18"/>
      <c r="L85" s="19">
        <f t="shared" si="340"/>
        <v>0</v>
      </c>
      <c r="M85" s="16"/>
      <c r="N85" s="18"/>
      <c r="O85" s="19">
        <f t="shared" si="341"/>
        <v>0</v>
      </c>
      <c r="P85" s="16"/>
      <c r="Q85" s="18"/>
      <c r="R85" s="19">
        <f t="shared" si="342"/>
        <v>0</v>
      </c>
      <c r="S85" s="20">
        <f t="shared" si="343"/>
        <v>0</v>
      </c>
      <c r="T85" s="19">
        <f t="shared" si="344"/>
        <v>0</v>
      </c>
      <c r="U85" s="21">
        <f t="shared" si="345"/>
        <v>32</v>
      </c>
      <c r="V85" s="19">
        <f t="shared" si="346"/>
        <v>2.7715840000000003</v>
      </c>
    </row>
    <row r="86" spans="1:22">
      <c r="A86" s="36"/>
      <c r="B86" s="36"/>
      <c r="C86" s="37"/>
      <c r="D86" s="38"/>
      <c r="E86" s="31">
        <f t="shared" ref="E86:F86" si="348">SUM(E82:E85)</f>
        <v>121</v>
      </c>
      <c r="F86" s="38">
        <f t="shared" si="348"/>
        <v>9.7130220000000005</v>
      </c>
      <c r="H86" s="31">
        <f t="shared" ref="H86" si="349">SUM(H82:H85)</f>
        <v>0</v>
      </c>
      <c r="I86" s="38">
        <f t="shared" ref="I86" si="350">SUM(I82:I85)</f>
        <v>0</v>
      </c>
      <c r="K86" s="31">
        <f t="shared" ref="K86" si="351">SUM(K82:K85)</f>
        <v>0</v>
      </c>
      <c r="L86" s="38">
        <f t="shared" ref="L86" si="352">SUM(L82:L85)</f>
        <v>0</v>
      </c>
      <c r="N86" s="31">
        <f t="shared" ref="N86" si="353">SUM(N82:N85)</f>
        <v>0</v>
      </c>
      <c r="O86" s="38">
        <f t="shared" ref="O86" si="354">SUM(O82:O85)</f>
        <v>0</v>
      </c>
      <c r="Q86" s="31">
        <f t="shared" ref="Q86" si="355">SUM(Q82:Q85)</f>
        <v>0</v>
      </c>
      <c r="R86" s="38">
        <f t="shared" ref="R86" si="356">SUM(R82:R85)</f>
        <v>0</v>
      </c>
      <c r="S86" s="31">
        <f t="shared" ref="S86" si="357">SUM(S82:S85)</f>
        <v>0</v>
      </c>
      <c r="T86" s="38">
        <f t="shared" ref="T86" si="358">SUM(T82:T85)</f>
        <v>0</v>
      </c>
      <c r="U86" s="31">
        <f t="shared" ref="U86" si="359">SUM(U82:U85)</f>
        <v>121</v>
      </c>
      <c r="V86" s="38">
        <f t="shared" ref="V86" si="360">SUM(V82:V85)</f>
        <v>9.7130220000000005</v>
      </c>
    </row>
    <row r="87" spans="1:22">
      <c r="A87" s="26" t="s">
        <v>13</v>
      </c>
      <c r="B87" s="26" t="s">
        <v>26</v>
      </c>
      <c r="C87" s="30">
        <v>8.3000000000000007</v>
      </c>
      <c r="D87" s="27">
        <v>6.3</v>
      </c>
      <c r="E87" s="28">
        <v>58</v>
      </c>
      <c r="F87" s="16">
        <f t="shared" ref="F87:F95" si="361">(C87*D87*E87/1000)</f>
        <v>3.0328200000000001</v>
      </c>
      <c r="G87" s="17"/>
      <c r="H87" s="18"/>
      <c r="I87" s="19">
        <f t="shared" ref="I87:I95" si="362">(C87*D87*H87/1000)</f>
        <v>0</v>
      </c>
      <c r="J87" s="16"/>
      <c r="K87" s="18"/>
      <c r="L87" s="19">
        <f t="shared" ref="L87:L95" si="363">(C87*D87*K87/1000)</f>
        <v>0</v>
      </c>
      <c r="M87" s="16"/>
      <c r="N87" s="18"/>
      <c r="O87" s="19">
        <f t="shared" ref="O87:O95" si="364">(C87*D87*N87/1000)</f>
        <v>0</v>
      </c>
      <c r="P87" s="16"/>
      <c r="Q87" s="18"/>
      <c r="R87" s="19">
        <f t="shared" ref="R87:R95" si="365">(C87*D87*Q87/1000)</f>
        <v>0</v>
      </c>
      <c r="S87" s="20">
        <f t="shared" ref="S87:S95" si="366">+H87+K87+Q87+N87</f>
        <v>0</v>
      </c>
      <c r="T87" s="19">
        <f t="shared" ref="T87:T95" si="367">+I87+L87+R87+O87</f>
        <v>0</v>
      </c>
      <c r="U87" s="21">
        <f t="shared" ref="U87:U95" si="368">E87-S87</f>
        <v>58</v>
      </c>
      <c r="V87" s="19">
        <f t="shared" ref="V87:V95" si="369">F87-T87</f>
        <v>3.0328200000000001</v>
      </c>
    </row>
    <row r="88" spans="1:22">
      <c r="A88" s="26" t="s">
        <v>13</v>
      </c>
      <c r="B88" s="26" t="s">
        <v>26</v>
      </c>
      <c r="C88" s="30">
        <v>8.3000000000000007</v>
      </c>
      <c r="D88" s="27">
        <v>7.6</v>
      </c>
      <c r="E88" s="28">
        <v>24</v>
      </c>
      <c r="F88" s="16">
        <f t="shared" si="361"/>
        <v>1.5139200000000002</v>
      </c>
      <c r="G88" s="17"/>
      <c r="H88" s="18"/>
      <c r="I88" s="19">
        <f t="shared" si="362"/>
        <v>0</v>
      </c>
      <c r="J88" s="16"/>
      <c r="K88" s="18"/>
      <c r="L88" s="19">
        <f t="shared" si="363"/>
        <v>0</v>
      </c>
      <c r="M88" s="16"/>
      <c r="N88" s="18"/>
      <c r="O88" s="19">
        <f t="shared" si="364"/>
        <v>0</v>
      </c>
      <c r="P88" s="16"/>
      <c r="Q88" s="18"/>
      <c r="R88" s="19">
        <f t="shared" si="365"/>
        <v>0</v>
      </c>
      <c r="S88" s="20">
        <f t="shared" si="366"/>
        <v>0</v>
      </c>
      <c r="T88" s="19">
        <f t="shared" si="367"/>
        <v>0</v>
      </c>
      <c r="U88" s="21">
        <f t="shared" si="368"/>
        <v>24</v>
      </c>
      <c r="V88" s="19">
        <f t="shared" si="369"/>
        <v>1.5139200000000002</v>
      </c>
    </row>
    <row r="89" spans="1:22">
      <c r="A89" s="26" t="s">
        <v>13</v>
      </c>
      <c r="B89" s="26" t="s">
        <v>26</v>
      </c>
      <c r="C89" s="30">
        <v>8.3000000000000007</v>
      </c>
      <c r="D89" s="27">
        <v>8.5500000000000007</v>
      </c>
      <c r="E89" s="28">
        <v>5</v>
      </c>
      <c r="F89" s="16">
        <f t="shared" si="361"/>
        <v>0.35482500000000011</v>
      </c>
      <c r="G89" s="17"/>
      <c r="H89" s="18"/>
      <c r="I89" s="19">
        <f t="shared" si="362"/>
        <v>0</v>
      </c>
      <c r="J89" s="16"/>
      <c r="K89" s="18"/>
      <c r="L89" s="19">
        <f t="shared" si="363"/>
        <v>0</v>
      </c>
      <c r="M89" s="16"/>
      <c r="N89" s="18"/>
      <c r="O89" s="19">
        <f t="shared" si="364"/>
        <v>0</v>
      </c>
      <c r="P89" s="16"/>
      <c r="Q89" s="18"/>
      <c r="R89" s="19">
        <f t="shared" si="365"/>
        <v>0</v>
      </c>
      <c r="S89" s="20">
        <f t="shared" si="366"/>
        <v>0</v>
      </c>
      <c r="T89" s="19">
        <f t="shared" si="367"/>
        <v>0</v>
      </c>
      <c r="U89" s="21">
        <f t="shared" si="368"/>
        <v>5</v>
      </c>
      <c r="V89" s="19">
        <f t="shared" si="369"/>
        <v>0.35482500000000011</v>
      </c>
    </row>
    <row r="90" spans="1:22">
      <c r="A90" s="26" t="s">
        <v>13</v>
      </c>
      <c r="B90" s="26" t="s">
        <v>26</v>
      </c>
      <c r="C90" s="30">
        <v>8.3000000000000007</v>
      </c>
      <c r="D90" s="27">
        <v>10</v>
      </c>
      <c r="E90" s="28">
        <v>15</v>
      </c>
      <c r="F90" s="16">
        <f t="shared" si="361"/>
        <v>1.2450000000000001</v>
      </c>
      <c r="G90" s="17"/>
      <c r="H90" s="18"/>
      <c r="I90" s="19">
        <f t="shared" si="362"/>
        <v>0</v>
      </c>
      <c r="J90" s="16"/>
      <c r="K90" s="18"/>
      <c r="L90" s="19">
        <f t="shared" si="363"/>
        <v>0</v>
      </c>
      <c r="M90" s="16"/>
      <c r="N90" s="18"/>
      <c r="O90" s="19">
        <f t="shared" si="364"/>
        <v>0</v>
      </c>
      <c r="P90" s="16"/>
      <c r="Q90" s="18"/>
      <c r="R90" s="19">
        <f t="shared" si="365"/>
        <v>0</v>
      </c>
      <c r="S90" s="20">
        <f t="shared" si="366"/>
        <v>0</v>
      </c>
      <c r="T90" s="19">
        <f t="shared" si="367"/>
        <v>0</v>
      </c>
      <c r="U90" s="21">
        <f t="shared" si="368"/>
        <v>15</v>
      </c>
      <c r="V90" s="19">
        <f t="shared" si="369"/>
        <v>1.2450000000000001</v>
      </c>
    </row>
    <row r="91" spans="1:22">
      <c r="A91" s="26" t="s">
        <v>13</v>
      </c>
      <c r="B91" s="26" t="s">
        <v>26</v>
      </c>
      <c r="C91" s="30">
        <v>8.3000000000000007</v>
      </c>
      <c r="D91" s="27">
        <v>10.4</v>
      </c>
      <c r="E91" s="28">
        <v>25</v>
      </c>
      <c r="F91" s="16">
        <f t="shared" si="361"/>
        <v>2.1579999999999999</v>
      </c>
      <c r="G91" s="17"/>
      <c r="H91" s="18"/>
      <c r="I91" s="19">
        <f t="shared" si="362"/>
        <v>0</v>
      </c>
      <c r="J91" s="16"/>
      <c r="K91" s="18"/>
      <c r="L91" s="19">
        <f t="shared" si="363"/>
        <v>0</v>
      </c>
      <c r="M91" s="16"/>
      <c r="N91" s="18"/>
      <c r="O91" s="19">
        <f t="shared" si="364"/>
        <v>0</v>
      </c>
      <c r="P91" s="16"/>
      <c r="Q91" s="18"/>
      <c r="R91" s="19">
        <f t="shared" si="365"/>
        <v>0</v>
      </c>
      <c r="S91" s="20">
        <f t="shared" si="366"/>
        <v>0</v>
      </c>
      <c r="T91" s="19">
        <f t="shared" si="367"/>
        <v>0</v>
      </c>
      <c r="U91" s="21">
        <f t="shared" si="368"/>
        <v>25</v>
      </c>
      <c r="V91" s="19">
        <f t="shared" si="369"/>
        <v>2.1579999999999999</v>
      </c>
    </row>
    <row r="92" spans="1:22">
      <c r="A92" s="26" t="s">
        <v>13</v>
      </c>
      <c r="B92" s="26" t="s">
        <v>26</v>
      </c>
      <c r="C92" s="30">
        <v>8.3000000000000007</v>
      </c>
      <c r="D92" s="27">
        <v>10.7</v>
      </c>
      <c r="E92" s="28">
        <v>35</v>
      </c>
      <c r="F92" s="16">
        <f t="shared" si="361"/>
        <v>3.1083499999999997</v>
      </c>
      <c r="G92" s="17"/>
      <c r="H92" s="18"/>
      <c r="I92" s="19">
        <f t="shared" si="362"/>
        <v>0</v>
      </c>
      <c r="J92" s="16"/>
      <c r="K92" s="18"/>
      <c r="L92" s="19">
        <f t="shared" si="363"/>
        <v>0</v>
      </c>
      <c r="M92" s="16"/>
      <c r="N92" s="18"/>
      <c r="O92" s="19">
        <f t="shared" si="364"/>
        <v>0</v>
      </c>
      <c r="P92" s="16"/>
      <c r="Q92" s="18"/>
      <c r="R92" s="19">
        <f t="shared" si="365"/>
        <v>0</v>
      </c>
      <c r="S92" s="20">
        <f t="shared" si="366"/>
        <v>0</v>
      </c>
      <c r="T92" s="19">
        <f t="shared" si="367"/>
        <v>0</v>
      </c>
      <c r="U92" s="21">
        <f t="shared" si="368"/>
        <v>35</v>
      </c>
      <c r="V92" s="19">
        <f t="shared" si="369"/>
        <v>3.1083499999999997</v>
      </c>
    </row>
    <row r="93" spans="1:22">
      <c r="A93" s="26" t="s">
        <v>13</v>
      </c>
      <c r="B93" s="26" t="s">
        <v>26</v>
      </c>
      <c r="C93" s="30">
        <v>8.3000000000000007</v>
      </c>
      <c r="D93" s="27">
        <v>11.5</v>
      </c>
      <c r="E93" s="28">
        <v>39</v>
      </c>
      <c r="F93" s="16">
        <f t="shared" si="361"/>
        <v>3.72255</v>
      </c>
      <c r="G93" s="17"/>
      <c r="H93" s="18"/>
      <c r="I93" s="19">
        <f t="shared" si="362"/>
        <v>0</v>
      </c>
      <c r="J93" s="16"/>
      <c r="K93" s="18"/>
      <c r="L93" s="19">
        <f t="shared" si="363"/>
        <v>0</v>
      </c>
      <c r="M93" s="16"/>
      <c r="N93" s="18"/>
      <c r="O93" s="19">
        <f t="shared" si="364"/>
        <v>0</v>
      </c>
      <c r="P93" s="16"/>
      <c r="Q93" s="18"/>
      <c r="R93" s="19">
        <f t="shared" si="365"/>
        <v>0</v>
      </c>
      <c r="S93" s="20">
        <f t="shared" si="366"/>
        <v>0</v>
      </c>
      <c r="T93" s="19">
        <f t="shared" si="367"/>
        <v>0</v>
      </c>
      <c r="U93" s="21">
        <f t="shared" si="368"/>
        <v>39</v>
      </c>
      <c r="V93" s="19">
        <f t="shared" si="369"/>
        <v>3.72255</v>
      </c>
    </row>
    <row r="94" spans="1:22">
      <c r="A94" s="26" t="s">
        <v>13</v>
      </c>
      <c r="B94" s="26" t="s">
        <v>26</v>
      </c>
      <c r="C94" s="30">
        <v>8.3000000000000007</v>
      </c>
      <c r="D94" s="27">
        <v>11.8</v>
      </c>
      <c r="E94" s="28">
        <v>17</v>
      </c>
      <c r="F94" s="16">
        <f t="shared" si="361"/>
        <v>1.6649800000000003</v>
      </c>
      <c r="G94" s="17"/>
      <c r="H94" s="18"/>
      <c r="I94" s="19">
        <f t="shared" si="362"/>
        <v>0</v>
      </c>
      <c r="J94" s="16"/>
      <c r="K94" s="18"/>
      <c r="L94" s="19">
        <f t="shared" si="363"/>
        <v>0</v>
      </c>
      <c r="M94" s="16"/>
      <c r="N94" s="18"/>
      <c r="O94" s="19">
        <f t="shared" si="364"/>
        <v>0</v>
      </c>
      <c r="P94" s="16"/>
      <c r="Q94" s="18"/>
      <c r="R94" s="19">
        <f t="shared" si="365"/>
        <v>0</v>
      </c>
      <c r="S94" s="20">
        <f t="shared" si="366"/>
        <v>0</v>
      </c>
      <c r="T94" s="19">
        <f t="shared" si="367"/>
        <v>0</v>
      </c>
      <c r="U94" s="21">
        <f t="shared" si="368"/>
        <v>17</v>
      </c>
      <c r="V94" s="19">
        <f t="shared" si="369"/>
        <v>1.6649800000000003</v>
      </c>
    </row>
    <row r="95" spans="1:22">
      <c r="A95" s="26" t="s">
        <v>13</v>
      </c>
      <c r="B95" s="26" t="s">
        <v>26</v>
      </c>
      <c r="C95" s="30">
        <v>8.3000000000000007</v>
      </c>
      <c r="D95" s="27">
        <v>12</v>
      </c>
      <c r="E95" s="28">
        <v>16</v>
      </c>
      <c r="F95" s="16">
        <f t="shared" si="361"/>
        <v>1.5936000000000001</v>
      </c>
      <c r="G95" s="17"/>
      <c r="H95" s="18"/>
      <c r="I95" s="19">
        <f t="shared" si="362"/>
        <v>0</v>
      </c>
      <c r="J95" s="16"/>
      <c r="K95" s="18"/>
      <c r="L95" s="19">
        <f t="shared" si="363"/>
        <v>0</v>
      </c>
      <c r="M95" s="16"/>
      <c r="N95" s="18"/>
      <c r="O95" s="19">
        <f t="shared" si="364"/>
        <v>0</v>
      </c>
      <c r="P95" s="16"/>
      <c r="Q95" s="18"/>
      <c r="R95" s="19">
        <f t="shared" si="365"/>
        <v>0</v>
      </c>
      <c r="S95" s="20">
        <f t="shared" si="366"/>
        <v>0</v>
      </c>
      <c r="T95" s="19">
        <f t="shared" si="367"/>
        <v>0</v>
      </c>
      <c r="U95" s="21">
        <f t="shared" si="368"/>
        <v>16</v>
      </c>
      <c r="V95" s="19">
        <f t="shared" si="369"/>
        <v>1.5936000000000001</v>
      </c>
    </row>
    <row r="96" spans="1:22">
      <c r="A96" s="36"/>
      <c r="B96" s="36"/>
      <c r="C96" s="37"/>
      <c r="D96" s="38"/>
      <c r="E96" s="31">
        <f t="shared" ref="E96:F96" si="370">SUM(E87:E95)</f>
        <v>234</v>
      </c>
      <c r="F96" s="38">
        <f t="shared" si="370"/>
        <v>18.394044999999998</v>
      </c>
      <c r="H96" s="31">
        <f t="shared" ref="H96" si="371">SUM(H87:H95)</f>
        <v>0</v>
      </c>
      <c r="I96" s="38">
        <f t="shared" ref="I96" si="372">SUM(I87:I95)</f>
        <v>0</v>
      </c>
      <c r="K96" s="31">
        <f t="shared" ref="K96" si="373">SUM(K87:K95)</f>
        <v>0</v>
      </c>
      <c r="L96" s="38">
        <f t="shared" ref="L96" si="374">SUM(L87:L95)</f>
        <v>0</v>
      </c>
      <c r="N96" s="31">
        <f t="shared" ref="N96" si="375">SUM(N87:N95)</f>
        <v>0</v>
      </c>
      <c r="O96" s="38">
        <f t="shared" ref="O96" si="376">SUM(O87:O95)</f>
        <v>0</v>
      </c>
      <c r="Q96" s="31">
        <f t="shared" ref="Q96" si="377">SUM(Q87:Q95)</f>
        <v>0</v>
      </c>
      <c r="R96" s="38">
        <f t="shared" ref="R96" si="378">SUM(R87:R95)</f>
        <v>0</v>
      </c>
      <c r="S96" s="31">
        <f t="shared" ref="S96" si="379">SUM(S87:S95)</f>
        <v>0</v>
      </c>
      <c r="T96" s="38">
        <f t="shared" ref="T96" si="380">SUM(T87:T95)</f>
        <v>0</v>
      </c>
      <c r="U96" s="31">
        <f t="shared" ref="U96" si="381">SUM(U87:U95)</f>
        <v>234</v>
      </c>
      <c r="V96" s="38">
        <f t="shared" ref="V96" si="382">SUM(V87:V95)</f>
        <v>18.394044999999998</v>
      </c>
    </row>
    <row r="97" spans="1:22">
      <c r="A97" s="26" t="s">
        <v>13</v>
      </c>
      <c r="B97" s="26" t="s">
        <v>37</v>
      </c>
      <c r="C97" s="30">
        <v>9.61</v>
      </c>
      <c r="D97" s="27">
        <v>10.9</v>
      </c>
      <c r="E97" s="28">
        <v>12</v>
      </c>
      <c r="F97" s="16">
        <f>(C97*D97*E97/1000)</f>
        <v>1.2569879999999998</v>
      </c>
      <c r="G97" s="17"/>
      <c r="H97" s="18"/>
      <c r="I97" s="19">
        <f>(C97*D97*H97/1000)</f>
        <v>0</v>
      </c>
      <c r="J97" s="16"/>
      <c r="K97" s="18"/>
      <c r="L97" s="19">
        <f>(C97*D97*K97/1000)</f>
        <v>0</v>
      </c>
      <c r="M97" s="16"/>
      <c r="N97" s="18"/>
      <c r="O97" s="19">
        <f>(C97*D97*N97/1000)</f>
        <v>0</v>
      </c>
      <c r="P97" s="16"/>
      <c r="Q97" s="18"/>
      <c r="R97" s="19">
        <f>(C97*D97*Q97/1000)</f>
        <v>0</v>
      </c>
      <c r="S97" s="20">
        <f>+H97+K97+Q97+N97</f>
        <v>0</v>
      </c>
      <c r="T97" s="19">
        <f>+I97+L97+R97+O97</f>
        <v>0</v>
      </c>
      <c r="U97" s="21">
        <f>E97-S97</f>
        <v>12</v>
      </c>
      <c r="V97" s="19">
        <f>F97-T97</f>
        <v>1.2569879999999998</v>
      </c>
    </row>
    <row r="98" spans="1:22">
      <c r="A98" s="36"/>
      <c r="B98" s="36"/>
      <c r="C98" s="37"/>
      <c r="D98" s="38"/>
      <c r="E98" s="31">
        <f t="shared" ref="E98:F98" si="383">SUM(E97)</f>
        <v>12</v>
      </c>
      <c r="F98" s="38">
        <f t="shared" si="383"/>
        <v>1.2569879999999998</v>
      </c>
      <c r="H98" s="31">
        <f t="shared" ref="H98" si="384">SUM(H97)</f>
        <v>0</v>
      </c>
      <c r="I98" s="38">
        <f t="shared" ref="I98" si="385">SUM(I97)</f>
        <v>0</v>
      </c>
      <c r="K98" s="31">
        <f t="shared" ref="K98" si="386">SUM(K97)</f>
        <v>0</v>
      </c>
      <c r="L98" s="38">
        <f t="shared" ref="L98" si="387">SUM(L97)</f>
        <v>0</v>
      </c>
      <c r="N98" s="31">
        <f t="shared" ref="N98" si="388">SUM(N97)</f>
        <v>0</v>
      </c>
      <c r="O98" s="38">
        <f t="shared" ref="O98" si="389">SUM(O97)</f>
        <v>0</v>
      </c>
      <c r="Q98" s="31">
        <f t="shared" ref="Q98" si="390">SUM(Q97)</f>
        <v>0</v>
      </c>
      <c r="R98" s="38">
        <f t="shared" ref="R98" si="391">SUM(R97)</f>
        <v>0</v>
      </c>
      <c r="S98" s="31">
        <f t="shared" ref="S98" si="392">SUM(S97)</f>
        <v>0</v>
      </c>
      <c r="T98" s="38">
        <f t="shared" ref="T98" si="393">SUM(T97)</f>
        <v>0</v>
      </c>
      <c r="U98" s="31">
        <f t="shared" ref="U98" si="394">SUM(U97)</f>
        <v>12</v>
      </c>
      <c r="V98" s="38">
        <f t="shared" ref="V98" si="395">SUM(V97)</f>
        <v>1.2569879999999998</v>
      </c>
    </row>
    <row r="99" spans="1:22">
      <c r="A99" s="26" t="s">
        <v>13</v>
      </c>
      <c r="B99" s="26" t="s">
        <v>244</v>
      </c>
      <c r="C99" s="30">
        <v>10.9</v>
      </c>
      <c r="D99" s="27">
        <v>9.8000000000000007</v>
      </c>
      <c r="E99" s="28">
        <v>4</v>
      </c>
      <c r="F99" s="16">
        <f>(C99*D99*E99/1000)</f>
        <v>0.42728000000000005</v>
      </c>
      <c r="G99" s="17"/>
      <c r="H99" s="18"/>
      <c r="I99" s="19">
        <f>(C99*D99*H99/1000)</f>
        <v>0</v>
      </c>
      <c r="J99" s="16"/>
      <c r="K99" s="18"/>
      <c r="L99" s="19">
        <f>(C99*D99*K99/1000)</f>
        <v>0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>+H99+K99+Q99+N99</f>
        <v>0</v>
      </c>
      <c r="T99" s="19">
        <f>+I99+L99+R99+O99</f>
        <v>0</v>
      </c>
      <c r="U99" s="21">
        <f>E99-S99</f>
        <v>4</v>
      </c>
      <c r="V99" s="19">
        <f>F99-T99</f>
        <v>0.42728000000000005</v>
      </c>
    </row>
    <row r="100" spans="1:22">
      <c r="A100" s="36"/>
      <c r="B100" s="36"/>
      <c r="C100" s="37"/>
      <c r="D100" s="38"/>
      <c r="E100" s="31">
        <f t="shared" ref="E100:F100" si="396">SUM(E99)</f>
        <v>4</v>
      </c>
      <c r="F100" s="38">
        <f t="shared" si="396"/>
        <v>0.42728000000000005</v>
      </c>
      <c r="H100" s="31">
        <f t="shared" ref="H100" si="397">SUM(H99)</f>
        <v>0</v>
      </c>
      <c r="I100" s="38">
        <f t="shared" ref="I100" si="398">SUM(I99)</f>
        <v>0</v>
      </c>
      <c r="K100" s="31">
        <f t="shared" ref="K100" si="399">SUM(K99)</f>
        <v>0</v>
      </c>
      <c r="L100" s="38">
        <f t="shared" ref="L100" si="400">SUM(L99)</f>
        <v>0</v>
      </c>
      <c r="N100" s="31">
        <f t="shared" ref="N100" si="401">SUM(N99)</f>
        <v>0</v>
      </c>
      <c r="O100" s="38">
        <f t="shared" ref="O100" si="402">SUM(O99)</f>
        <v>0</v>
      </c>
      <c r="Q100" s="31">
        <f t="shared" ref="Q100" si="403">SUM(Q99)</f>
        <v>0</v>
      </c>
      <c r="R100" s="38">
        <f t="shared" ref="R100" si="404">SUM(R99)</f>
        <v>0</v>
      </c>
      <c r="S100" s="31">
        <f t="shared" ref="S100" si="405">SUM(S99)</f>
        <v>0</v>
      </c>
      <c r="T100" s="38">
        <f t="shared" ref="T100" si="406">SUM(T99)</f>
        <v>0</v>
      </c>
      <c r="U100" s="31">
        <f t="shared" ref="U100" si="407">SUM(U99)</f>
        <v>4</v>
      </c>
      <c r="V100" s="38">
        <f t="shared" ref="V100" si="408">SUM(V99)</f>
        <v>0.42728000000000005</v>
      </c>
    </row>
    <row r="101" spans="1:22">
      <c r="A101" s="26" t="s">
        <v>14</v>
      </c>
      <c r="B101" s="26" t="s">
        <v>61</v>
      </c>
      <c r="C101" s="30">
        <v>12.2</v>
      </c>
      <c r="D101" s="27">
        <v>7.95</v>
      </c>
      <c r="E101" s="28">
        <v>1</v>
      </c>
      <c r="F101" s="16">
        <f>(C101*D101*E101/1000)</f>
        <v>9.6989999999999993E-2</v>
      </c>
      <c r="G101" s="17"/>
      <c r="H101" s="18"/>
      <c r="I101" s="19">
        <f>(C101*D101*H101/1000)</f>
        <v>0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>+H101+K101+Q101+N101</f>
        <v>0</v>
      </c>
      <c r="T101" s="19">
        <f>+I101+L101+R101+O101</f>
        <v>0</v>
      </c>
      <c r="U101" s="21">
        <f>E101-S101</f>
        <v>1</v>
      </c>
      <c r="V101" s="19">
        <f>F101-T101</f>
        <v>9.6989999999999993E-2</v>
      </c>
    </row>
    <row r="102" spans="1:22">
      <c r="A102" s="36"/>
      <c r="B102" s="36"/>
      <c r="C102" s="37"/>
      <c r="D102" s="38"/>
      <c r="E102" s="31">
        <f t="shared" ref="E102:F102" si="409">SUM(E101)</f>
        <v>1</v>
      </c>
      <c r="F102" s="38">
        <f t="shared" si="409"/>
        <v>9.6989999999999993E-2</v>
      </c>
      <c r="H102" s="31">
        <f t="shared" ref="H102" si="410">SUM(H101)</f>
        <v>0</v>
      </c>
      <c r="I102" s="38">
        <f t="shared" ref="I102" si="411">SUM(I101)</f>
        <v>0</v>
      </c>
      <c r="K102" s="31">
        <f t="shared" ref="K102" si="412">SUM(K101)</f>
        <v>0</v>
      </c>
      <c r="L102" s="38">
        <f t="shared" ref="L102" si="413">SUM(L101)</f>
        <v>0</v>
      </c>
      <c r="N102" s="31">
        <f t="shared" ref="N102" si="414">SUM(N101)</f>
        <v>0</v>
      </c>
      <c r="O102" s="38">
        <f t="shared" ref="O102" si="415">SUM(O101)</f>
        <v>0</v>
      </c>
      <c r="Q102" s="31">
        <f t="shared" ref="Q102" si="416">SUM(Q101)</f>
        <v>0</v>
      </c>
      <c r="R102" s="38">
        <f t="shared" ref="R102" si="417">SUM(R101)</f>
        <v>0</v>
      </c>
      <c r="S102" s="31">
        <f t="shared" ref="S102" si="418">SUM(S101)</f>
        <v>0</v>
      </c>
      <c r="T102" s="38">
        <f t="shared" ref="T102" si="419">SUM(T101)</f>
        <v>0</v>
      </c>
      <c r="U102" s="31">
        <f t="shared" ref="U102" si="420">SUM(U101)</f>
        <v>1</v>
      </c>
      <c r="V102" s="38">
        <f t="shared" ref="V102" si="421">SUM(V101)</f>
        <v>9.6989999999999993E-2</v>
      </c>
    </row>
    <row r="103" spans="1:22">
      <c r="A103" s="33"/>
      <c r="B103" s="33"/>
      <c r="C103" s="34"/>
      <c r="D103" s="34"/>
      <c r="E103" s="34">
        <v>1257</v>
      </c>
      <c r="F103" s="70">
        <v>130.828543</v>
      </c>
      <c r="H103" s="34">
        <v>1257</v>
      </c>
      <c r="I103" s="70">
        <v>130.828543</v>
      </c>
      <c r="K103" s="34">
        <v>1257</v>
      </c>
      <c r="L103" s="70">
        <v>130.828543</v>
      </c>
      <c r="N103" s="34">
        <v>1257</v>
      </c>
      <c r="O103" s="70">
        <v>130.828543</v>
      </c>
      <c r="Q103" s="34">
        <v>1257</v>
      </c>
      <c r="R103" s="70">
        <v>130.828543</v>
      </c>
      <c r="S103" s="34">
        <v>1257</v>
      </c>
      <c r="T103" s="70">
        <v>130.828543</v>
      </c>
      <c r="U103" s="34">
        <v>1257</v>
      </c>
      <c r="V103" s="70">
        <v>130.828543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43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V112"/>
  <sheetViews>
    <sheetView zoomScale="75" zoomScaleNormal="75" workbookViewId="0">
      <pane ySplit="5" topLeftCell="A12" activePane="bottomLeft" state="frozen"/>
      <selection pane="bottomLeft" activeCell="K105" sqref="K10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LOI-1358  18.12.23</v>
      </c>
      <c r="D1" s="1"/>
      <c r="E1" s="2"/>
      <c r="F1" s="2"/>
      <c r="G1" s="143" t="s">
        <v>500</v>
      </c>
      <c r="H1" s="144"/>
      <c r="I1" s="145" t="s">
        <v>581</v>
      </c>
      <c r="J1" s="144"/>
      <c r="K1" s="3"/>
      <c r="L1" s="4"/>
      <c r="M1" s="4"/>
      <c r="N1" s="3"/>
      <c r="O1" s="4"/>
      <c r="P1" s="146" t="str">
        <f>+F2</f>
        <v>LOI-1358  18.12.23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502</v>
      </c>
      <c r="B2" s="8"/>
      <c r="C2" s="9"/>
      <c r="D2" s="9"/>
      <c r="E2" s="10"/>
      <c r="F2" s="146" t="s">
        <v>583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LOI-1358  18.12.23</v>
      </c>
      <c r="V2" s="146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30">
        <v>9.26</v>
      </c>
      <c r="D6" s="27">
        <v>10.5</v>
      </c>
      <c r="E6" s="28">
        <v>82</v>
      </c>
      <c r="F6" s="16">
        <f t="shared" ref="F6:F9" si="0">(C6*D6*E6/1000)</f>
        <v>7.9728600000000007</v>
      </c>
      <c r="G6" s="17"/>
      <c r="H6" s="18"/>
      <c r="I6" s="19">
        <f t="shared" ref="I6:I9" si="1">(C6*D6*H6/1000)</f>
        <v>0</v>
      </c>
      <c r="J6" s="16"/>
      <c r="K6" s="18"/>
      <c r="L6" s="19">
        <f t="shared" ref="L6:L9" si="2">(C6*D6*K6/1000)</f>
        <v>0</v>
      </c>
      <c r="M6" s="16"/>
      <c r="N6" s="18"/>
      <c r="O6" s="19">
        <f t="shared" ref="O6:O9" si="3">(C6*D6*N6/1000)</f>
        <v>0</v>
      </c>
      <c r="P6" s="16"/>
      <c r="Q6" s="18"/>
      <c r="R6" s="19">
        <f t="shared" ref="R6:R9" si="4">(C6*D6*Q6/1000)</f>
        <v>0</v>
      </c>
      <c r="S6" s="20">
        <f t="shared" ref="S6:S9" si="5">+H6+K6+Q6+N6</f>
        <v>0</v>
      </c>
      <c r="T6" s="19">
        <f t="shared" ref="T6:T9" si="6">+I6+L6+R6+O6</f>
        <v>0</v>
      </c>
      <c r="U6" s="21">
        <f t="shared" ref="U6:U9" si="7">E6-S6</f>
        <v>82</v>
      </c>
      <c r="V6" s="19">
        <f t="shared" ref="V6:V9" si="8">F6-T6</f>
        <v>7.9728600000000007</v>
      </c>
    </row>
    <row r="7" spans="1:22">
      <c r="A7" s="26" t="s">
        <v>13</v>
      </c>
      <c r="B7" s="26" t="s">
        <v>45</v>
      </c>
      <c r="C7" s="30">
        <v>9.26</v>
      </c>
      <c r="D7" s="27">
        <v>10.85</v>
      </c>
      <c r="E7" s="28">
        <v>102</v>
      </c>
      <c r="F7" s="16">
        <f t="shared" si="0"/>
        <v>10.248042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6"/>
        <v>0</v>
      </c>
      <c r="U7" s="21">
        <f t="shared" si="7"/>
        <v>102</v>
      </c>
      <c r="V7" s="19">
        <f t="shared" si="8"/>
        <v>10.248042</v>
      </c>
    </row>
    <row r="8" spans="1:22">
      <c r="A8" s="26" t="s">
        <v>13</v>
      </c>
      <c r="B8" s="26" t="s">
        <v>45</v>
      </c>
      <c r="C8" s="30">
        <v>9.26</v>
      </c>
      <c r="D8" s="27">
        <v>11.1</v>
      </c>
      <c r="E8" s="28">
        <v>80</v>
      </c>
      <c r="F8" s="16">
        <f t="shared" si="0"/>
        <v>8.2228800000000017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80</v>
      </c>
      <c r="V8" s="19">
        <f t="shared" si="8"/>
        <v>8.2228800000000017</v>
      </c>
    </row>
    <row r="9" spans="1:22">
      <c r="A9" s="26" t="s">
        <v>13</v>
      </c>
      <c r="B9" s="26" t="s">
        <v>45</v>
      </c>
      <c r="C9" s="30">
        <v>9.26</v>
      </c>
      <c r="D9" s="27">
        <v>11.3</v>
      </c>
      <c r="E9" s="28">
        <v>108</v>
      </c>
      <c r="F9" s="16">
        <f t="shared" si="0"/>
        <v>11.300904000000001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108</v>
      </c>
      <c r="V9" s="19">
        <f t="shared" si="8"/>
        <v>11.300904000000001</v>
      </c>
    </row>
    <row r="10" spans="1:22">
      <c r="A10" s="36"/>
      <c r="B10" s="36"/>
      <c r="C10" s="37"/>
      <c r="D10" s="38"/>
      <c r="E10" s="31">
        <f t="shared" ref="E10:F10" si="9">SUM(E6:E9)</f>
        <v>372</v>
      </c>
      <c r="F10" s="38">
        <f t="shared" si="9"/>
        <v>37.744686000000009</v>
      </c>
      <c r="G10" s="17"/>
      <c r="H10" s="31">
        <f t="shared" ref="H10" si="10">SUM(H6:H9)</f>
        <v>0</v>
      </c>
      <c r="I10" s="38">
        <f t="shared" ref="I10" si="11">SUM(I6:I9)</f>
        <v>0</v>
      </c>
      <c r="J10" s="16"/>
      <c r="K10" s="31">
        <f t="shared" ref="K10" si="12">SUM(K6:K9)</f>
        <v>0</v>
      </c>
      <c r="L10" s="38">
        <f t="shared" ref="L10" si="13">SUM(L6:L9)</f>
        <v>0</v>
      </c>
      <c r="M10" s="16"/>
      <c r="N10" s="31">
        <f t="shared" ref="N10" si="14">SUM(N6:N9)</f>
        <v>0</v>
      </c>
      <c r="O10" s="38">
        <f t="shared" ref="O10" si="15">SUM(O6:O9)</f>
        <v>0</v>
      </c>
      <c r="P10" s="16"/>
      <c r="Q10" s="31">
        <f t="shared" ref="Q10" si="16">SUM(Q6:Q9)</f>
        <v>0</v>
      </c>
      <c r="R10" s="38">
        <f t="shared" ref="R10" si="17">SUM(R6:R9)</f>
        <v>0</v>
      </c>
      <c r="S10" s="31">
        <f t="shared" ref="S10" si="18">SUM(S6:S9)</f>
        <v>0</v>
      </c>
      <c r="T10" s="38">
        <f t="shared" ref="T10" si="19">SUM(T6:T9)</f>
        <v>0</v>
      </c>
      <c r="U10" s="31">
        <f t="shared" ref="U10" si="20">SUM(U6:U9)</f>
        <v>372</v>
      </c>
      <c r="V10" s="38">
        <f t="shared" ref="V10" si="21">SUM(V6:V9)</f>
        <v>37.744686000000009</v>
      </c>
    </row>
    <row r="11" spans="1:22">
      <c r="A11" s="26" t="s">
        <v>13</v>
      </c>
      <c r="B11" s="26" t="s">
        <v>46</v>
      </c>
      <c r="C11" s="30">
        <v>10.7</v>
      </c>
      <c r="D11" s="27">
        <v>7.8</v>
      </c>
      <c r="E11" s="28">
        <v>640</v>
      </c>
      <c r="F11" s="16">
        <f t="shared" ref="F11:F18" si="22">(C11*D11*E11/1000)</f>
        <v>53.414399999999993</v>
      </c>
      <c r="G11" s="17"/>
      <c r="H11" s="18"/>
      <c r="I11" s="19">
        <f t="shared" ref="I11:I18" si="23">(C11*D11*H11/1000)</f>
        <v>0</v>
      </c>
      <c r="J11" s="16"/>
      <c r="K11" s="18"/>
      <c r="L11" s="19">
        <f t="shared" ref="L11:L18" si="24">(C11*D11*K11/1000)</f>
        <v>0</v>
      </c>
      <c r="M11" s="16"/>
      <c r="N11" s="18"/>
      <c r="O11" s="19">
        <f t="shared" ref="O11:O18" si="25">(C11*D11*N11/1000)</f>
        <v>0</v>
      </c>
      <c r="P11" s="16"/>
      <c r="Q11" s="18"/>
      <c r="R11" s="19">
        <f t="shared" ref="R11:R18" si="26">(C11*D11*Q11/1000)</f>
        <v>0</v>
      </c>
      <c r="S11" s="20">
        <f t="shared" ref="S11:S18" si="27">+H11+K11+Q11+N11</f>
        <v>0</v>
      </c>
      <c r="T11" s="19">
        <f t="shared" ref="T11:T18" si="28">+I11+L11+R11+O11</f>
        <v>0</v>
      </c>
      <c r="U11" s="21">
        <f t="shared" ref="U11:U18" si="29">E11-S11</f>
        <v>640</v>
      </c>
      <c r="V11" s="19">
        <f t="shared" ref="V11:V18" si="30">F11-T11</f>
        <v>53.414399999999993</v>
      </c>
    </row>
    <row r="12" spans="1:22">
      <c r="A12" s="26" t="s">
        <v>13</v>
      </c>
      <c r="B12" s="26" t="s">
        <v>46</v>
      </c>
      <c r="C12" s="30">
        <v>10.7</v>
      </c>
      <c r="D12" s="27">
        <v>9.35</v>
      </c>
      <c r="E12" s="28">
        <v>520</v>
      </c>
      <c r="F12" s="16">
        <f t="shared" si="22"/>
        <v>52.023399999999995</v>
      </c>
      <c r="G12" s="17"/>
      <c r="H12" s="18"/>
      <c r="I12" s="19">
        <f t="shared" si="23"/>
        <v>0</v>
      </c>
      <c r="J12" s="16"/>
      <c r="K12" s="18"/>
      <c r="L12" s="19">
        <f t="shared" si="24"/>
        <v>0</v>
      </c>
      <c r="M12" s="16"/>
      <c r="N12" s="18"/>
      <c r="O12" s="19">
        <f t="shared" si="25"/>
        <v>0</v>
      </c>
      <c r="P12" s="16"/>
      <c r="Q12" s="18"/>
      <c r="R12" s="19">
        <f t="shared" si="26"/>
        <v>0</v>
      </c>
      <c r="S12" s="20">
        <f t="shared" si="27"/>
        <v>0</v>
      </c>
      <c r="T12" s="19">
        <f t="shared" si="28"/>
        <v>0</v>
      </c>
      <c r="U12" s="21">
        <f t="shared" si="29"/>
        <v>520</v>
      </c>
      <c r="V12" s="19">
        <f t="shared" si="30"/>
        <v>52.023399999999995</v>
      </c>
    </row>
    <row r="13" spans="1:22">
      <c r="A13" s="26" t="s">
        <v>13</v>
      </c>
      <c r="B13" s="26" t="s">
        <v>46</v>
      </c>
      <c r="C13" s="30">
        <v>10.7</v>
      </c>
      <c r="D13" s="27">
        <v>10.4</v>
      </c>
      <c r="E13" s="28">
        <v>60</v>
      </c>
      <c r="F13" s="16">
        <f t="shared" si="22"/>
        <v>6.6768000000000001</v>
      </c>
      <c r="G13" s="17"/>
      <c r="H13" s="18"/>
      <c r="I13" s="19">
        <f t="shared" si="23"/>
        <v>0</v>
      </c>
      <c r="J13" s="16"/>
      <c r="K13" s="18"/>
      <c r="L13" s="19">
        <f t="shared" si="24"/>
        <v>0</v>
      </c>
      <c r="M13" s="16"/>
      <c r="N13" s="18"/>
      <c r="O13" s="19">
        <f t="shared" si="25"/>
        <v>0</v>
      </c>
      <c r="P13" s="16"/>
      <c r="Q13" s="18"/>
      <c r="R13" s="19">
        <f t="shared" si="26"/>
        <v>0</v>
      </c>
      <c r="S13" s="20">
        <f t="shared" si="27"/>
        <v>0</v>
      </c>
      <c r="T13" s="19">
        <f t="shared" si="28"/>
        <v>0</v>
      </c>
      <c r="U13" s="21">
        <f t="shared" si="29"/>
        <v>60</v>
      </c>
      <c r="V13" s="19">
        <f t="shared" si="30"/>
        <v>6.6768000000000001</v>
      </c>
    </row>
    <row r="14" spans="1:22">
      <c r="A14" s="26" t="s">
        <v>13</v>
      </c>
      <c r="B14" s="26" t="s">
        <v>46</v>
      </c>
      <c r="C14" s="30">
        <v>10.7</v>
      </c>
      <c r="D14" s="27">
        <v>11.1</v>
      </c>
      <c r="E14" s="28">
        <v>80</v>
      </c>
      <c r="F14" s="16">
        <f t="shared" si="22"/>
        <v>9.501599999999998</v>
      </c>
      <c r="G14" s="17"/>
      <c r="H14" s="18"/>
      <c r="I14" s="19">
        <f t="shared" si="23"/>
        <v>0</v>
      </c>
      <c r="J14" s="16"/>
      <c r="K14" s="18"/>
      <c r="L14" s="19">
        <f t="shared" si="24"/>
        <v>0</v>
      </c>
      <c r="M14" s="16"/>
      <c r="N14" s="18"/>
      <c r="O14" s="19">
        <f t="shared" si="25"/>
        <v>0</v>
      </c>
      <c r="P14" s="16"/>
      <c r="Q14" s="18"/>
      <c r="R14" s="19">
        <f t="shared" si="26"/>
        <v>0</v>
      </c>
      <c r="S14" s="20">
        <f t="shared" si="27"/>
        <v>0</v>
      </c>
      <c r="T14" s="19">
        <f t="shared" si="28"/>
        <v>0</v>
      </c>
      <c r="U14" s="21">
        <f t="shared" si="29"/>
        <v>80</v>
      </c>
      <c r="V14" s="19">
        <f t="shared" si="30"/>
        <v>9.501599999999998</v>
      </c>
    </row>
    <row r="15" spans="1:22">
      <c r="A15" s="26" t="s">
        <v>13</v>
      </c>
      <c r="B15" s="26" t="s">
        <v>46</v>
      </c>
      <c r="C15" s="30">
        <v>10.7</v>
      </c>
      <c r="D15" s="27">
        <v>11.3</v>
      </c>
      <c r="E15" s="28">
        <v>240</v>
      </c>
      <c r="F15" s="16">
        <f t="shared" si="22"/>
        <v>29.018399999999996</v>
      </c>
      <c r="G15" s="17"/>
      <c r="H15" s="18"/>
      <c r="I15" s="19">
        <f t="shared" si="23"/>
        <v>0</v>
      </c>
      <c r="J15" s="16"/>
      <c r="K15" s="18"/>
      <c r="L15" s="19">
        <f t="shared" si="24"/>
        <v>0</v>
      </c>
      <c r="M15" s="16"/>
      <c r="N15" s="18"/>
      <c r="O15" s="19">
        <f t="shared" si="25"/>
        <v>0</v>
      </c>
      <c r="P15" s="16"/>
      <c r="Q15" s="18"/>
      <c r="R15" s="19">
        <f t="shared" si="26"/>
        <v>0</v>
      </c>
      <c r="S15" s="20">
        <f t="shared" si="27"/>
        <v>0</v>
      </c>
      <c r="T15" s="19">
        <f t="shared" si="28"/>
        <v>0</v>
      </c>
      <c r="U15" s="21">
        <f t="shared" si="29"/>
        <v>240</v>
      </c>
      <c r="V15" s="19">
        <f t="shared" si="30"/>
        <v>29.018399999999996</v>
      </c>
    </row>
    <row r="16" spans="1:22">
      <c r="A16" s="26" t="s">
        <v>13</v>
      </c>
      <c r="B16" s="26" t="s">
        <v>46</v>
      </c>
      <c r="C16" s="30">
        <v>10.7</v>
      </c>
      <c r="D16" s="27">
        <v>11.6</v>
      </c>
      <c r="E16" s="28">
        <v>60</v>
      </c>
      <c r="F16" s="16">
        <f t="shared" si="22"/>
        <v>7.4471999999999996</v>
      </c>
      <c r="G16" s="17"/>
      <c r="H16" s="18"/>
      <c r="I16" s="19">
        <f t="shared" si="23"/>
        <v>0</v>
      </c>
      <c r="J16" s="16"/>
      <c r="K16" s="18"/>
      <c r="L16" s="19">
        <f t="shared" si="24"/>
        <v>0</v>
      </c>
      <c r="M16" s="16"/>
      <c r="N16" s="18"/>
      <c r="O16" s="19">
        <f t="shared" si="25"/>
        <v>0</v>
      </c>
      <c r="P16" s="16"/>
      <c r="Q16" s="18"/>
      <c r="R16" s="19">
        <f t="shared" si="26"/>
        <v>0</v>
      </c>
      <c r="S16" s="20">
        <f t="shared" si="27"/>
        <v>0</v>
      </c>
      <c r="T16" s="19">
        <f t="shared" si="28"/>
        <v>0</v>
      </c>
      <c r="U16" s="21">
        <f t="shared" si="29"/>
        <v>60</v>
      </c>
      <c r="V16" s="19">
        <f t="shared" si="30"/>
        <v>7.4471999999999996</v>
      </c>
    </row>
    <row r="17" spans="1:22">
      <c r="A17" s="26" t="s">
        <v>13</v>
      </c>
      <c r="B17" s="26" t="s">
        <v>46</v>
      </c>
      <c r="C17" s="30">
        <v>10.7</v>
      </c>
      <c r="D17" s="27">
        <v>11.85</v>
      </c>
      <c r="E17" s="28">
        <v>360</v>
      </c>
      <c r="F17" s="16">
        <f t="shared" si="22"/>
        <v>45.6462</v>
      </c>
      <c r="G17" s="17"/>
      <c r="H17" s="18"/>
      <c r="I17" s="19">
        <f t="shared" si="23"/>
        <v>0</v>
      </c>
      <c r="J17" s="16"/>
      <c r="K17" s="18"/>
      <c r="L17" s="19">
        <f t="shared" si="24"/>
        <v>0</v>
      </c>
      <c r="M17" s="16"/>
      <c r="N17" s="18"/>
      <c r="O17" s="19">
        <f t="shared" si="25"/>
        <v>0</v>
      </c>
      <c r="P17" s="16"/>
      <c r="Q17" s="18"/>
      <c r="R17" s="19">
        <f t="shared" si="26"/>
        <v>0</v>
      </c>
      <c r="S17" s="20">
        <f t="shared" si="27"/>
        <v>0</v>
      </c>
      <c r="T17" s="19">
        <f t="shared" si="28"/>
        <v>0</v>
      </c>
      <c r="U17" s="21">
        <f t="shared" si="29"/>
        <v>360</v>
      </c>
      <c r="V17" s="19">
        <f t="shared" si="30"/>
        <v>45.6462</v>
      </c>
    </row>
    <row r="18" spans="1:22">
      <c r="A18" s="26" t="s">
        <v>13</v>
      </c>
      <c r="B18" s="26" t="s">
        <v>46</v>
      </c>
      <c r="C18" s="30">
        <v>10.7</v>
      </c>
      <c r="D18" s="27">
        <v>12</v>
      </c>
      <c r="E18" s="28">
        <v>104</v>
      </c>
      <c r="F18" s="16">
        <f t="shared" si="22"/>
        <v>13.353599999999998</v>
      </c>
      <c r="G18" s="17"/>
      <c r="H18" s="18"/>
      <c r="I18" s="19">
        <f t="shared" si="23"/>
        <v>0</v>
      </c>
      <c r="J18" s="16"/>
      <c r="K18" s="18"/>
      <c r="L18" s="19">
        <f t="shared" si="24"/>
        <v>0</v>
      </c>
      <c r="M18" s="16"/>
      <c r="N18" s="18"/>
      <c r="O18" s="19">
        <f t="shared" si="25"/>
        <v>0</v>
      </c>
      <c r="P18" s="16"/>
      <c r="Q18" s="18"/>
      <c r="R18" s="19">
        <f t="shared" si="26"/>
        <v>0</v>
      </c>
      <c r="S18" s="20">
        <f t="shared" si="27"/>
        <v>0</v>
      </c>
      <c r="T18" s="19">
        <f t="shared" si="28"/>
        <v>0</v>
      </c>
      <c r="U18" s="21">
        <f t="shared" si="29"/>
        <v>104</v>
      </c>
      <c r="V18" s="19">
        <f t="shared" si="30"/>
        <v>13.353599999999998</v>
      </c>
    </row>
    <row r="19" spans="1:22">
      <c r="A19" s="36"/>
      <c r="B19" s="36"/>
      <c r="C19" s="37"/>
      <c r="D19" s="38"/>
      <c r="E19" s="31">
        <f t="shared" ref="E19:F19" si="31">SUM(E11:E18)</f>
        <v>2064</v>
      </c>
      <c r="F19" s="38">
        <f t="shared" si="31"/>
        <v>217.08159999999998</v>
      </c>
      <c r="H19" s="31">
        <f t="shared" ref="H19" si="32">SUM(H11:H18)</f>
        <v>0</v>
      </c>
      <c r="I19" s="38">
        <f t="shared" ref="I19" si="33">SUM(I11:I18)</f>
        <v>0</v>
      </c>
      <c r="K19" s="31">
        <f t="shared" ref="K19" si="34">SUM(K11:K18)</f>
        <v>0</v>
      </c>
      <c r="L19" s="38">
        <f t="shared" ref="L19" si="35">SUM(L11:L18)</f>
        <v>0</v>
      </c>
      <c r="N19" s="31">
        <f t="shared" ref="N19" si="36">SUM(N11:N18)</f>
        <v>0</v>
      </c>
      <c r="O19" s="38">
        <f t="shared" ref="O19" si="37">SUM(O11:O18)</f>
        <v>0</v>
      </c>
      <c r="Q19" s="31">
        <f t="shared" ref="Q19" si="38">SUM(Q11:Q18)</f>
        <v>0</v>
      </c>
      <c r="R19" s="38">
        <f t="shared" ref="R19" si="39">SUM(R11:R18)</f>
        <v>0</v>
      </c>
      <c r="S19" s="31">
        <f t="shared" ref="S19" si="40">SUM(S11:S18)</f>
        <v>0</v>
      </c>
      <c r="T19" s="38">
        <f t="shared" ref="T19" si="41">SUM(T11:T18)</f>
        <v>0</v>
      </c>
      <c r="U19" s="31">
        <f t="shared" ref="U19" si="42">SUM(U11:U18)</f>
        <v>2064</v>
      </c>
      <c r="V19" s="38">
        <f t="shared" ref="V19" si="43">SUM(V11:V18)</f>
        <v>217.08159999999998</v>
      </c>
    </row>
    <row r="20" spans="1:22">
      <c r="A20" s="26" t="s">
        <v>13</v>
      </c>
      <c r="B20" s="26" t="s">
        <v>61</v>
      </c>
      <c r="C20" s="30">
        <v>12.2</v>
      </c>
      <c r="D20" s="27">
        <v>10.6</v>
      </c>
      <c r="E20" s="28">
        <v>639</v>
      </c>
      <c r="F20" s="16">
        <f t="shared" ref="F20:F23" si="44">(C20*D20*E20/1000)</f>
        <v>82.635480000000001</v>
      </c>
      <c r="G20" s="17"/>
      <c r="H20" s="18"/>
      <c r="I20" s="19">
        <f t="shared" ref="I20:I23" si="45">(C20*D20*H20/1000)</f>
        <v>0</v>
      </c>
      <c r="J20" s="16"/>
      <c r="K20" s="18"/>
      <c r="L20" s="19">
        <f t="shared" ref="L20:L23" si="46">(C20*D20*K20/1000)</f>
        <v>0</v>
      </c>
      <c r="M20" s="16"/>
      <c r="N20" s="18"/>
      <c r="O20" s="19">
        <f t="shared" ref="O20:O23" si="47">(C20*D20*N20/1000)</f>
        <v>0</v>
      </c>
      <c r="P20" s="16"/>
      <c r="Q20" s="18"/>
      <c r="R20" s="19">
        <f t="shared" ref="R20:R23" si="48">(C20*D20*Q20/1000)</f>
        <v>0</v>
      </c>
      <c r="S20" s="20">
        <f t="shared" ref="S20:S23" si="49">+H20+K20+Q20+N20</f>
        <v>0</v>
      </c>
      <c r="T20" s="19">
        <f t="shared" ref="T20:T23" si="50">+I20+L20+R20+O20</f>
        <v>0</v>
      </c>
      <c r="U20" s="21">
        <f t="shared" ref="U20:U23" si="51">E20-S20</f>
        <v>639</v>
      </c>
      <c r="V20" s="19">
        <f t="shared" ref="V20:V23" si="52">F20-T20</f>
        <v>82.635480000000001</v>
      </c>
    </row>
    <row r="21" spans="1:22">
      <c r="A21" s="26" t="s">
        <v>13</v>
      </c>
      <c r="B21" s="26" t="s">
        <v>61</v>
      </c>
      <c r="C21" s="30">
        <v>12.2</v>
      </c>
      <c r="D21" s="27">
        <v>10.85</v>
      </c>
      <c r="E21" s="28">
        <v>360</v>
      </c>
      <c r="F21" s="16">
        <f t="shared" si="44"/>
        <v>47.653199999999991</v>
      </c>
      <c r="G21" s="17"/>
      <c r="H21" s="18"/>
      <c r="I21" s="19">
        <f t="shared" si="45"/>
        <v>0</v>
      </c>
      <c r="J21" s="16"/>
      <c r="K21" s="18"/>
      <c r="L21" s="19">
        <f t="shared" si="46"/>
        <v>0</v>
      </c>
      <c r="M21" s="16"/>
      <c r="N21" s="18"/>
      <c r="O21" s="19">
        <f t="shared" si="47"/>
        <v>0</v>
      </c>
      <c r="P21" s="16"/>
      <c r="Q21" s="18"/>
      <c r="R21" s="19">
        <f t="shared" si="48"/>
        <v>0</v>
      </c>
      <c r="S21" s="20">
        <f t="shared" si="49"/>
        <v>0</v>
      </c>
      <c r="T21" s="19">
        <f t="shared" si="50"/>
        <v>0</v>
      </c>
      <c r="U21" s="21">
        <f t="shared" si="51"/>
        <v>360</v>
      </c>
      <c r="V21" s="19">
        <f t="shared" si="52"/>
        <v>47.653199999999991</v>
      </c>
    </row>
    <row r="22" spans="1:22">
      <c r="A22" s="26" t="s">
        <v>13</v>
      </c>
      <c r="B22" s="26" t="s">
        <v>61</v>
      </c>
      <c r="C22" s="30">
        <v>12.2</v>
      </c>
      <c r="D22" s="27">
        <v>11.25</v>
      </c>
      <c r="E22" s="28">
        <v>360</v>
      </c>
      <c r="F22" s="16">
        <f t="shared" si="44"/>
        <v>49.41</v>
      </c>
      <c r="G22" s="17"/>
      <c r="H22" s="18"/>
      <c r="I22" s="19">
        <f t="shared" si="45"/>
        <v>0</v>
      </c>
      <c r="J22" s="16"/>
      <c r="K22" s="18"/>
      <c r="L22" s="19">
        <f t="shared" si="46"/>
        <v>0</v>
      </c>
      <c r="M22" s="16"/>
      <c r="N22" s="18"/>
      <c r="O22" s="19">
        <f t="shared" si="47"/>
        <v>0</v>
      </c>
      <c r="P22" s="16"/>
      <c r="Q22" s="18"/>
      <c r="R22" s="19">
        <f t="shared" si="48"/>
        <v>0</v>
      </c>
      <c r="S22" s="20">
        <f t="shared" si="49"/>
        <v>0</v>
      </c>
      <c r="T22" s="19">
        <f t="shared" si="50"/>
        <v>0</v>
      </c>
      <c r="U22" s="21">
        <f t="shared" si="51"/>
        <v>360</v>
      </c>
      <c r="V22" s="19">
        <f t="shared" si="52"/>
        <v>49.41</v>
      </c>
    </row>
    <row r="23" spans="1:22">
      <c r="A23" s="26" t="s">
        <v>13</v>
      </c>
      <c r="B23" s="26" t="s">
        <v>61</v>
      </c>
      <c r="C23" s="30">
        <v>12.2</v>
      </c>
      <c r="D23" s="27">
        <v>11.5</v>
      </c>
      <c r="E23" s="28">
        <v>18</v>
      </c>
      <c r="F23" s="16">
        <f t="shared" si="44"/>
        <v>2.5253999999999994</v>
      </c>
      <c r="G23" s="17"/>
      <c r="H23" s="18"/>
      <c r="I23" s="19">
        <f t="shared" si="45"/>
        <v>0</v>
      </c>
      <c r="J23" s="16"/>
      <c r="K23" s="18"/>
      <c r="L23" s="19">
        <f t="shared" si="46"/>
        <v>0</v>
      </c>
      <c r="M23" s="16"/>
      <c r="N23" s="18"/>
      <c r="O23" s="19">
        <f t="shared" si="47"/>
        <v>0</v>
      </c>
      <c r="P23" s="16"/>
      <c r="Q23" s="18"/>
      <c r="R23" s="19">
        <f t="shared" si="48"/>
        <v>0</v>
      </c>
      <c r="S23" s="20">
        <f t="shared" si="49"/>
        <v>0</v>
      </c>
      <c r="T23" s="19">
        <f t="shared" si="50"/>
        <v>0</v>
      </c>
      <c r="U23" s="21">
        <f t="shared" si="51"/>
        <v>18</v>
      </c>
      <c r="V23" s="19">
        <f t="shared" si="52"/>
        <v>2.5253999999999994</v>
      </c>
    </row>
    <row r="24" spans="1:22">
      <c r="A24" s="36"/>
      <c r="B24" s="36"/>
      <c r="C24" s="37"/>
      <c r="D24" s="38"/>
      <c r="E24" s="31">
        <f t="shared" ref="E24:F24" si="53">SUM(E20:E23)</f>
        <v>1377</v>
      </c>
      <c r="F24" s="38">
        <f t="shared" si="53"/>
        <v>182.22407999999999</v>
      </c>
      <c r="G24" s="17"/>
      <c r="H24" s="31">
        <f t="shared" ref="H24" si="54">SUM(H20:H23)</f>
        <v>0</v>
      </c>
      <c r="I24" s="38">
        <f t="shared" ref="I24" si="55">SUM(I20:I23)</f>
        <v>0</v>
      </c>
      <c r="J24" s="16"/>
      <c r="K24" s="31">
        <f t="shared" ref="K24" si="56">SUM(K20:K23)</f>
        <v>0</v>
      </c>
      <c r="L24" s="38">
        <f t="shared" ref="L24" si="57">SUM(L20:L23)</f>
        <v>0</v>
      </c>
      <c r="M24" s="16"/>
      <c r="N24" s="31">
        <f t="shared" ref="N24" si="58">SUM(N20:N23)</f>
        <v>0</v>
      </c>
      <c r="O24" s="38">
        <f t="shared" ref="O24" si="59">SUM(O20:O23)</f>
        <v>0</v>
      </c>
      <c r="P24" s="16"/>
      <c r="Q24" s="31">
        <f t="shared" ref="Q24" si="60">SUM(Q20:Q23)</f>
        <v>0</v>
      </c>
      <c r="R24" s="38">
        <f t="shared" ref="R24" si="61">SUM(R20:R23)</f>
        <v>0</v>
      </c>
      <c r="S24" s="31">
        <f t="shared" ref="S24" si="62">SUM(S20:S23)</f>
        <v>0</v>
      </c>
      <c r="T24" s="38">
        <f t="shared" ref="T24" si="63">SUM(T20:T23)</f>
        <v>0</v>
      </c>
      <c r="U24" s="31">
        <f t="shared" ref="U24" si="64">SUM(U20:U23)</f>
        <v>1377</v>
      </c>
      <c r="V24" s="38">
        <f t="shared" ref="V24" si="65">SUM(V20:V23)</f>
        <v>182.22407999999999</v>
      </c>
    </row>
    <row r="25" spans="1:22">
      <c r="A25" s="26" t="s">
        <v>13</v>
      </c>
      <c r="B25" s="26" t="s">
        <v>180</v>
      </c>
      <c r="C25" s="30">
        <v>13.6</v>
      </c>
      <c r="D25" s="27">
        <v>6.55</v>
      </c>
      <c r="E25" s="28">
        <v>96</v>
      </c>
      <c r="F25" s="16">
        <f>(C25*D25*E25/1000)</f>
        <v>8.5516800000000011</v>
      </c>
      <c r="G25" s="17"/>
      <c r="H25" s="18"/>
      <c r="I25" s="19">
        <f>(C25*D25*H25/1000)</f>
        <v>0</v>
      </c>
      <c r="J25" s="16"/>
      <c r="K25" s="18"/>
      <c r="L25" s="19">
        <f>(C25*D25*K25/1000)</f>
        <v>0</v>
      </c>
      <c r="M25" s="16"/>
      <c r="N25" s="18"/>
      <c r="O25" s="19">
        <f>(C25*D25*N25/1000)</f>
        <v>0</v>
      </c>
      <c r="P25" s="16"/>
      <c r="Q25" s="18"/>
      <c r="R25" s="19">
        <f>(C25*D25*Q25/1000)</f>
        <v>0</v>
      </c>
      <c r="S25" s="20">
        <f>+H25+K25+Q25+N25</f>
        <v>0</v>
      </c>
      <c r="T25" s="19">
        <f>+I25+L25+R25+O25</f>
        <v>0</v>
      </c>
      <c r="U25" s="21">
        <f>E25-S25</f>
        <v>96</v>
      </c>
      <c r="V25" s="19">
        <f>F25-T25</f>
        <v>8.5516800000000011</v>
      </c>
    </row>
    <row r="26" spans="1:22">
      <c r="A26" s="36"/>
      <c r="B26" s="36"/>
      <c r="C26" s="37"/>
      <c r="D26" s="38"/>
      <c r="E26" s="31">
        <f t="shared" ref="E26:F26" si="66">SUM(E25)</f>
        <v>96</v>
      </c>
      <c r="F26" s="38">
        <f t="shared" si="66"/>
        <v>8.5516800000000011</v>
      </c>
      <c r="G26" s="17"/>
      <c r="H26" s="31">
        <f t="shared" ref="H26" si="67">SUM(H25)</f>
        <v>0</v>
      </c>
      <c r="I26" s="38">
        <f t="shared" ref="I26" si="68">SUM(I25)</f>
        <v>0</v>
      </c>
      <c r="J26" s="16"/>
      <c r="K26" s="31">
        <f t="shared" ref="K26" si="69">SUM(K25)</f>
        <v>0</v>
      </c>
      <c r="L26" s="38">
        <f t="shared" ref="L26" si="70">SUM(L25)</f>
        <v>0</v>
      </c>
      <c r="M26" s="16"/>
      <c r="N26" s="31">
        <f t="shared" ref="N26" si="71">SUM(N25)</f>
        <v>0</v>
      </c>
      <c r="O26" s="38">
        <f t="shared" ref="O26" si="72">SUM(O25)</f>
        <v>0</v>
      </c>
      <c r="P26" s="16"/>
      <c r="Q26" s="31">
        <f t="shared" ref="Q26" si="73">SUM(Q25)</f>
        <v>0</v>
      </c>
      <c r="R26" s="38">
        <f t="shared" ref="R26" si="74">SUM(R25)</f>
        <v>0</v>
      </c>
      <c r="S26" s="31">
        <f t="shared" ref="S26" si="75">SUM(S25)</f>
        <v>0</v>
      </c>
      <c r="T26" s="38">
        <f t="shared" ref="T26" si="76">SUM(T25)</f>
        <v>0</v>
      </c>
      <c r="U26" s="31">
        <f t="shared" ref="U26" si="77">SUM(U25)</f>
        <v>96</v>
      </c>
      <c r="V26" s="38">
        <f t="shared" ref="V26" si="78">SUM(V25)</f>
        <v>8.5516800000000011</v>
      </c>
    </row>
    <row r="27" spans="1:22">
      <c r="A27" s="26" t="s">
        <v>13</v>
      </c>
      <c r="B27" s="26" t="s">
        <v>25</v>
      </c>
      <c r="C27" s="30">
        <v>13.4</v>
      </c>
      <c r="D27" s="27">
        <v>10.199999999999999</v>
      </c>
      <c r="E27" s="28">
        <v>12</v>
      </c>
      <c r="F27" s="16">
        <f t="shared" ref="F27:F28" si="79">(C27*D27*E27/1000)</f>
        <v>1.6401600000000001</v>
      </c>
      <c r="G27" s="17" t="s">
        <v>150</v>
      </c>
      <c r="H27" s="18"/>
      <c r="I27" s="19">
        <f t="shared" ref="I27:I28" si="80">(C27*D27*H27/1000)</f>
        <v>0</v>
      </c>
      <c r="J27" s="16"/>
      <c r="K27" s="18"/>
      <c r="L27" s="19">
        <f t="shared" ref="L27:L28" si="81">(C27*D27*K27/1000)</f>
        <v>0</v>
      </c>
      <c r="M27" s="16"/>
      <c r="N27" s="18"/>
      <c r="O27" s="19">
        <f t="shared" ref="O27:O28" si="82">(C27*D27*N27/1000)</f>
        <v>0</v>
      </c>
      <c r="P27" s="16"/>
      <c r="Q27" s="18"/>
      <c r="R27" s="19">
        <f t="shared" ref="R27:R28" si="83">(C27*D27*Q27/1000)</f>
        <v>0</v>
      </c>
      <c r="S27" s="20">
        <f t="shared" ref="S27:S28" si="84">+H27+K27+Q27+N27</f>
        <v>0</v>
      </c>
      <c r="T27" s="19">
        <f t="shared" ref="T27:T28" si="85">+I27+L27+R27+O27</f>
        <v>0</v>
      </c>
      <c r="U27" s="21">
        <f t="shared" ref="U27:U28" si="86">E27-S27</f>
        <v>12</v>
      </c>
      <c r="V27" s="19">
        <f t="shared" ref="V27:V28" si="87">F27-T27</f>
        <v>1.6401600000000001</v>
      </c>
    </row>
    <row r="28" spans="1:22">
      <c r="A28" s="26" t="s">
        <v>13</v>
      </c>
      <c r="B28" s="26" t="s">
        <v>25</v>
      </c>
      <c r="C28" s="30">
        <v>13.4</v>
      </c>
      <c r="D28" s="27">
        <v>10.9</v>
      </c>
      <c r="E28" s="28">
        <v>240</v>
      </c>
      <c r="F28" s="16">
        <f t="shared" si="79"/>
        <v>35.054400000000001</v>
      </c>
      <c r="G28" s="17" t="s">
        <v>609</v>
      </c>
      <c r="H28" s="18">
        <v>223</v>
      </c>
      <c r="I28" s="19">
        <f t="shared" si="80"/>
        <v>32.571379999999998</v>
      </c>
      <c r="J28" s="16"/>
      <c r="K28" s="18"/>
      <c r="L28" s="19">
        <f t="shared" si="81"/>
        <v>0</v>
      </c>
      <c r="M28" s="16"/>
      <c r="N28" s="18"/>
      <c r="O28" s="19">
        <f t="shared" si="82"/>
        <v>0</v>
      </c>
      <c r="P28" s="16"/>
      <c r="Q28" s="18"/>
      <c r="R28" s="19">
        <f t="shared" si="83"/>
        <v>0</v>
      </c>
      <c r="S28" s="20">
        <f t="shared" si="84"/>
        <v>223</v>
      </c>
      <c r="T28" s="19">
        <f t="shared" si="85"/>
        <v>32.571379999999998</v>
      </c>
      <c r="U28" s="21">
        <f t="shared" si="86"/>
        <v>17</v>
      </c>
      <c r="V28" s="19">
        <f t="shared" si="87"/>
        <v>2.4830200000000033</v>
      </c>
    </row>
    <row r="29" spans="1:22">
      <c r="A29" s="36"/>
      <c r="B29" s="36"/>
      <c r="C29" s="37"/>
      <c r="D29" s="38"/>
      <c r="E29" s="31">
        <f t="shared" ref="E29:F29" si="88">SUM(E27:E28)</f>
        <v>252</v>
      </c>
      <c r="F29" s="38">
        <f t="shared" si="88"/>
        <v>36.694560000000003</v>
      </c>
      <c r="H29" s="31">
        <f t="shared" ref="H29" si="89">SUM(H27:H28)</f>
        <v>223</v>
      </c>
      <c r="I29" s="38">
        <f t="shared" ref="I29" si="90">SUM(I27:I28)</f>
        <v>32.571379999999998</v>
      </c>
      <c r="K29" s="31">
        <f t="shared" ref="K29" si="91">SUM(K27:K28)</f>
        <v>0</v>
      </c>
      <c r="L29" s="38">
        <f t="shared" ref="L29" si="92">SUM(L27:L28)</f>
        <v>0</v>
      </c>
      <c r="N29" s="31">
        <f t="shared" ref="N29" si="93">SUM(N27:N28)</f>
        <v>0</v>
      </c>
      <c r="O29" s="38">
        <f t="shared" ref="O29" si="94">SUM(O27:O28)</f>
        <v>0</v>
      </c>
      <c r="Q29" s="31">
        <f t="shared" ref="Q29" si="95">SUM(Q27:Q28)</f>
        <v>0</v>
      </c>
      <c r="R29" s="38">
        <f t="shared" ref="R29" si="96">SUM(R27:R28)</f>
        <v>0</v>
      </c>
      <c r="S29" s="31">
        <f t="shared" ref="S29" si="97">SUM(S27:S28)</f>
        <v>223</v>
      </c>
      <c r="T29" s="38">
        <f t="shared" ref="T29" si="98">SUM(T27:T28)</f>
        <v>32.571379999999998</v>
      </c>
      <c r="U29" s="31">
        <f t="shared" ref="U29" si="99">SUM(U27:U28)</f>
        <v>29</v>
      </c>
      <c r="V29" s="38">
        <f t="shared" ref="V29" si="100">SUM(V27:V28)</f>
        <v>4.1231800000000032</v>
      </c>
    </row>
    <row r="30" spans="1:22">
      <c r="A30" s="26" t="s">
        <v>13</v>
      </c>
      <c r="B30" s="26" t="s">
        <v>47</v>
      </c>
      <c r="C30" s="30">
        <v>18.2</v>
      </c>
      <c r="D30" s="27">
        <v>9.5</v>
      </c>
      <c r="E30" s="28">
        <v>12</v>
      </c>
      <c r="F30" s="16">
        <f t="shared" ref="F30:F31" si="101">(C30*D30*E30/1000)</f>
        <v>2.0748000000000002</v>
      </c>
      <c r="G30" s="17"/>
      <c r="H30" s="18"/>
      <c r="I30" s="19">
        <f t="shared" ref="I30:I31" si="102">(C30*D30*H30/1000)</f>
        <v>0</v>
      </c>
      <c r="J30" s="16"/>
      <c r="K30" s="18"/>
      <c r="L30" s="19">
        <f t="shared" ref="L30:L31" si="103">(C30*D30*K30/1000)</f>
        <v>0</v>
      </c>
      <c r="M30" s="16"/>
      <c r="N30" s="18"/>
      <c r="O30" s="19">
        <f t="shared" ref="O30:O31" si="104">(C30*D30*N30/1000)</f>
        <v>0</v>
      </c>
      <c r="P30" s="16"/>
      <c r="Q30" s="18"/>
      <c r="R30" s="19">
        <f t="shared" ref="R30:R31" si="105">(C30*D30*Q30/1000)</f>
        <v>0</v>
      </c>
      <c r="S30" s="20">
        <f t="shared" ref="S30:S31" si="106">+H30+K30+Q30+N30</f>
        <v>0</v>
      </c>
      <c r="T30" s="19">
        <f t="shared" ref="T30:T31" si="107">+I30+L30+R30+O30</f>
        <v>0</v>
      </c>
      <c r="U30" s="21">
        <f t="shared" ref="U30:U31" si="108">E30-S30</f>
        <v>12</v>
      </c>
      <c r="V30" s="19">
        <f t="shared" ref="V30:V31" si="109">F30-T30</f>
        <v>2.0748000000000002</v>
      </c>
    </row>
    <row r="31" spans="1:22">
      <c r="A31" s="26" t="s">
        <v>13</v>
      </c>
      <c r="B31" s="26" t="s">
        <v>47</v>
      </c>
      <c r="C31" s="30">
        <v>18.2</v>
      </c>
      <c r="D31" s="27">
        <v>10.4</v>
      </c>
      <c r="E31" s="28">
        <v>120</v>
      </c>
      <c r="F31" s="16">
        <f t="shared" si="101"/>
        <v>22.7136</v>
      </c>
      <c r="G31" s="17"/>
      <c r="H31" s="18"/>
      <c r="I31" s="19">
        <f t="shared" si="102"/>
        <v>0</v>
      </c>
      <c r="J31" s="16"/>
      <c r="K31" s="18"/>
      <c r="L31" s="19">
        <f t="shared" si="103"/>
        <v>0</v>
      </c>
      <c r="M31" s="16"/>
      <c r="N31" s="18"/>
      <c r="O31" s="19">
        <f t="shared" si="104"/>
        <v>0</v>
      </c>
      <c r="P31" s="16"/>
      <c r="Q31" s="18"/>
      <c r="R31" s="19">
        <f t="shared" si="105"/>
        <v>0</v>
      </c>
      <c r="S31" s="20">
        <f t="shared" si="106"/>
        <v>0</v>
      </c>
      <c r="T31" s="19">
        <f t="shared" si="107"/>
        <v>0</v>
      </c>
      <c r="U31" s="21">
        <f t="shared" si="108"/>
        <v>120</v>
      </c>
      <c r="V31" s="19">
        <f t="shared" si="109"/>
        <v>22.7136</v>
      </c>
    </row>
    <row r="32" spans="1:22">
      <c r="A32" s="36"/>
      <c r="B32" s="36"/>
      <c r="C32" s="37"/>
      <c r="D32" s="38"/>
      <c r="E32" s="31">
        <f t="shared" ref="E32:F32" si="110">SUM(E30:E31)</f>
        <v>132</v>
      </c>
      <c r="F32" s="38">
        <f t="shared" si="110"/>
        <v>24.788399999999999</v>
      </c>
      <c r="G32" s="17"/>
      <c r="H32" s="31">
        <f t="shared" ref="H32" si="111">SUM(H30:H31)</f>
        <v>0</v>
      </c>
      <c r="I32" s="38">
        <f t="shared" ref="I32" si="112">SUM(I30:I31)</f>
        <v>0</v>
      </c>
      <c r="J32" s="16"/>
      <c r="K32" s="31">
        <f t="shared" ref="K32" si="113">SUM(K30:K31)</f>
        <v>0</v>
      </c>
      <c r="L32" s="38">
        <f t="shared" ref="L32" si="114">SUM(L30:L31)</f>
        <v>0</v>
      </c>
      <c r="M32" s="16"/>
      <c r="N32" s="31">
        <f t="shared" ref="N32" si="115">SUM(N30:N31)</f>
        <v>0</v>
      </c>
      <c r="O32" s="38">
        <f t="shared" ref="O32" si="116">SUM(O30:O31)</f>
        <v>0</v>
      </c>
      <c r="P32" s="16"/>
      <c r="Q32" s="31">
        <f t="shared" ref="Q32" si="117">SUM(Q30:Q31)</f>
        <v>0</v>
      </c>
      <c r="R32" s="38">
        <f t="shared" ref="R32" si="118">SUM(R30:R31)</f>
        <v>0</v>
      </c>
      <c r="S32" s="31">
        <f t="shared" ref="S32" si="119">SUM(S30:S31)</f>
        <v>0</v>
      </c>
      <c r="T32" s="38">
        <f t="shared" ref="T32" si="120">SUM(T30:T31)</f>
        <v>0</v>
      </c>
      <c r="U32" s="31">
        <f t="shared" ref="U32" si="121">SUM(U30:U31)</f>
        <v>132</v>
      </c>
      <c r="V32" s="38">
        <f t="shared" ref="V32" si="122">SUM(V30:V31)</f>
        <v>24.788399999999999</v>
      </c>
    </row>
    <row r="33" spans="1:22">
      <c r="A33" s="26" t="s">
        <v>13</v>
      </c>
      <c r="B33" s="26" t="s">
        <v>504</v>
      </c>
      <c r="C33" s="30">
        <v>19.899999999999999</v>
      </c>
      <c r="D33" s="27">
        <v>11.6</v>
      </c>
      <c r="E33" s="28">
        <v>24</v>
      </c>
      <c r="F33" s="16">
        <f t="shared" ref="F33:F34" si="123">(C33*D33*E33/1000)</f>
        <v>5.5401600000000002</v>
      </c>
      <c r="G33" s="17"/>
      <c r="H33" s="18"/>
      <c r="I33" s="19">
        <f t="shared" ref="I33:I34" si="124">(C33*D33*H33/1000)</f>
        <v>0</v>
      </c>
      <c r="J33" s="16"/>
      <c r="K33" s="18"/>
      <c r="L33" s="19">
        <f t="shared" ref="L33:L34" si="125">(C33*D33*K33/1000)</f>
        <v>0</v>
      </c>
      <c r="M33" s="16"/>
      <c r="N33" s="18"/>
      <c r="O33" s="19">
        <f t="shared" ref="O33:O34" si="126">(C33*D33*N33/1000)</f>
        <v>0</v>
      </c>
      <c r="P33" s="16"/>
      <c r="Q33" s="18"/>
      <c r="R33" s="19">
        <f t="shared" ref="R33:R34" si="127">(C33*D33*Q33/1000)</f>
        <v>0</v>
      </c>
      <c r="S33" s="20">
        <f t="shared" ref="S33:S34" si="128">+H33+K33+Q33+N33</f>
        <v>0</v>
      </c>
      <c r="T33" s="19">
        <f t="shared" ref="T33:T34" si="129">+I33+L33+R33+O33</f>
        <v>0</v>
      </c>
      <c r="U33" s="21">
        <f t="shared" ref="U33:U34" si="130">E33-S33</f>
        <v>24</v>
      </c>
      <c r="V33" s="19">
        <f t="shared" ref="V33:V34" si="131">F33-T33</f>
        <v>5.5401600000000002</v>
      </c>
    </row>
    <row r="34" spans="1:22">
      <c r="A34" s="26" t="s">
        <v>13</v>
      </c>
      <c r="B34" s="26" t="s">
        <v>504</v>
      </c>
      <c r="C34" s="30">
        <v>19.899999999999999</v>
      </c>
      <c r="D34" s="27">
        <v>12</v>
      </c>
      <c r="E34" s="28">
        <v>12</v>
      </c>
      <c r="F34" s="16">
        <f t="shared" si="123"/>
        <v>2.8655999999999997</v>
      </c>
      <c r="G34" s="17"/>
      <c r="H34" s="18"/>
      <c r="I34" s="19">
        <f t="shared" si="124"/>
        <v>0</v>
      </c>
      <c r="J34" s="16"/>
      <c r="K34" s="18"/>
      <c r="L34" s="19">
        <f t="shared" si="125"/>
        <v>0</v>
      </c>
      <c r="M34" s="16"/>
      <c r="N34" s="18"/>
      <c r="O34" s="19">
        <f t="shared" si="126"/>
        <v>0</v>
      </c>
      <c r="P34" s="16"/>
      <c r="Q34" s="18"/>
      <c r="R34" s="19">
        <f t="shared" si="127"/>
        <v>0</v>
      </c>
      <c r="S34" s="20">
        <f t="shared" si="128"/>
        <v>0</v>
      </c>
      <c r="T34" s="19">
        <f t="shared" si="129"/>
        <v>0</v>
      </c>
      <c r="U34" s="21">
        <f t="shared" si="130"/>
        <v>12</v>
      </c>
      <c r="V34" s="19">
        <f t="shared" si="131"/>
        <v>2.8655999999999997</v>
      </c>
    </row>
    <row r="35" spans="1:22">
      <c r="A35" s="36"/>
      <c r="B35" s="36"/>
      <c r="C35" s="37"/>
      <c r="D35" s="38"/>
      <c r="E35" s="31">
        <f t="shared" ref="E35:F35" si="132">SUM(E33:E34)</f>
        <v>36</v>
      </c>
      <c r="F35" s="38">
        <f t="shared" si="132"/>
        <v>8.4057600000000008</v>
      </c>
      <c r="G35" s="17"/>
      <c r="H35" s="31">
        <f t="shared" ref="H35" si="133">SUM(H33:H34)</f>
        <v>0</v>
      </c>
      <c r="I35" s="38">
        <f t="shared" ref="I35" si="134">SUM(I33:I34)</f>
        <v>0</v>
      </c>
      <c r="J35" s="16"/>
      <c r="K35" s="31">
        <f t="shared" ref="K35" si="135">SUM(K33:K34)</f>
        <v>0</v>
      </c>
      <c r="L35" s="38">
        <f t="shared" ref="L35" si="136">SUM(L33:L34)</f>
        <v>0</v>
      </c>
      <c r="M35" s="16"/>
      <c r="N35" s="31">
        <f t="shared" ref="N35" si="137">SUM(N33:N34)</f>
        <v>0</v>
      </c>
      <c r="O35" s="38">
        <f t="shared" ref="O35" si="138">SUM(O33:O34)</f>
        <v>0</v>
      </c>
      <c r="P35" s="16"/>
      <c r="Q35" s="31">
        <f t="shared" ref="Q35" si="139">SUM(Q33:Q34)</f>
        <v>0</v>
      </c>
      <c r="R35" s="38">
        <f t="shared" ref="R35" si="140">SUM(R33:R34)</f>
        <v>0</v>
      </c>
      <c r="S35" s="31">
        <f t="shared" ref="S35" si="141">SUM(S33:S34)</f>
        <v>0</v>
      </c>
      <c r="T35" s="38">
        <f t="shared" ref="T35" si="142">SUM(T33:T34)</f>
        <v>0</v>
      </c>
      <c r="U35" s="31">
        <f t="shared" ref="U35" si="143">SUM(U33:U34)</f>
        <v>36</v>
      </c>
      <c r="V35" s="38">
        <f t="shared" ref="V35" si="144">SUM(V33:V34)</f>
        <v>8.4057600000000008</v>
      </c>
    </row>
    <row r="36" spans="1:22">
      <c r="A36" s="26" t="s">
        <v>13</v>
      </c>
      <c r="B36" s="26" t="s">
        <v>49</v>
      </c>
      <c r="C36" s="30">
        <v>14.7</v>
      </c>
      <c r="D36" s="27">
        <v>8.5500000000000007</v>
      </c>
      <c r="E36" s="28">
        <v>60</v>
      </c>
      <c r="F36" s="16">
        <f>(C36*D36*E36/1000)</f>
        <v>7.5411000000000001</v>
      </c>
      <c r="G36" s="17"/>
      <c r="H36" s="18"/>
      <c r="I36" s="19">
        <f>(C36*D36*H36/1000)</f>
        <v>0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0</v>
      </c>
      <c r="T36" s="19">
        <f>+I36+L36+R36+O36</f>
        <v>0</v>
      </c>
      <c r="U36" s="21">
        <f>E36-S36</f>
        <v>60</v>
      </c>
      <c r="V36" s="19">
        <f>F36-T36</f>
        <v>7.5411000000000001</v>
      </c>
    </row>
    <row r="37" spans="1:22">
      <c r="A37" s="36"/>
      <c r="B37" s="36"/>
      <c r="C37" s="37"/>
      <c r="D37" s="38"/>
      <c r="E37" s="31">
        <f t="shared" ref="E37:F37" si="145">SUM(E36)</f>
        <v>60</v>
      </c>
      <c r="F37" s="38">
        <f t="shared" si="145"/>
        <v>7.5411000000000001</v>
      </c>
      <c r="G37" s="17"/>
      <c r="H37" s="31">
        <f t="shared" ref="H37" si="146">SUM(H36)</f>
        <v>0</v>
      </c>
      <c r="I37" s="38">
        <f t="shared" ref="I37" si="147">SUM(I36)</f>
        <v>0</v>
      </c>
      <c r="J37" s="16"/>
      <c r="K37" s="31">
        <f t="shared" ref="K37" si="148">SUM(K36)</f>
        <v>0</v>
      </c>
      <c r="L37" s="38">
        <f t="shared" ref="L37" si="149">SUM(L36)</f>
        <v>0</v>
      </c>
      <c r="M37" s="16"/>
      <c r="N37" s="31">
        <f t="shared" ref="N37" si="150">SUM(N36)</f>
        <v>0</v>
      </c>
      <c r="O37" s="38">
        <f t="shared" ref="O37" si="151">SUM(O36)</f>
        <v>0</v>
      </c>
      <c r="P37" s="16"/>
      <c r="Q37" s="31">
        <f t="shared" ref="Q37" si="152">SUM(Q36)</f>
        <v>0</v>
      </c>
      <c r="R37" s="38">
        <f t="shared" ref="R37" si="153">SUM(R36)</f>
        <v>0</v>
      </c>
      <c r="S37" s="31">
        <f t="shared" ref="S37" si="154">SUM(S36)</f>
        <v>0</v>
      </c>
      <c r="T37" s="38">
        <f t="shared" ref="T37" si="155">SUM(T36)</f>
        <v>0</v>
      </c>
      <c r="U37" s="31">
        <f t="shared" ref="U37" si="156">SUM(U36)</f>
        <v>60</v>
      </c>
      <c r="V37" s="38">
        <f t="shared" ref="V37" si="157">SUM(V36)</f>
        <v>7.5411000000000001</v>
      </c>
    </row>
    <row r="38" spans="1:22">
      <c r="A38" s="26" t="s">
        <v>13</v>
      </c>
      <c r="B38" s="26" t="s">
        <v>50</v>
      </c>
      <c r="C38" s="30">
        <v>16.5</v>
      </c>
      <c r="D38" s="27">
        <v>6.9</v>
      </c>
      <c r="E38" s="28">
        <v>720</v>
      </c>
      <c r="F38" s="16">
        <f t="shared" ref="F38:F40" si="158">(C38*D38*E38/1000)</f>
        <v>81.971999999999994</v>
      </c>
      <c r="G38" s="17"/>
      <c r="H38" s="18"/>
      <c r="I38" s="19">
        <f t="shared" ref="I38:I40" si="159">(C38*D38*H38/1000)</f>
        <v>0</v>
      </c>
      <c r="J38" s="16"/>
      <c r="K38" s="18"/>
      <c r="L38" s="19">
        <f t="shared" ref="L38:L40" si="160">(C38*D38*K38/1000)</f>
        <v>0</v>
      </c>
      <c r="M38" s="16"/>
      <c r="N38" s="18"/>
      <c r="O38" s="19">
        <f t="shared" ref="O38:O40" si="161">(C38*D38*N38/1000)</f>
        <v>0</v>
      </c>
      <c r="P38" s="16"/>
      <c r="Q38" s="18"/>
      <c r="R38" s="19">
        <f t="shared" ref="R38:R40" si="162">(C38*D38*Q38/1000)</f>
        <v>0</v>
      </c>
      <c r="S38" s="20">
        <f t="shared" ref="S38:S40" si="163">+H38+K38+Q38+N38</f>
        <v>0</v>
      </c>
      <c r="T38" s="19">
        <f t="shared" ref="T38:T40" si="164">+I38+L38+R38+O38</f>
        <v>0</v>
      </c>
      <c r="U38" s="21">
        <f t="shared" ref="U38:U40" si="165">E38-S38</f>
        <v>720</v>
      </c>
      <c r="V38" s="19">
        <f t="shared" ref="V38:V40" si="166">F38-T38</f>
        <v>81.971999999999994</v>
      </c>
    </row>
    <row r="39" spans="1:22">
      <c r="A39" s="26" t="s">
        <v>13</v>
      </c>
      <c r="B39" s="26" t="s">
        <v>50</v>
      </c>
      <c r="C39" s="30">
        <v>16.5</v>
      </c>
      <c r="D39" s="27">
        <v>9.3000000000000007</v>
      </c>
      <c r="E39" s="28">
        <v>36</v>
      </c>
      <c r="F39" s="16">
        <f t="shared" si="158"/>
        <v>5.5242000000000004</v>
      </c>
      <c r="G39" s="17"/>
      <c r="H39" s="18"/>
      <c r="I39" s="19">
        <f t="shared" si="159"/>
        <v>0</v>
      </c>
      <c r="J39" s="16"/>
      <c r="K39" s="18"/>
      <c r="L39" s="19">
        <f t="shared" si="160"/>
        <v>0</v>
      </c>
      <c r="M39" s="16"/>
      <c r="N39" s="18"/>
      <c r="O39" s="19">
        <f t="shared" si="161"/>
        <v>0</v>
      </c>
      <c r="P39" s="16"/>
      <c r="Q39" s="18"/>
      <c r="R39" s="19">
        <f t="shared" si="162"/>
        <v>0</v>
      </c>
      <c r="S39" s="20">
        <f t="shared" si="163"/>
        <v>0</v>
      </c>
      <c r="T39" s="19">
        <f t="shared" si="164"/>
        <v>0</v>
      </c>
      <c r="U39" s="21">
        <f t="shared" si="165"/>
        <v>36</v>
      </c>
      <c r="V39" s="19">
        <f t="shared" si="166"/>
        <v>5.5242000000000004</v>
      </c>
    </row>
    <row r="40" spans="1:22">
      <c r="A40" s="26" t="s">
        <v>13</v>
      </c>
      <c r="B40" s="26" t="s">
        <v>50</v>
      </c>
      <c r="C40" s="30">
        <v>16.5</v>
      </c>
      <c r="D40" s="27">
        <v>11.1</v>
      </c>
      <c r="E40" s="28">
        <v>360</v>
      </c>
      <c r="F40" s="16">
        <f t="shared" si="158"/>
        <v>65.933999999999997</v>
      </c>
      <c r="G40" s="17"/>
      <c r="H40" s="18"/>
      <c r="I40" s="19">
        <f t="shared" si="159"/>
        <v>0</v>
      </c>
      <c r="J40" s="16"/>
      <c r="K40" s="18"/>
      <c r="L40" s="19">
        <f t="shared" si="160"/>
        <v>0</v>
      </c>
      <c r="M40" s="16"/>
      <c r="N40" s="18"/>
      <c r="O40" s="19">
        <f t="shared" si="161"/>
        <v>0</v>
      </c>
      <c r="P40" s="16"/>
      <c r="Q40" s="18"/>
      <c r="R40" s="19">
        <f t="shared" si="162"/>
        <v>0</v>
      </c>
      <c r="S40" s="20">
        <f t="shared" si="163"/>
        <v>0</v>
      </c>
      <c r="T40" s="19">
        <f t="shared" si="164"/>
        <v>0</v>
      </c>
      <c r="U40" s="21">
        <f t="shared" si="165"/>
        <v>360</v>
      </c>
      <c r="V40" s="19">
        <f t="shared" si="166"/>
        <v>65.933999999999997</v>
      </c>
    </row>
    <row r="41" spans="1:22">
      <c r="A41" s="36"/>
      <c r="B41" s="36"/>
      <c r="C41" s="37"/>
      <c r="D41" s="38"/>
      <c r="E41" s="31">
        <f t="shared" ref="E41:F41" si="167">SUM(E38:E40)</f>
        <v>1116</v>
      </c>
      <c r="F41" s="38">
        <f t="shared" si="167"/>
        <v>153.43019999999999</v>
      </c>
      <c r="G41" s="17"/>
      <c r="H41" s="31">
        <f t="shared" ref="H41" si="168">SUM(H38:H40)</f>
        <v>0</v>
      </c>
      <c r="I41" s="38">
        <f t="shared" ref="I41" si="169">SUM(I38:I40)</f>
        <v>0</v>
      </c>
      <c r="J41" s="16"/>
      <c r="K41" s="31">
        <f t="shared" ref="K41" si="170">SUM(K38:K40)</f>
        <v>0</v>
      </c>
      <c r="L41" s="38">
        <f t="shared" ref="L41" si="171">SUM(L38:L40)</f>
        <v>0</v>
      </c>
      <c r="M41" s="16"/>
      <c r="N41" s="31">
        <f t="shared" ref="N41" si="172">SUM(N38:N40)</f>
        <v>0</v>
      </c>
      <c r="O41" s="38">
        <f t="shared" ref="O41" si="173">SUM(O38:O40)</f>
        <v>0</v>
      </c>
      <c r="P41" s="16"/>
      <c r="Q41" s="31">
        <f t="shared" ref="Q41" si="174">SUM(Q38:Q40)</f>
        <v>0</v>
      </c>
      <c r="R41" s="38">
        <f t="shared" ref="R41" si="175">SUM(R38:R40)</f>
        <v>0</v>
      </c>
      <c r="S41" s="31">
        <f t="shared" ref="S41" si="176">SUM(S38:S40)</f>
        <v>0</v>
      </c>
      <c r="T41" s="38">
        <f t="shared" ref="T41" si="177">SUM(T38:T40)</f>
        <v>0</v>
      </c>
      <c r="U41" s="31">
        <f t="shared" ref="U41" si="178">SUM(U38:U40)</f>
        <v>1116</v>
      </c>
      <c r="V41" s="38">
        <f t="shared" ref="V41" si="179">SUM(V38:V40)</f>
        <v>153.43019999999999</v>
      </c>
    </row>
    <row r="42" spans="1:22">
      <c r="A42" s="26" t="s">
        <v>13</v>
      </c>
      <c r="B42" s="26" t="s">
        <v>53</v>
      </c>
      <c r="C42" s="30">
        <v>23.6</v>
      </c>
      <c r="D42" s="27">
        <v>10.3</v>
      </c>
      <c r="E42" s="28">
        <v>12</v>
      </c>
      <c r="F42" s="16">
        <f t="shared" ref="F42:F43" si="180">(C42*D42*E42/1000)</f>
        <v>2.9169600000000004</v>
      </c>
      <c r="G42" s="17" t="s">
        <v>107</v>
      </c>
      <c r="H42" s="18">
        <v>12</v>
      </c>
      <c r="I42" s="19">
        <f t="shared" ref="I42:I43" si="181">(C42*D42*H42/1000)</f>
        <v>2.9169600000000004</v>
      </c>
      <c r="J42" s="16"/>
      <c r="K42" s="18"/>
      <c r="L42" s="19">
        <f t="shared" ref="L42:L43" si="182">(C42*D42*K42/1000)</f>
        <v>0</v>
      </c>
      <c r="M42" s="16"/>
      <c r="N42" s="18"/>
      <c r="O42" s="19">
        <f t="shared" ref="O42:O43" si="183">(C42*D42*N42/1000)</f>
        <v>0</v>
      </c>
      <c r="P42" s="16"/>
      <c r="Q42" s="18"/>
      <c r="R42" s="19">
        <f t="shared" ref="R42:R43" si="184">(C42*D42*Q42/1000)</f>
        <v>0</v>
      </c>
      <c r="S42" s="20">
        <f t="shared" ref="S42:S43" si="185">+H42+K42+Q42+N42</f>
        <v>12</v>
      </c>
      <c r="T42" s="19">
        <f t="shared" ref="T42:T43" si="186">+I42+L42+R42+O42</f>
        <v>2.9169600000000004</v>
      </c>
      <c r="U42" s="21">
        <f t="shared" ref="U42:U43" si="187">E42-S42</f>
        <v>0</v>
      </c>
      <c r="V42" s="19">
        <f t="shared" ref="V42:V43" si="188">F42-T42</f>
        <v>0</v>
      </c>
    </row>
    <row r="43" spans="1:22">
      <c r="A43" s="26" t="s">
        <v>13</v>
      </c>
      <c r="B43" s="26" t="s">
        <v>53</v>
      </c>
      <c r="C43" s="30">
        <v>23.6</v>
      </c>
      <c r="D43" s="27">
        <v>10.4</v>
      </c>
      <c r="E43" s="28">
        <v>120</v>
      </c>
      <c r="F43" s="16">
        <f t="shared" si="180"/>
        <v>29.452800000000003</v>
      </c>
      <c r="G43" s="17" t="s">
        <v>605</v>
      </c>
      <c r="H43" s="18">
        <v>117</v>
      </c>
      <c r="I43" s="19">
        <f t="shared" si="181"/>
        <v>28.716480000000004</v>
      </c>
      <c r="J43" s="16"/>
      <c r="K43" s="18"/>
      <c r="L43" s="19">
        <f t="shared" si="182"/>
        <v>0</v>
      </c>
      <c r="M43" s="16"/>
      <c r="N43" s="18"/>
      <c r="O43" s="19">
        <f t="shared" si="183"/>
        <v>0</v>
      </c>
      <c r="P43" s="16"/>
      <c r="Q43" s="18"/>
      <c r="R43" s="19">
        <f t="shared" si="184"/>
        <v>0</v>
      </c>
      <c r="S43" s="20">
        <f t="shared" si="185"/>
        <v>117</v>
      </c>
      <c r="T43" s="19">
        <f t="shared" si="186"/>
        <v>28.716480000000004</v>
      </c>
      <c r="U43" s="21">
        <f t="shared" si="187"/>
        <v>3</v>
      </c>
      <c r="V43" s="19">
        <f t="shared" si="188"/>
        <v>0.7363199999999992</v>
      </c>
    </row>
    <row r="44" spans="1:22">
      <c r="A44" s="26" t="s">
        <v>13</v>
      </c>
      <c r="B44" s="26" t="s">
        <v>53</v>
      </c>
      <c r="C44" s="30">
        <v>23.6</v>
      </c>
      <c r="D44" s="27">
        <v>11</v>
      </c>
      <c r="E44" s="28"/>
      <c r="F44" s="16">
        <f t="shared" ref="F44:F45" si="189">(C44*D44*E44/1000)</f>
        <v>0</v>
      </c>
      <c r="G44" s="17"/>
      <c r="H44" s="18">
        <v>3</v>
      </c>
      <c r="I44" s="19">
        <f t="shared" ref="I44:I45" si="190">(C44*D44*H44/1000)</f>
        <v>0.77880000000000005</v>
      </c>
      <c r="J44" s="16"/>
      <c r="K44" s="18"/>
      <c r="L44" s="19">
        <f t="shared" ref="L44:L45" si="191">(C44*D44*K44/1000)</f>
        <v>0</v>
      </c>
      <c r="M44" s="16"/>
      <c r="N44" s="18"/>
      <c r="O44" s="19">
        <f t="shared" ref="O44:O45" si="192">(C44*D44*N44/1000)</f>
        <v>0</v>
      </c>
      <c r="P44" s="16"/>
      <c r="Q44" s="18"/>
      <c r="R44" s="19">
        <f t="shared" ref="R44:R45" si="193">(C44*D44*Q44/1000)</f>
        <v>0</v>
      </c>
      <c r="S44" s="20">
        <f t="shared" ref="S44:S45" si="194">+H44+K44+Q44+N44</f>
        <v>3</v>
      </c>
      <c r="T44" s="19">
        <f t="shared" ref="T44:T45" si="195">+I44+L44+R44+O44</f>
        <v>0.77880000000000005</v>
      </c>
      <c r="U44" s="21">
        <f t="shared" ref="U44:U45" si="196">E44-S44</f>
        <v>-3</v>
      </c>
      <c r="V44" s="19">
        <f t="shared" ref="V44:V45" si="197">F44-T44</f>
        <v>-0.77880000000000005</v>
      </c>
    </row>
    <row r="45" spans="1:22">
      <c r="A45" s="26" t="s">
        <v>13</v>
      </c>
      <c r="B45" s="26" t="s">
        <v>53</v>
      </c>
      <c r="C45" s="30">
        <v>23.6</v>
      </c>
      <c r="D45" s="27"/>
      <c r="E45" s="28"/>
      <c r="F45" s="16">
        <f t="shared" si="189"/>
        <v>0</v>
      </c>
      <c r="G45" s="17"/>
      <c r="H45" s="18"/>
      <c r="I45" s="19">
        <f t="shared" si="190"/>
        <v>0</v>
      </c>
      <c r="J45" s="16"/>
      <c r="K45" s="18"/>
      <c r="L45" s="19">
        <f t="shared" si="191"/>
        <v>0</v>
      </c>
      <c r="M45" s="16"/>
      <c r="N45" s="18"/>
      <c r="O45" s="19">
        <f t="shared" si="192"/>
        <v>0</v>
      </c>
      <c r="P45" s="16"/>
      <c r="Q45" s="18"/>
      <c r="R45" s="19">
        <f t="shared" si="193"/>
        <v>0</v>
      </c>
      <c r="S45" s="20">
        <f t="shared" si="194"/>
        <v>0</v>
      </c>
      <c r="T45" s="19">
        <f t="shared" si="195"/>
        <v>0</v>
      </c>
      <c r="U45" s="21">
        <f t="shared" si="196"/>
        <v>0</v>
      </c>
      <c r="V45" s="19">
        <f t="shared" si="197"/>
        <v>0</v>
      </c>
    </row>
    <row r="46" spans="1:22">
      <c r="A46" s="36"/>
      <c r="B46" s="36"/>
      <c r="C46" s="37"/>
      <c r="D46" s="38"/>
      <c r="E46" s="31">
        <f t="shared" ref="E46:F46" si="198">SUM(E42:E45)</f>
        <v>132</v>
      </c>
      <c r="F46" s="38">
        <f t="shared" si="198"/>
        <v>32.369760000000007</v>
      </c>
      <c r="H46" s="31">
        <f t="shared" ref="H46" si="199">SUM(H42:H45)</f>
        <v>132</v>
      </c>
      <c r="I46" s="38">
        <f t="shared" ref="I46" si="200">SUM(I42:I45)</f>
        <v>32.412240000000004</v>
      </c>
      <c r="K46" s="31">
        <f t="shared" ref="K46" si="201">SUM(K42:K45)</f>
        <v>0</v>
      </c>
      <c r="L46" s="38">
        <f t="shared" ref="L46" si="202">SUM(L42:L45)</f>
        <v>0</v>
      </c>
      <c r="N46" s="31">
        <f t="shared" ref="N46" si="203">SUM(N42:N45)</f>
        <v>0</v>
      </c>
      <c r="O46" s="38">
        <f t="shared" ref="O46" si="204">SUM(O42:O45)</f>
        <v>0</v>
      </c>
      <c r="Q46" s="31">
        <f t="shared" ref="Q46" si="205">SUM(Q42:Q45)</f>
        <v>0</v>
      </c>
      <c r="R46" s="38">
        <f t="shared" ref="R46" si="206">SUM(R42:R45)</f>
        <v>0</v>
      </c>
      <c r="S46" s="31">
        <f t="shared" ref="S46" si="207">SUM(S42:S45)</f>
        <v>132</v>
      </c>
      <c r="T46" s="38">
        <f t="shared" ref="T46" si="208">SUM(T42:T45)</f>
        <v>32.412240000000004</v>
      </c>
      <c r="U46" s="31">
        <f t="shared" ref="U46" si="209">SUM(U42:U45)</f>
        <v>0</v>
      </c>
      <c r="V46" s="38">
        <f t="shared" ref="V46" si="210">SUM(V42:V45)</f>
        <v>-4.248000000000085E-2</v>
      </c>
    </row>
    <row r="47" spans="1:22">
      <c r="A47" s="26" t="s">
        <v>13</v>
      </c>
      <c r="B47" s="26" t="s">
        <v>212</v>
      </c>
      <c r="C47" s="30">
        <v>29.5</v>
      </c>
      <c r="D47" s="27">
        <v>10.9</v>
      </c>
      <c r="E47" s="28">
        <v>120</v>
      </c>
      <c r="F47" s="16">
        <f>(C47*D47*E47/1000)</f>
        <v>38.585999999999999</v>
      </c>
      <c r="G47" s="17"/>
      <c r="H47" s="18"/>
      <c r="I47" s="19">
        <f>(C47*D47*H47/1000)</f>
        <v>0</v>
      </c>
      <c r="J47" s="16"/>
      <c r="K47" s="18"/>
      <c r="L47" s="19">
        <f>(C47*D47*K47/1000)</f>
        <v>0</v>
      </c>
      <c r="M47" s="16"/>
      <c r="N47" s="18"/>
      <c r="O47" s="19">
        <f>(C47*D47*N47/1000)</f>
        <v>0</v>
      </c>
      <c r="P47" s="16"/>
      <c r="Q47" s="18"/>
      <c r="R47" s="19">
        <f>(C47*D47*Q47/1000)</f>
        <v>0</v>
      </c>
      <c r="S47" s="20">
        <f>+H47+K47+Q47+N47</f>
        <v>0</v>
      </c>
      <c r="T47" s="19">
        <f>+I47+L47+R47+O47</f>
        <v>0</v>
      </c>
      <c r="U47" s="21">
        <f>E47-S47</f>
        <v>120</v>
      </c>
      <c r="V47" s="19">
        <f>F47-T47</f>
        <v>38.585999999999999</v>
      </c>
    </row>
    <row r="48" spans="1:22">
      <c r="A48" s="26" t="s">
        <v>13</v>
      </c>
      <c r="B48" s="26" t="s">
        <v>212</v>
      </c>
      <c r="C48" s="30">
        <v>29.5</v>
      </c>
      <c r="D48" s="27">
        <v>11.9</v>
      </c>
      <c r="E48" s="28">
        <v>12</v>
      </c>
      <c r="F48" s="16">
        <f>(C48*D48*E48/1000)</f>
        <v>4.2126000000000001</v>
      </c>
      <c r="G48" s="17"/>
      <c r="H48" s="18"/>
      <c r="I48" s="19">
        <f>(C48*D48*H48/1000)</f>
        <v>0</v>
      </c>
      <c r="J48" s="16"/>
      <c r="K48" s="18"/>
      <c r="L48" s="19">
        <f>(C48*D48*K48/1000)</f>
        <v>0</v>
      </c>
      <c r="M48" s="16"/>
      <c r="N48" s="18"/>
      <c r="O48" s="19">
        <f>(C48*D48*N48/1000)</f>
        <v>0</v>
      </c>
      <c r="P48" s="16"/>
      <c r="Q48" s="18"/>
      <c r="R48" s="19">
        <f>(C48*D48*Q48/1000)</f>
        <v>0</v>
      </c>
      <c r="S48" s="20">
        <f>+H48+K48+Q48+N48</f>
        <v>0</v>
      </c>
      <c r="T48" s="19">
        <f>+I48+L48+R48+O48</f>
        <v>0</v>
      </c>
      <c r="U48" s="21">
        <f>E48-S48</f>
        <v>12</v>
      </c>
      <c r="V48" s="19">
        <f>F48-T48</f>
        <v>4.2126000000000001</v>
      </c>
    </row>
    <row r="49" spans="1:22">
      <c r="A49" s="36"/>
      <c r="B49" s="36"/>
      <c r="C49" s="37"/>
      <c r="D49" s="38"/>
      <c r="E49" s="31">
        <f t="shared" ref="E49:F49" si="211">SUM(E47:E48)</f>
        <v>132</v>
      </c>
      <c r="F49" s="38">
        <f t="shared" si="211"/>
        <v>42.7986</v>
      </c>
      <c r="H49" s="31">
        <f t="shared" ref="H49" si="212">SUM(H47:H48)</f>
        <v>0</v>
      </c>
      <c r="I49" s="38">
        <f t="shared" ref="I49" si="213">SUM(I47:I48)</f>
        <v>0</v>
      </c>
      <c r="K49" s="31">
        <f t="shared" ref="K49" si="214">SUM(K47:K48)</f>
        <v>0</v>
      </c>
      <c r="L49" s="38">
        <f t="shared" ref="L49" si="215">SUM(L47:L48)</f>
        <v>0</v>
      </c>
      <c r="N49" s="31">
        <f t="shared" ref="N49" si="216">SUM(N47:N48)</f>
        <v>0</v>
      </c>
      <c r="O49" s="38">
        <f t="shared" ref="O49" si="217">SUM(O47:O48)</f>
        <v>0</v>
      </c>
      <c r="Q49" s="31">
        <f t="shared" ref="Q49" si="218">SUM(Q47:Q48)</f>
        <v>0</v>
      </c>
      <c r="R49" s="38">
        <f t="shared" ref="R49" si="219">SUM(R47:R48)</f>
        <v>0</v>
      </c>
      <c r="S49" s="31">
        <f t="shared" ref="S49" si="220">SUM(S47:S48)</f>
        <v>0</v>
      </c>
      <c r="T49" s="38">
        <f t="shared" ref="T49" si="221">SUM(T47:T48)</f>
        <v>0</v>
      </c>
      <c r="U49" s="31">
        <f t="shared" ref="U49" si="222">SUM(U47:U48)</f>
        <v>132</v>
      </c>
      <c r="V49" s="38">
        <f t="shared" ref="V49" si="223">SUM(V47:V48)</f>
        <v>42.7986</v>
      </c>
    </row>
    <row r="50" spans="1:22">
      <c r="A50" s="26" t="s">
        <v>13</v>
      </c>
      <c r="B50" s="26" t="s">
        <v>75</v>
      </c>
      <c r="C50" s="30">
        <v>31.6</v>
      </c>
      <c r="D50" s="27">
        <v>6</v>
      </c>
      <c r="E50" s="28">
        <v>48</v>
      </c>
      <c r="F50" s="16">
        <f t="shared" ref="F50:F51" si="224">(C50*D50*E50/1000)</f>
        <v>9.1008000000000013</v>
      </c>
      <c r="G50" s="17"/>
      <c r="H50" s="18"/>
      <c r="I50" s="19">
        <f t="shared" ref="I50:I51" si="225">(C50*D50*H50/1000)</f>
        <v>0</v>
      </c>
      <c r="J50" s="16"/>
      <c r="K50" s="18"/>
      <c r="L50" s="19">
        <f t="shared" ref="L50:L51" si="226">(C50*D50*K50/1000)</f>
        <v>0</v>
      </c>
      <c r="M50" s="16"/>
      <c r="N50" s="18"/>
      <c r="O50" s="19">
        <f t="shared" ref="O50:O51" si="227">(C50*D50*N50/1000)</f>
        <v>0</v>
      </c>
      <c r="P50" s="16"/>
      <c r="Q50" s="18"/>
      <c r="R50" s="19">
        <f t="shared" ref="R50:R51" si="228">(C50*D50*Q50/1000)</f>
        <v>0</v>
      </c>
      <c r="S50" s="20">
        <f t="shared" ref="S50:S51" si="229">+H50+K50+Q50+N50</f>
        <v>0</v>
      </c>
      <c r="T50" s="19">
        <f t="shared" ref="T50:T51" si="230">+I50+L50+R50+O50</f>
        <v>0</v>
      </c>
      <c r="U50" s="21">
        <f t="shared" ref="U50:U51" si="231">E50-S50</f>
        <v>48</v>
      </c>
      <c r="V50" s="19">
        <f t="shared" ref="V50:V51" si="232">F50-T50</f>
        <v>9.1008000000000013</v>
      </c>
    </row>
    <row r="51" spans="1:22">
      <c r="A51" s="26" t="s">
        <v>13</v>
      </c>
      <c r="B51" s="26" t="s">
        <v>75</v>
      </c>
      <c r="C51" s="30">
        <v>31.6</v>
      </c>
      <c r="D51" s="27">
        <v>10.1</v>
      </c>
      <c r="E51" s="28">
        <v>240</v>
      </c>
      <c r="F51" s="16">
        <f t="shared" si="224"/>
        <v>76.598400000000012</v>
      </c>
      <c r="G51" s="17"/>
      <c r="H51" s="18"/>
      <c r="I51" s="19">
        <f t="shared" si="225"/>
        <v>0</v>
      </c>
      <c r="J51" s="16"/>
      <c r="K51" s="18"/>
      <c r="L51" s="19">
        <f t="shared" si="226"/>
        <v>0</v>
      </c>
      <c r="M51" s="16"/>
      <c r="N51" s="18"/>
      <c r="O51" s="19">
        <f t="shared" si="227"/>
        <v>0</v>
      </c>
      <c r="P51" s="16"/>
      <c r="Q51" s="18"/>
      <c r="R51" s="19">
        <f t="shared" si="228"/>
        <v>0</v>
      </c>
      <c r="S51" s="20">
        <f t="shared" si="229"/>
        <v>0</v>
      </c>
      <c r="T51" s="19">
        <f t="shared" si="230"/>
        <v>0</v>
      </c>
      <c r="U51" s="21">
        <f t="shared" si="231"/>
        <v>240</v>
      </c>
      <c r="V51" s="19">
        <f t="shared" si="232"/>
        <v>76.598400000000012</v>
      </c>
    </row>
    <row r="52" spans="1:22">
      <c r="A52" s="36"/>
      <c r="B52" s="36"/>
      <c r="C52" s="37"/>
      <c r="D52" s="38"/>
      <c r="E52" s="31">
        <f t="shared" ref="E52:F52" si="233">SUM(E50:E51)</f>
        <v>288</v>
      </c>
      <c r="F52" s="38">
        <f t="shared" si="233"/>
        <v>85.699200000000019</v>
      </c>
      <c r="G52" s="17"/>
      <c r="H52" s="31">
        <f t="shared" ref="H52" si="234">SUM(H50:H51)</f>
        <v>0</v>
      </c>
      <c r="I52" s="38">
        <f t="shared" ref="I52" si="235">SUM(I50:I51)</f>
        <v>0</v>
      </c>
      <c r="J52" s="16"/>
      <c r="K52" s="31">
        <f t="shared" ref="K52" si="236">SUM(K50:K51)</f>
        <v>0</v>
      </c>
      <c r="L52" s="38">
        <f t="shared" ref="L52" si="237">SUM(L50:L51)</f>
        <v>0</v>
      </c>
      <c r="M52" s="16"/>
      <c r="N52" s="31">
        <f t="shared" ref="N52" si="238">SUM(N50:N51)</f>
        <v>0</v>
      </c>
      <c r="O52" s="38">
        <f t="shared" ref="O52" si="239">SUM(O50:O51)</f>
        <v>0</v>
      </c>
      <c r="P52" s="16"/>
      <c r="Q52" s="31">
        <f t="shared" ref="Q52" si="240">SUM(Q50:Q51)</f>
        <v>0</v>
      </c>
      <c r="R52" s="38">
        <f t="shared" ref="R52" si="241">SUM(R50:R51)</f>
        <v>0</v>
      </c>
      <c r="S52" s="31">
        <f t="shared" ref="S52" si="242">SUM(S50:S51)</f>
        <v>0</v>
      </c>
      <c r="T52" s="38">
        <f t="shared" ref="T52" si="243">SUM(T50:T51)</f>
        <v>0</v>
      </c>
      <c r="U52" s="31">
        <f t="shared" ref="U52" si="244">SUM(U50:U51)</f>
        <v>288</v>
      </c>
      <c r="V52" s="38">
        <f t="shared" ref="V52" si="245">SUM(V50:V51)</f>
        <v>85.699200000000019</v>
      </c>
    </row>
    <row r="53" spans="1:22">
      <c r="A53" s="26" t="s">
        <v>13</v>
      </c>
      <c r="B53" s="26" t="s">
        <v>126</v>
      </c>
      <c r="C53" s="30">
        <v>33.799999999999997</v>
      </c>
      <c r="D53" s="27">
        <v>8.1</v>
      </c>
      <c r="E53" s="28">
        <v>240</v>
      </c>
      <c r="F53" s="16">
        <f t="shared" ref="F53:F55" si="246">(C53*D53*E53/1000)</f>
        <v>65.7072</v>
      </c>
      <c r="G53" s="17"/>
      <c r="H53" s="18"/>
      <c r="I53" s="19">
        <f t="shared" ref="I53:I55" si="247">(C53*D53*H53/1000)</f>
        <v>0</v>
      </c>
      <c r="J53" s="16"/>
      <c r="K53" s="18"/>
      <c r="L53" s="19">
        <f t="shared" ref="L53:L55" si="248">(C53*D53*K53/1000)</f>
        <v>0</v>
      </c>
      <c r="M53" s="16"/>
      <c r="N53" s="18"/>
      <c r="O53" s="19">
        <f t="shared" ref="O53:O55" si="249">(C53*D53*N53/1000)</f>
        <v>0</v>
      </c>
      <c r="P53" s="16"/>
      <c r="Q53" s="18"/>
      <c r="R53" s="19">
        <f t="shared" ref="R53:R55" si="250">(C53*D53*Q53/1000)</f>
        <v>0</v>
      </c>
      <c r="S53" s="20">
        <f t="shared" ref="S53:S55" si="251">+H53+K53+Q53+N53</f>
        <v>0</v>
      </c>
      <c r="T53" s="19">
        <f t="shared" ref="T53:T55" si="252">+I53+L53+R53+O53</f>
        <v>0</v>
      </c>
      <c r="U53" s="21">
        <f t="shared" ref="U53:U55" si="253">E53-S53</f>
        <v>240</v>
      </c>
      <c r="V53" s="19">
        <f t="shared" ref="V53:V55" si="254">F53-T53</f>
        <v>65.7072</v>
      </c>
    </row>
    <row r="54" spans="1:22">
      <c r="A54" s="26" t="s">
        <v>13</v>
      </c>
      <c r="B54" s="26" t="s">
        <v>126</v>
      </c>
      <c r="C54" s="30">
        <v>33.799999999999997</v>
      </c>
      <c r="D54" s="27">
        <v>9.3000000000000007</v>
      </c>
      <c r="E54" s="28">
        <v>120</v>
      </c>
      <c r="F54" s="16">
        <f t="shared" si="246"/>
        <v>37.720799999999997</v>
      </c>
      <c r="G54" s="17"/>
      <c r="H54" s="18"/>
      <c r="I54" s="19">
        <f t="shared" si="247"/>
        <v>0</v>
      </c>
      <c r="J54" s="16"/>
      <c r="K54" s="18"/>
      <c r="L54" s="19">
        <f t="shared" si="248"/>
        <v>0</v>
      </c>
      <c r="M54" s="16"/>
      <c r="N54" s="18"/>
      <c r="O54" s="19">
        <f t="shared" si="249"/>
        <v>0</v>
      </c>
      <c r="P54" s="16"/>
      <c r="Q54" s="18"/>
      <c r="R54" s="19">
        <f t="shared" si="250"/>
        <v>0</v>
      </c>
      <c r="S54" s="20">
        <f t="shared" si="251"/>
        <v>0</v>
      </c>
      <c r="T54" s="19">
        <f t="shared" si="252"/>
        <v>0</v>
      </c>
      <c r="U54" s="21">
        <f t="shared" si="253"/>
        <v>120</v>
      </c>
      <c r="V54" s="19">
        <f t="shared" si="254"/>
        <v>37.720799999999997</v>
      </c>
    </row>
    <row r="55" spans="1:22">
      <c r="A55" s="26" t="s">
        <v>13</v>
      </c>
      <c r="B55" s="26" t="s">
        <v>126</v>
      </c>
      <c r="C55" s="30">
        <v>33.799999999999997</v>
      </c>
      <c r="D55" s="27">
        <v>11.9</v>
      </c>
      <c r="E55" s="28">
        <v>24</v>
      </c>
      <c r="F55" s="16">
        <f t="shared" si="246"/>
        <v>9.6532799999999988</v>
      </c>
      <c r="G55" s="17"/>
      <c r="H55" s="18"/>
      <c r="I55" s="19">
        <f t="shared" si="247"/>
        <v>0</v>
      </c>
      <c r="J55" s="16"/>
      <c r="K55" s="18"/>
      <c r="L55" s="19">
        <f t="shared" si="248"/>
        <v>0</v>
      </c>
      <c r="M55" s="16"/>
      <c r="N55" s="18"/>
      <c r="O55" s="19">
        <f t="shared" si="249"/>
        <v>0</v>
      </c>
      <c r="P55" s="16"/>
      <c r="Q55" s="18"/>
      <c r="R55" s="19">
        <f t="shared" si="250"/>
        <v>0</v>
      </c>
      <c r="S55" s="20">
        <f t="shared" si="251"/>
        <v>0</v>
      </c>
      <c r="T55" s="19">
        <f t="shared" si="252"/>
        <v>0</v>
      </c>
      <c r="U55" s="21">
        <f t="shared" si="253"/>
        <v>24</v>
      </c>
      <c r="V55" s="19">
        <f t="shared" si="254"/>
        <v>9.6532799999999988</v>
      </c>
    </row>
    <row r="56" spans="1:22">
      <c r="A56" s="36"/>
      <c r="B56" s="36"/>
      <c r="C56" s="37"/>
      <c r="D56" s="38"/>
      <c r="E56" s="31">
        <f t="shared" ref="E56:F56" si="255">SUM(E53:E55)</f>
        <v>384</v>
      </c>
      <c r="F56" s="38">
        <f t="shared" si="255"/>
        <v>113.08127999999999</v>
      </c>
      <c r="H56" s="31">
        <f t="shared" ref="H56" si="256">SUM(H53:H55)</f>
        <v>0</v>
      </c>
      <c r="I56" s="38">
        <f t="shared" ref="I56" si="257">SUM(I53:I55)</f>
        <v>0</v>
      </c>
      <c r="K56" s="31">
        <f t="shared" ref="K56" si="258">SUM(K53:K55)</f>
        <v>0</v>
      </c>
      <c r="L56" s="38">
        <f t="shared" ref="L56" si="259">SUM(L53:L55)</f>
        <v>0</v>
      </c>
      <c r="N56" s="31">
        <f t="shared" ref="N56" si="260">SUM(N53:N55)</f>
        <v>0</v>
      </c>
      <c r="O56" s="38">
        <f t="shared" ref="O56" si="261">SUM(O53:O55)</f>
        <v>0</v>
      </c>
      <c r="Q56" s="31">
        <f t="shared" ref="Q56" si="262">SUM(Q53:Q55)</f>
        <v>0</v>
      </c>
      <c r="R56" s="38">
        <f t="shared" ref="R56" si="263">SUM(R53:R55)</f>
        <v>0</v>
      </c>
      <c r="S56" s="31">
        <f t="shared" ref="S56" si="264">SUM(S53:S55)</f>
        <v>0</v>
      </c>
      <c r="T56" s="38">
        <f t="shared" ref="T56" si="265">SUM(T53:T55)</f>
        <v>0</v>
      </c>
      <c r="U56" s="31">
        <f t="shared" ref="U56" si="266">SUM(U53:U55)</f>
        <v>384</v>
      </c>
      <c r="V56" s="38">
        <f t="shared" ref="V56" si="267">SUM(V53:V55)</f>
        <v>113.08127999999999</v>
      </c>
    </row>
    <row r="57" spans="1:22">
      <c r="A57" s="26" t="s">
        <v>13</v>
      </c>
      <c r="B57" s="26" t="s">
        <v>127</v>
      </c>
      <c r="C57" s="30">
        <v>35.9</v>
      </c>
      <c r="D57" s="27">
        <v>7.2</v>
      </c>
      <c r="E57" s="28">
        <v>59</v>
      </c>
      <c r="F57" s="16">
        <f t="shared" ref="F57:F61" si="268">(C57*D57*E57/1000)</f>
        <v>15.250320000000002</v>
      </c>
      <c r="G57" s="17" t="s">
        <v>205</v>
      </c>
      <c r="H57" s="18">
        <v>2</v>
      </c>
      <c r="I57" s="19">
        <f t="shared" ref="I57:I61" si="269">(C57*D57*H57/1000)</f>
        <v>0.51696000000000009</v>
      </c>
      <c r="J57" s="16"/>
      <c r="K57" s="18"/>
      <c r="L57" s="19">
        <f t="shared" ref="L57:L61" si="270">(C57*D57*K57/1000)</f>
        <v>0</v>
      </c>
      <c r="M57" s="16"/>
      <c r="N57" s="18"/>
      <c r="O57" s="19">
        <f t="shared" ref="O57:O61" si="271">(C57*D57*N57/1000)</f>
        <v>0</v>
      </c>
      <c r="P57" s="16"/>
      <c r="Q57" s="18"/>
      <c r="R57" s="19">
        <f t="shared" ref="R57:R61" si="272">(C57*D57*Q57/1000)</f>
        <v>0</v>
      </c>
      <c r="S57" s="20">
        <f t="shared" ref="S57:S61" si="273">+H57+K57+Q57+N57</f>
        <v>2</v>
      </c>
      <c r="T57" s="19">
        <f t="shared" ref="T57:T61" si="274">+I57+L57+R57+O57</f>
        <v>0.51696000000000009</v>
      </c>
      <c r="U57" s="21">
        <f t="shared" ref="U57:U61" si="275">E57-S57</f>
        <v>57</v>
      </c>
      <c r="V57" s="19">
        <f t="shared" ref="V57:V61" si="276">F57-T57</f>
        <v>14.733360000000001</v>
      </c>
    </row>
    <row r="58" spans="1:22">
      <c r="A58" s="26" t="s">
        <v>13</v>
      </c>
      <c r="B58" s="26" t="s">
        <v>127</v>
      </c>
      <c r="C58" s="30">
        <v>35.9</v>
      </c>
      <c r="D58" s="27">
        <v>7.35</v>
      </c>
      <c r="E58" s="28">
        <v>12</v>
      </c>
      <c r="F58" s="16">
        <f t="shared" si="268"/>
        <v>3.1663799999999993</v>
      </c>
      <c r="G58" t="s">
        <v>615</v>
      </c>
      <c r="H58" s="18">
        <v>12</v>
      </c>
      <c r="I58" s="19">
        <f t="shared" si="269"/>
        <v>3.1663799999999993</v>
      </c>
      <c r="J58" s="16"/>
      <c r="K58" s="18"/>
      <c r="L58" s="19">
        <f t="shared" si="270"/>
        <v>0</v>
      </c>
      <c r="M58" s="16"/>
      <c r="N58" s="18"/>
      <c r="O58" s="19">
        <f t="shared" si="271"/>
        <v>0</v>
      </c>
      <c r="P58" s="16"/>
      <c r="Q58" s="18"/>
      <c r="R58" s="19">
        <f t="shared" si="272"/>
        <v>0</v>
      </c>
      <c r="S58" s="20">
        <f t="shared" si="273"/>
        <v>12</v>
      </c>
      <c r="T58" s="19">
        <f t="shared" si="274"/>
        <v>3.1663799999999993</v>
      </c>
      <c r="U58" s="21">
        <f t="shared" si="275"/>
        <v>0</v>
      </c>
      <c r="V58" s="19">
        <f t="shared" si="276"/>
        <v>0</v>
      </c>
    </row>
    <row r="59" spans="1:22">
      <c r="A59" s="26" t="s">
        <v>13</v>
      </c>
      <c r="B59" s="26" t="s">
        <v>127</v>
      </c>
      <c r="C59" s="30">
        <v>35.9</v>
      </c>
      <c r="D59" s="27">
        <v>7.85</v>
      </c>
      <c r="E59" s="28">
        <v>160</v>
      </c>
      <c r="F59" s="16">
        <f t="shared" si="268"/>
        <v>45.090400000000002</v>
      </c>
      <c r="G59" s="16" t="s">
        <v>455</v>
      </c>
      <c r="H59" s="18">
        <v>39</v>
      </c>
      <c r="I59" s="19">
        <f t="shared" si="269"/>
        <v>10.990785000000001</v>
      </c>
      <c r="J59" s="16"/>
      <c r="K59" s="18"/>
      <c r="L59" s="19">
        <f t="shared" si="270"/>
        <v>0</v>
      </c>
      <c r="M59" s="16"/>
      <c r="N59" s="18"/>
      <c r="O59" s="19">
        <f t="shared" si="271"/>
        <v>0</v>
      </c>
      <c r="P59" s="16"/>
      <c r="Q59" s="18"/>
      <c r="R59" s="19">
        <f t="shared" si="272"/>
        <v>0</v>
      </c>
      <c r="S59" s="20">
        <f t="shared" si="273"/>
        <v>39</v>
      </c>
      <c r="T59" s="19">
        <f t="shared" si="274"/>
        <v>10.990785000000001</v>
      </c>
      <c r="U59" s="21">
        <f t="shared" si="275"/>
        <v>121</v>
      </c>
      <c r="V59" s="19">
        <f t="shared" si="276"/>
        <v>34.099615</v>
      </c>
    </row>
    <row r="60" spans="1:22">
      <c r="A60" s="26" t="s">
        <v>13</v>
      </c>
      <c r="B60" s="26" t="s">
        <v>127</v>
      </c>
      <c r="C60" s="30">
        <v>35.9</v>
      </c>
      <c r="D60" s="27">
        <v>8.1</v>
      </c>
      <c r="E60" s="28">
        <v>80</v>
      </c>
      <c r="F60" s="16">
        <f t="shared" si="268"/>
        <v>23.263199999999998</v>
      </c>
      <c r="G60" s="16" t="s">
        <v>615</v>
      </c>
      <c r="H60" s="18">
        <v>80</v>
      </c>
      <c r="I60" s="19">
        <f t="shared" si="269"/>
        <v>23.263199999999998</v>
      </c>
      <c r="J60" s="16"/>
      <c r="K60" s="18"/>
      <c r="L60" s="19">
        <f t="shared" si="270"/>
        <v>0</v>
      </c>
      <c r="M60" s="16"/>
      <c r="N60" s="18"/>
      <c r="O60" s="19">
        <f t="shared" si="271"/>
        <v>0</v>
      </c>
      <c r="P60" s="16"/>
      <c r="Q60" s="18"/>
      <c r="R60" s="19">
        <f t="shared" si="272"/>
        <v>0</v>
      </c>
      <c r="S60" s="20">
        <f t="shared" si="273"/>
        <v>80</v>
      </c>
      <c r="T60" s="19">
        <f t="shared" si="274"/>
        <v>23.263199999999998</v>
      </c>
      <c r="U60" s="21">
        <f t="shared" si="275"/>
        <v>0</v>
      </c>
      <c r="V60" s="19">
        <f t="shared" si="276"/>
        <v>0</v>
      </c>
    </row>
    <row r="61" spans="1:22">
      <c r="A61" s="26" t="s">
        <v>13</v>
      </c>
      <c r="B61" s="26" t="s">
        <v>127</v>
      </c>
      <c r="C61" s="30">
        <v>35.9</v>
      </c>
      <c r="D61" s="27">
        <v>11.95</v>
      </c>
      <c r="E61" s="28">
        <v>130</v>
      </c>
      <c r="F61" s="16">
        <f t="shared" si="268"/>
        <v>55.770649999999996</v>
      </c>
      <c r="G61" s="17"/>
      <c r="H61" s="18">
        <v>56</v>
      </c>
      <c r="I61" s="19">
        <f t="shared" si="269"/>
        <v>24.024279999999994</v>
      </c>
      <c r="J61" s="16"/>
      <c r="K61" s="18"/>
      <c r="L61" s="19">
        <f t="shared" si="270"/>
        <v>0</v>
      </c>
      <c r="M61" s="16"/>
      <c r="N61" s="18"/>
      <c r="O61" s="19">
        <f t="shared" si="271"/>
        <v>0</v>
      </c>
      <c r="P61" s="16"/>
      <c r="Q61" s="18"/>
      <c r="R61" s="19">
        <f t="shared" si="272"/>
        <v>0</v>
      </c>
      <c r="S61" s="20">
        <f t="shared" si="273"/>
        <v>56</v>
      </c>
      <c r="T61" s="19">
        <f t="shared" si="274"/>
        <v>24.024279999999994</v>
      </c>
      <c r="U61" s="21">
        <f t="shared" si="275"/>
        <v>74</v>
      </c>
      <c r="V61" s="19">
        <f t="shared" si="276"/>
        <v>31.746370000000002</v>
      </c>
    </row>
    <row r="62" spans="1:22">
      <c r="A62" s="36"/>
      <c r="B62" s="36"/>
      <c r="C62" s="37"/>
      <c r="D62" s="38"/>
      <c r="E62" s="31">
        <f t="shared" ref="E62:F62" si="277">SUM(E57:E61)</f>
        <v>441</v>
      </c>
      <c r="F62" s="38">
        <f t="shared" si="277"/>
        <v>142.54095000000001</v>
      </c>
      <c r="G62" s="17"/>
      <c r="H62" s="31">
        <f t="shared" ref="H62" si="278">SUM(H57:H61)</f>
        <v>189</v>
      </c>
      <c r="I62" s="38">
        <f t="shared" ref="I62" si="279">SUM(I57:I61)</f>
        <v>61.961604999999992</v>
      </c>
      <c r="J62" s="16"/>
      <c r="K62" s="31">
        <f t="shared" ref="K62" si="280">SUM(K57:K61)</f>
        <v>0</v>
      </c>
      <c r="L62" s="38">
        <f t="shared" ref="L62" si="281">SUM(L57:L61)</f>
        <v>0</v>
      </c>
      <c r="M62" s="16"/>
      <c r="N62" s="31">
        <f t="shared" ref="N62" si="282">SUM(N57:N61)</f>
        <v>0</v>
      </c>
      <c r="O62" s="38">
        <f t="shared" ref="O62" si="283">SUM(O57:O61)</f>
        <v>0</v>
      </c>
      <c r="P62" s="16"/>
      <c r="Q62" s="31">
        <f t="shared" ref="Q62" si="284">SUM(Q57:Q61)</f>
        <v>0</v>
      </c>
      <c r="R62" s="38">
        <f t="shared" ref="R62" si="285">SUM(R57:R61)</f>
        <v>0</v>
      </c>
      <c r="S62" s="31">
        <f t="shared" ref="S62" si="286">SUM(S57:S61)</f>
        <v>189</v>
      </c>
      <c r="T62" s="38">
        <f t="shared" ref="T62" si="287">SUM(T57:T61)</f>
        <v>61.961604999999992</v>
      </c>
      <c r="U62" s="31">
        <f t="shared" ref="U62" si="288">SUM(U57:U61)</f>
        <v>252</v>
      </c>
      <c r="V62" s="38">
        <f t="shared" ref="V62" si="289">SUM(V57:V61)</f>
        <v>80.579345000000004</v>
      </c>
    </row>
    <row r="63" spans="1:22">
      <c r="A63" s="26" t="s">
        <v>13</v>
      </c>
      <c r="B63" s="26" t="s">
        <v>35</v>
      </c>
      <c r="C63" s="30">
        <v>6.85</v>
      </c>
      <c r="D63" s="27">
        <v>7.8</v>
      </c>
      <c r="E63" s="28">
        <v>120</v>
      </c>
      <c r="F63" s="16">
        <f>(C63*D63*E63/1000)</f>
        <v>6.4115999999999991</v>
      </c>
      <c r="G63" s="17"/>
      <c r="H63" s="18"/>
      <c r="I63" s="19">
        <f>(C63*D63*H63/1000)</f>
        <v>0</v>
      </c>
      <c r="J63" s="16"/>
      <c r="K63" s="18"/>
      <c r="L63" s="19">
        <f>(C63*D63*K63/1000)</f>
        <v>0</v>
      </c>
      <c r="M63" s="16"/>
      <c r="N63" s="18"/>
      <c r="O63" s="19">
        <f>(C63*D63*N63/1000)</f>
        <v>0</v>
      </c>
      <c r="P63" s="16"/>
      <c r="Q63" s="18"/>
      <c r="R63" s="19">
        <f>(C63*D63*Q63/1000)</f>
        <v>0</v>
      </c>
      <c r="S63" s="20">
        <f>+H63+K63+Q63+N63</f>
        <v>0</v>
      </c>
      <c r="T63" s="19">
        <f>+I63+L63+R63+O63</f>
        <v>0</v>
      </c>
      <c r="U63" s="21">
        <f>E63-S63</f>
        <v>120</v>
      </c>
      <c r="V63" s="19">
        <f>F63-T63</f>
        <v>6.4115999999999991</v>
      </c>
    </row>
    <row r="64" spans="1:22">
      <c r="A64" s="36"/>
      <c r="B64" s="36"/>
      <c r="C64" s="37"/>
      <c r="D64" s="38"/>
      <c r="E64" s="31">
        <f t="shared" ref="E64:F64" si="290">SUM(E63)</f>
        <v>120</v>
      </c>
      <c r="F64" s="38">
        <f t="shared" si="290"/>
        <v>6.4115999999999991</v>
      </c>
      <c r="H64" s="31">
        <f t="shared" ref="H64" si="291">SUM(H63)</f>
        <v>0</v>
      </c>
      <c r="I64" s="38">
        <f t="shared" ref="I64" si="292">SUM(I63)</f>
        <v>0</v>
      </c>
      <c r="K64" s="31">
        <f t="shared" ref="K64" si="293">SUM(K63)</f>
        <v>0</v>
      </c>
      <c r="L64" s="38">
        <f t="shared" ref="L64" si="294">SUM(L63)</f>
        <v>0</v>
      </c>
      <c r="N64" s="31">
        <f t="shared" ref="N64" si="295">SUM(N63)</f>
        <v>0</v>
      </c>
      <c r="O64" s="38">
        <f t="shared" ref="O64" si="296">SUM(O63)</f>
        <v>0</v>
      </c>
      <c r="Q64" s="31">
        <f t="shared" ref="Q64" si="297">SUM(Q63)</f>
        <v>0</v>
      </c>
      <c r="R64" s="38">
        <f t="shared" ref="R64" si="298">SUM(R63)</f>
        <v>0</v>
      </c>
      <c r="S64" s="31">
        <f t="shared" ref="S64" si="299">SUM(S63)</f>
        <v>0</v>
      </c>
      <c r="T64" s="38">
        <f t="shared" ref="T64" si="300">SUM(T63)</f>
        <v>0</v>
      </c>
      <c r="U64" s="31">
        <f t="shared" ref="U64" si="301">SUM(U63)</f>
        <v>120</v>
      </c>
      <c r="V64" s="38">
        <f t="shared" ref="V64" si="302">SUM(V63)</f>
        <v>6.4115999999999991</v>
      </c>
    </row>
    <row r="65" spans="1:22">
      <c r="A65" s="26" t="s">
        <v>13</v>
      </c>
      <c r="B65" s="26" t="s">
        <v>58</v>
      </c>
      <c r="C65" s="30">
        <v>7.36</v>
      </c>
      <c r="D65" s="27">
        <v>7.4</v>
      </c>
      <c r="E65" s="28">
        <v>120</v>
      </c>
      <c r="F65" s="16">
        <f>(C65*D65*E65/1000)</f>
        <v>6.5356800000000002</v>
      </c>
      <c r="G65" s="17"/>
      <c r="H65" s="18"/>
      <c r="I65" s="19">
        <f>(C65*D65*H65/1000)</f>
        <v>0</v>
      </c>
      <c r="J65" s="16"/>
      <c r="K65" s="18"/>
      <c r="L65" s="19">
        <f>(C65*D65*K65/1000)</f>
        <v>0</v>
      </c>
      <c r="M65" s="16"/>
      <c r="N65" s="18"/>
      <c r="O65" s="19">
        <f>(C65*D65*N65/1000)</f>
        <v>0</v>
      </c>
      <c r="P65" s="16"/>
      <c r="Q65" s="18"/>
      <c r="R65" s="19">
        <f>(C65*D65*Q65/1000)</f>
        <v>0</v>
      </c>
      <c r="S65" s="20">
        <f>+H65+K65+Q65+N65</f>
        <v>0</v>
      </c>
      <c r="T65" s="19">
        <f>+I65+L65+R65+O65</f>
        <v>0</v>
      </c>
      <c r="U65" s="21">
        <f>E65-S65</f>
        <v>120</v>
      </c>
      <c r="V65" s="19">
        <f>F65-T65</f>
        <v>6.5356800000000002</v>
      </c>
    </row>
    <row r="66" spans="1:22">
      <c r="A66" s="26" t="s">
        <v>13</v>
      </c>
      <c r="B66" s="26" t="s">
        <v>58</v>
      </c>
      <c r="C66" s="30">
        <v>7.36</v>
      </c>
      <c r="D66" s="27">
        <v>9.5500000000000007</v>
      </c>
      <c r="E66" s="28">
        <v>240</v>
      </c>
      <c r="F66" s="16">
        <f>(C66*D66*E66/1000)</f>
        <v>16.869120000000002</v>
      </c>
      <c r="G66" s="17"/>
      <c r="H66" s="18"/>
      <c r="I66" s="19">
        <f>(C66*D66*H66/1000)</f>
        <v>0</v>
      </c>
      <c r="J66" s="16"/>
      <c r="K66" s="18"/>
      <c r="L66" s="19">
        <f>(C66*D66*K66/1000)</f>
        <v>0</v>
      </c>
      <c r="M66" s="16"/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>+H66+K66+Q66+N66</f>
        <v>0</v>
      </c>
      <c r="T66" s="19">
        <f>+I66+L66+R66+O66</f>
        <v>0</v>
      </c>
      <c r="U66" s="21">
        <f>E66-S66</f>
        <v>240</v>
      </c>
      <c r="V66" s="19">
        <f>F66-T66</f>
        <v>16.869120000000002</v>
      </c>
    </row>
    <row r="67" spans="1:22">
      <c r="A67" s="36"/>
      <c r="B67" s="36"/>
      <c r="C67" s="37"/>
      <c r="D67" s="38"/>
      <c r="E67" s="31">
        <f t="shared" ref="E67:F67" si="303">SUM(E65:E66)</f>
        <v>360</v>
      </c>
      <c r="F67" s="38">
        <f t="shared" si="303"/>
        <v>23.404800000000002</v>
      </c>
      <c r="G67" s="17"/>
      <c r="H67" s="31">
        <f t="shared" ref="H67" si="304">SUM(H65:H66)</f>
        <v>0</v>
      </c>
      <c r="I67" s="38">
        <f t="shared" ref="I67" si="305">SUM(I65:I66)</f>
        <v>0</v>
      </c>
      <c r="J67" s="16"/>
      <c r="K67" s="31">
        <f t="shared" ref="K67" si="306">SUM(K65:K66)</f>
        <v>0</v>
      </c>
      <c r="L67" s="38">
        <f t="shared" ref="L67" si="307">SUM(L65:L66)</f>
        <v>0</v>
      </c>
      <c r="M67" s="16"/>
      <c r="N67" s="31">
        <f t="shared" ref="N67" si="308">SUM(N65:N66)</f>
        <v>0</v>
      </c>
      <c r="O67" s="38">
        <f t="shared" ref="O67" si="309">SUM(O65:O66)</f>
        <v>0</v>
      </c>
      <c r="P67" s="16"/>
      <c r="Q67" s="31">
        <f t="shared" ref="Q67" si="310">SUM(Q65:Q66)</f>
        <v>0</v>
      </c>
      <c r="R67" s="38">
        <f t="shared" ref="R67" si="311">SUM(R65:R66)</f>
        <v>0</v>
      </c>
      <c r="S67" s="31">
        <f t="shared" ref="S67" si="312">SUM(S65:S66)</f>
        <v>0</v>
      </c>
      <c r="T67" s="38">
        <f t="shared" ref="T67" si="313">SUM(T65:T66)</f>
        <v>0</v>
      </c>
      <c r="U67" s="31">
        <f t="shared" ref="U67" si="314">SUM(U65:U66)</f>
        <v>360</v>
      </c>
      <c r="V67" s="38">
        <f t="shared" ref="V67" si="315">SUM(V65:V66)</f>
        <v>23.404800000000002</v>
      </c>
    </row>
    <row r="68" spans="1:22">
      <c r="A68" s="26" t="s">
        <v>13</v>
      </c>
      <c r="B68" s="26" t="s">
        <v>505</v>
      </c>
      <c r="C68" s="30">
        <v>8.49</v>
      </c>
      <c r="D68" s="27">
        <v>8.1999999999999993</v>
      </c>
      <c r="E68" s="28">
        <v>9</v>
      </c>
      <c r="F68" s="16">
        <f>(C68*D68*E68/1000)</f>
        <v>0.62656199999999995</v>
      </c>
      <c r="G68" s="17"/>
      <c r="H68" s="18"/>
      <c r="I68" s="19">
        <f>(C68*D68*H68/1000)</f>
        <v>0</v>
      </c>
      <c r="J68" s="16"/>
      <c r="K68" s="18"/>
      <c r="L68" s="19">
        <f>(C68*D68*K68/1000)</f>
        <v>0</v>
      </c>
      <c r="M68" s="16"/>
      <c r="N68" s="18"/>
      <c r="O68" s="19">
        <f>(C68*D68*N68/1000)</f>
        <v>0</v>
      </c>
      <c r="P68" s="16"/>
      <c r="Q68" s="18"/>
      <c r="R68" s="19">
        <f>(C68*D68*Q68/1000)</f>
        <v>0</v>
      </c>
      <c r="S68" s="20">
        <f>+H68+K68+Q68+N68</f>
        <v>0</v>
      </c>
      <c r="T68" s="19">
        <f>+I68+L68+R68+O68</f>
        <v>0</v>
      </c>
      <c r="U68" s="21">
        <f>E68-S68</f>
        <v>9</v>
      </c>
      <c r="V68" s="19">
        <f>F68-T68</f>
        <v>0.62656199999999995</v>
      </c>
    </row>
    <row r="69" spans="1:22">
      <c r="A69" s="36"/>
      <c r="B69" s="36"/>
      <c r="C69" s="37"/>
      <c r="D69" s="38"/>
      <c r="E69" s="31">
        <f t="shared" ref="E69:F69" si="316">SUM(E68)</f>
        <v>9</v>
      </c>
      <c r="F69" s="38">
        <f t="shared" si="316"/>
        <v>0.62656199999999995</v>
      </c>
      <c r="G69" s="17"/>
      <c r="H69" s="31">
        <f t="shared" ref="H69" si="317">SUM(H68)</f>
        <v>0</v>
      </c>
      <c r="I69" s="38">
        <f t="shared" ref="I69" si="318">SUM(I68)</f>
        <v>0</v>
      </c>
      <c r="J69" s="16"/>
      <c r="K69" s="31">
        <f t="shared" ref="K69" si="319">SUM(K68)</f>
        <v>0</v>
      </c>
      <c r="L69" s="38">
        <f t="shared" ref="L69" si="320">SUM(L68)</f>
        <v>0</v>
      </c>
      <c r="M69" s="16"/>
      <c r="N69" s="31">
        <f t="shared" ref="N69" si="321">SUM(N68)</f>
        <v>0</v>
      </c>
      <c r="O69" s="38">
        <f t="shared" ref="O69" si="322">SUM(O68)</f>
        <v>0</v>
      </c>
      <c r="P69" s="16"/>
      <c r="Q69" s="31">
        <f t="shared" ref="Q69" si="323">SUM(Q68)</f>
        <v>0</v>
      </c>
      <c r="R69" s="38">
        <f t="shared" ref="R69" si="324">SUM(R68)</f>
        <v>0</v>
      </c>
      <c r="S69" s="31">
        <f t="shared" ref="S69" si="325">SUM(S68)</f>
        <v>0</v>
      </c>
      <c r="T69" s="38">
        <f t="shared" ref="T69" si="326">SUM(T68)</f>
        <v>0</v>
      </c>
      <c r="U69" s="31">
        <f t="shared" ref="U69" si="327">SUM(U68)</f>
        <v>9</v>
      </c>
      <c r="V69" s="38">
        <f t="shared" ref="V69" si="328">SUM(V68)</f>
        <v>0.62656199999999995</v>
      </c>
    </row>
    <row r="70" spans="1:22">
      <c r="A70" s="26" t="s">
        <v>13</v>
      </c>
      <c r="B70" s="26" t="s">
        <v>26</v>
      </c>
      <c r="C70" s="30">
        <v>8.3000000000000007</v>
      </c>
      <c r="D70" s="27">
        <v>7.5</v>
      </c>
      <c r="E70" s="28">
        <v>240</v>
      </c>
      <c r="F70" s="16">
        <f t="shared" ref="F70:F72" si="329">(C70*D70*E70/1000)</f>
        <v>14.940000000000001</v>
      </c>
      <c r="G70" s="17"/>
      <c r="H70" s="18"/>
      <c r="I70" s="19">
        <f t="shared" ref="I70:I72" si="330">(C70*D70*H70/1000)</f>
        <v>0</v>
      </c>
      <c r="J70" s="16"/>
      <c r="K70" s="18"/>
      <c r="L70" s="19">
        <f t="shared" ref="L70:L72" si="331">(C70*D70*K70/1000)</f>
        <v>0</v>
      </c>
      <c r="M70" s="16"/>
      <c r="N70" s="18"/>
      <c r="O70" s="19">
        <f t="shared" ref="O70:O72" si="332">(C70*D70*N70/1000)</f>
        <v>0</v>
      </c>
      <c r="P70" s="16"/>
      <c r="Q70" s="18"/>
      <c r="R70" s="19">
        <f t="shared" ref="R70:R72" si="333">(C70*D70*Q70/1000)</f>
        <v>0</v>
      </c>
      <c r="S70" s="20">
        <f t="shared" ref="S70:S72" si="334">+H70+K70+Q70+N70</f>
        <v>0</v>
      </c>
      <c r="T70" s="19">
        <f t="shared" ref="T70:T72" si="335">+I70+L70+R70+O70</f>
        <v>0</v>
      </c>
      <c r="U70" s="21">
        <f t="shared" ref="U70:U72" si="336">E70-S70</f>
        <v>240</v>
      </c>
      <c r="V70" s="19">
        <f t="shared" ref="V70:V72" si="337">F70-T70</f>
        <v>14.940000000000001</v>
      </c>
    </row>
    <row r="71" spans="1:22">
      <c r="A71" s="26" t="s">
        <v>13</v>
      </c>
      <c r="B71" s="26" t="s">
        <v>26</v>
      </c>
      <c r="C71" s="30">
        <v>8.3000000000000007</v>
      </c>
      <c r="D71" s="27">
        <v>8.25</v>
      </c>
      <c r="E71" s="28">
        <v>120</v>
      </c>
      <c r="F71" s="16">
        <f t="shared" si="329"/>
        <v>8.2170000000000023</v>
      </c>
      <c r="G71" s="17"/>
      <c r="H71" s="18"/>
      <c r="I71" s="19">
        <f t="shared" si="330"/>
        <v>0</v>
      </c>
      <c r="J71" s="16"/>
      <c r="K71" s="18"/>
      <c r="L71" s="19">
        <f t="shared" si="331"/>
        <v>0</v>
      </c>
      <c r="M71" s="16"/>
      <c r="N71" s="18"/>
      <c r="O71" s="19">
        <f t="shared" si="332"/>
        <v>0</v>
      </c>
      <c r="P71" s="16"/>
      <c r="Q71" s="18"/>
      <c r="R71" s="19">
        <f t="shared" si="333"/>
        <v>0</v>
      </c>
      <c r="S71" s="20">
        <f t="shared" si="334"/>
        <v>0</v>
      </c>
      <c r="T71" s="19">
        <f t="shared" si="335"/>
        <v>0</v>
      </c>
      <c r="U71" s="21">
        <f t="shared" si="336"/>
        <v>120</v>
      </c>
      <c r="V71" s="19">
        <f t="shared" si="337"/>
        <v>8.2170000000000023</v>
      </c>
    </row>
    <row r="72" spans="1:22">
      <c r="A72" s="26" t="s">
        <v>13</v>
      </c>
      <c r="B72" s="26" t="s">
        <v>26</v>
      </c>
      <c r="C72" s="30">
        <v>8.3000000000000007</v>
      </c>
      <c r="D72" s="27">
        <v>8.5500000000000007</v>
      </c>
      <c r="E72" s="28">
        <v>240</v>
      </c>
      <c r="F72" s="16">
        <f t="shared" si="329"/>
        <v>17.031600000000005</v>
      </c>
      <c r="G72" s="17"/>
      <c r="H72" s="18"/>
      <c r="I72" s="19">
        <f t="shared" si="330"/>
        <v>0</v>
      </c>
      <c r="J72" s="16"/>
      <c r="K72" s="18"/>
      <c r="L72" s="19">
        <f t="shared" si="331"/>
        <v>0</v>
      </c>
      <c r="M72" s="16"/>
      <c r="N72" s="18"/>
      <c r="O72" s="19">
        <f t="shared" si="332"/>
        <v>0</v>
      </c>
      <c r="P72" s="16"/>
      <c r="Q72" s="18"/>
      <c r="R72" s="19">
        <f t="shared" si="333"/>
        <v>0</v>
      </c>
      <c r="S72" s="20">
        <f t="shared" si="334"/>
        <v>0</v>
      </c>
      <c r="T72" s="19">
        <f t="shared" si="335"/>
        <v>0</v>
      </c>
      <c r="U72" s="21">
        <f t="shared" si="336"/>
        <v>240</v>
      </c>
      <c r="V72" s="19">
        <f t="shared" si="337"/>
        <v>17.031600000000005</v>
      </c>
    </row>
    <row r="73" spans="1:22">
      <c r="A73" s="36"/>
      <c r="B73" s="36"/>
      <c r="C73" s="37"/>
      <c r="D73" s="38"/>
      <c r="E73" s="31">
        <f t="shared" ref="E73:F73" si="338">SUM(E70:E72)</f>
        <v>600</v>
      </c>
      <c r="F73" s="38">
        <f t="shared" si="338"/>
        <v>40.188600000000008</v>
      </c>
      <c r="G73" s="17"/>
      <c r="H73" s="31">
        <f t="shared" ref="H73" si="339">SUM(H70:H72)</f>
        <v>0</v>
      </c>
      <c r="I73" s="38">
        <f t="shared" ref="I73" si="340">SUM(I70:I72)</f>
        <v>0</v>
      </c>
      <c r="J73" s="16"/>
      <c r="K73" s="31">
        <f t="shared" ref="K73" si="341">SUM(K70:K72)</f>
        <v>0</v>
      </c>
      <c r="L73" s="38">
        <f t="shared" ref="L73" si="342">SUM(L70:L72)</f>
        <v>0</v>
      </c>
      <c r="M73" s="16"/>
      <c r="N73" s="31">
        <f t="shared" ref="N73" si="343">SUM(N70:N72)</f>
        <v>0</v>
      </c>
      <c r="O73" s="38">
        <f t="shared" ref="O73" si="344">SUM(O70:O72)</f>
        <v>0</v>
      </c>
      <c r="P73" s="16"/>
      <c r="Q73" s="31">
        <f t="shared" ref="Q73" si="345">SUM(Q70:Q72)</f>
        <v>0</v>
      </c>
      <c r="R73" s="38">
        <f t="shared" ref="R73" si="346">SUM(R70:R72)</f>
        <v>0</v>
      </c>
      <c r="S73" s="31">
        <f t="shared" ref="S73" si="347">SUM(S70:S72)</f>
        <v>0</v>
      </c>
      <c r="T73" s="38">
        <f t="shared" ref="T73" si="348">SUM(T70:T72)</f>
        <v>0</v>
      </c>
      <c r="U73" s="31">
        <f t="shared" ref="U73" si="349">SUM(U70:U72)</f>
        <v>600</v>
      </c>
      <c r="V73" s="38">
        <f t="shared" ref="V73" si="350">SUM(V70:V72)</f>
        <v>40.188600000000008</v>
      </c>
    </row>
    <row r="74" spans="1:22">
      <c r="A74" s="26" t="s">
        <v>13</v>
      </c>
      <c r="B74" s="26" t="s">
        <v>37</v>
      </c>
      <c r="C74" s="30">
        <v>9.61</v>
      </c>
      <c r="D74" s="27">
        <v>8.1</v>
      </c>
      <c r="E74" s="28">
        <v>120</v>
      </c>
      <c r="F74" s="16">
        <f t="shared" ref="F74:F76" si="351">(C74*D74*E74/1000)</f>
        <v>9.3409200000000006</v>
      </c>
      <c r="G74" s="17"/>
      <c r="H74" s="18"/>
      <c r="I74" s="19">
        <f t="shared" ref="I74:I76" si="352">(C74*D74*H74/1000)</f>
        <v>0</v>
      </c>
      <c r="J74" s="16"/>
      <c r="K74" s="18"/>
      <c r="L74" s="19">
        <f t="shared" ref="L74:L76" si="353">(C74*D74*K74/1000)</f>
        <v>0</v>
      </c>
      <c r="M74" s="16"/>
      <c r="N74" s="18"/>
      <c r="O74" s="19">
        <f t="shared" ref="O74:O76" si="354">(C74*D74*N74/1000)</f>
        <v>0</v>
      </c>
      <c r="P74" s="16"/>
      <c r="Q74" s="18"/>
      <c r="R74" s="19">
        <f t="shared" ref="R74:R76" si="355">(C74*D74*Q74/1000)</f>
        <v>0</v>
      </c>
      <c r="S74" s="20">
        <f t="shared" ref="S74:S76" si="356">+H74+K74+Q74+N74</f>
        <v>0</v>
      </c>
      <c r="T74" s="19">
        <f t="shared" ref="T74:T76" si="357">+I74+L74+R74+O74</f>
        <v>0</v>
      </c>
      <c r="U74" s="21">
        <f t="shared" ref="U74:U76" si="358">E74-S74</f>
        <v>120</v>
      </c>
      <c r="V74" s="19">
        <f t="shared" ref="V74:V76" si="359">F74-T74</f>
        <v>9.3409200000000006</v>
      </c>
    </row>
    <row r="75" spans="1:22">
      <c r="A75" s="26" t="s">
        <v>13</v>
      </c>
      <c r="B75" s="26" t="s">
        <v>37</v>
      </c>
      <c r="C75" s="30">
        <v>9.61</v>
      </c>
      <c r="D75" s="27">
        <v>10.45</v>
      </c>
      <c r="E75" s="28">
        <v>120</v>
      </c>
      <c r="F75" s="16">
        <f t="shared" si="351"/>
        <v>12.050939999999997</v>
      </c>
      <c r="G75" s="17"/>
      <c r="H75" s="18"/>
      <c r="I75" s="19">
        <f t="shared" si="352"/>
        <v>0</v>
      </c>
      <c r="J75" s="16"/>
      <c r="K75" s="18"/>
      <c r="L75" s="19">
        <f t="shared" si="353"/>
        <v>0</v>
      </c>
      <c r="M75" s="16"/>
      <c r="N75" s="18"/>
      <c r="O75" s="19">
        <f t="shared" si="354"/>
        <v>0</v>
      </c>
      <c r="P75" s="16"/>
      <c r="Q75" s="18"/>
      <c r="R75" s="19">
        <f t="shared" si="355"/>
        <v>0</v>
      </c>
      <c r="S75" s="20">
        <f t="shared" si="356"/>
        <v>0</v>
      </c>
      <c r="T75" s="19">
        <f t="shared" si="357"/>
        <v>0</v>
      </c>
      <c r="U75" s="21">
        <f t="shared" si="358"/>
        <v>120</v>
      </c>
      <c r="V75" s="19">
        <f t="shared" si="359"/>
        <v>12.050939999999997</v>
      </c>
    </row>
    <row r="76" spans="1:22">
      <c r="A76" s="26" t="s">
        <v>13</v>
      </c>
      <c r="B76" s="26" t="s">
        <v>37</v>
      </c>
      <c r="C76" s="30">
        <v>9.61</v>
      </c>
      <c r="D76" s="27">
        <v>10.8</v>
      </c>
      <c r="E76" s="28">
        <v>120</v>
      </c>
      <c r="F76" s="16">
        <f t="shared" si="351"/>
        <v>12.454559999999999</v>
      </c>
      <c r="G76" s="17"/>
      <c r="H76" s="18"/>
      <c r="I76" s="19">
        <f t="shared" si="352"/>
        <v>0</v>
      </c>
      <c r="J76" s="16"/>
      <c r="K76" s="18"/>
      <c r="L76" s="19">
        <f t="shared" si="353"/>
        <v>0</v>
      </c>
      <c r="M76" s="16"/>
      <c r="N76" s="18"/>
      <c r="O76" s="19">
        <f t="shared" si="354"/>
        <v>0</v>
      </c>
      <c r="P76" s="16"/>
      <c r="Q76" s="18"/>
      <c r="R76" s="19">
        <f t="shared" si="355"/>
        <v>0</v>
      </c>
      <c r="S76" s="20">
        <f t="shared" si="356"/>
        <v>0</v>
      </c>
      <c r="T76" s="19">
        <f t="shared" si="357"/>
        <v>0</v>
      </c>
      <c r="U76" s="21">
        <f t="shared" si="358"/>
        <v>120</v>
      </c>
      <c r="V76" s="19">
        <f t="shared" si="359"/>
        <v>12.454559999999999</v>
      </c>
    </row>
    <row r="77" spans="1:22">
      <c r="A77" s="36"/>
      <c r="B77" s="36"/>
      <c r="C77" s="37"/>
      <c r="D77" s="38"/>
      <c r="E77" s="31">
        <f t="shared" ref="E77:F77" si="360">SUM(E74:E76)</f>
        <v>360</v>
      </c>
      <c r="F77" s="38">
        <f t="shared" si="360"/>
        <v>33.846419999999995</v>
      </c>
      <c r="G77" s="17"/>
      <c r="H77" s="31">
        <f t="shared" ref="H77" si="361">SUM(H74:H76)</f>
        <v>0</v>
      </c>
      <c r="I77" s="38">
        <f t="shared" ref="I77" si="362">SUM(I74:I76)</f>
        <v>0</v>
      </c>
      <c r="J77" s="16"/>
      <c r="K77" s="31">
        <f t="shared" ref="K77" si="363">SUM(K74:K76)</f>
        <v>0</v>
      </c>
      <c r="L77" s="38">
        <f t="shared" ref="L77" si="364">SUM(L74:L76)</f>
        <v>0</v>
      </c>
      <c r="M77" s="16"/>
      <c r="N77" s="31">
        <f t="shared" ref="N77" si="365">SUM(N74:N76)</f>
        <v>0</v>
      </c>
      <c r="O77" s="38">
        <f t="shared" ref="O77" si="366">SUM(O74:O76)</f>
        <v>0</v>
      </c>
      <c r="P77" s="16"/>
      <c r="Q77" s="31">
        <f t="shared" ref="Q77" si="367">SUM(Q74:Q76)</f>
        <v>0</v>
      </c>
      <c r="R77" s="38">
        <f t="shared" ref="R77" si="368">SUM(R74:R76)</f>
        <v>0</v>
      </c>
      <c r="S77" s="31">
        <f t="shared" ref="S77" si="369">SUM(S74:S76)</f>
        <v>0</v>
      </c>
      <c r="T77" s="38">
        <f t="shared" ref="T77" si="370">SUM(T74:T76)</f>
        <v>0</v>
      </c>
      <c r="U77" s="31">
        <f t="shared" ref="U77" si="371">SUM(U74:U76)</f>
        <v>360</v>
      </c>
      <c r="V77" s="38">
        <f t="shared" ref="V77" si="372">SUM(V74:V76)</f>
        <v>33.846419999999995</v>
      </c>
    </row>
    <row r="78" spans="1:22">
      <c r="A78" s="26" t="s">
        <v>14</v>
      </c>
      <c r="B78" s="26" t="s">
        <v>45</v>
      </c>
      <c r="C78" s="30">
        <v>9.26</v>
      </c>
      <c r="D78" s="27">
        <v>6.4</v>
      </c>
      <c r="E78" s="28">
        <v>240</v>
      </c>
      <c r="F78" s="16">
        <f t="shared" ref="F78:F80" si="373">(C78*D78*E78/1000)</f>
        <v>14.223360000000001</v>
      </c>
      <c r="G78" s="17"/>
      <c r="H78" s="18"/>
      <c r="I78" s="19">
        <f t="shared" ref="I78:I80" si="374">(C78*D78*H78/1000)</f>
        <v>0</v>
      </c>
      <c r="J78" s="16"/>
      <c r="K78" s="18"/>
      <c r="L78" s="19">
        <f t="shared" ref="L78:L80" si="375">(C78*D78*K78/1000)</f>
        <v>0</v>
      </c>
      <c r="M78" s="16"/>
      <c r="N78" s="18"/>
      <c r="O78" s="19">
        <f t="shared" ref="O78:O80" si="376">(C78*D78*N78/1000)</f>
        <v>0</v>
      </c>
      <c r="P78" s="16"/>
      <c r="Q78" s="18"/>
      <c r="R78" s="19">
        <f t="shared" ref="R78:R80" si="377">(C78*D78*Q78/1000)</f>
        <v>0</v>
      </c>
      <c r="S78" s="20">
        <f t="shared" ref="S78:S80" si="378">+H78+K78+Q78+N78</f>
        <v>0</v>
      </c>
      <c r="T78" s="19">
        <f t="shared" ref="T78:T80" si="379">+I78+L78+R78+O78</f>
        <v>0</v>
      </c>
      <c r="U78" s="21">
        <f t="shared" ref="U78:U80" si="380">E78-S78</f>
        <v>240</v>
      </c>
      <c r="V78" s="19">
        <f t="shared" ref="V78:V80" si="381">F78-T78</f>
        <v>14.223360000000001</v>
      </c>
    </row>
    <row r="79" spans="1:22">
      <c r="A79" s="26" t="s">
        <v>14</v>
      </c>
      <c r="B79" s="26" t="s">
        <v>45</v>
      </c>
      <c r="C79" s="30">
        <v>9.26</v>
      </c>
      <c r="D79" s="27">
        <v>6.5</v>
      </c>
      <c r="E79" s="28">
        <v>480</v>
      </c>
      <c r="F79" s="16">
        <f t="shared" si="373"/>
        <v>28.891199999999998</v>
      </c>
      <c r="G79" s="17"/>
      <c r="H79" s="18"/>
      <c r="I79" s="19">
        <f t="shared" si="374"/>
        <v>0</v>
      </c>
      <c r="J79" s="16"/>
      <c r="K79" s="18"/>
      <c r="L79" s="19">
        <f t="shared" si="375"/>
        <v>0</v>
      </c>
      <c r="M79" s="16"/>
      <c r="N79" s="18"/>
      <c r="O79" s="19">
        <f t="shared" si="376"/>
        <v>0</v>
      </c>
      <c r="P79" s="16"/>
      <c r="Q79" s="18"/>
      <c r="R79" s="19">
        <f t="shared" si="377"/>
        <v>0</v>
      </c>
      <c r="S79" s="20">
        <f t="shared" si="378"/>
        <v>0</v>
      </c>
      <c r="T79" s="19">
        <f t="shared" si="379"/>
        <v>0</v>
      </c>
      <c r="U79" s="21">
        <f t="shared" si="380"/>
        <v>480</v>
      </c>
      <c r="V79" s="19">
        <f t="shared" si="381"/>
        <v>28.891199999999998</v>
      </c>
    </row>
    <row r="80" spans="1:22">
      <c r="A80" s="26" t="s">
        <v>14</v>
      </c>
      <c r="B80" s="26" t="s">
        <v>45</v>
      </c>
      <c r="C80" s="30">
        <v>9.26</v>
      </c>
      <c r="D80" s="27">
        <v>9.15</v>
      </c>
      <c r="E80" s="28">
        <v>480</v>
      </c>
      <c r="F80" s="16">
        <f t="shared" si="373"/>
        <v>40.669919999999998</v>
      </c>
      <c r="G80" s="17"/>
      <c r="H80" s="18"/>
      <c r="I80" s="19">
        <f t="shared" si="374"/>
        <v>0</v>
      </c>
      <c r="J80" s="16"/>
      <c r="K80" s="18"/>
      <c r="L80" s="19">
        <f t="shared" si="375"/>
        <v>0</v>
      </c>
      <c r="M80" s="16"/>
      <c r="N80" s="18"/>
      <c r="O80" s="19">
        <f t="shared" si="376"/>
        <v>0</v>
      </c>
      <c r="P80" s="16"/>
      <c r="Q80" s="18"/>
      <c r="R80" s="19">
        <f t="shared" si="377"/>
        <v>0</v>
      </c>
      <c r="S80" s="20">
        <f t="shared" si="378"/>
        <v>0</v>
      </c>
      <c r="T80" s="19">
        <f t="shared" si="379"/>
        <v>0</v>
      </c>
      <c r="U80" s="21">
        <f t="shared" si="380"/>
        <v>480</v>
      </c>
      <c r="V80" s="19">
        <f t="shared" si="381"/>
        <v>40.669919999999998</v>
      </c>
    </row>
    <row r="81" spans="1:22">
      <c r="A81" s="36"/>
      <c r="B81" s="36"/>
      <c r="C81" s="37"/>
      <c r="D81" s="38"/>
      <c r="E81" s="31">
        <f t="shared" ref="E81:F81" si="382">SUM(E78:E80)</f>
        <v>1200</v>
      </c>
      <c r="F81" s="38">
        <f t="shared" si="382"/>
        <v>83.784480000000002</v>
      </c>
      <c r="G81" s="17"/>
      <c r="H81" s="31">
        <f t="shared" ref="H81" si="383">SUM(H78:H80)</f>
        <v>0</v>
      </c>
      <c r="I81" s="38">
        <f t="shared" ref="I81" si="384">SUM(I78:I80)</f>
        <v>0</v>
      </c>
      <c r="J81" s="16"/>
      <c r="K81" s="31">
        <f t="shared" ref="K81" si="385">SUM(K78:K80)</f>
        <v>0</v>
      </c>
      <c r="L81" s="38">
        <f t="shared" ref="L81" si="386">SUM(L78:L80)</f>
        <v>0</v>
      </c>
      <c r="M81" s="16"/>
      <c r="N81" s="31">
        <f t="shared" ref="N81" si="387">SUM(N78:N80)</f>
        <v>0</v>
      </c>
      <c r="O81" s="38">
        <f t="shared" ref="O81" si="388">SUM(O78:O80)</f>
        <v>0</v>
      </c>
      <c r="P81" s="16"/>
      <c r="Q81" s="31">
        <f t="shared" ref="Q81" si="389">SUM(Q78:Q80)</f>
        <v>0</v>
      </c>
      <c r="R81" s="38">
        <f t="shared" ref="R81" si="390">SUM(R78:R80)</f>
        <v>0</v>
      </c>
      <c r="S81" s="31">
        <f t="shared" ref="S81" si="391">SUM(S78:S80)</f>
        <v>0</v>
      </c>
      <c r="T81" s="38">
        <f t="shared" ref="T81" si="392">SUM(T78:T80)</f>
        <v>0</v>
      </c>
      <c r="U81" s="31">
        <f t="shared" ref="U81" si="393">SUM(U78:U80)</f>
        <v>1200</v>
      </c>
      <c r="V81" s="38">
        <f t="shared" ref="V81" si="394">SUM(V78:V80)</f>
        <v>83.784480000000002</v>
      </c>
    </row>
    <row r="82" spans="1:22">
      <c r="A82" s="26" t="s">
        <v>14</v>
      </c>
      <c r="B82" s="26" t="s">
        <v>46</v>
      </c>
      <c r="C82" s="30">
        <v>10.7</v>
      </c>
      <c r="D82" s="27">
        <v>6.45</v>
      </c>
      <c r="E82" s="28">
        <v>240</v>
      </c>
      <c r="F82" s="16">
        <f>(C82*D82*E82/1000)</f>
        <v>16.563599999999997</v>
      </c>
      <c r="G82" s="17"/>
      <c r="H82" s="18"/>
      <c r="I82" s="19">
        <f>(C82*D82*H82/1000)</f>
        <v>0</v>
      </c>
      <c r="J82" s="16"/>
      <c r="K82" s="18"/>
      <c r="L82" s="19">
        <f>(C82*D82*K82/1000)</f>
        <v>0</v>
      </c>
      <c r="M82" s="16"/>
      <c r="N82" s="18"/>
      <c r="O82" s="19">
        <f>(C82*D82*N82/1000)</f>
        <v>0</v>
      </c>
      <c r="P82" s="16"/>
      <c r="Q82" s="18"/>
      <c r="R82" s="19">
        <f>(C82*D82*Q82/1000)</f>
        <v>0</v>
      </c>
      <c r="S82" s="20">
        <f>+H82+K82+Q82+N82</f>
        <v>0</v>
      </c>
      <c r="T82" s="19">
        <f>+I82+L82+R82+O82</f>
        <v>0</v>
      </c>
      <c r="U82" s="21">
        <f>E82-S82</f>
        <v>240</v>
      </c>
      <c r="V82" s="19">
        <f>F82-T82</f>
        <v>16.563599999999997</v>
      </c>
    </row>
    <row r="83" spans="1:22">
      <c r="A83" s="36"/>
      <c r="B83" s="36"/>
      <c r="C83" s="37"/>
      <c r="D83" s="38"/>
      <c r="E83" s="31">
        <f t="shared" ref="E83:F83" si="395">SUM(E82)</f>
        <v>240</v>
      </c>
      <c r="F83" s="38">
        <f t="shared" si="395"/>
        <v>16.563599999999997</v>
      </c>
      <c r="G83" s="17"/>
      <c r="H83" s="31">
        <f t="shared" ref="H83" si="396">SUM(H82)</f>
        <v>0</v>
      </c>
      <c r="I83" s="38">
        <f t="shared" ref="I83" si="397">SUM(I82)</f>
        <v>0</v>
      </c>
      <c r="J83" s="16"/>
      <c r="K83" s="31">
        <f t="shared" ref="K83" si="398">SUM(K82)</f>
        <v>0</v>
      </c>
      <c r="L83" s="38">
        <f t="shared" ref="L83" si="399">SUM(L82)</f>
        <v>0</v>
      </c>
      <c r="M83" s="16"/>
      <c r="N83" s="31">
        <f t="shared" ref="N83" si="400">SUM(N82)</f>
        <v>0</v>
      </c>
      <c r="O83" s="38">
        <f t="shared" ref="O83" si="401">SUM(O82)</f>
        <v>0</v>
      </c>
      <c r="P83" s="16"/>
      <c r="Q83" s="31">
        <f t="shared" ref="Q83" si="402">SUM(Q82)</f>
        <v>0</v>
      </c>
      <c r="R83" s="38">
        <f t="shared" ref="R83" si="403">SUM(R82)</f>
        <v>0</v>
      </c>
      <c r="S83" s="31">
        <f t="shared" ref="S83" si="404">SUM(S82)</f>
        <v>0</v>
      </c>
      <c r="T83" s="38">
        <f t="shared" ref="T83" si="405">SUM(T82)</f>
        <v>0</v>
      </c>
      <c r="U83" s="31">
        <f t="shared" ref="U83" si="406">SUM(U82)</f>
        <v>240</v>
      </c>
      <c r="V83" s="38">
        <f t="shared" ref="V83" si="407">SUM(V82)</f>
        <v>16.563599999999997</v>
      </c>
    </row>
    <row r="84" spans="1:22">
      <c r="A84" s="26" t="s">
        <v>14</v>
      </c>
      <c r="B84" s="26" t="s">
        <v>61</v>
      </c>
      <c r="C84" s="30">
        <v>12.2</v>
      </c>
      <c r="D84" s="27">
        <v>7.95</v>
      </c>
      <c r="E84" s="28">
        <v>120</v>
      </c>
      <c r="F84" s="16">
        <f>(C84*D84*E84/1000)</f>
        <v>11.6388</v>
      </c>
      <c r="G84" s="17"/>
      <c r="H84" s="18"/>
      <c r="I84" s="19">
        <f>(C84*D84*H84/1000)</f>
        <v>0</v>
      </c>
      <c r="J84" s="16"/>
      <c r="K84" s="18"/>
      <c r="L84" s="19">
        <f>(C84*D84*K84/1000)</f>
        <v>0</v>
      </c>
      <c r="M84" s="16"/>
      <c r="N84" s="18"/>
      <c r="O84" s="19">
        <f>(C84*D84*N84/1000)</f>
        <v>0</v>
      </c>
      <c r="P84" s="16"/>
      <c r="Q84" s="18"/>
      <c r="R84" s="19">
        <f>(C84*D84*Q84/1000)</f>
        <v>0</v>
      </c>
      <c r="S84" s="20">
        <f>+H84+K84+Q84+N84</f>
        <v>0</v>
      </c>
      <c r="T84" s="19">
        <f>+I84+L84+R84+O84</f>
        <v>0</v>
      </c>
      <c r="U84" s="21">
        <f>E84-S84</f>
        <v>120</v>
      </c>
      <c r="V84" s="19">
        <f>F84-T84</f>
        <v>11.6388</v>
      </c>
    </row>
    <row r="85" spans="1:22">
      <c r="A85" s="36"/>
      <c r="B85" s="36"/>
      <c r="C85" s="37"/>
      <c r="D85" s="38"/>
      <c r="E85" s="31">
        <f t="shared" ref="E85:F85" si="408">SUM(E84)</f>
        <v>120</v>
      </c>
      <c r="F85" s="38">
        <f t="shared" si="408"/>
        <v>11.6388</v>
      </c>
      <c r="G85" s="17"/>
      <c r="H85" s="31">
        <f t="shared" ref="H85" si="409">SUM(H84)</f>
        <v>0</v>
      </c>
      <c r="I85" s="38">
        <f t="shared" ref="I85" si="410">SUM(I84)</f>
        <v>0</v>
      </c>
      <c r="J85" s="16"/>
      <c r="K85" s="31">
        <f t="shared" ref="K85" si="411">SUM(K84)</f>
        <v>0</v>
      </c>
      <c r="L85" s="38">
        <f t="shared" ref="L85" si="412">SUM(L84)</f>
        <v>0</v>
      </c>
      <c r="M85" s="16"/>
      <c r="N85" s="31">
        <f t="shared" ref="N85" si="413">SUM(N84)</f>
        <v>0</v>
      </c>
      <c r="O85" s="38">
        <f t="shared" ref="O85" si="414">SUM(O84)</f>
        <v>0</v>
      </c>
      <c r="P85" s="16"/>
      <c r="Q85" s="31">
        <f t="shared" ref="Q85" si="415">SUM(Q84)</f>
        <v>0</v>
      </c>
      <c r="R85" s="38">
        <f t="shared" ref="R85" si="416">SUM(R84)</f>
        <v>0</v>
      </c>
      <c r="S85" s="31">
        <f t="shared" ref="S85" si="417">SUM(S84)</f>
        <v>0</v>
      </c>
      <c r="T85" s="38">
        <f t="shared" ref="T85" si="418">SUM(T84)</f>
        <v>0</v>
      </c>
      <c r="U85" s="31">
        <f t="shared" ref="U85" si="419">SUM(U84)</f>
        <v>120</v>
      </c>
      <c r="V85" s="38">
        <f t="shared" ref="V85" si="420">SUM(V84)</f>
        <v>11.6388</v>
      </c>
    </row>
    <row r="86" spans="1:22">
      <c r="A86" s="26" t="s">
        <v>14</v>
      </c>
      <c r="B86" s="26" t="s">
        <v>174</v>
      </c>
      <c r="C86" s="30">
        <v>5.37</v>
      </c>
      <c r="D86" s="27">
        <v>7.95</v>
      </c>
      <c r="E86" s="28">
        <v>260</v>
      </c>
      <c r="F86" s="16">
        <f t="shared" ref="F86:F90" si="421">(C86*D86*E86/1000)</f>
        <v>11.09979</v>
      </c>
      <c r="G86" s="17"/>
      <c r="H86" s="18"/>
      <c r="I86" s="19">
        <f t="shared" ref="I86:I90" si="422">(C86*D86*H86/1000)</f>
        <v>0</v>
      </c>
      <c r="J86" s="16"/>
      <c r="K86" s="18"/>
      <c r="L86" s="19">
        <f t="shared" ref="L86:L90" si="423">(C86*D86*K86/1000)</f>
        <v>0</v>
      </c>
      <c r="M86" s="16"/>
      <c r="N86" s="18"/>
      <c r="O86" s="19">
        <f t="shared" ref="O86:O90" si="424">(C86*D86*N86/1000)</f>
        <v>0</v>
      </c>
      <c r="P86" s="16"/>
      <c r="Q86" s="18"/>
      <c r="R86" s="19">
        <f t="shared" ref="R86:R90" si="425">(C86*D86*Q86/1000)</f>
        <v>0</v>
      </c>
      <c r="S86" s="20">
        <f t="shared" ref="S86:S90" si="426">+H86+K86+Q86+N86</f>
        <v>0</v>
      </c>
      <c r="T86" s="19">
        <f t="shared" ref="T86:T90" si="427">+I86+L86+R86+O86</f>
        <v>0</v>
      </c>
      <c r="U86" s="21">
        <f t="shared" ref="U86:U90" si="428">E86-S86</f>
        <v>260</v>
      </c>
      <c r="V86" s="19">
        <f t="shared" ref="V86:V90" si="429">F86-T86</f>
        <v>11.09979</v>
      </c>
    </row>
    <row r="87" spans="1:22">
      <c r="A87" s="26" t="s">
        <v>14</v>
      </c>
      <c r="B87" s="26" t="s">
        <v>174</v>
      </c>
      <c r="C87" s="30">
        <v>5.37</v>
      </c>
      <c r="D87" s="27">
        <v>9.25</v>
      </c>
      <c r="E87" s="28">
        <v>48</v>
      </c>
      <c r="F87" s="16">
        <f t="shared" si="421"/>
        <v>2.38428</v>
      </c>
      <c r="G87" s="17"/>
      <c r="H87" s="18"/>
      <c r="I87" s="19">
        <f t="shared" si="422"/>
        <v>0</v>
      </c>
      <c r="J87" s="16"/>
      <c r="K87" s="18"/>
      <c r="L87" s="19">
        <f t="shared" si="423"/>
        <v>0</v>
      </c>
      <c r="M87" s="16"/>
      <c r="N87" s="18"/>
      <c r="O87" s="19">
        <f t="shared" si="424"/>
        <v>0</v>
      </c>
      <c r="P87" s="16"/>
      <c r="Q87" s="18"/>
      <c r="R87" s="19">
        <f t="shared" si="425"/>
        <v>0</v>
      </c>
      <c r="S87" s="20">
        <f t="shared" si="426"/>
        <v>0</v>
      </c>
      <c r="T87" s="19">
        <f t="shared" si="427"/>
        <v>0</v>
      </c>
      <c r="U87" s="21">
        <f t="shared" si="428"/>
        <v>48</v>
      </c>
      <c r="V87" s="19">
        <f t="shared" si="429"/>
        <v>2.38428</v>
      </c>
    </row>
    <row r="88" spans="1:22">
      <c r="A88" s="26" t="s">
        <v>14</v>
      </c>
      <c r="B88" s="26" t="s">
        <v>174</v>
      </c>
      <c r="C88" s="30">
        <v>5.37</v>
      </c>
      <c r="D88" s="27">
        <v>11.4</v>
      </c>
      <c r="E88" s="28">
        <v>48</v>
      </c>
      <c r="F88" s="16">
        <f t="shared" si="421"/>
        <v>2.9384639999999997</v>
      </c>
      <c r="G88" s="17"/>
      <c r="H88" s="18"/>
      <c r="I88" s="19">
        <f t="shared" si="422"/>
        <v>0</v>
      </c>
      <c r="J88" s="16"/>
      <c r="K88" s="18"/>
      <c r="L88" s="19">
        <f t="shared" si="423"/>
        <v>0</v>
      </c>
      <c r="M88" s="16"/>
      <c r="N88" s="18"/>
      <c r="O88" s="19">
        <f t="shared" si="424"/>
        <v>0</v>
      </c>
      <c r="P88" s="16"/>
      <c r="Q88" s="18"/>
      <c r="R88" s="19">
        <f t="shared" si="425"/>
        <v>0</v>
      </c>
      <c r="S88" s="20">
        <f t="shared" si="426"/>
        <v>0</v>
      </c>
      <c r="T88" s="19">
        <f t="shared" si="427"/>
        <v>0</v>
      </c>
      <c r="U88" s="21">
        <f t="shared" si="428"/>
        <v>48</v>
      </c>
      <c r="V88" s="19">
        <f t="shared" si="429"/>
        <v>2.9384639999999997</v>
      </c>
    </row>
    <row r="89" spans="1:22">
      <c r="A89" s="26" t="s">
        <v>14</v>
      </c>
      <c r="B89" s="26" t="s">
        <v>174</v>
      </c>
      <c r="C89" s="30">
        <v>5.37</v>
      </c>
      <c r="D89" s="27">
        <v>11.5</v>
      </c>
      <c r="E89" s="28">
        <v>240</v>
      </c>
      <c r="F89" s="16">
        <f t="shared" si="421"/>
        <v>14.821200000000001</v>
      </c>
      <c r="G89" s="17"/>
      <c r="H89" s="18"/>
      <c r="I89" s="19">
        <f t="shared" si="422"/>
        <v>0</v>
      </c>
      <c r="J89" s="16"/>
      <c r="K89" s="18"/>
      <c r="L89" s="19">
        <f t="shared" si="423"/>
        <v>0</v>
      </c>
      <c r="M89" s="16"/>
      <c r="N89" s="18"/>
      <c r="O89" s="19">
        <f t="shared" si="424"/>
        <v>0</v>
      </c>
      <c r="P89" s="16"/>
      <c r="Q89" s="18"/>
      <c r="R89" s="19">
        <f t="shared" si="425"/>
        <v>0</v>
      </c>
      <c r="S89" s="20">
        <f t="shared" si="426"/>
        <v>0</v>
      </c>
      <c r="T89" s="19">
        <f t="shared" si="427"/>
        <v>0</v>
      </c>
      <c r="U89" s="21">
        <f t="shared" si="428"/>
        <v>240</v>
      </c>
      <c r="V89" s="19">
        <f t="shared" si="429"/>
        <v>14.821200000000001</v>
      </c>
    </row>
    <row r="90" spans="1:22">
      <c r="A90" s="26" t="s">
        <v>14</v>
      </c>
      <c r="B90" s="26" t="s">
        <v>174</v>
      </c>
      <c r="C90" s="30">
        <v>5.37</v>
      </c>
      <c r="D90" s="27">
        <v>12</v>
      </c>
      <c r="E90" s="28">
        <v>240</v>
      </c>
      <c r="F90" s="16">
        <f t="shared" si="421"/>
        <v>15.465599999999998</v>
      </c>
      <c r="G90" s="17"/>
      <c r="H90" s="18"/>
      <c r="I90" s="19">
        <f t="shared" si="422"/>
        <v>0</v>
      </c>
      <c r="J90" s="16"/>
      <c r="K90" s="18"/>
      <c r="L90" s="19">
        <f t="shared" si="423"/>
        <v>0</v>
      </c>
      <c r="M90" s="16"/>
      <c r="N90" s="18"/>
      <c r="O90" s="19">
        <f t="shared" si="424"/>
        <v>0</v>
      </c>
      <c r="P90" s="16"/>
      <c r="Q90" s="18"/>
      <c r="R90" s="19">
        <f t="shared" si="425"/>
        <v>0</v>
      </c>
      <c r="S90" s="20">
        <f t="shared" si="426"/>
        <v>0</v>
      </c>
      <c r="T90" s="19">
        <f t="shared" si="427"/>
        <v>0</v>
      </c>
      <c r="U90" s="21">
        <f t="shared" si="428"/>
        <v>240</v>
      </c>
      <c r="V90" s="19">
        <f t="shared" si="429"/>
        <v>15.465599999999998</v>
      </c>
    </row>
    <row r="91" spans="1:22">
      <c r="A91" s="36"/>
      <c r="B91" s="36"/>
      <c r="C91" s="37"/>
      <c r="D91" s="38"/>
      <c r="E91" s="31">
        <f t="shared" ref="E91:F91" si="430">SUM(E86:E90)</f>
        <v>836</v>
      </c>
      <c r="F91" s="38">
        <f t="shared" si="430"/>
        <v>46.709333999999998</v>
      </c>
      <c r="G91" s="17"/>
      <c r="H91" s="31">
        <f t="shared" ref="H91" si="431">SUM(H86:H90)</f>
        <v>0</v>
      </c>
      <c r="I91" s="38">
        <f t="shared" ref="I91" si="432">SUM(I86:I90)</f>
        <v>0</v>
      </c>
      <c r="J91" s="16"/>
      <c r="K91" s="31">
        <f t="shared" ref="K91" si="433">SUM(K86:K90)</f>
        <v>0</v>
      </c>
      <c r="L91" s="38">
        <f t="shared" ref="L91" si="434">SUM(L86:L90)</f>
        <v>0</v>
      </c>
      <c r="M91" s="16"/>
      <c r="N91" s="31">
        <f t="shared" ref="N91" si="435">SUM(N86:N90)</f>
        <v>0</v>
      </c>
      <c r="O91" s="38">
        <f t="shared" ref="O91" si="436">SUM(O86:O90)</f>
        <v>0</v>
      </c>
      <c r="P91" s="16"/>
      <c r="Q91" s="31">
        <f t="shared" ref="Q91" si="437">SUM(Q86:Q90)</f>
        <v>0</v>
      </c>
      <c r="R91" s="38">
        <f t="shared" ref="R91" si="438">SUM(R86:R90)</f>
        <v>0</v>
      </c>
      <c r="S91" s="31">
        <f t="shared" ref="S91" si="439">SUM(S86:S90)</f>
        <v>0</v>
      </c>
      <c r="T91" s="38">
        <f t="shared" ref="T91" si="440">SUM(T86:T90)</f>
        <v>0</v>
      </c>
      <c r="U91" s="31">
        <f t="shared" ref="U91" si="441">SUM(U86:U90)</f>
        <v>836</v>
      </c>
      <c r="V91" s="38">
        <f t="shared" ref="V91" si="442">SUM(V86:V90)</f>
        <v>46.709333999999998</v>
      </c>
    </row>
    <row r="92" spans="1:22">
      <c r="A92" s="26" t="s">
        <v>14</v>
      </c>
      <c r="B92" s="26" t="s">
        <v>181</v>
      </c>
      <c r="C92" s="30">
        <v>6.38</v>
      </c>
      <c r="D92" s="27">
        <v>9</v>
      </c>
      <c r="E92" s="28">
        <v>80</v>
      </c>
      <c r="F92" s="16">
        <f>(C92*D92*E92/1000)</f>
        <v>4.5936000000000003</v>
      </c>
      <c r="G92" s="17"/>
      <c r="H92" s="18"/>
      <c r="I92" s="19">
        <f>(C92*D92*H92/1000)</f>
        <v>0</v>
      </c>
      <c r="J92" s="16"/>
      <c r="K92" s="18"/>
      <c r="L92" s="19">
        <f>(C92*D92*K92/1000)</f>
        <v>0</v>
      </c>
      <c r="M92" s="16"/>
      <c r="N92" s="18"/>
      <c r="O92" s="19">
        <f>(C92*D92*N92/1000)</f>
        <v>0</v>
      </c>
      <c r="P92" s="16"/>
      <c r="Q92" s="18"/>
      <c r="R92" s="19">
        <f>(C92*D92*Q92/1000)</f>
        <v>0</v>
      </c>
      <c r="S92" s="20">
        <f>+H92+K92+Q92+N92</f>
        <v>0</v>
      </c>
      <c r="T92" s="19">
        <f>+I92+L92+R92+O92</f>
        <v>0</v>
      </c>
      <c r="U92" s="21">
        <f>E92-S92</f>
        <v>80</v>
      </c>
      <c r="V92" s="19">
        <f>F92-T92</f>
        <v>4.5936000000000003</v>
      </c>
    </row>
    <row r="93" spans="1:22">
      <c r="A93" s="36"/>
      <c r="B93" s="36"/>
      <c r="C93" s="37"/>
      <c r="D93" s="38"/>
      <c r="E93" s="31">
        <f t="shared" ref="E93:F93" si="443">SUM(E92)</f>
        <v>80</v>
      </c>
      <c r="F93" s="38">
        <f t="shared" si="443"/>
        <v>4.5936000000000003</v>
      </c>
      <c r="G93" s="17"/>
      <c r="H93" s="31">
        <f t="shared" ref="H93" si="444">SUM(H92)</f>
        <v>0</v>
      </c>
      <c r="I93" s="38">
        <f t="shared" ref="I93" si="445">SUM(I92)</f>
        <v>0</v>
      </c>
      <c r="J93" s="16"/>
      <c r="K93" s="31">
        <f t="shared" ref="K93" si="446">SUM(K92)</f>
        <v>0</v>
      </c>
      <c r="L93" s="38">
        <f t="shared" ref="L93" si="447">SUM(L92)</f>
        <v>0</v>
      </c>
      <c r="M93" s="16"/>
      <c r="N93" s="31">
        <f t="shared" ref="N93" si="448">SUM(N92)</f>
        <v>0</v>
      </c>
      <c r="O93" s="38">
        <f t="shared" ref="O93" si="449">SUM(O92)</f>
        <v>0</v>
      </c>
      <c r="P93" s="16"/>
      <c r="Q93" s="31">
        <f t="shared" ref="Q93" si="450">SUM(Q92)</f>
        <v>0</v>
      </c>
      <c r="R93" s="38">
        <f t="shared" ref="R93" si="451">SUM(R92)</f>
        <v>0</v>
      </c>
      <c r="S93" s="31">
        <f t="shared" ref="S93" si="452">SUM(S92)</f>
        <v>0</v>
      </c>
      <c r="T93" s="38">
        <f t="shared" ref="T93" si="453">SUM(T92)</f>
        <v>0</v>
      </c>
      <c r="U93" s="31">
        <f t="shared" ref="U93" si="454">SUM(U92)</f>
        <v>80</v>
      </c>
      <c r="V93" s="38">
        <f t="shared" ref="V93" si="455">SUM(V92)</f>
        <v>4.5936000000000003</v>
      </c>
    </row>
    <row r="94" spans="1:22">
      <c r="A94" s="26" t="s">
        <v>14</v>
      </c>
      <c r="B94" s="26" t="s">
        <v>34</v>
      </c>
      <c r="C94" s="30">
        <v>5.76</v>
      </c>
      <c r="D94" s="27">
        <v>6.95</v>
      </c>
      <c r="E94" s="28">
        <v>640</v>
      </c>
      <c r="F94" s="16">
        <f t="shared" ref="F94:F95" si="456">(C94*D94*E94/1000)</f>
        <v>25.620479999999997</v>
      </c>
      <c r="G94" s="17"/>
      <c r="H94" s="18"/>
      <c r="I94" s="19">
        <f t="shared" ref="I94:I95" si="457">(C94*D94*H94/1000)</f>
        <v>0</v>
      </c>
      <c r="J94" s="16"/>
      <c r="K94" s="18"/>
      <c r="L94" s="19">
        <f t="shared" ref="L94:L95" si="458">(C94*D94*K94/1000)</f>
        <v>0</v>
      </c>
      <c r="M94" s="16"/>
      <c r="N94" s="18"/>
      <c r="O94" s="19">
        <f t="shared" ref="O94:O95" si="459">(C94*D94*N94/1000)</f>
        <v>0</v>
      </c>
      <c r="P94" s="16"/>
      <c r="Q94" s="18"/>
      <c r="R94" s="19">
        <f t="shared" ref="R94:R95" si="460">(C94*D94*Q94/1000)</f>
        <v>0</v>
      </c>
      <c r="S94" s="20">
        <f t="shared" ref="S94:S95" si="461">+H94+K94+Q94+N94</f>
        <v>0</v>
      </c>
      <c r="T94" s="19">
        <f t="shared" ref="T94:T95" si="462">+I94+L94+R94+O94</f>
        <v>0</v>
      </c>
      <c r="U94" s="21">
        <f t="shared" ref="U94:U95" si="463">E94-S94</f>
        <v>640</v>
      </c>
      <c r="V94" s="19">
        <f t="shared" ref="V94:V95" si="464">F94-T94</f>
        <v>25.620479999999997</v>
      </c>
    </row>
    <row r="95" spans="1:22">
      <c r="A95" s="26" t="s">
        <v>14</v>
      </c>
      <c r="B95" s="26" t="s">
        <v>34</v>
      </c>
      <c r="C95" s="30">
        <v>5.76</v>
      </c>
      <c r="D95" s="27">
        <v>10.9</v>
      </c>
      <c r="E95" s="28">
        <v>60</v>
      </c>
      <c r="F95" s="16">
        <f t="shared" si="456"/>
        <v>3.7670400000000002</v>
      </c>
      <c r="G95" s="17"/>
      <c r="H95" s="18"/>
      <c r="I95" s="19">
        <f t="shared" si="457"/>
        <v>0</v>
      </c>
      <c r="J95" s="16"/>
      <c r="K95" s="18"/>
      <c r="L95" s="19">
        <f t="shared" si="458"/>
        <v>0</v>
      </c>
      <c r="M95" s="16"/>
      <c r="N95" s="18"/>
      <c r="O95" s="19">
        <f t="shared" si="459"/>
        <v>0</v>
      </c>
      <c r="P95" s="16"/>
      <c r="Q95" s="18"/>
      <c r="R95" s="19">
        <f t="shared" si="460"/>
        <v>0</v>
      </c>
      <c r="S95" s="20">
        <f t="shared" si="461"/>
        <v>0</v>
      </c>
      <c r="T95" s="19">
        <f t="shared" si="462"/>
        <v>0</v>
      </c>
      <c r="U95" s="21">
        <f t="shared" si="463"/>
        <v>60</v>
      </c>
      <c r="V95" s="19">
        <f t="shared" si="464"/>
        <v>3.7670400000000002</v>
      </c>
    </row>
    <row r="96" spans="1:22">
      <c r="A96" s="36"/>
      <c r="B96" s="36"/>
      <c r="C96" s="37"/>
      <c r="D96" s="38"/>
      <c r="E96" s="31">
        <f t="shared" ref="E96:F96" si="465">SUM(E94:E95)</f>
        <v>700</v>
      </c>
      <c r="F96" s="38">
        <f t="shared" si="465"/>
        <v>29.387519999999999</v>
      </c>
      <c r="G96" s="17"/>
      <c r="H96" s="31">
        <f t="shared" ref="H96" si="466">SUM(H94:H95)</f>
        <v>0</v>
      </c>
      <c r="I96" s="38">
        <f t="shared" ref="I96" si="467">SUM(I94:I95)</f>
        <v>0</v>
      </c>
      <c r="J96" s="16"/>
      <c r="K96" s="31">
        <f t="shared" ref="K96" si="468">SUM(K94:K95)</f>
        <v>0</v>
      </c>
      <c r="L96" s="38">
        <f t="shared" ref="L96" si="469">SUM(L94:L95)</f>
        <v>0</v>
      </c>
      <c r="M96" s="16"/>
      <c r="N96" s="31">
        <f t="shared" ref="N96" si="470">SUM(N94:N95)</f>
        <v>0</v>
      </c>
      <c r="O96" s="38">
        <f t="shared" ref="O96" si="471">SUM(O94:O95)</f>
        <v>0</v>
      </c>
      <c r="P96" s="16"/>
      <c r="Q96" s="31">
        <f t="shared" ref="Q96" si="472">SUM(Q94:Q95)</f>
        <v>0</v>
      </c>
      <c r="R96" s="38">
        <f t="shared" ref="R96" si="473">SUM(R94:R95)</f>
        <v>0</v>
      </c>
      <c r="S96" s="31">
        <f t="shared" ref="S96" si="474">SUM(S94:S95)</f>
        <v>0</v>
      </c>
      <c r="T96" s="38">
        <f t="shared" ref="T96" si="475">SUM(T94:T95)</f>
        <v>0</v>
      </c>
      <c r="U96" s="31">
        <f t="shared" ref="U96" si="476">SUM(U94:U95)</f>
        <v>700</v>
      </c>
      <c r="V96" s="38">
        <f t="shared" ref="V96" si="477">SUM(V94:V95)</f>
        <v>29.387519999999999</v>
      </c>
    </row>
    <row r="97" spans="1:22">
      <c r="A97" s="26" t="s">
        <v>14</v>
      </c>
      <c r="B97" s="26" t="s">
        <v>57</v>
      </c>
      <c r="C97" s="30">
        <v>6.17</v>
      </c>
      <c r="D97" s="27">
        <v>7.4</v>
      </c>
      <c r="E97" s="28">
        <v>60</v>
      </c>
      <c r="F97" s="16">
        <f t="shared" ref="F97:F100" si="478">(C97*D97*E97/1000)</f>
        <v>2.7394799999999999</v>
      </c>
      <c r="G97" s="17"/>
      <c r="H97" s="18">
        <v>53</v>
      </c>
      <c r="I97" s="19">
        <f t="shared" ref="I97:I100" si="479">(C97*D97*H97/1000)</f>
        <v>2.4198740000000001</v>
      </c>
      <c r="J97" s="16"/>
      <c r="K97" s="18"/>
      <c r="L97" s="19">
        <f t="shared" ref="L97:L100" si="480">(C97*D97*K97/1000)</f>
        <v>0</v>
      </c>
      <c r="M97" s="16"/>
      <c r="N97" s="18"/>
      <c r="O97" s="19">
        <f t="shared" ref="O97:O100" si="481">(C97*D97*N97/1000)</f>
        <v>0</v>
      </c>
      <c r="P97" s="16"/>
      <c r="Q97" s="18"/>
      <c r="R97" s="19">
        <f t="shared" ref="R97:R100" si="482">(C97*D97*Q97/1000)</f>
        <v>0</v>
      </c>
      <c r="S97" s="20">
        <f t="shared" ref="S97:S100" si="483">+H97+K97+Q97+N97</f>
        <v>53</v>
      </c>
      <c r="T97" s="19">
        <f t="shared" ref="T97:T100" si="484">+I97+L97+R97+O97</f>
        <v>2.4198740000000001</v>
      </c>
      <c r="U97" s="21">
        <f t="shared" ref="U97:U100" si="485">E97-S97</f>
        <v>7</v>
      </c>
      <c r="V97" s="19">
        <f t="shared" ref="V97:V100" si="486">F97-T97</f>
        <v>0.31960599999999983</v>
      </c>
    </row>
    <row r="98" spans="1:22">
      <c r="A98" s="26" t="s">
        <v>14</v>
      </c>
      <c r="B98" s="26" t="s">
        <v>57</v>
      </c>
      <c r="C98" s="30">
        <v>6.17</v>
      </c>
      <c r="D98" s="27">
        <v>8.4</v>
      </c>
      <c r="E98" s="28">
        <v>160</v>
      </c>
      <c r="F98" s="16">
        <f t="shared" si="478"/>
        <v>8.2924799999999994</v>
      </c>
      <c r="G98" s="17"/>
      <c r="H98" s="18">
        <v>68</v>
      </c>
      <c r="I98" s="19">
        <f t="shared" si="479"/>
        <v>3.5243039999999999</v>
      </c>
      <c r="J98" s="16"/>
      <c r="K98" s="18">
        <v>88</v>
      </c>
      <c r="L98" s="19">
        <f t="shared" si="480"/>
        <v>4.5608640000000005</v>
      </c>
      <c r="M98" s="16"/>
      <c r="N98" s="18"/>
      <c r="O98" s="19">
        <f t="shared" si="481"/>
        <v>0</v>
      </c>
      <c r="P98" s="16"/>
      <c r="Q98" s="18"/>
      <c r="R98" s="19">
        <f t="shared" si="482"/>
        <v>0</v>
      </c>
      <c r="S98" s="20">
        <f t="shared" si="483"/>
        <v>156</v>
      </c>
      <c r="T98" s="19">
        <f t="shared" si="484"/>
        <v>8.0851679999999995</v>
      </c>
      <c r="U98" s="21">
        <f t="shared" si="485"/>
        <v>4</v>
      </c>
      <c r="V98" s="19">
        <f t="shared" si="486"/>
        <v>0.20731199999999994</v>
      </c>
    </row>
    <row r="99" spans="1:22">
      <c r="A99" s="26" t="s">
        <v>14</v>
      </c>
      <c r="B99" s="26" t="s">
        <v>57</v>
      </c>
      <c r="C99" s="30">
        <v>6.17</v>
      </c>
      <c r="D99" s="27">
        <v>11</v>
      </c>
      <c r="E99" s="28">
        <v>120</v>
      </c>
      <c r="F99" s="16">
        <f t="shared" si="478"/>
        <v>8.144400000000001</v>
      </c>
      <c r="G99" s="17"/>
      <c r="H99" s="18">
        <v>122</v>
      </c>
      <c r="I99" s="19">
        <f t="shared" si="479"/>
        <v>8.2801400000000012</v>
      </c>
      <c r="J99" s="16"/>
      <c r="K99" s="18"/>
      <c r="L99" s="19">
        <f t="shared" si="480"/>
        <v>0</v>
      </c>
      <c r="M99" s="16"/>
      <c r="N99" s="18"/>
      <c r="O99" s="19">
        <f t="shared" si="481"/>
        <v>0</v>
      </c>
      <c r="P99" s="16"/>
      <c r="Q99" s="18"/>
      <c r="R99" s="19">
        <f t="shared" si="482"/>
        <v>0</v>
      </c>
      <c r="S99" s="20">
        <f t="shared" si="483"/>
        <v>122</v>
      </c>
      <c r="T99" s="19">
        <f t="shared" si="484"/>
        <v>8.2801400000000012</v>
      </c>
      <c r="U99" s="21">
        <f t="shared" si="485"/>
        <v>-2</v>
      </c>
      <c r="V99" s="19">
        <f t="shared" si="486"/>
        <v>-0.13574000000000019</v>
      </c>
    </row>
    <row r="100" spans="1:22">
      <c r="A100" s="26" t="s">
        <v>14</v>
      </c>
      <c r="B100" s="26" t="s">
        <v>57</v>
      </c>
      <c r="C100" s="30">
        <v>6.17</v>
      </c>
      <c r="D100" s="27">
        <v>11.55</v>
      </c>
      <c r="E100" s="28">
        <v>260</v>
      </c>
      <c r="F100" s="16">
        <f t="shared" si="478"/>
        <v>18.528510000000001</v>
      </c>
      <c r="G100" s="17"/>
      <c r="H100" s="18">
        <v>245</v>
      </c>
      <c r="I100" s="19">
        <f t="shared" si="479"/>
        <v>17.459557500000003</v>
      </c>
      <c r="J100" s="16"/>
      <c r="K100" s="18">
        <v>11</v>
      </c>
      <c r="L100" s="19">
        <f t="shared" si="480"/>
        <v>0.78389850000000016</v>
      </c>
      <c r="M100" s="16"/>
      <c r="N100" s="18"/>
      <c r="O100" s="19">
        <f t="shared" si="481"/>
        <v>0</v>
      </c>
      <c r="P100" s="16"/>
      <c r="Q100" s="18"/>
      <c r="R100" s="19">
        <f t="shared" si="482"/>
        <v>0</v>
      </c>
      <c r="S100" s="20">
        <f t="shared" si="483"/>
        <v>256</v>
      </c>
      <c r="T100" s="19">
        <f t="shared" si="484"/>
        <v>18.243456000000002</v>
      </c>
      <c r="U100" s="21">
        <f t="shared" si="485"/>
        <v>4</v>
      </c>
      <c r="V100" s="19">
        <f t="shared" si="486"/>
        <v>0.28505399999999881</v>
      </c>
    </row>
    <row r="101" spans="1:22">
      <c r="A101" s="36"/>
      <c r="B101" s="36"/>
      <c r="C101" s="37"/>
      <c r="D101" s="38"/>
      <c r="E101" s="31">
        <f t="shared" ref="E101:F101" si="487">SUM(E97:E100)</f>
        <v>600</v>
      </c>
      <c r="F101" s="38">
        <f t="shared" si="487"/>
        <v>37.70487</v>
      </c>
      <c r="G101" s="17"/>
      <c r="H101" s="31">
        <f t="shared" ref="H101" si="488">SUM(H97:H100)</f>
        <v>488</v>
      </c>
      <c r="I101" s="38">
        <f t="shared" ref="I101" si="489">SUM(I97:I100)</f>
        <v>31.683875500000003</v>
      </c>
      <c r="J101" s="16"/>
      <c r="K101" s="31">
        <f t="shared" ref="K101" si="490">SUM(K97:K100)</f>
        <v>99</v>
      </c>
      <c r="L101" s="38">
        <f t="shared" ref="L101" si="491">SUM(L97:L100)</f>
        <v>5.3447625000000007</v>
      </c>
      <c r="M101" s="16"/>
      <c r="N101" s="31">
        <f t="shared" ref="N101" si="492">SUM(N97:N100)</f>
        <v>0</v>
      </c>
      <c r="O101" s="38">
        <f t="shared" ref="O101" si="493">SUM(O97:O100)</f>
        <v>0</v>
      </c>
      <c r="P101" s="16"/>
      <c r="Q101" s="31">
        <f t="shared" ref="Q101" si="494">SUM(Q97:Q100)</f>
        <v>0</v>
      </c>
      <c r="R101" s="38">
        <f t="shared" ref="R101" si="495">SUM(R97:R100)</f>
        <v>0</v>
      </c>
      <c r="S101" s="31">
        <f t="shared" ref="S101" si="496">SUM(S97:S100)</f>
        <v>587</v>
      </c>
      <c r="T101" s="38">
        <f t="shared" ref="T101" si="497">SUM(T97:T100)</f>
        <v>37.028638000000001</v>
      </c>
      <c r="U101" s="31">
        <f t="shared" ref="U101" si="498">SUM(U97:U100)</f>
        <v>13</v>
      </c>
      <c r="V101" s="38">
        <f t="shared" ref="V101" si="499">SUM(V97:V100)</f>
        <v>0.67623199999999839</v>
      </c>
    </row>
    <row r="102" spans="1:22">
      <c r="A102" s="26" t="s">
        <v>14</v>
      </c>
      <c r="B102" s="26" t="s">
        <v>58</v>
      </c>
      <c r="C102" s="30">
        <v>7.36</v>
      </c>
      <c r="D102" s="27">
        <v>7.55</v>
      </c>
      <c r="E102" s="28">
        <v>240</v>
      </c>
      <c r="F102" s="16">
        <f t="shared" ref="F102:F103" si="500">(C102*D102*E102/1000)</f>
        <v>13.336319999999999</v>
      </c>
      <c r="G102" s="17"/>
      <c r="H102" s="18"/>
      <c r="I102" s="19">
        <f t="shared" ref="I102:I103" si="501">(C102*D102*H102/1000)</f>
        <v>0</v>
      </c>
      <c r="J102" s="16"/>
      <c r="K102" s="18"/>
      <c r="L102" s="19">
        <f t="shared" ref="L102:L103" si="502">(C102*D102*K102/1000)</f>
        <v>0</v>
      </c>
      <c r="M102" s="16"/>
      <c r="N102" s="18"/>
      <c r="O102" s="19">
        <f t="shared" ref="O102:O103" si="503">(C102*D102*N102/1000)</f>
        <v>0</v>
      </c>
      <c r="P102" s="16"/>
      <c r="Q102" s="18"/>
      <c r="R102" s="19">
        <f t="shared" ref="R102:R103" si="504">(C102*D102*Q102/1000)</f>
        <v>0</v>
      </c>
      <c r="S102" s="20">
        <f t="shared" ref="S102:S103" si="505">+H102+K102+Q102+N102</f>
        <v>0</v>
      </c>
      <c r="T102" s="19">
        <f t="shared" ref="T102:T103" si="506">+I102+L102+R102+O102</f>
        <v>0</v>
      </c>
      <c r="U102" s="21">
        <f t="shared" ref="U102:U103" si="507">E102-S102</f>
        <v>240</v>
      </c>
      <c r="V102" s="19">
        <f t="shared" ref="V102:V103" si="508">F102-T102</f>
        <v>13.336319999999999</v>
      </c>
    </row>
    <row r="103" spans="1:22">
      <c r="A103" s="26" t="s">
        <v>14</v>
      </c>
      <c r="B103" s="26" t="s">
        <v>58</v>
      </c>
      <c r="C103" s="30">
        <v>7.36</v>
      </c>
      <c r="D103" s="27">
        <v>10.15</v>
      </c>
      <c r="E103" s="28">
        <v>120</v>
      </c>
      <c r="F103" s="16">
        <f t="shared" si="500"/>
        <v>8.9644800000000018</v>
      </c>
      <c r="G103" s="17"/>
      <c r="H103" s="18"/>
      <c r="I103" s="19">
        <f t="shared" si="501"/>
        <v>0</v>
      </c>
      <c r="J103" s="16"/>
      <c r="K103" s="18"/>
      <c r="L103" s="19">
        <f t="shared" si="502"/>
        <v>0</v>
      </c>
      <c r="M103" s="16"/>
      <c r="N103" s="18"/>
      <c r="O103" s="19">
        <f t="shared" si="503"/>
        <v>0</v>
      </c>
      <c r="P103" s="16"/>
      <c r="Q103" s="18"/>
      <c r="R103" s="19">
        <f t="shared" si="504"/>
        <v>0</v>
      </c>
      <c r="S103" s="20">
        <f t="shared" si="505"/>
        <v>0</v>
      </c>
      <c r="T103" s="19">
        <f t="shared" si="506"/>
        <v>0</v>
      </c>
      <c r="U103" s="21">
        <f t="shared" si="507"/>
        <v>120</v>
      </c>
      <c r="V103" s="19">
        <f t="shared" si="508"/>
        <v>8.9644800000000018</v>
      </c>
    </row>
    <row r="104" spans="1:22">
      <c r="A104" s="36"/>
      <c r="B104" s="36"/>
      <c r="C104" s="37"/>
      <c r="D104" s="38"/>
      <c r="E104" s="31">
        <f t="shared" ref="E104:F104" si="509">SUM(E102:E103)</f>
        <v>360</v>
      </c>
      <c r="F104" s="38">
        <f t="shared" si="509"/>
        <v>22.300800000000002</v>
      </c>
      <c r="H104" s="31">
        <f t="shared" ref="H104" si="510">SUM(H102:H103)</f>
        <v>0</v>
      </c>
      <c r="I104" s="38">
        <f t="shared" ref="I104" si="511">SUM(I102:I103)</f>
        <v>0</v>
      </c>
      <c r="K104" s="31">
        <f t="shared" ref="K104" si="512">SUM(K102:K103)</f>
        <v>0</v>
      </c>
      <c r="L104" s="38">
        <f t="shared" ref="L104" si="513">SUM(L102:L103)</f>
        <v>0</v>
      </c>
      <c r="N104" s="31">
        <f t="shared" ref="N104" si="514">SUM(N102:N103)</f>
        <v>0</v>
      </c>
      <c r="O104" s="38">
        <f t="shared" ref="O104" si="515">SUM(O102:O103)</f>
        <v>0</v>
      </c>
      <c r="Q104" s="31">
        <f t="shared" ref="Q104" si="516">SUM(Q102:Q103)</f>
        <v>0</v>
      </c>
      <c r="R104" s="38">
        <f t="shared" ref="R104" si="517">SUM(R102:R103)</f>
        <v>0</v>
      </c>
      <c r="S104" s="31">
        <f t="shared" ref="S104" si="518">SUM(S102:S103)</f>
        <v>0</v>
      </c>
      <c r="T104" s="38">
        <f t="shared" ref="T104" si="519">SUM(T102:T103)</f>
        <v>0</v>
      </c>
      <c r="U104" s="31">
        <f t="shared" ref="U104" si="520">SUM(U102:U103)</f>
        <v>360</v>
      </c>
      <c r="V104" s="38">
        <f t="shared" ref="V104" si="521">SUM(V102:V103)</f>
        <v>22.300800000000002</v>
      </c>
    </row>
    <row r="105" spans="1:22">
      <c r="A105" s="26" t="s">
        <v>14</v>
      </c>
      <c r="B105" s="26" t="s">
        <v>26</v>
      </c>
      <c r="C105" s="30">
        <v>8.3000000000000007</v>
      </c>
      <c r="D105" s="27">
        <v>7.15</v>
      </c>
      <c r="E105" s="28">
        <v>120</v>
      </c>
      <c r="F105" s="16">
        <f t="shared" ref="F105:F107" si="522">(C105*D105*E105/1000)</f>
        <v>7.1214000000000004</v>
      </c>
      <c r="G105" s="17"/>
      <c r="H105" s="18"/>
      <c r="I105" s="19">
        <f t="shared" ref="I105:I107" si="523">(C105*D105*H105/1000)</f>
        <v>0</v>
      </c>
      <c r="J105" s="16"/>
      <c r="K105" s="18"/>
      <c r="L105" s="19">
        <f t="shared" ref="L105:L107" si="524">(C105*D105*K105/1000)</f>
        <v>0</v>
      </c>
      <c r="M105" s="16"/>
      <c r="N105" s="18"/>
      <c r="O105" s="19">
        <f t="shared" ref="O105:O107" si="525">(C105*D105*N105/1000)</f>
        <v>0</v>
      </c>
      <c r="P105" s="16"/>
      <c r="Q105" s="18"/>
      <c r="R105" s="19">
        <f t="shared" ref="R105:R107" si="526">(C105*D105*Q105/1000)</f>
        <v>0</v>
      </c>
      <c r="S105" s="20">
        <f t="shared" ref="S105:S107" si="527">+H105+K105+Q105+N105</f>
        <v>0</v>
      </c>
      <c r="T105" s="19">
        <f t="shared" ref="T105:T107" si="528">+I105+L105+R105+O105</f>
        <v>0</v>
      </c>
      <c r="U105" s="21">
        <f t="shared" ref="U105:U107" si="529">E105-S105</f>
        <v>120</v>
      </c>
      <c r="V105" s="19">
        <f t="shared" ref="V105:V107" si="530">F105-T105</f>
        <v>7.1214000000000004</v>
      </c>
    </row>
    <row r="106" spans="1:22">
      <c r="A106" s="26" t="s">
        <v>14</v>
      </c>
      <c r="B106" s="26" t="s">
        <v>26</v>
      </c>
      <c r="C106" s="30">
        <v>8.3000000000000007</v>
      </c>
      <c r="D106" s="27">
        <v>10.199999999999999</v>
      </c>
      <c r="E106" s="28">
        <v>240</v>
      </c>
      <c r="F106" s="16">
        <f t="shared" si="522"/>
        <v>20.318399999999997</v>
      </c>
      <c r="G106" s="17"/>
      <c r="H106" s="18"/>
      <c r="I106" s="19">
        <f t="shared" si="523"/>
        <v>0</v>
      </c>
      <c r="J106" s="16"/>
      <c r="K106" s="18"/>
      <c r="L106" s="19">
        <f t="shared" si="524"/>
        <v>0</v>
      </c>
      <c r="M106" s="16"/>
      <c r="N106" s="18"/>
      <c r="O106" s="19">
        <f t="shared" si="525"/>
        <v>0</v>
      </c>
      <c r="P106" s="16"/>
      <c r="Q106" s="18"/>
      <c r="R106" s="19">
        <f t="shared" si="526"/>
        <v>0</v>
      </c>
      <c r="S106" s="20">
        <f t="shared" si="527"/>
        <v>0</v>
      </c>
      <c r="T106" s="19">
        <f t="shared" si="528"/>
        <v>0</v>
      </c>
      <c r="U106" s="21">
        <f t="shared" si="529"/>
        <v>240</v>
      </c>
      <c r="V106" s="19">
        <f t="shared" si="530"/>
        <v>20.318399999999997</v>
      </c>
    </row>
    <row r="107" spans="1:22">
      <c r="A107" s="26" t="s">
        <v>14</v>
      </c>
      <c r="B107" s="26" t="s">
        <v>26</v>
      </c>
      <c r="C107" s="30">
        <v>8.3000000000000007</v>
      </c>
      <c r="D107" s="27">
        <v>10.4</v>
      </c>
      <c r="E107" s="28">
        <v>240</v>
      </c>
      <c r="F107" s="16">
        <f t="shared" si="522"/>
        <v>20.716800000000003</v>
      </c>
      <c r="G107" s="17"/>
      <c r="H107" s="18"/>
      <c r="I107" s="19">
        <f t="shared" si="523"/>
        <v>0</v>
      </c>
      <c r="J107" s="16"/>
      <c r="K107" s="18"/>
      <c r="L107" s="19">
        <f t="shared" si="524"/>
        <v>0</v>
      </c>
      <c r="M107" s="16"/>
      <c r="N107" s="18"/>
      <c r="O107" s="19">
        <f t="shared" si="525"/>
        <v>0</v>
      </c>
      <c r="P107" s="16"/>
      <c r="Q107" s="18"/>
      <c r="R107" s="19">
        <f t="shared" si="526"/>
        <v>0</v>
      </c>
      <c r="S107" s="20">
        <f t="shared" si="527"/>
        <v>0</v>
      </c>
      <c r="T107" s="19">
        <f t="shared" si="528"/>
        <v>0</v>
      </c>
      <c r="U107" s="21">
        <f t="shared" si="529"/>
        <v>240</v>
      </c>
      <c r="V107" s="19">
        <f t="shared" si="530"/>
        <v>20.716800000000003</v>
      </c>
    </row>
    <row r="108" spans="1:22">
      <c r="A108" s="36"/>
      <c r="B108" s="36"/>
      <c r="C108" s="37"/>
      <c r="D108" s="38"/>
      <c r="E108" s="31">
        <f t="shared" ref="E108:F108" si="531">SUM(E105:E107)</f>
        <v>600</v>
      </c>
      <c r="F108" s="38">
        <f t="shared" si="531"/>
        <v>48.156599999999997</v>
      </c>
      <c r="H108" s="31">
        <f t="shared" ref="H108" si="532">SUM(H105:H107)</f>
        <v>0</v>
      </c>
      <c r="I108" s="38">
        <f t="shared" ref="I108" si="533">SUM(I105:I107)</f>
        <v>0</v>
      </c>
      <c r="K108" s="31">
        <f t="shared" ref="K108" si="534">SUM(K105:K107)</f>
        <v>0</v>
      </c>
      <c r="L108" s="38">
        <f t="shared" ref="L108" si="535">SUM(L105:L107)</f>
        <v>0</v>
      </c>
      <c r="N108" s="31">
        <f t="shared" ref="N108" si="536">SUM(N105:N107)</f>
        <v>0</v>
      </c>
      <c r="O108" s="38">
        <f t="shared" ref="O108" si="537">SUM(O105:O107)</f>
        <v>0</v>
      </c>
      <c r="Q108" s="31">
        <f t="shared" ref="Q108" si="538">SUM(Q105:Q107)</f>
        <v>0</v>
      </c>
      <c r="R108" s="38">
        <f t="shared" ref="R108" si="539">SUM(R105:R107)</f>
        <v>0</v>
      </c>
      <c r="S108" s="31">
        <f t="shared" ref="S108" si="540">SUM(S105:S107)</f>
        <v>0</v>
      </c>
      <c r="T108" s="38">
        <f t="shared" ref="T108" si="541">SUM(T105:T107)</f>
        <v>0</v>
      </c>
      <c r="U108" s="31">
        <f t="shared" ref="U108" si="542">SUM(U105:U107)</f>
        <v>600</v>
      </c>
      <c r="V108" s="38">
        <f t="shared" ref="V108" si="543">SUM(V105:V107)</f>
        <v>48.156599999999997</v>
      </c>
    </row>
    <row r="109" spans="1:22">
      <c r="A109" s="26" t="s">
        <v>14</v>
      </c>
      <c r="B109" s="26" t="s">
        <v>37</v>
      </c>
      <c r="C109" s="30">
        <v>9.61</v>
      </c>
      <c r="D109" s="27">
        <v>6.4</v>
      </c>
      <c r="E109" s="28">
        <v>240</v>
      </c>
      <c r="F109" s="16">
        <f t="shared" ref="F109:F110" si="544">(C109*D109*E109/1000)</f>
        <v>14.760959999999999</v>
      </c>
      <c r="G109" s="17"/>
      <c r="H109" s="18"/>
      <c r="I109" s="19">
        <f t="shared" ref="I109:I110" si="545">(C109*D109*H109/1000)</f>
        <v>0</v>
      </c>
      <c r="J109" s="16"/>
      <c r="K109" s="18"/>
      <c r="L109" s="19">
        <f t="shared" ref="L109:L110" si="546">(C109*D109*K109/1000)</f>
        <v>0</v>
      </c>
      <c r="M109" s="16"/>
      <c r="N109" s="18"/>
      <c r="O109" s="19">
        <f t="shared" ref="O109:O110" si="547">(C109*D109*N109/1000)</f>
        <v>0</v>
      </c>
      <c r="P109" s="16"/>
      <c r="Q109" s="18"/>
      <c r="R109" s="19">
        <f t="shared" ref="R109:R110" si="548">(C109*D109*Q109/1000)</f>
        <v>0</v>
      </c>
      <c r="S109" s="20">
        <f t="shared" ref="S109:S110" si="549">+H109+K109+Q109+N109</f>
        <v>0</v>
      </c>
      <c r="T109" s="19">
        <f t="shared" ref="T109:T110" si="550">+I109+L109+R109+O109</f>
        <v>0</v>
      </c>
      <c r="U109" s="21">
        <f t="shared" ref="U109:U110" si="551">E109-S109</f>
        <v>240</v>
      </c>
      <c r="V109" s="19">
        <f t="shared" ref="V109:V110" si="552">F109-T109</f>
        <v>14.760959999999999</v>
      </c>
    </row>
    <row r="110" spans="1:22">
      <c r="A110" s="26" t="s">
        <v>14</v>
      </c>
      <c r="B110" s="26" t="s">
        <v>37</v>
      </c>
      <c r="C110" s="30">
        <v>9.61</v>
      </c>
      <c r="D110" s="27">
        <v>6.55</v>
      </c>
      <c r="E110" s="28">
        <v>240</v>
      </c>
      <c r="F110" s="16">
        <f t="shared" si="544"/>
        <v>15.106919999999999</v>
      </c>
      <c r="G110" s="17"/>
      <c r="H110" s="18"/>
      <c r="I110" s="19">
        <f t="shared" si="545"/>
        <v>0</v>
      </c>
      <c r="J110" s="16"/>
      <c r="K110" s="18"/>
      <c r="L110" s="19">
        <f t="shared" si="546"/>
        <v>0</v>
      </c>
      <c r="M110" s="16"/>
      <c r="N110" s="18"/>
      <c r="O110" s="19">
        <f t="shared" si="547"/>
        <v>0</v>
      </c>
      <c r="P110" s="16"/>
      <c r="Q110" s="18"/>
      <c r="R110" s="19">
        <f t="shared" si="548"/>
        <v>0</v>
      </c>
      <c r="S110" s="20">
        <f t="shared" si="549"/>
        <v>0</v>
      </c>
      <c r="T110" s="19">
        <f t="shared" si="550"/>
        <v>0</v>
      </c>
      <c r="U110" s="21">
        <f t="shared" si="551"/>
        <v>240</v>
      </c>
      <c r="V110" s="19">
        <f t="shared" si="552"/>
        <v>15.106919999999999</v>
      </c>
    </row>
    <row r="111" spans="1:22">
      <c r="A111" s="36"/>
      <c r="B111" s="36"/>
      <c r="C111" s="37"/>
      <c r="D111" s="38"/>
      <c r="E111" s="31">
        <f t="shared" ref="E111:F111" si="553">SUM(E109:E110)</f>
        <v>480</v>
      </c>
      <c r="F111" s="38">
        <f t="shared" si="553"/>
        <v>29.86788</v>
      </c>
      <c r="H111" s="31">
        <f t="shared" ref="H111" si="554">SUM(H109:H110)</f>
        <v>0</v>
      </c>
      <c r="I111" s="38">
        <f t="shared" ref="I111" si="555">SUM(I109:I110)</f>
        <v>0</v>
      </c>
      <c r="K111" s="31">
        <f t="shared" ref="K111" si="556">SUM(K109:K110)</f>
        <v>0</v>
      </c>
      <c r="L111" s="38">
        <f t="shared" ref="L111" si="557">SUM(L109:L110)</f>
        <v>0</v>
      </c>
      <c r="N111" s="31">
        <f t="shared" ref="N111" si="558">SUM(N109:N110)</f>
        <v>0</v>
      </c>
      <c r="O111" s="38">
        <f t="shared" ref="O111" si="559">SUM(O109:O110)</f>
        <v>0</v>
      </c>
      <c r="Q111" s="31">
        <f t="shared" ref="Q111" si="560">SUM(Q109:Q110)</f>
        <v>0</v>
      </c>
      <c r="R111" s="38">
        <f t="shared" ref="R111" si="561">SUM(R109:R110)</f>
        <v>0</v>
      </c>
      <c r="S111" s="31">
        <f t="shared" ref="S111" si="562">SUM(S109:S110)</f>
        <v>0</v>
      </c>
      <c r="T111" s="38">
        <f t="shared" ref="T111" si="563">SUM(T109:T110)</f>
        <v>0</v>
      </c>
      <c r="U111" s="31">
        <f t="shared" ref="U111" si="564">SUM(U109:U110)</f>
        <v>480</v>
      </c>
      <c r="V111" s="38">
        <f t="shared" ref="V111" si="565">SUM(V109:V110)</f>
        <v>29.86788</v>
      </c>
    </row>
    <row r="112" spans="1:22">
      <c r="A112" s="33"/>
      <c r="B112" s="33"/>
      <c r="C112" s="34"/>
      <c r="D112" s="34"/>
      <c r="E112" s="34">
        <f>SUM(E6:E111)/2</f>
        <v>13547</v>
      </c>
      <c r="F112" s="35">
        <f>SUM(F6:F111)/2</f>
        <v>1528.1373220000005</v>
      </c>
      <c r="H112" s="34">
        <f>SUM(H6:H111)/2</f>
        <v>1032</v>
      </c>
      <c r="I112" s="35">
        <f>SUM(I6:I111)/2</f>
        <v>158.62910049999999</v>
      </c>
      <c r="K112" s="34">
        <f>SUM(K6:K111)/2</f>
        <v>99</v>
      </c>
      <c r="L112" s="35">
        <f>SUM(L6:L111)/2</f>
        <v>5.3447625000000007</v>
      </c>
      <c r="N112" s="34">
        <f>SUM(N6:N111)/2</f>
        <v>0</v>
      </c>
      <c r="O112" s="35">
        <f>SUM(O6:O111)/2</f>
        <v>0</v>
      </c>
      <c r="Q112" s="34">
        <f t="shared" ref="Q112:V112" si="566">SUM(Q6:Q111)/2</f>
        <v>0</v>
      </c>
      <c r="R112" s="35">
        <f t="shared" si="566"/>
        <v>0</v>
      </c>
      <c r="S112" s="34">
        <f t="shared" si="566"/>
        <v>1131</v>
      </c>
      <c r="T112" s="35">
        <f t="shared" si="566"/>
        <v>163.97386299999999</v>
      </c>
      <c r="U112" s="34">
        <f t="shared" si="566"/>
        <v>12416</v>
      </c>
      <c r="V112" s="35">
        <f t="shared" si="566"/>
        <v>1364.1634590000006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V26"/>
  <sheetViews>
    <sheetView zoomScale="75" zoomScaleNormal="75" workbookViewId="0">
      <pane ySplit="5" topLeftCell="A8" activePane="bottomLeft" state="frozen"/>
      <selection pane="bottomLeft" activeCell="H35" sqref="H3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LOI-1395  27.12.23</v>
      </c>
      <c r="D1" s="1"/>
      <c r="E1" s="2"/>
      <c r="F1" s="2"/>
      <c r="G1" s="143" t="s">
        <v>589</v>
      </c>
      <c r="H1" s="144"/>
      <c r="I1" s="145" t="s">
        <v>590</v>
      </c>
      <c r="J1" s="144"/>
      <c r="K1" s="3"/>
      <c r="L1" s="4"/>
      <c r="M1" s="4"/>
      <c r="N1" s="3"/>
      <c r="O1" s="4"/>
      <c r="P1" s="146" t="str">
        <f>+F2</f>
        <v>LOI-1395  27.12.23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591</v>
      </c>
      <c r="B2" s="8"/>
      <c r="C2" s="9"/>
      <c r="D2" s="9"/>
      <c r="E2" s="10"/>
      <c r="F2" s="146" t="s">
        <v>592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LOI-1395  27.12.23</v>
      </c>
      <c r="V2" s="146"/>
    </row>
    <row r="3" spans="1:22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14</v>
      </c>
      <c r="B6" s="26" t="s">
        <v>60</v>
      </c>
      <c r="C6" s="30">
        <v>15.04</v>
      </c>
      <c r="D6" s="27">
        <v>8.1</v>
      </c>
      <c r="E6" s="28">
        <v>2</v>
      </c>
      <c r="F6" s="16">
        <f t="shared" ref="F6:F7" si="0">(C6*D6*E6/1000)</f>
        <v>0.24364799999999998</v>
      </c>
      <c r="G6" s="17"/>
      <c r="H6" s="18"/>
      <c r="I6" s="19">
        <f t="shared" ref="I6:I7" si="1">(C6*D6*H6/1000)</f>
        <v>0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0</v>
      </c>
      <c r="T6" s="19">
        <f t="shared" si="5"/>
        <v>0</v>
      </c>
      <c r="U6" s="21">
        <f t="shared" ref="U6:V7" si="6">E6-S6</f>
        <v>2</v>
      </c>
      <c r="V6" s="19">
        <f t="shared" si="6"/>
        <v>0.24364799999999998</v>
      </c>
    </row>
    <row r="7" spans="1:22">
      <c r="A7" s="26" t="s">
        <v>14</v>
      </c>
      <c r="B7" s="26" t="s">
        <v>60</v>
      </c>
      <c r="C7" s="30">
        <v>15.04</v>
      </c>
      <c r="D7" s="27">
        <v>8.4</v>
      </c>
      <c r="E7" s="28">
        <v>7</v>
      </c>
      <c r="F7" s="16">
        <f t="shared" si="0"/>
        <v>0.88435200000000003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7</v>
      </c>
      <c r="V7" s="19">
        <f t="shared" si="6"/>
        <v>0.88435200000000003</v>
      </c>
    </row>
    <row r="8" spans="1:22">
      <c r="A8" s="36"/>
      <c r="B8" s="36"/>
      <c r="C8" s="37"/>
      <c r="D8" s="38"/>
      <c r="E8" s="31">
        <f t="shared" ref="E8:F8" si="7">SUM(E6:E7)</f>
        <v>9</v>
      </c>
      <c r="F8" s="38">
        <f t="shared" si="7"/>
        <v>1.1280000000000001</v>
      </c>
      <c r="G8" s="16"/>
      <c r="H8" s="31">
        <f t="shared" ref="H8:I8" si="8">SUM(H6:H7)</f>
        <v>0</v>
      </c>
      <c r="I8" s="38">
        <f t="shared" si="8"/>
        <v>0</v>
      </c>
      <c r="J8" s="16"/>
      <c r="K8" s="31">
        <f t="shared" ref="K8:L8" si="9">SUM(K6:K7)</f>
        <v>0</v>
      </c>
      <c r="L8" s="38">
        <f t="shared" si="9"/>
        <v>0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0</v>
      </c>
      <c r="T8" s="38">
        <f t="shared" si="11"/>
        <v>0</v>
      </c>
      <c r="U8" s="31">
        <f t="shared" si="11"/>
        <v>9</v>
      </c>
      <c r="V8" s="38">
        <f t="shared" si="11"/>
        <v>1.1280000000000001</v>
      </c>
    </row>
    <row r="9" spans="1:22">
      <c r="A9" s="26" t="s">
        <v>14</v>
      </c>
      <c r="B9" s="26" t="s">
        <v>45</v>
      </c>
      <c r="C9" s="30">
        <v>9.26</v>
      </c>
      <c r="D9" s="27">
        <v>11.1</v>
      </c>
      <c r="E9" s="28">
        <v>4</v>
      </c>
      <c r="F9" s="16">
        <f>(C9*D9*E9/1000)</f>
        <v>0.41114400000000001</v>
      </c>
      <c r="G9" s="17"/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4</v>
      </c>
      <c r="V9" s="19">
        <f>F9-T9</f>
        <v>0.41114400000000001</v>
      </c>
    </row>
    <row r="10" spans="1:22">
      <c r="A10" s="36"/>
      <c r="B10" s="36"/>
      <c r="C10" s="37"/>
      <c r="D10" s="38"/>
      <c r="E10" s="31">
        <f t="shared" ref="E10:F10" si="12">SUM(E9)</f>
        <v>4</v>
      </c>
      <c r="F10" s="38">
        <f t="shared" si="12"/>
        <v>0.41114400000000001</v>
      </c>
      <c r="G10" s="26"/>
      <c r="H10" s="31">
        <f t="shared" ref="H10:I10" si="13">SUM(H9)</f>
        <v>0</v>
      </c>
      <c r="I10" s="38">
        <f t="shared" si="13"/>
        <v>0</v>
      </c>
      <c r="J10" s="26"/>
      <c r="K10" s="31">
        <f t="shared" ref="K10:L10" si="14">SUM(K9)</f>
        <v>0</v>
      </c>
      <c r="L10" s="38">
        <f t="shared" si="14"/>
        <v>0</v>
      </c>
      <c r="M10" s="26"/>
      <c r="N10" s="31">
        <f t="shared" ref="N10:O10" si="15">SUM(N9)</f>
        <v>0</v>
      </c>
      <c r="O10" s="38">
        <f t="shared" si="15"/>
        <v>0</v>
      </c>
      <c r="P10" s="26"/>
      <c r="Q10" s="31">
        <f t="shared" ref="Q10:V10" si="16">SUM(Q9)</f>
        <v>0</v>
      </c>
      <c r="R10" s="38">
        <f t="shared" si="16"/>
        <v>0</v>
      </c>
      <c r="S10" s="31">
        <f t="shared" si="16"/>
        <v>0</v>
      </c>
      <c r="T10" s="38">
        <f t="shared" si="16"/>
        <v>0</v>
      </c>
      <c r="U10" s="31">
        <f t="shared" si="16"/>
        <v>4</v>
      </c>
      <c r="V10" s="38">
        <f t="shared" si="16"/>
        <v>0.41114400000000001</v>
      </c>
    </row>
    <row r="11" spans="1:22">
      <c r="A11" s="26" t="s">
        <v>14</v>
      </c>
      <c r="B11" s="26" t="s">
        <v>123</v>
      </c>
      <c r="C11" s="30">
        <v>21.57</v>
      </c>
      <c r="D11" s="27">
        <v>11.9</v>
      </c>
      <c r="E11" s="28">
        <v>6</v>
      </c>
      <c r="F11" s="16">
        <f>(C11*D11*E11/1000)</f>
        <v>1.540098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0</v>
      </c>
      <c r="T11" s="19">
        <f>+I11+L11+R11+O11</f>
        <v>0</v>
      </c>
      <c r="U11" s="21">
        <f>E11-S11</f>
        <v>6</v>
      </c>
      <c r="V11" s="19">
        <f>F11-T11</f>
        <v>1.540098</v>
      </c>
    </row>
    <row r="12" spans="1:22">
      <c r="A12" s="36"/>
      <c r="B12" s="36"/>
      <c r="C12" s="37"/>
      <c r="D12" s="38"/>
      <c r="E12" s="31">
        <f t="shared" ref="E12:F12" si="17">SUM(E11)</f>
        <v>6</v>
      </c>
      <c r="F12" s="38">
        <f t="shared" si="17"/>
        <v>1.540098</v>
      </c>
      <c r="H12" s="31">
        <f t="shared" ref="H12:I12" si="18">SUM(H11)</f>
        <v>0</v>
      </c>
      <c r="I12" s="38">
        <f t="shared" si="18"/>
        <v>0</v>
      </c>
      <c r="K12" s="31">
        <f t="shared" ref="K12:L12" si="19">SUM(K11)</f>
        <v>0</v>
      </c>
      <c r="L12" s="38">
        <f t="shared" si="19"/>
        <v>0</v>
      </c>
      <c r="N12" s="31">
        <f t="shared" ref="N12:O12" si="20">SUM(N11)</f>
        <v>0</v>
      </c>
      <c r="O12" s="38">
        <f t="shared" si="20"/>
        <v>0</v>
      </c>
      <c r="Q12" s="31">
        <f t="shared" ref="Q12:V12" si="21">SUM(Q11)</f>
        <v>0</v>
      </c>
      <c r="R12" s="38">
        <f t="shared" si="21"/>
        <v>0</v>
      </c>
      <c r="S12" s="31">
        <f t="shared" si="21"/>
        <v>0</v>
      </c>
      <c r="T12" s="38">
        <f t="shared" si="21"/>
        <v>0</v>
      </c>
      <c r="U12" s="31">
        <f t="shared" si="21"/>
        <v>6</v>
      </c>
      <c r="V12" s="38">
        <f t="shared" si="21"/>
        <v>1.540098</v>
      </c>
    </row>
    <row r="13" spans="1:22">
      <c r="A13" s="26" t="s">
        <v>14</v>
      </c>
      <c r="B13" s="26" t="s">
        <v>181</v>
      </c>
      <c r="C13" s="30">
        <v>6.39</v>
      </c>
      <c r="D13" s="27">
        <v>10</v>
      </c>
      <c r="E13" s="28">
        <v>1</v>
      </c>
      <c r="F13" s="16">
        <f>(C13*D13*E13/1000)</f>
        <v>6.3899999999999998E-2</v>
      </c>
      <c r="G13" s="17"/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0</v>
      </c>
      <c r="T13" s="19">
        <f>+I13+L13+R13+O13</f>
        <v>0</v>
      </c>
      <c r="U13" s="21">
        <f>E13-S13</f>
        <v>1</v>
      </c>
      <c r="V13" s="19">
        <f>F13-T13</f>
        <v>6.3899999999999998E-2</v>
      </c>
    </row>
    <row r="14" spans="1:22">
      <c r="A14" s="36"/>
      <c r="B14" s="36"/>
      <c r="C14" s="37"/>
      <c r="D14" s="38"/>
      <c r="E14" s="31">
        <f t="shared" ref="E14:F14" si="22">SUM(E13)</f>
        <v>1</v>
      </c>
      <c r="F14" s="38">
        <f t="shared" si="22"/>
        <v>6.3899999999999998E-2</v>
      </c>
      <c r="H14" s="31">
        <f t="shared" ref="H14:I14" si="23">SUM(H13)</f>
        <v>0</v>
      </c>
      <c r="I14" s="38">
        <f t="shared" si="23"/>
        <v>0</v>
      </c>
      <c r="K14" s="31">
        <f t="shared" ref="K14:L14" si="24">SUM(K13)</f>
        <v>0</v>
      </c>
      <c r="L14" s="38">
        <f t="shared" si="24"/>
        <v>0</v>
      </c>
      <c r="N14" s="31">
        <f t="shared" ref="N14:O14" si="25">SUM(N13)</f>
        <v>0</v>
      </c>
      <c r="O14" s="38">
        <f t="shared" si="25"/>
        <v>0</v>
      </c>
      <c r="Q14" s="31">
        <f t="shared" ref="Q14:V14" si="26">SUM(Q13)</f>
        <v>0</v>
      </c>
      <c r="R14" s="38">
        <f t="shared" si="26"/>
        <v>0</v>
      </c>
      <c r="S14" s="31">
        <f t="shared" si="26"/>
        <v>0</v>
      </c>
      <c r="T14" s="38">
        <f t="shared" si="26"/>
        <v>0</v>
      </c>
      <c r="U14" s="31">
        <f t="shared" si="26"/>
        <v>1</v>
      </c>
      <c r="V14" s="38">
        <f t="shared" si="26"/>
        <v>6.3899999999999998E-2</v>
      </c>
    </row>
    <row r="15" spans="1:22">
      <c r="A15" s="26" t="s">
        <v>14</v>
      </c>
      <c r="B15" s="26" t="s">
        <v>35</v>
      </c>
      <c r="C15" s="30">
        <v>6.86</v>
      </c>
      <c r="D15" s="27">
        <v>12</v>
      </c>
      <c r="E15" s="28">
        <v>12</v>
      </c>
      <c r="F15" s="16">
        <f>(C15*D15*E15/1000)</f>
        <v>0.98784000000000016</v>
      </c>
      <c r="G15" s="17"/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12</v>
      </c>
      <c r="V15" s="19">
        <f>F15-T15</f>
        <v>0.98784000000000016</v>
      </c>
    </row>
    <row r="16" spans="1:22">
      <c r="A16" s="36"/>
      <c r="B16" s="36"/>
      <c r="C16" s="37"/>
      <c r="D16" s="38"/>
      <c r="E16" s="31">
        <f t="shared" ref="E16:F16" si="27">SUM(E15)</f>
        <v>12</v>
      </c>
      <c r="F16" s="38">
        <f t="shared" si="27"/>
        <v>0.98784000000000016</v>
      </c>
      <c r="H16" s="31">
        <f t="shared" ref="H16:I16" si="28">SUM(H15)</f>
        <v>0</v>
      </c>
      <c r="I16" s="38">
        <f t="shared" si="28"/>
        <v>0</v>
      </c>
      <c r="K16" s="31">
        <f t="shared" ref="K16:L16" si="29">SUM(K15)</f>
        <v>0</v>
      </c>
      <c r="L16" s="38">
        <f t="shared" si="29"/>
        <v>0</v>
      </c>
      <c r="N16" s="31">
        <f t="shared" ref="N16:O16" si="30">SUM(N15)</f>
        <v>0</v>
      </c>
      <c r="O16" s="38">
        <f t="shared" si="30"/>
        <v>0</v>
      </c>
      <c r="Q16" s="31">
        <f t="shared" ref="Q16:V16" si="31">SUM(Q15)</f>
        <v>0</v>
      </c>
      <c r="R16" s="38">
        <f t="shared" si="31"/>
        <v>0</v>
      </c>
      <c r="S16" s="31">
        <f t="shared" si="31"/>
        <v>0</v>
      </c>
      <c r="T16" s="38">
        <f t="shared" si="31"/>
        <v>0</v>
      </c>
      <c r="U16" s="31">
        <f t="shared" si="31"/>
        <v>12</v>
      </c>
      <c r="V16" s="38">
        <f t="shared" si="31"/>
        <v>0.98784000000000016</v>
      </c>
    </row>
    <row r="17" spans="1:22">
      <c r="A17" s="26" t="s">
        <v>14</v>
      </c>
      <c r="B17" s="26" t="s">
        <v>439</v>
      </c>
      <c r="C17" s="30">
        <v>9</v>
      </c>
      <c r="D17" s="27">
        <v>10.5</v>
      </c>
      <c r="E17" s="28">
        <v>12</v>
      </c>
      <c r="F17" s="16">
        <f t="shared" ref="F17:F18" si="32">(C17*D17*E17/1000)</f>
        <v>1.1339999999999999</v>
      </c>
      <c r="G17" s="17"/>
      <c r="H17" s="18"/>
      <c r="I17" s="19">
        <f t="shared" ref="I17:I18" si="33">(C17*D17*H17/1000)</f>
        <v>0</v>
      </c>
      <c r="J17" s="16"/>
      <c r="K17" s="18"/>
      <c r="L17" s="19">
        <f t="shared" ref="L17:L18" si="34">(C17*D17*K17/1000)</f>
        <v>0</v>
      </c>
      <c r="M17" s="16"/>
      <c r="N17" s="18"/>
      <c r="O17" s="19">
        <f t="shared" ref="O17:O18" si="35">(C17*D17*N17/1000)</f>
        <v>0</v>
      </c>
      <c r="P17" s="16"/>
      <c r="Q17" s="18"/>
      <c r="R17" s="19">
        <f t="shared" ref="R17:R18" si="36">(C17*D17*Q17/1000)</f>
        <v>0</v>
      </c>
      <c r="S17" s="20">
        <f t="shared" ref="S17:T18" si="37">+H17+K17+Q17+N17</f>
        <v>0</v>
      </c>
      <c r="T17" s="19">
        <f t="shared" si="37"/>
        <v>0</v>
      </c>
      <c r="U17" s="21">
        <f t="shared" ref="U17:V18" si="38">E17-S17</f>
        <v>12</v>
      </c>
      <c r="V17" s="19">
        <f t="shared" si="38"/>
        <v>1.1339999999999999</v>
      </c>
    </row>
    <row r="18" spans="1:22">
      <c r="A18" s="26" t="s">
        <v>14</v>
      </c>
      <c r="B18" s="26" t="s">
        <v>439</v>
      </c>
      <c r="C18" s="30">
        <v>9</v>
      </c>
      <c r="D18" s="27">
        <v>11</v>
      </c>
      <c r="E18" s="28">
        <v>24</v>
      </c>
      <c r="F18" s="16">
        <f t="shared" si="32"/>
        <v>2.3759999999999999</v>
      </c>
      <c r="G18" s="17"/>
      <c r="H18" s="18"/>
      <c r="I18" s="19">
        <f t="shared" si="33"/>
        <v>0</v>
      </c>
      <c r="J18" s="16"/>
      <c r="K18" s="18"/>
      <c r="L18" s="19">
        <f t="shared" si="34"/>
        <v>0</v>
      </c>
      <c r="M18" s="16"/>
      <c r="N18" s="18"/>
      <c r="O18" s="19">
        <f t="shared" si="35"/>
        <v>0</v>
      </c>
      <c r="P18" s="16"/>
      <c r="Q18" s="18"/>
      <c r="R18" s="19">
        <f t="shared" si="36"/>
        <v>0</v>
      </c>
      <c r="S18" s="20">
        <f t="shared" si="37"/>
        <v>0</v>
      </c>
      <c r="T18" s="19">
        <f t="shared" si="37"/>
        <v>0</v>
      </c>
      <c r="U18" s="21">
        <f t="shared" si="38"/>
        <v>24</v>
      </c>
      <c r="V18" s="19">
        <f t="shared" si="38"/>
        <v>2.3759999999999999</v>
      </c>
    </row>
    <row r="19" spans="1:22">
      <c r="A19" s="36"/>
      <c r="B19" s="36"/>
      <c r="C19" s="37"/>
      <c r="D19" s="38"/>
      <c r="E19" s="31">
        <f t="shared" ref="E19:F19" si="39">SUM(E17:E18)</f>
        <v>36</v>
      </c>
      <c r="F19" s="38">
        <f t="shared" si="39"/>
        <v>3.51</v>
      </c>
      <c r="H19" s="31">
        <f t="shared" ref="H19:I19" si="40">SUM(H17:H18)</f>
        <v>0</v>
      </c>
      <c r="I19" s="38">
        <f t="shared" si="40"/>
        <v>0</v>
      </c>
      <c r="K19" s="31">
        <f t="shared" ref="K19:L19" si="41">SUM(K17:K18)</f>
        <v>0</v>
      </c>
      <c r="L19" s="38">
        <f t="shared" si="41"/>
        <v>0</v>
      </c>
      <c r="N19" s="31">
        <f t="shared" ref="N19:O19" si="42">SUM(N17:N18)</f>
        <v>0</v>
      </c>
      <c r="O19" s="38">
        <f t="shared" si="42"/>
        <v>0</v>
      </c>
      <c r="Q19" s="31">
        <f t="shared" ref="Q19:V19" si="43">SUM(Q17:Q18)</f>
        <v>0</v>
      </c>
      <c r="R19" s="38">
        <f t="shared" si="43"/>
        <v>0</v>
      </c>
      <c r="S19" s="31">
        <f t="shared" si="43"/>
        <v>0</v>
      </c>
      <c r="T19" s="38">
        <f t="shared" si="43"/>
        <v>0</v>
      </c>
      <c r="U19" s="31">
        <f t="shared" si="43"/>
        <v>36</v>
      </c>
      <c r="V19" s="38">
        <f t="shared" si="43"/>
        <v>3.51</v>
      </c>
    </row>
    <row r="20" spans="1:22">
      <c r="A20" s="26" t="s">
        <v>14</v>
      </c>
      <c r="B20" s="26" t="s">
        <v>58</v>
      </c>
      <c r="C20" s="30">
        <v>7.36</v>
      </c>
      <c r="D20" s="27">
        <v>11.5</v>
      </c>
      <c r="E20" s="28">
        <v>8</v>
      </c>
      <c r="F20" s="16">
        <f>(C20*D20*E20/1000)</f>
        <v>0.67712000000000006</v>
      </c>
      <c r="G20" s="17"/>
      <c r="H20" s="18"/>
      <c r="I20" s="19">
        <f>(C20*D20*H20/1000)</f>
        <v>0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0</v>
      </c>
      <c r="T20" s="19">
        <f>+I20+L20+R20+O20</f>
        <v>0</v>
      </c>
      <c r="U20" s="21">
        <f>E20-S20</f>
        <v>8</v>
      </c>
      <c r="V20" s="19">
        <f>F20-T20</f>
        <v>0.67712000000000006</v>
      </c>
    </row>
    <row r="21" spans="1:22">
      <c r="A21" s="36"/>
      <c r="B21" s="36"/>
      <c r="C21" s="37"/>
      <c r="D21" s="38"/>
      <c r="E21" s="31">
        <f t="shared" ref="E21:F21" si="44">SUM(E20)</f>
        <v>8</v>
      </c>
      <c r="F21" s="38">
        <f t="shared" si="44"/>
        <v>0.67712000000000006</v>
      </c>
      <c r="H21" s="31">
        <f t="shared" ref="H21:I21" si="45">SUM(H20)</f>
        <v>0</v>
      </c>
      <c r="I21" s="38">
        <f t="shared" si="45"/>
        <v>0</v>
      </c>
      <c r="K21" s="31">
        <f t="shared" ref="K21:L21" si="46">SUM(K20)</f>
        <v>0</v>
      </c>
      <c r="L21" s="38">
        <f t="shared" si="46"/>
        <v>0</v>
      </c>
      <c r="N21" s="31">
        <f t="shared" ref="N21:O21" si="47">SUM(N20)</f>
        <v>0</v>
      </c>
      <c r="O21" s="38">
        <f t="shared" si="47"/>
        <v>0</v>
      </c>
      <c r="Q21" s="31">
        <f t="shared" ref="Q21:V21" si="48">SUM(Q20)</f>
        <v>0</v>
      </c>
      <c r="R21" s="38">
        <f t="shared" si="48"/>
        <v>0</v>
      </c>
      <c r="S21" s="31">
        <f t="shared" si="48"/>
        <v>0</v>
      </c>
      <c r="T21" s="38">
        <f t="shared" si="48"/>
        <v>0</v>
      </c>
      <c r="U21" s="31">
        <f t="shared" si="48"/>
        <v>8</v>
      </c>
      <c r="V21" s="38">
        <f t="shared" si="48"/>
        <v>0.67712000000000006</v>
      </c>
    </row>
    <row r="22" spans="1:22">
      <c r="A22" s="26" t="s">
        <v>14</v>
      </c>
      <c r="B22" s="26" t="s">
        <v>244</v>
      </c>
      <c r="C22" s="30">
        <v>10.92</v>
      </c>
      <c r="D22" s="27">
        <v>11.5</v>
      </c>
      <c r="E22" s="28">
        <v>6</v>
      </c>
      <c r="F22" s="16">
        <f>(C22*D22*E22/1000)</f>
        <v>0.75348000000000004</v>
      </c>
      <c r="G22" s="17"/>
      <c r="H22" s="18"/>
      <c r="I22" s="19">
        <f>(C22*D22*H22/1000)</f>
        <v>0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0</v>
      </c>
      <c r="T22" s="19">
        <f>+I22+L22+R22+O22</f>
        <v>0</v>
      </c>
      <c r="U22" s="21">
        <f>E22-S22</f>
        <v>6</v>
      </c>
      <c r="V22" s="19">
        <f>F22-T22</f>
        <v>0.75348000000000004</v>
      </c>
    </row>
    <row r="23" spans="1:22">
      <c r="A23" s="36"/>
      <c r="B23" s="36"/>
      <c r="C23" s="37"/>
      <c r="D23" s="38"/>
      <c r="E23" s="31">
        <f t="shared" ref="E23:F23" si="49">SUM(E22)</f>
        <v>6</v>
      </c>
      <c r="F23" s="38">
        <f t="shared" si="49"/>
        <v>0.75348000000000004</v>
      </c>
      <c r="H23" s="31">
        <f t="shared" ref="H23:I23" si="50">SUM(H22)</f>
        <v>0</v>
      </c>
      <c r="I23" s="38">
        <f t="shared" si="50"/>
        <v>0</v>
      </c>
      <c r="K23" s="31">
        <f t="shared" ref="K23:L23" si="51">SUM(K22)</f>
        <v>0</v>
      </c>
      <c r="L23" s="38">
        <f t="shared" si="51"/>
        <v>0</v>
      </c>
      <c r="N23" s="31">
        <f t="shared" ref="N23:O23" si="52">SUM(N22)</f>
        <v>0</v>
      </c>
      <c r="O23" s="38">
        <f t="shared" si="52"/>
        <v>0</v>
      </c>
      <c r="Q23" s="31">
        <f t="shared" ref="Q23:V23" si="53">SUM(Q22)</f>
        <v>0</v>
      </c>
      <c r="R23" s="38">
        <f t="shared" si="53"/>
        <v>0</v>
      </c>
      <c r="S23" s="31">
        <f t="shared" si="53"/>
        <v>0</v>
      </c>
      <c r="T23" s="38">
        <f t="shared" si="53"/>
        <v>0</v>
      </c>
      <c r="U23" s="31">
        <f t="shared" si="53"/>
        <v>6</v>
      </c>
      <c r="V23" s="38">
        <f t="shared" si="53"/>
        <v>0.75348000000000004</v>
      </c>
    </row>
    <row r="24" spans="1:22">
      <c r="A24" s="26" t="s">
        <v>14</v>
      </c>
      <c r="B24" s="26" t="s">
        <v>26</v>
      </c>
      <c r="C24" s="30">
        <v>8.32</v>
      </c>
      <c r="D24" s="27">
        <v>10</v>
      </c>
      <c r="E24" s="28">
        <v>1</v>
      </c>
      <c r="F24" s="16">
        <f>(C24*D24*E24/1000)</f>
        <v>8.3199999999999996E-2</v>
      </c>
      <c r="G24" s="17"/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1</v>
      </c>
      <c r="V24" s="19">
        <f>F24-T24</f>
        <v>8.3199999999999996E-2</v>
      </c>
    </row>
    <row r="25" spans="1:22">
      <c r="A25" s="36"/>
      <c r="B25" s="36"/>
      <c r="C25" s="37"/>
      <c r="D25" s="38"/>
      <c r="E25" s="31">
        <f t="shared" ref="E25:F25" si="54">SUM(E24)</f>
        <v>1</v>
      </c>
      <c r="F25" s="38">
        <f t="shared" si="54"/>
        <v>8.3199999999999996E-2</v>
      </c>
      <c r="H25" s="31">
        <f t="shared" ref="H25:I25" si="55">SUM(H24)</f>
        <v>0</v>
      </c>
      <c r="I25" s="38">
        <f t="shared" si="55"/>
        <v>0</v>
      </c>
      <c r="K25" s="31">
        <f t="shared" ref="K25:L25" si="56">SUM(K24)</f>
        <v>0</v>
      </c>
      <c r="L25" s="38">
        <f t="shared" si="56"/>
        <v>0</v>
      </c>
      <c r="N25" s="31">
        <f t="shared" ref="N25:O25" si="57">SUM(N24)</f>
        <v>0</v>
      </c>
      <c r="O25" s="38">
        <f t="shared" si="57"/>
        <v>0</v>
      </c>
      <c r="Q25" s="31">
        <f t="shared" ref="Q25:V25" si="58">SUM(Q24)</f>
        <v>0</v>
      </c>
      <c r="R25" s="38">
        <f t="shared" si="58"/>
        <v>0</v>
      </c>
      <c r="S25" s="31">
        <f t="shared" si="58"/>
        <v>0</v>
      </c>
      <c r="T25" s="38">
        <f t="shared" si="58"/>
        <v>0</v>
      </c>
      <c r="U25" s="31">
        <f t="shared" si="58"/>
        <v>1</v>
      </c>
      <c r="V25" s="38">
        <f t="shared" si="58"/>
        <v>8.3199999999999996E-2</v>
      </c>
    </row>
    <row r="26" spans="1:22">
      <c r="A26" s="33"/>
      <c r="B26" s="33"/>
      <c r="C26" s="34"/>
      <c r="D26" s="34"/>
      <c r="E26" s="34">
        <f>SUM(E6:E25)/2</f>
        <v>83</v>
      </c>
      <c r="F26" s="35">
        <f>SUM(F6:F25)/2</f>
        <v>9.1547820000000026</v>
      </c>
      <c r="H26" s="34">
        <f>SUM(H6:H25)/2</f>
        <v>0</v>
      </c>
      <c r="I26" s="35">
        <f>SUM(I6:I25)/2</f>
        <v>0</v>
      </c>
      <c r="K26" s="34">
        <f>SUM(K6:K25)/2</f>
        <v>0</v>
      </c>
      <c r="L26" s="35">
        <f>SUM(L6:L25)/2</f>
        <v>0</v>
      </c>
      <c r="N26" s="34">
        <f>SUM(N6:N25)/2</f>
        <v>0</v>
      </c>
      <c r="O26" s="35">
        <f>SUM(O6:O25)/2</f>
        <v>0</v>
      </c>
      <c r="Q26" s="34">
        <f t="shared" ref="Q26:V26" si="59">SUM(Q6:Q25)/2</f>
        <v>0</v>
      </c>
      <c r="R26" s="35">
        <f t="shared" si="59"/>
        <v>0</v>
      </c>
      <c r="S26" s="34">
        <f t="shared" si="59"/>
        <v>0</v>
      </c>
      <c r="T26" s="35">
        <f t="shared" si="59"/>
        <v>0</v>
      </c>
      <c r="U26" s="34">
        <f t="shared" si="59"/>
        <v>83</v>
      </c>
      <c r="V26" s="35">
        <f t="shared" si="59"/>
        <v>9.1547820000000026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V46"/>
  <sheetViews>
    <sheetView zoomScale="75" zoomScaleNormal="75" workbookViewId="0">
      <pane ySplit="5" topLeftCell="A27" activePane="bottomLeft" state="frozen"/>
      <selection pane="bottomLeft" activeCell="H35" sqref="H35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LOI-1396  27.12.23</v>
      </c>
      <c r="D1" s="1"/>
      <c r="E1" s="2"/>
      <c r="F1" s="2"/>
      <c r="G1" s="143" t="s">
        <v>593</v>
      </c>
      <c r="H1" s="144"/>
      <c r="I1" s="145" t="s">
        <v>581</v>
      </c>
      <c r="J1" s="144"/>
      <c r="K1" s="3"/>
      <c r="L1" s="4"/>
      <c r="M1" s="4"/>
      <c r="N1" s="3"/>
      <c r="O1" s="4"/>
      <c r="P1" s="146" t="str">
        <f>+F2</f>
        <v>LOI-1396  27.12.23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594</v>
      </c>
      <c r="B2" s="8"/>
      <c r="C2" s="9"/>
      <c r="D2" s="9"/>
      <c r="E2" s="10"/>
      <c r="F2" s="146" t="s">
        <v>595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LOI-1396  27.12.23</v>
      </c>
      <c r="V2" s="146"/>
    </row>
    <row r="3" spans="1:22">
      <c r="A3" s="12" t="s">
        <v>411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30">
        <v>15</v>
      </c>
      <c r="D6" s="27">
        <v>12</v>
      </c>
      <c r="E6" s="28">
        <v>4</v>
      </c>
      <c r="F6" s="16">
        <f>(C6*D6*E6/1000)</f>
        <v>0.72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4</v>
      </c>
      <c r="V6" s="19">
        <f>F6-T6</f>
        <v>0.72</v>
      </c>
    </row>
    <row r="7" spans="1:22">
      <c r="A7" s="36"/>
      <c r="B7" s="36"/>
      <c r="C7" s="37"/>
      <c r="D7" s="38"/>
      <c r="E7" s="31">
        <f>SUM(E6)</f>
        <v>4</v>
      </c>
      <c r="F7" s="38">
        <f>SUM(F6)</f>
        <v>0.72</v>
      </c>
      <c r="G7" s="17"/>
      <c r="H7" s="31">
        <f>SUM(H6)</f>
        <v>0</v>
      </c>
      <c r="I7" s="38">
        <f>SUM(I6)</f>
        <v>0</v>
      </c>
      <c r="J7" s="16"/>
      <c r="K7" s="31">
        <f>SUM(K6)</f>
        <v>0</v>
      </c>
      <c r="L7" s="38">
        <f>SUM(L6)</f>
        <v>0</v>
      </c>
      <c r="M7" s="16"/>
      <c r="N7" s="31">
        <f>SUM(N6)</f>
        <v>0</v>
      </c>
      <c r="O7" s="38">
        <f>SUM(O6)</f>
        <v>0</v>
      </c>
      <c r="P7" s="16"/>
      <c r="Q7" s="31">
        <f t="shared" ref="Q7:V7" si="0">SUM(Q6)</f>
        <v>0</v>
      </c>
      <c r="R7" s="38">
        <f t="shared" si="0"/>
        <v>0</v>
      </c>
      <c r="S7" s="31">
        <f t="shared" si="0"/>
        <v>0</v>
      </c>
      <c r="T7" s="38">
        <f t="shared" si="0"/>
        <v>0</v>
      </c>
      <c r="U7" s="31">
        <f t="shared" si="0"/>
        <v>4</v>
      </c>
      <c r="V7" s="38">
        <f t="shared" si="0"/>
        <v>0.72</v>
      </c>
    </row>
    <row r="8" spans="1:22">
      <c r="A8" s="26" t="s">
        <v>13</v>
      </c>
      <c r="B8" s="26" t="s">
        <v>45</v>
      </c>
      <c r="C8" s="30">
        <v>9.26</v>
      </c>
      <c r="D8" s="27">
        <v>12</v>
      </c>
      <c r="E8" s="28">
        <v>13</v>
      </c>
      <c r="F8" s="16">
        <f>(C8*D8*E8/1000)</f>
        <v>1.4445599999999998</v>
      </c>
      <c r="G8" s="17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13</v>
      </c>
      <c r="V8" s="19">
        <f>F8-T8</f>
        <v>1.4445599999999998</v>
      </c>
    </row>
    <row r="9" spans="1:22">
      <c r="A9" s="36"/>
      <c r="B9" s="36"/>
      <c r="C9" s="37"/>
      <c r="D9" s="38"/>
      <c r="E9" s="31">
        <f t="shared" ref="E9:F9" si="1">SUM(E8)</f>
        <v>13</v>
      </c>
      <c r="F9" s="38">
        <f t="shared" si="1"/>
        <v>1.4445599999999998</v>
      </c>
      <c r="G9" s="17"/>
      <c r="H9" s="31">
        <f t="shared" ref="H9:I9" si="2">SUM(H8)</f>
        <v>0</v>
      </c>
      <c r="I9" s="38">
        <f t="shared" si="2"/>
        <v>0</v>
      </c>
      <c r="J9" s="16"/>
      <c r="K9" s="31">
        <f t="shared" ref="K9:L9" si="3">SUM(K8)</f>
        <v>0</v>
      </c>
      <c r="L9" s="38">
        <f t="shared" si="3"/>
        <v>0</v>
      </c>
      <c r="M9" s="16"/>
      <c r="N9" s="31">
        <f t="shared" ref="N9:O9" si="4">SUM(N8)</f>
        <v>0</v>
      </c>
      <c r="O9" s="38">
        <f t="shared" si="4"/>
        <v>0</v>
      </c>
      <c r="P9" s="16"/>
      <c r="Q9" s="31">
        <f t="shared" ref="Q9:V9" si="5">SUM(Q8)</f>
        <v>0</v>
      </c>
      <c r="R9" s="38">
        <f t="shared" si="5"/>
        <v>0</v>
      </c>
      <c r="S9" s="31">
        <f t="shared" si="5"/>
        <v>0</v>
      </c>
      <c r="T9" s="38">
        <f t="shared" si="5"/>
        <v>0</v>
      </c>
      <c r="U9" s="31">
        <f t="shared" si="5"/>
        <v>13</v>
      </c>
      <c r="V9" s="38">
        <f t="shared" si="5"/>
        <v>1.4445599999999998</v>
      </c>
    </row>
    <row r="10" spans="1:22">
      <c r="A10" s="26" t="s">
        <v>13</v>
      </c>
      <c r="B10" s="26" t="s">
        <v>46</v>
      </c>
      <c r="C10" s="30">
        <v>10.7</v>
      </c>
      <c r="D10" s="27">
        <v>12</v>
      </c>
      <c r="E10" s="28">
        <v>9</v>
      </c>
      <c r="F10" s="16">
        <f>(C10*D10*E10/1000)</f>
        <v>1.1556</v>
      </c>
      <c r="G10" s="17"/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9</v>
      </c>
      <c r="V10" s="19">
        <f>F10-T10</f>
        <v>1.1556</v>
      </c>
    </row>
    <row r="11" spans="1:22">
      <c r="A11" s="36"/>
      <c r="B11" s="36"/>
      <c r="C11" s="37"/>
      <c r="D11" s="38"/>
      <c r="E11" s="31">
        <f t="shared" ref="E11:F11" si="6">SUM(E10)</f>
        <v>9</v>
      </c>
      <c r="F11" s="38">
        <f t="shared" si="6"/>
        <v>1.1556</v>
      </c>
      <c r="G11" s="17"/>
      <c r="H11" s="31">
        <f t="shared" ref="H11:I11" si="7">SUM(H10)</f>
        <v>0</v>
      </c>
      <c r="I11" s="38">
        <f t="shared" si="7"/>
        <v>0</v>
      </c>
      <c r="J11" s="16"/>
      <c r="K11" s="31">
        <f t="shared" ref="K11:L11" si="8">SUM(K10)</f>
        <v>0</v>
      </c>
      <c r="L11" s="38">
        <f t="shared" si="8"/>
        <v>0</v>
      </c>
      <c r="M11" s="16"/>
      <c r="N11" s="31">
        <f t="shared" ref="N11:O11" si="9">SUM(N10)</f>
        <v>0</v>
      </c>
      <c r="O11" s="38">
        <f t="shared" si="9"/>
        <v>0</v>
      </c>
      <c r="P11" s="16"/>
      <c r="Q11" s="31">
        <f t="shared" ref="Q11:V11" si="10">SUM(Q10)</f>
        <v>0</v>
      </c>
      <c r="R11" s="38">
        <f t="shared" si="10"/>
        <v>0</v>
      </c>
      <c r="S11" s="31">
        <f t="shared" si="10"/>
        <v>0</v>
      </c>
      <c r="T11" s="38">
        <f t="shared" si="10"/>
        <v>0</v>
      </c>
      <c r="U11" s="31">
        <f t="shared" si="10"/>
        <v>9</v>
      </c>
      <c r="V11" s="38">
        <f t="shared" si="10"/>
        <v>1.1556</v>
      </c>
    </row>
    <row r="12" spans="1:22">
      <c r="A12" s="26" t="s">
        <v>13</v>
      </c>
      <c r="B12" s="26" t="s">
        <v>61</v>
      </c>
      <c r="C12" s="30">
        <v>12.2</v>
      </c>
      <c r="D12" s="27">
        <v>12</v>
      </c>
      <c r="E12" s="28">
        <v>17</v>
      </c>
      <c r="F12" s="16">
        <f>(C12*D12*E12/1000)</f>
        <v>2.4887999999999999</v>
      </c>
      <c r="G12" s="17"/>
      <c r="H12" s="18"/>
      <c r="I12" s="19">
        <f>(C12*D12*H12/1000)</f>
        <v>0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0</v>
      </c>
      <c r="T12" s="19">
        <f>+I12+L12+R12+O12</f>
        <v>0</v>
      </c>
      <c r="U12" s="21">
        <f>E12-S12</f>
        <v>17</v>
      </c>
      <c r="V12" s="19">
        <f>F12-T12</f>
        <v>2.4887999999999999</v>
      </c>
    </row>
    <row r="13" spans="1:22">
      <c r="A13" s="36"/>
      <c r="B13" s="36"/>
      <c r="C13" s="37"/>
      <c r="D13" s="38"/>
      <c r="E13" s="31">
        <f t="shared" ref="E13:F13" si="11">SUM(E12)</f>
        <v>17</v>
      </c>
      <c r="F13" s="38">
        <f t="shared" si="11"/>
        <v>2.4887999999999999</v>
      </c>
      <c r="G13" s="17"/>
      <c r="H13" s="31">
        <f t="shared" ref="H13:I13" si="12">SUM(H12)</f>
        <v>0</v>
      </c>
      <c r="I13" s="38">
        <f t="shared" si="12"/>
        <v>0</v>
      </c>
      <c r="J13" s="16"/>
      <c r="K13" s="31">
        <f t="shared" ref="K13:L13" si="13">SUM(K12)</f>
        <v>0</v>
      </c>
      <c r="L13" s="38">
        <f t="shared" si="13"/>
        <v>0</v>
      </c>
      <c r="M13" s="16"/>
      <c r="N13" s="31">
        <f t="shared" ref="N13:O13" si="14">SUM(N12)</f>
        <v>0</v>
      </c>
      <c r="O13" s="38">
        <f t="shared" si="14"/>
        <v>0</v>
      </c>
      <c r="P13" s="16"/>
      <c r="Q13" s="31">
        <f t="shared" ref="Q13:V13" si="15">SUM(Q12)</f>
        <v>0</v>
      </c>
      <c r="R13" s="38">
        <f t="shared" si="15"/>
        <v>0</v>
      </c>
      <c r="S13" s="31">
        <f t="shared" si="15"/>
        <v>0</v>
      </c>
      <c r="T13" s="38">
        <f t="shared" si="15"/>
        <v>0</v>
      </c>
      <c r="U13" s="31">
        <f t="shared" si="15"/>
        <v>17</v>
      </c>
      <c r="V13" s="38">
        <f t="shared" si="15"/>
        <v>2.4887999999999999</v>
      </c>
    </row>
    <row r="14" spans="1:22">
      <c r="A14" s="26" t="s">
        <v>13</v>
      </c>
      <c r="B14" s="26" t="s">
        <v>18</v>
      </c>
      <c r="C14" s="30">
        <v>16.600000000000001</v>
      </c>
      <c r="D14" s="27">
        <v>12</v>
      </c>
      <c r="E14" s="28">
        <v>2</v>
      </c>
      <c r="F14" s="16">
        <f>(C14*D14*E14/1000)</f>
        <v>0.39840000000000003</v>
      </c>
      <c r="G14" s="17"/>
      <c r="H14" s="18"/>
      <c r="I14" s="19">
        <f>(C14*D14*H14/1000)</f>
        <v>0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0</v>
      </c>
      <c r="T14" s="19">
        <f>+I14+L14+R14+O14</f>
        <v>0</v>
      </c>
      <c r="U14" s="21">
        <f>E14-S14</f>
        <v>2</v>
      </c>
      <c r="V14" s="19">
        <f>F14-T14</f>
        <v>0.39840000000000003</v>
      </c>
    </row>
    <row r="15" spans="1:22">
      <c r="A15" s="36"/>
      <c r="B15" s="36"/>
      <c r="C15" s="37"/>
      <c r="D15" s="38"/>
      <c r="E15" s="31">
        <f t="shared" ref="E15:F15" si="16">SUM(E14)</f>
        <v>2</v>
      </c>
      <c r="F15" s="38">
        <f t="shared" si="16"/>
        <v>0.39840000000000003</v>
      </c>
      <c r="G15" s="17"/>
      <c r="H15" s="31">
        <f t="shared" ref="H15:I15" si="17">SUM(H14)</f>
        <v>0</v>
      </c>
      <c r="I15" s="38">
        <f t="shared" si="17"/>
        <v>0</v>
      </c>
      <c r="J15" s="16"/>
      <c r="K15" s="31">
        <f t="shared" ref="K15:L15" si="18">SUM(K14)</f>
        <v>0</v>
      </c>
      <c r="L15" s="38">
        <f t="shared" si="18"/>
        <v>0</v>
      </c>
      <c r="M15" s="16"/>
      <c r="N15" s="31">
        <f t="shared" ref="N15:O15" si="19">SUM(N14)</f>
        <v>0</v>
      </c>
      <c r="O15" s="38">
        <f t="shared" si="19"/>
        <v>0</v>
      </c>
      <c r="P15" s="16"/>
      <c r="Q15" s="31">
        <f t="shared" ref="Q15:V15" si="20">SUM(Q14)</f>
        <v>0</v>
      </c>
      <c r="R15" s="38">
        <f t="shared" si="20"/>
        <v>0</v>
      </c>
      <c r="S15" s="31">
        <f t="shared" si="20"/>
        <v>0</v>
      </c>
      <c r="T15" s="38">
        <f t="shared" si="20"/>
        <v>0</v>
      </c>
      <c r="U15" s="31">
        <f t="shared" si="20"/>
        <v>2</v>
      </c>
      <c r="V15" s="38">
        <f t="shared" si="20"/>
        <v>0.39840000000000003</v>
      </c>
    </row>
    <row r="16" spans="1:22">
      <c r="A16" s="26" t="s">
        <v>13</v>
      </c>
      <c r="B16" s="26" t="s">
        <v>596</v>
      </c>
      <c r="C16" s="30">
        <v>19.7</v>
      </c>
      <c r="D16" s="27">
        <v>12</v>
      </c>
      <c r="E16" s="28">
        <v>2</v>
      </c>
      <c r="F16" s="16">
        <f>(C16*D16*E16/1000)</f>
        <v>0.47279999999999994</v>
      </c>
      <c r="G16" s="17"/>
      <c r="H16" s="18"/>
      <c r="I16" s="19">
        <f>(C16*D16*H16/1000)</f>
        <v>0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0</v>
      </c>
      <c r="T16" s="19">
        <f>+I16+L16+R16+O16</f>
        <v>0</v>
      </c>
      <c r="U16" s="21">
        <f>E16-S16</f>
        <v>2</v>
      </c>
      <c r="V16" s="19">
        <f>F16-T16</f>
        <v>0.47279999999999994</v>
      </c>
    </row>
    <row r="17" spans="1:22">
      <c r="A17" s="36"/>
      <c r="B17" s="36"/>
      <c r="C17" s="37"/>
      <c r="D17" s="38"/>
      <c r="E17" s="31">
        <f t="shared" ref="E17:F17" si="21">SUM(E16)</f>
        <v>2</v>
      </c>
      <c r="F17" s="38">
        <f t="shared" si="21"/>
        <v>0.47279999999999994</v>
      </c>
      <c r="G17" s="17"/>
      <c r="H17" s="31">
        <f t="shared" ref="H17:I17" si="22">SUM(H16)</f>
        <v>0</v>
      </c>
      <c r="I17" s="38">
        <f t="shared" si="22"/>
        <v>0</v>
      </c>
      <c r="J17" s="16"/>
      <c r="K17" s="31">
        <f t="shared" ref="K17:L17" si="23">SUM(K16)</f>
        <v>0</v>
      </c>
      <c r="L17" s="38">
        <f t="shared" si="23"/>
        <v>0</v>
      </c>
      <c r="M17" s="16"/>
      <c r="N17" s="31">
        <f t="shared" ref="N17:O17" si="24">SUM(N16)</f>
        <v>0</v>
      </c>
      <c r="O17" s="38">
        <f t="shared" si="24"/>
        <v>0</v>
      </c>
      <c r="P17" s="16"/>
      <c r="Q17" s="31">
        <f t="shared" ref="Q17:V17" si="25">SUM(Q16)</f>
        <v>0</v>
      </c>
      <c r="R17" s="38">
        <f t="shared" si="25"/>
        <v>0</v>
      </c>
      <c r="S17" s="31">
        <f t="shared" si="25"/>
        <v>0</v>
      </c>
      <c r="T17" s="38">
        <f t="shared" si="25"/>
        <v>0</v>
      </c>
      <c r="U17" s="31">
        <f t="shared" si="25"/>
        <v>2</v>
      </c>
      <c r="V17" s="38">
        <f t="shared" si="25"/>
        <v>0.47279999999999994</v>
      </c>
    </row>
    <row r="18" spans="1:22">
      <c r="A18" s="26" t="s">
        <v>13</v>
      </c>
      <c r="B18" s="26" t="s">
        <v>25</v>
      </c>
      <c r="C18" s="30">
        <v>13.4</v>
      </c>
      <c r="D18" s="27">
        <v>12</v>
      </c>
      <c r="E18" s="28">
        <v>2</v>
      </c>
      <c r="F18" s="16">
        <f>(C18*D18*E18/1000)</f>
        <v>0.3216</v>
      </c>
      <c r="G18" s="17"/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2</v>
      </c>
      <c r="V18" s="19">
        <f>F18-T18</f>
        <v>0.3216</v>
      </c>
    </row>
    <row r="19" spans="1:22">
      <c r="A19" s="36"/>
      <c r="B19" s="36"/>
      <c r="C19" s="37"/>
      <c r="D19" s="38"/>
      <c r="E19" s="31">
        <f t="shared" ref="E19:F19" si="26">SUM(E18)</f>
        <v>2</v>
      </c>
      <c r="F19" s="38">
        <f t="shared" si="26"/>
        <v>0.3216</v>
      </c>
      <c r="H19" s="31">
        <f t="shared" ref="H19:I19" si="27">SUM(H18)</f>
        <v>0</v>
      </c>
      <c r="I19" s="38">
        <f t="shared" si="27"/>
        <v>0</v>
      </c>
      <c r="K19" s="31">
        <f t="shared" ref="K19:L19" si="28">SUM(K18)</f>
        <v>0</v>
      </c>
      <c r="L19" s="38">
        <f t="shared" si="28"/>
        <v>0</v>
      </c>
      <c r="N19" s="31">
        <f t="shared" ref="N19:O19" si="29">SUM(N18)</f>
        <v>0</v>
      </c>
      <c r="O19" s="38">
        <f t="shared" si="29"/>
        <v>0</v>
      </c>
      <c r="Q19" s="31">
        <f t="shared" ref="Q19:V19" si="30">SUM(Q18)</f>
        <v>0</v>
      </c>
      <c r="R19" s="38">
        <f t="shared" si="30"/>
        <v>0</v>
      </c>
      <c r="S19" s="31">
        <f t="shared" si="30"/>
        <v>0</v>
      </c>
      <c r="T19" s="38">
        <f t="shared" si="30"/>
        <v>0</v>
      </c>
      <c r="U19" s="31">
        <f t="shared" si="30"/>
        <v>2</v>
      </c>
      <c r="V19" s="38">
        <f t="shared" si="30"/>
        <v>0.3216</v>
      </c>
    </row>
    <row r="20" spans="1:22">
      <c r="A20" s="26" t="s">
        <v>13</v>
      </c>
      <c r="B20" s="26" t="s">
        <v>49</v>
      </c>
      <c r="C20" s="30">
        <v>14.7</v>
      </c>
      <c r="D20" s="27">
        <v>12</v>
      </c>
      <c r="E20" s="28">
        <v>2</v>
      </c>
      <c r="F20" s="16">
        <f>(C20*D20*E20/1000)</f>
        <v>0.35279999999999995</v>
      </c>
      <c r="G20" s="17"/>
      <c r="H20" s="18"/>
      <c r="I20" s="19">
        <f>(C20*D20*H20/1000)</f>
        <v>0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0</v>
      </c>
      <c r="T20" s="19">
        <f>+I20+L20+R20+O20</f>
        <v>0</v>
      </c>
      <c r="U20" s="21">
        <f>E20-S20</f>
        <v>2</v>
      </c>
      <c r="V20" s="19">
        <f>F20-T20</f>
        <v>0.35279999999999995</v>
      </c>
    </row>
    <row r="21" spans="1:22">
      <c r="A21" s="36"/>
      <c r="B21" s="36"/>
      <c r="C21" s="37"/>
      <c r="D21" s="38"/>
      <c r="E21" s="31">
        <f t="shared" ref="E21:F21" si="31">SUM(E20)</f>
        <v>2</v>
      </c>
      <c r="F21" s="38">
        <f t="shared" si="31"/>
        <v>0.35279999999999995</v>
      </c>
      <c r="H21" s="31">
        <f t="shared" ref="H21:I21" si="32">SUM(H20)</f>
        <v>0</v>
      </c>
      <c r="I21" s="38">
        <f t="shared" si="32"/>
        <v>0</v>
      </c>
      <c r="K21" s="31">
        <f t="shared" ref="K21:L21" si="33">SUM(K20)</f>
        <v>0</v>
      </c>
      <c r="L21" s="38">
        <f t="shared" si="33"/>
        <v>0</v>
      </c>
      <c r="N21" s="31">
        <f t="shared" ref="N21:O21" si="34">SUM(N20)</f>
        <v>0</v>
      </c>
      <c r="O21" s="38">
        <f t="shared" si="34"/>
        <v>0</v>
      </c>
      <c r="Q21" s="31">
        <f t="shared" ref="Q21:V21" si="35">SUM(Q20)</f>
        <v>0</v>
      </c>
      <c r="R21" s="38">
        <f t="shared" si="35"/>
        <v>0</v>
      </c>
      <c r="S21" s="31">
        <f t="shared" si="35"/>
        <v>0</v>
      </c>
      <c r="T21" s="38">
        <f t="shared" si="35"/>
        <v>0</v>
      </c>
      <c r="U21" s="31">
        <f t="shared" si="35"/>
        <v>2</v>
      </c>
      <c r="V21" s="38">
        <f t="shared" si="35"/>
        <v>0.35279999999999995</v>
      </c>
    </row>
    <row r="22" spans="1:22">
      <c r="A22" s="26" t="s">
        <v>13</v>
      </c>
      <c r="B22" s="26" t="s">
        <v>51</v>
      </c>
      <c r="C22" s="30">
        <v>19.8</v>
      </c>
      <c r="D22" s="27">
        <v>12</v>
      </c>
      <c r="E22" s="28">
        <v>4</v>
      </c>
      <c r="F22" s="16">
        <f>(C22*D22*E22/1000)</f>
        <v>0.95040000000000013</v>
      </c>
      <c r="G22" s="17"/>
      <c r="H22" s="18"/>
      <c r="I22" s="19">
        <f>(C22*D22*H22/1000)</f>
        <v>0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0</v>
      </c>
      <c r="T22" s="19">
        <f>+I22+L22+R22+O22</f>
        <v>0</v>
      </c>
      <c r="U22" s="21">
        <f>E22-S22</f>
        <v>4</v>
      </c>
      <c r="V22" s="19">
        <f>F22-T22</f>
        <v>0.95040000000000013</v>
      </c>
    </row>
    <row r="23" spans="1:22">
      <c r="A23" s="36"/>
      <c r="B23" s="36"/>
      <c r="C23" s="37"/>
      <c r="D23" s="38"/>
      <c r="E23" s="31">
        <f t="shared" ref="E23:F23" si="36">SUM(E22)</f>
        <v>4</v>
      </c>
      <c r="F23" s="38">
        <f t="shared" si="36"/>
        <v>0.95040000000000013</v>
      </c>
      <c r="H23" s="31">
        <f t="shared" ref="H23:I23" si="37">SUM(H22)</f>
        <v>0</v>
      </c>
      <c r="I23" s="38">
        <f t="shared" si="37"/>
        <v>0</v>
      </c>
      <c r="K23" s="31">
        <f t="shared" ref="K23:L23" si="38">SUM(K22)</f>
        <v>0</v>
      </c>
      <c r="L23" s="38">
        <f t="shared" si="38"/>
        <v>0</v>
      </c>
      <c r="N23" s="31">
        <f t="shared" ref="N23:O23" si="39">SUM(N22)</f>
        <v>0</v>
      </c>
      <c r="O23" s="38">
        <f t="shared" si="39"/>
        <v>0</v>
      </c>
      <c r="Q23" s="31">
        <f t="shared" ref="Q23:V23" si="40">SUM(Q22)</f>
        <v>0</v>
      </c>
      <c r="R23" s="38">
        <f t="shared" si="40"/>
        <v>0</v>
      </c>
      <c r="S23" s="31">
        <f t="shared" si="40"/>
        <v>0</v>
      </c>
      <c r="T23" s="38">
        <f t="shared" si="40"/>
        <v>0</v>
      </c>
      <c r="U23" s="31">
        <f t="shared" si="40"/>
        <v>4</v>
      </c>
      <c r="V23" s="38">
        <f t="shared" si="40"/>
        <v>0.95040000000000013</v>
      </c>
    </row>
    <row r="24" spans="1:22">
      <c r="A24" s="26" t="s">
        <v>13</v>
      </c>
      <c r="B24" s="26" t="s">
        <v>56</v>
      </c>
      <c r="C24" s="30">
        <v>17.899999999999999</v>
      </c>
      <c r="D24" s="27">
        <v>10</v>
      </c>
      <c r="E24" s="28">
        <v>4</v>
      </c>
      <c r="F24" s="16">
        <f>(C24*D24*E24/1000)</f>
        <v>0.71599999999999997</v>
      </c>
      <c r="G24" s="17"/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4</v>
      </c>
      <c r="V24" s="19">
        <f>F24-T24</f>
        <v>0.71599999999999997</v>
      </c>
    </row>
    <row r="25" spans="1:22">
      <c r="A25" s="36"/>
      <c r="B25" s="36"/>
      <c r="C25" s="37"/>
      <c r="D25" s="38"/>
      <c r="E25" s="31">
        <f t="shared" ref="E25:F25" si="41">SUM(E24)</f>
        <v>4</v>
      </c>
      <c r="F25" s="38">
        <f t="shared" si="41"/>
        <v>0.71599999999999997</v>
      </c>
      <c r="H25" s="31">
        <f t="shared" ref="H25:I25" si="42">SUM(H24)</f>
        <v>0</v>
      </c>
      <c r="I25" s="38">
        <f t="shared" si="42"/>
        <v>0</v>
      </c>
      <c r="K25" s="31">
        <f t="shared" ref="K25:L25" si="43">SUM(K24)</f>
        <v>0</v>
      </c>
      <c r="L25" s="38">
        <f t="shared" si="43"/>
        <v>0</v>
      </c>
      <c r="N25" s="31">
        <f t="shared" ref="N25:O25" si="44">SUM(N24)</f>
        <v>0</v>
      </c>
      <c r="O25" s="38">
        <f t="shared" si="44"/>
        <v>0</v>
      </c>
      <c r="Q25" s="31">
        <f t="shared" ref="Q25:V25" si="45">SUM(Q24)</f>
        <v>0</v>
      </c>
      <c r="R25" s="38">
        <f t="shared" si="45"/>
        <v>0</v>
      </c>
      <c r="S25" s="31">
        <f t="shared" si="45"/>
        <v>0</v>
      </c>
      <c r="T25" s="38">
        <f t="shared" si="45"/>
        <v>0</v>
      </c>
      <c r="U25" s="31">
        <f t="shared" si="45"/>
        <v>4</v>
      </c>
      <c r="V25" s="38">
        <f t="shared" si="45"/>
        <v>0.71599999999999997</v>
      </c>
    </row>
    <row r="26" spans="1:22">
      <c r="A26" s="26" t="s">
        <v>13</v>
      </c>
      <c r="B26" s="26" t="s">
        <v>125</v>
      </c>
      <c r="C26" s="30">
        <v>27.3</v>
      </c>
      <c r="D26" s="27">
        <v>10</v>
      </c>
      <c r="E26" s="28">
        <v>5</v>
      </c>
      <c r="F26" s="16">
        <f>(C26*D26*E26/1000)</f>
        <v>1.365</v>
      </c>
      <c r="G26" s="17" t="s">
        <v>205</v>
      </c>
      <c r="H26" s="18">
        <v>5</v>
      </c>
      <c r="I26" s="19">
        <f>(C26*D26*H26/1000)</f>
        <v>1.365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+H26+K26+Q26+N26</f>
        <v>5</v>
      </c>
      <c r="T26" s="19">
        <f>+I26+L26+R26+O26</f>
        <v>1.365</v>
      </c>
      <c r="U26" s="21">
        <f>E26-S26</f>
        <v>0</v>
      </c>
      <c r="V26" s="19">
        <f>F26-T26</f>
        <v>0</v>
      </c>
    </row>
    <row r="27" spans="1:22">
      <c r="A27" s="36"/>
      <c r="B27" s="36"/>
      <c r="C27" s="37"/>
      <c r="D27" s="38"/>
      <c r="E27" s="31">
        <f t="shared" ref="E27:F27" si="46">SUM(E26)</f>
        <v>5</v>
      </c>
      <c r="F27" s="38">
        <f t="shared" si="46"/>
        <v>1.365</v>
      </c>
      <c r="G27" t="s">
        <v>615</v>
      </c>
      <c r="H27" s="31">
        <f t="shared" ref="H27:I27" si="47">SUM(H26)</f>
        <v>5</v>
      </c>
      <c r="I27" s="38">
        <f t="shared" si="47"/>
        <v>1.365</v>
      </c>
      <c r="K27" s="31">
        <f t="shared" ref="K27:L27" si="48">SUM(K26)</f>
        <v>0</v>
      </c>
      <c r="L27" s="38">
        <f t="shared" si="48"/>
        <v>0</v>
      </c>
      <c r="N27" s="31">
        <f t="shared" ref="N27:O27" si="49">SUM(N26)</f>
        <v>0</v>
      </c>
      <c r="O27" s="38">
        <f t="shared" si="49"/>
        <v>0</v>
      </c>
      <c r="Q27" s="31">
        <f t="shared" ref="Q27:V27" si="50">SUM(Q26)</f>
        <v>0</v>
      </c>
      <c r="R27" s="38">
        <f t="shared" si="50"/>
        <v>0</v>
      </c>
      <c r="S27" s="31">
        <f t="shared" si="50"/>
        <v>5</v>
      </c>
      <c r="T27" s="38">
        <f t="shared" si="50"/>
        <v>1.365</v>
      </c>
      <c r="U27" s="31">
        <f t="shared" si="50"/>
        <v>0</v>
      </c>
      <c r="V27" s="38">
        <f t="shared" si="50"/>
        <v>0</v>
      </c>
    </row>
    <row r="28" spans="1:22">
      <c r="A28" s="26" t="s">
        <v>13</v>
      </c>
      <c r="B28" s="26" t="s">
        <v>126</v>
      </c>
      <c r="C28" s="30">
        <v>33.799999999999997</v>
      </c>
      <c r="D28" s="27">
        <v>12</v>
      </c>
      <c r="E28" s="28">
        <v>1</v>
      </c>
      <c r="F28" s="16">
        <f>(C28*D28*E28/1000)</f>
        <v>0.40559999999999996</v>
      </c>
      <c r="G28" s="17" t="s">
        <v>205</v>
      </c>
      <c r="H28" s="18">
        <v>2</v>
      </c>
      <c r="I28" s="19">
        <f>(C28*D28*H28/1000)</f>
        <v>0.81119999999999992</v>
      </c>
      <c r="J28" s="16"/>
      <c r="K28" s="18"/>
      <c r="L28" s="19">
        <f>(C28*D28*K28/1000)</f>
        <v>0</v>
      </c>
      <c r="M28" s="16"/>
      <c r="N28" s="18"/>
      <c r="O28" s="19">
        <f>(C28*D28*N28/1000)</f>
        <v>0</v>
      </c>
      <c r="P28" s="16"/>
      <c r="Q28" s="18"/>
      <c r="R28" s="19">
        <f>(C28*D28*Q28/1000)</f>
        <v>0</v>
      </c>
      <c r="S28" s="20">
        <f t="shared" ref="S28:T30" si="51">+H28+K28+Q28+N28</f>
        <v>2</v>
      </c>
      <c r="T28" s="19">
        <f t="shared" si="51"/>
        <v>0.81119999999999992</v>
      </c>
      <c r="U28" s="21">
        <f t="shared" ref="U28:V30" si="52">E28-S28</f>
        <v>-1</v>
      </c>
      <c r="V28" s="19">
        <f t="shared" si="52"/>
        <v>-0.40559999999999996</v>
      </c>
    </row>
    <row r="29" spans="1:22">
      <c r="A29" s="26" t="s">
        <v>13</v>
      </c>
      <c r="B29" s="26" t="s">
        <v>126</v>
      </c>
      <c r="C29" s="30">
        <v>33.799999999999997</v>
      </c>
      <c r="D29" s="27">
        <v>10</v>
      </c>
      <c r="E29" s="28">
        <v>2</v>
      </c>
      <c r="F29" s="16">
        <f>(C29*D29*E29/1000)</f>
        <v>0.67600000000000005</v>
      </c>
      <c r="G29" t="s">
        <v>615</v>
      </c>
      <c r="H29" s="18"/>
      <c r="I29" s="19">
        <f>(C29*D29*H29/1000)</f>
        <v>0</v>
      </c>
      <c r="J29" s="16"/>
      <c r="K29" s="18"/>
      <c r="L29" s="19">
        <f>(C29*D29*K29/1000)</f>
        <v>0</v>
      </c>
      <c r="M29" s="16"/>
      <c r="N29" s="18"/>
      <c r="O29" s="19">
        <f>(C29*D29*N29/1000)</f>
        <v>0</v>
      </c>
      <c r="P29" s="16"/>
      <c r="Q29" s="18"/>
      <c r="R29" s="19">
        <f>(C29*D29*Q29/1000)</f>
        <v>0</v>
      </c>
      <c r="S29" s="20">
        <f t="shared" si="51"/>
        <v>0</v>
      </c>
      <c r="T29" s="19">
        <f t="shared" si="51"/>
        <v>0</v>
      </c>
      <c r="U29" s="21">
        <f t="shared" si="52"/>
        <v>2</v>
      </c>
      <c r="V29" s="19">
        <f t="shared" si="52"/>
        <v>0.67600000000000005</v>
      </c>
    </row>
    <row r="30" spans="1:22">
      <c r="A30" s="26" t="s">
        <v>13</v>
      </c>
      <c r="B30" s="26" t="s">
        <v>126</v>
      </c>
      <c r="C30" s="30">
        <v>33.799999999999997</v>
      </c>
      <c r="D30" s="27">
        <v>11</v>
      </c>
      <c r="E30" s="28"/>
      <c r="F30" s="16">
        <f>(C30*D30*E30/1000)</f>
        <v>0</v>
      </c>
      <c r="H30" s="18">
        <v>1</v>
      </c>
      <c r="I30" s="19">
        <f>(C30*D30*H30/1000)</f>
        <v>0.37179999999999996</v>
      </c>
      <c r="J30" s="16"/>
      <c r="K30" s="18"/>
      <c r="L30" s="19">
        <f>(C30*D30*K30/1000)</f>
        <v>0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 t="shared" si="51"/>
        <v>1</v>
      </c>
      <c r="T30" s="19">
        <f t="shared" si="51"/>
        <v>0.37179999999999996</v>
      </c>
      <c r="U30" s="21">
        <f t="shared" si="52"/>
        <v>-1</v>
      </c>
      <c r="V30" s="19">
        <f t="shared" si="52"/>
        <v>-0.37179999999999996</v>
      </c>
    </row>
    <row r="31" spans="1:22">
      <c r="A31" s="36"/>
      <c r="B31" s="36"/>
      <c r="C31" s="37"/>
      <c r="D31" s="38"/>
      <c r="E31" s="31">
        <f t="shared" ref="E31:F31" si="53">SUM(E28:E30)</f>
        <v>3</v>
      </c>
      <c r="F31" s="38">
        <f t="shared" si="53"/>
        <v>1.0815999999999999</v>
      </c>
      <c r="H31" s="31">
        <f t="shared" ref="H31:I31" si="54">SUM(H28:H30)</f>
        <v>3</v>
      </c>
      <c r="I31" s="38">
        <f t="shared" si="54"/>
        <v>1.1829999999999998</v>
      </c>
      <c r="K31" s="31">
        <f t="shared" ref="K31:L31" si="55">SUM(K28:K30)</f>
        <v>0</v>
      </c>
      <c r="L31" s="38">
        <f t="shared" si="55"/>
        <v>0</v>
      </c>
      <c r="N31" s="31">
        <f t="shared" ref="N31:O31" si="56">SUM(N28:N30)</f>
        <v>0</v>
      </c>
      <c r="O31" s="38">
        <f t="shared" si="56"/>
        <v>0</v>
      </c>
      <c r="Q31" s="31">
        <f t="shared" ref="Q31:V31" si="57">SUM(Q28:Q30)</f>
        <v>0</v>
      </c>
      <c r="R31" s="38">
        <f t="shared" si="57"/>
        <v>0</v>
      </c>
      <c r="S31" s="31">
        <f t="shared" si="57"/>
        <v>3</v>
      </c>
      <c r="T31" s="38">
        <f t="shared" si="57"/>
        <v>1.1829999999999998</v>
      </c>
      <c r="U31" s="31">
        <f t="shared" si="57"/>
        <v>0</v>
      </c>
      <c r="V31" s="38">
        <f t="shared" si="57"/>
        <v>-0.10139999999999988</v>
      </c>
    </row>
    <row r="32" spans="1:22">
      <c r="A32" s="26" t="s">
        <v>13</v>
      </c>
      <c r="B32" s="26" t="s">
        <v>174</v>
      </c>
      <c r="C32" s="30">
        <v>5.37</v>
      </c>
      <c r="D32" s="27">
        <v>12</v>
      </c>
      <c r="E32" s="28">
        <v>20</v>
      </c>
      <c r="F32" s="16">
        <f>(C32*D32*E32/1000)</f>
        <v>1.2887999999999999</v>
      </c>
      <c r="G32" s="17"/>
      <c r="H32" s="18"/>
      <c r="I32" s="19">
        <f>(C32*D32*H32/1000)</f>
        <v>0</v>
      </c>
      <c r="J32" s="16"/>
      <c r="K32" s="18"/>
      <c r="L32" s="19">
        <f>(C32*D32*K32/1000)</f>
        <v>0</v>
      </c>
      <c r="M32" s="16"/>
      <c r="N32" s="18"/>
      <c r="O32" s="19">
        <f>(C32*D32*N32/1000)</f>
        <v>0</v>
      </c>
      <c r="P32" s="16"/>
      <c r="Q32" s="18"/>
      <c r="R32" s="19">
        <f>(C32*D32*Q32/1000)</f>
        <v>0</v>
      </c>
      <c r="S32" s="20">
        <f>+H32+K32+Q32+N32</f>
        <v>0</v>
      </c>
      <c r="T32" s="19">
        <f>+I32+L32+R32+O32</f>
        <v>0</v>
      </c>
      <c r="U32" s="21">
        <f>E32-S32</f>
        <v>20</v>
      </c>
      <c r="V32" s="19">
        <f>F32-T32</f>
        <v>1.2887999999999999</v>
      </c>
    </row>
    <row r="33" spans="1:22">
      <c r="A33" s="36"/>
      <c r="B33" s="36"/>
      <c r="C33" s="37"/>
      <c r="D33" s="38"/>
      <c r="E33" s="31">
        <f t="shared" ref="E33:F33" si="58">SUM(E32)</f>
        <v>20</v>
      </c>
      <c r="F33" s="38">
        <f t="shared" si="58"/>
        <v>1.2887999999999999</v>
      </c>
      <c r="H33" s="31">
        <f t="shared" ref="H33:I33" si="59">SUM(H32)</f>
        <v>0</v>
      </c>
      <c r="I33" s="38">
        <f t="shared" si="59"/>
        <v>0</v>
      </c>
      <c r="K33" s="31">
        <f t="shared" ref="K33:L33" si="60">SUM(K32)</f>
        <v>0</v>
      </c>
      <c r="L33" s="38">
        <f t="shared" si="60"/>
        <v>0</v>
      </c>
      <c r="N33" s="31">
        <f t="shared" ref="N33:O33" si="61">SUM(N32)</f>
        <v>0</v>
      </c>
      <c r="O33" s="38">
        <f t="shared" si="61"/>
        <v>0</v>
      </c>
      <c r="Q33" s="31">
        <f t="shared" ref="Q33:V33" si="62">SUM(Q32)</f>
        <v>0</v>
      </c>
      <c r="R33" s="38">
        <f t="shared" si="62"/>
        <v>0</v>
      </c>
      <c r="S33" s="31">
        <f t="shared" si="62"/>
        <v>0</v>
      </c>
      <c r="T33" s="38">
        <f t="shared" si="62"/>
        <v>0</v>
      </c>
      <c r="U33" s="31">
        <f t="shared" si="62"/>
        <v>20</v>
      </c>
      <c r="V33" s="38">
        <f t="shared" si="62"/>
        <v>1.2887999999999999</v>
      </c>
    </row>
    <row r="34" spans="1:22">
      <c r="A34" s="26" t="s">
        <v>13</v>
      </c>
      <c r="B34" s="26" t="s">
        <v>181</v>
      </c>
      <c r="C34" s="30">
        <v>6.38</v>
      </c>
      <c r="D34" s="27">
        <v>12</v>
      </c>
      <c r="E34" s="28">
        <v>12</v>
      </c>
      <c r="F34" s="16">
        <f>(C34*D34*E34/1000)</f>
        <v>0.91871999999999998</v>
      </c>
      <c r="G34" s="16" t="s">
        <v>389</v>
      </c>
      <c r="H34" s="18">
        <v>12</v>
      </c>
      <c r="I34" s="19">
        <f>(C34*D34*H34/1000)</f>
        <v>0.91871999999999998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+H34+K34+Q34+N34</f>
        <v>12</v>
      </c>
      <c r="T34" s="19">
        <f>+I34+L34+R34+O34</f>
        <v>0.91871999999999998</v>
      </c>
      <c r="U34" s="21">
        <f>E34-S34</f>
        <v>0</v>
      </c>
      <c r="V34" s="19">
        <f>F34-T34</f>
        <v>0</v>
      </c>
    </row>
    <row r="35" spans="1:22">
      <c r="A35" s="36"/>
      <c r="B35" s="36"/>
      <c r="C35" s="37"/>
      <c r="D35" s="38"/>
      <c r="E35" s="31">
        <f t="shared" ref="E35:F35" si="63">SUM(E34)</f>
        <v>12</v>
      </c>
      <c r="F35" s="38">
        <f t="shared" si="63"/>
        <v>0.91871999999999998</v>
      </c>
      <c r="G35" s="16" t="s">
        <v>615</v>
      </c>
      <c r="H35" s="31">
        <f t="shared" ref="H35:I35" si="64">SUM(H34)</f>
        <v>12</v>
      </c>
      <c r="I35" s="38">
        <f t="shared" si="64"/>
        <v>0.91871999999999998</v>
      </c>
      <c r="K35" s="31">
        <f t="shared" ref="K35:L35" si="65">SUM(K34)</f>
        <v>0</v>
      </c>
      <c r="L35" s="38">
        <f t="shared" si="65"/>
        <v>0</v>
      </c>
      <c r="N35" s="31">
        <f t="shared" ref="N35:O35" si="66">SUM(N34)</f>
        <v>0</v>
      </c>
      <c r="O35" s="38">
        <f t="shared" si="66"/>
        <v>0</v>
      </c>
      <c r="Q35" s="31">
        <f t="shared" ref="Q35:V35" si="67">SUM(Q34)</f>
        <v>0</v>
      </c>
      <c r="R35" s="38">
        <f t="shared" si="67"/>
        <v>0</v>
      </c>
      <c r="S35" s="31">
        <f t="shared" si="67"/>
        <v>12</v>
      </c>
      <c r="T35" s="38">
        <f t="shared" si="67"/>
        <v>0.91871999999999998</v>
      </c>
      <c r="U35" s="31">
        <f t="shared" si="67"/>
        <v>0</v>
      </c>
      <c r="V35" s="38">
        <f t="shared" si="67"/>
        <v>0</v>
      </c>
    </row>
    <row r="36" spans="1:22">
      <c r="A36" s="26" t="s">
        <v>13</v>
      </c>
      <c r="B36" s="26" t="s">
        <v>597</v>
      </c>
      <c r="C36" s="30">
        <v>8.3699999999999992</v>
      </c>
      <c r="D36" s="27">
        <v>10</v>
      </c>
      <c r="E36" s="28">
        <v>1</v>
      </c>
      <c r="F36" s="16">
        <f>(C36*D36*E36/1000)</f>
        <v>8.3699999999999983E-2</v>
      </c>
      <c r="G36" s="17"/>
      <c r="H36" s="18"/>
      <c r="I36" s="19">
        <f>(C36*D36*H36/1000)</f>
        <v>0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0</v>
      </c>
      <c r="T36" s="19">
        <f>+I36+L36+R36+O36</f>
        <v>0</v>
      </c>
      <c r="U36" s="21">
        <f>E36-S36</f>
        <v>1</v>
      </c>
      <c r="V36" s="19">
        <f>F36-T36</f>
        <v>8.3699999999999983E-2</v>
      </c>
    </row>
    <row r="37" spans="1:22">
      <c r="A37" s="36"/>
      <c r="B37" s="36"/>
      <c r="C37" s="37"/>
      <c r="D37" s="38"/>
      <c r="E37" s="31">
        <f t="shared" ref="E37:F37" si="68">SUM(E36)</f>
        <v>1</v>
      </c>
      <c r="F37" s="38">
        <f t="shared" si="68"/>
        <v>8.3699999999999983E-2</v>
      </c>
      <c r="H37" s="31">
        <f t="shared" ref="H37:I37" si="69">SUM(H36)</f>
        <v>0</v>
      </c>
      <c r="I37" s="38">
        <f t="shared" si="69"/>
        <v>0</v>
      </c>
      <c r="K37" s="31">
        <f t="shared" ref="K37:L37" si="70">SUM(K36)</f>
        <v>0</v>
      </c>
      <c r="L37" s="38">
        <f t="shared" si="70"/>
        <v>0</v>
      </c>
      <c r="N37" s="31">
        <f t="shared" ref="N37:O37" si="71">SUM(N36)</f>
        <v>0</v>
      </c>
      <c r="O37" s="38">
        <f t="shared" si="71"/>
        <v>0</v>
      </c>
      <c r="Q37" s="31">
        <f t="shared" ref="Q37:V37" si="72">SUM(Q36)</f>
        <v>0</v>
      </c>
      <c r="R37" s="38">
        <f t="shared" si="72"/>
        <v>0</v>
      </c>
      <c r="S37" s="31">
        <f t="shared" si="72"/>
        <v>0</v>
      </c>
      <c r="T37" s="38">
        <f t="shared" si="72"/>
        <v>0</v>
      </c>
      <c r="U37" s="31">
        <f t="shared" si="72"/>
        <v>1</v>
      </c>
      <c r="V37" s="38">
        <f t="shared" si="72"/>
        <v>8.3699999999999983E-2</v>
      </c>
    </row>
    <row r="38" spans="1:22">
      <c r="A38" s="26" t="s">
        <v>13</v>
      </c>
      <c r="B38" s="26" t="s">
        <v>34</v>
      </c>
      <c r="C38" s="30">
        <v>5.76</v>
      </c>
      <c r="D38" s="27">
        <v>12</v>
      </c>
      <c r="E38" s="28">
        <v>10</v>
      </c>
      <c r="F38" s="16">
        <f>(C38*D38*E38/1000)</f>
        <v>0.69120000000000004</v>
      </c>
      <c r="G38" s="17"/>
      <c r="H38" s="18"/>
      <c r="I38" s="19">
        <f>(C38*D38*H38/1000)</f>
        <v>0</v>
      </c>
      <c r="J38" s="16"/>
      <c r="K38" s="18"/>
      <c r="L38" s="19">
        <f>(C38*D38*K38/1000)</f>
        <v>0</v>
      </c>
      <c r="M38" s="16"/>
      <c r="N38" s="18"/>
      <c r="O38" s="19">
        <f>(C38*D38*N38/1000)</f>
        <v>0</v>
      </c>
      <c r="P38" s="16"/>
      <c r="Q38" s="18"/>
      <c r="R38" s="19">
        <f>(C38*D38*Q38/1000)</f>
        <v>0</v>
      </c>
      <c r="S38" s="20">
        <f>+H38+K38+Q38+N38</f>
        <v>0</v>
      </c>
      <c r="T38" s="19">
        <f>+I38+L38+R38+O38</f>
        <v>0</v>
      </c>
      <c r="U38" s="21">
        <f>E38-S38</f>
        <v>10</v>
      </c>
      <c r="V38" s="19">
        <f>F38-T38</f>
        <v>0.69120000000000004</v>
      </c>
    </row>
    <row r="39" spans="1:22">
      <c r="A39" s="36"/>
      <c r="B39" s="36"/>
      <c r="C39" s="37"/>
      <c r="D39" s="38"/>
      <c r="E39" s="31">
        <f t="shared" ref="E39:F39" si="73">SUM(E38)</f>
        <v>10</v>
      </c>
      <c r="F39" s="38">
        <f t="shared" si="73"/>
        <v>0.69120000000000004</v>
      </c>
      <c r="H39" s="31">
        <f t="shared" ref="H39:I39" si="74">SUM(H38)</f>
        <v>0</v>
      </c>
      <c r="I39" s="38">
        <f t="shared" si="74"/>
        <v>0</v>
      </c>
      <c r="K39" s="31">
        <f t="shared" ref="K39:L39" si="75">SUM(K38)</f>
        <v>0</v>
      </c>
      <c r="L39" s="38">
        <f t="shared" si="75"/>
        <v>0</v>
      </c>
      <c r="N39" s="31">
        <f t="shared" ref="N39:O39" si="76">SUM(N38)</f>
        <v>0</v>
      </c>
      <c r="O39" s="38">
        <f t="shared" si="76"/>
        <v>0</v>
      </c>
      <c r="Q39" s="31">
        <f t="shared" ref="Q39:V39" si="77">SUM(Q38)</f>
        <v>0</v>
      </c>
      <c r="R39" s="38">
        <f t="shared" si="77"/>
        <v>0</v>
      </c>
      <c r="S39" s="31">
        <f t="shared" si="77"/>
        <v>0</v>
      </c>
      <c r="T39" s="38">
        <f t="shared" si="77"/>
        <v>0</v>
      </c>
      <c r="U39" s="31">
        <f t="shared" si="77"/>
        <v>10</v>
      </c>
      <c r="V39" s="38">
        <f t="shared" si="77"/>
        <v>0.69120000000000004</v>
      </c>
    </row>
    <row r="40" spans="1:22">
      <c r="A40" s="26" t="s">
        <v>13</v>
      </c>
      <c r="B40" s="26" t="s">
        <v>35</v>
      </c>
      <c r="C40" s="30">
        <v>6.85</v>
      </c>
      <c r="D40" s="27">
        <v>12</v>
      </c>
      <c r="E40" s="28">
        <v>21</v>
      </c>
      <c r="F40" s="16">
        <f>(C40*D40*E40/1000)</f>
        <v>1.7261999999999997</v>
      </c>
      <c r="G40" s="17"/>
      <c r="H40" s="18"/>
      <c r="I40" s="19">
        <f>(C40*D40*H40/1000)</f>
        <v>0</v>
      </c>
      <c r="J40" s="16"/>
      <c r="K40" s="18"/>
      <c r="L40" s="19">
        <f>(C40*D40*K40/1000)</f>
        <v>0</v>
      </c>
      <c r="M40" s="16"/>
      <c r="N40" s="18"/>
      <c r="O40" s="19">
        <f>(C40*D40*N40/1000)</f>
        <v>0</v>
      </c>
      <c r="P40" s="16"/>
      <c r="Q40" s="18"/>
      <c r="R40" s="19">
        <f>(C40*D40*Q40/1000)</f>
        <v>0</v>
      </c>
      <c r="S40" s="20">
        <f>+H40+K40+Q40+N40</f>
        <v>0</v>
      </c>
      <c r="T40" s="19">
        <f>+I40+L40+R40+O40</f>
        <v>0</v>
      </c>
      <c r="U40" s="21">
        <f>E40-S40</f>
        <v>21</v>
      </c>
      <c r="V40" s="19">
        <f>F40-T40</f>
        <v>1.7261999999999997</v>
      </c>
    </row>
    <row r="41" spans="1:22">
      <c r="A41" s="36"/>
      <c r="B41" s="36"/>
      <c r="C41" s="37"/>
      <c r="D41" s="38"/>
      <c r="E41" s="31">
        <f t="shared" ref="E41:F41" si="78">SUM(E40)</f>
        <v>21</v>
      </c>
      <c r="F41" s="38">
        <f t="shared" si="78"/>
        <v>1.7261999999999997</v>
      </c>
      <c r="H41" s="31">
        <f t="shared" ref="H41:I41" si="79">SUM(H40)</f>
        <v>0</v>
      </c>
      <c r="I41" s="38">
        <f t="shared" si="79"/>
        <v>0</v>
      </c>
      <c r="K41" s="31">
        <f t="shared" ref="K41:L41" si="80">SUM(K40)</f>
        <v>0</v>
      </c>
      <c r="L41" s="38">
        <f t="shared" si="80"/>
        <v>0</v>
      </c>
      <c r="N41" s="31">
        <f t="shared" ref="N41:O41" si="81">SUM(N40)</f>
        <v>0</v>
      </c>
      <c r="O41" s="38">
        <f t="shared" si="81"/>
        <v>0</v>
      </c>
      <c r="Q41" s="31">
        <f t="shared" ref="Q41:V41" si="82">SUM(Q40)</f>
        <v>0</v>
      </c>
      <c r="R41" s="38">
        <f t="shared" si="82"/>
        <v>0</v>
      </c>
      <c r="S41" s="31">
        <f t="shared" si="82"/>
        <v>0</v>
      </c>
      <c r="T41" s="38">
        <f t="shared" si="82"/>
        <v>0</v>
      </c>
      <c r="U41" s="31">
        <f t="shared" si="82"/>
        <v>21</v>
      </c>
      <c r="V41" s="38">
        <f t="shared" si="82"/>
        <v>1.7261999999999997</v>
      </c>
    </row>
    <row r="42" spans="1:22">
      <c r="A42" s="26" t="s">
        <v>13</v>
      </c>
      <c r="B42" s="26" t="s">
        <v>58</v>
      </c>
      <c r="C42" s="30">
        <v>7.34</v>
      </c>
      <c r="D42" s="27">
        <v>12</v>
      </c>
      <c r="E42" s="28">
        <v>25</v>
      </c>
      <c r="F42" s="16">
        <f>(C42*D42*E42/1000)</f>
        <v>2.202</v>
      </c>
      <c r="G42" s="17"/>
      <c r="H42" s="18"/>
      <c r="I42" s="19">
        <f>(C42*D42*H42/1000)</f>
        <v>0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>+H42+K42+Q42+N42</f>
        <v>0</v>
      </c>
      <c r="T42" s="19">
        <f>+I42+L42+R42+O42</f>
        <v>0</v>
      </c>
      <c r="U42" s="21">
        <f>E42-S42</f>
        <v>25</v>
      </c>
      <c r="V42" s="19">
        <f>F42-T42</f>
        <v>2.202</v>
      </c>
    </row>
    <row r="43" spans="1:22">
      <c r="A43" s="36"/>
      <c r="B43" s="36"/>
      <c r="C43" s="37"/>
      <c r="D43" s="38"/>
      <c r="E43" s="31">
        <f t="shared" ref="E43:F43" si="83">SUM(E42)</f>
        <v>25</v>
      </c>
      <c r="F43" s="38">
        <f t="shared" si="83"/>
        <v>2.202</v>
      </c>
      <c r="H43" s="31">
        <f t="shared" ref="H43:I43" si="84">SUM(H42)</f>
        <v>0</v>
      </c>
      <c r="I43" s="38">
        <f t="shared" si="84"/>
        <v>0</v>
      </c>
      <c r="K43" s="31">
        <f t="shared" ref="K43:L43" si="85">SUM(K42)</f>
        <v>0</v>
      </c>
      <c r="L43" s="38">
        <f t="shared" si="85"/>
        <v>0</v>
      </c>
      <c r="N43" s="31">
        <f t="shared" ref="N43:O43" si="86">SUM(N42)</f>
        <v>0</v>
      </c>
      <c r="O43" s="38">
        <f t="shared" si="86"/>
        <v>0</v>
      </c>
      <c r="Q43" s="31">
        <f t="shared" ref="Q43:V43" si="87">SUM(Q42)</f>
        <v>0</v>
      </c>
      <c r="R43" s="38">
        <f t="shared" si="87"/>
        <v>0</v>
      </c>
      <c r="S43" s="31">
        <f t="shared" si="87"/>
        <v>0</v>
      </c>
      <c r="T43" s="38">
        <f t="shared" si="87"/>
        <v>0</v>
      </c>
      <c r="U43" s="31">
        <f t="shared" si="87"/>
        <v>25</v>
      </c>
      <c r="V43" s="38">
        <f t="shared" si="87"/>
        <v>2.202</v>
      </c>
    </row>
    <row r="44" spans="1:22">
      <c r="A44" s="26" t="s">
        <v>13</v>
      </c>
      <c r="B44" s="26" t="s">
        <v>26</v>
      </c>
      <c r="C44" s="30">
        <v>8.3000000000000007</v>
      </c>
      <c r="D44" s="27">
        <v>12</v>
      </c>
      <c r="E44" s="28">
        <v>13</v>
      </c>
      <c r="F44" s="16">
        <f>(C44*D44*E44/1000)</f>
        <v>1.2948000000000002</v>
      </c>
      <c r="G44" s="17"/>
      <c r="H44" s="18"/>
      <c r="I44" s="19">
        <f>(C44*D44*H44/1000)</f>
        <v>0</v>
      </c>
      <c r="J44" s="16"/>
      <c r="K44" s="18"/>
      <c r="L44" s="19">
        <f>(C44*D44*K44/1000)</f>
        <v>0</v>
      </c>
      <c r="M44" s="16"/>
      <c r="N44" s="18"/>
      <c r="O44" s="19">
        <f>(C44*D44*N44/1000)</f>
        <v>0</v>
      </c>
      <c r="P44" s="16"/>
      <c r="Q44" s="18"/>
      <c r="R44" s="19">
        <f>(C44*D44*Q44/1000)</f>
        <v>0</v>
      </c>
      <c r="S44" s="20">
        <f>+H44+K44+Q44+N44</f>
        <v>0</v>
      </c>
      <c r="T44" s="19">
        <f>+I44+L44+R44+O44</f>
        <v>0</v>
      </c>
      <c r="U44" s="21">
        <f>E44-S44</f>
        <v>13</v>
      </c>
      <c r="V44" s="19">
        <f>F44-T44</f>
        <v>1.2948000000000002</v>
      </c>
    </row>
    <row r="45" spans="1:22">
      <c r="A45" s="36"/>
      <c r="B45" s="36"/>
      <c r="C45" s="31"/>
      <c r="D45" s="38"/>
      <c r="E45" s="31">
        <f t="shared" ref="E45:F45" si="88">SUM(E44)</f>
        <v>13</v>
      </c>
      <c r="F45" s="38">
        <f t="shared" si="88"/>
        <v>1.2948000000000002</v>
      </c>
      <c r="H45" s="31">
        <f t="shared" ref="H45:I45" si="89">SUM(H44)</f>
        <v>0</v>
      </c>
      <c r="I45" s="38">
        <f t="shared" si="89"/>
        <v>0</v>
      </c>
      <c r="K45" s="31">
        <f t="shared" ref="K45:L45" si="90">SUM(K44)</f>
        <v>0</v>
      </c>
      <c r="L45" s="38">
        <f t="shared" si="90"/>
        <v>0</v>
      </c>
      <c r="N45" s="31">
        <f t="shared" ref="N45:O45" si="91">SUM(N44)</f>
        <v>0</v>
      </c>
      <c r="O45" s="38">
        <f t="shared" si="91"/>
        <v>0</v>
      </c>
      <c r="Q45" s="31">
        <f t="shared" ref="Q45:V45" si="92">SUM(Q44)</f>
        <v>0</v>
      </c>
      <c r="R45" s="38">
        <f t="shared" si="92"/>
        <v>0</v>
      </c>
      <c r="S45" s="31">
        <f t="shared" si="92"/>
        <v>0</v>
      </c>
      <c r="T45" s="38">
        <f t="shared" si="92"/>
        <v>0</v>
      </c>
      <c r="U45" s="31">
        <f t="shared" si="92"/>
        <v>13</v>
      </c>
      <c r="V45" s="38">
        <f t="shared" si="92"/>
        <v>1.2948000000000002</v>
      </c>
    </row>
    <row r="46" spans="1:22">
      <c r="A46" s="33"/>
      <c r="B46" s="33"/>
      <c r="C46" s="34"/>
      <c r="D46" s="34"/>
      <c r="E46" s="34">
        <f>SUM(E6:E45)/2</f>
        <v>169</v>
      </c>
      <c r="F46" s="35">
        <f>SUM(F6:F45)/2</f>
        <v>19.672979999999995</v>
      </c>
      <c r="H46" s="34">
        <f>SUM(H6:H45)/2</f>
        <v>20</v>
      </c>
      <c r="I46" s="35">
        <f>SUM(I6:I45)/2</f>
        <v>3.4667200000000005</v>
      </c>
      <c r="K46" s="34">
        <f>SUM(K6:K45)/2</f>
        <v>0</v>
      </c>
      <c r="L46" s="35">
        <f>SUM(L6:L45)/2</f>
        <v>0</v>
      </c>
      <c r="N46" s="34">
        <f>SUM(N6:N45)/2</f>
        <v>0</v>
      </c>
      <c r="O46" s="35">
        <f>SUM(O6:O45)/2</f>
        <v>0</v>
      </c>
      <c r="Q46" s="34">
        <f t="shared" ref="Q46:V46" si="93">SUM(Q6:Q45)/2</f>
        <v>0</v>
      </c>
      <c r="R46" s="35">
        <f t="shared" si="93"/>
        <v>0</v>
      </c>
      <c r="S46" s="34">
        <f t="shared" si="93"/>
        <v>20</v>
      </c>
      <c r="T46" s="35">
        <f t="shared" si="93"/>
        <v>3.4667200000000005</v>
      </c>
      <c r="U46" s="34">
        <f t="shared" si="93"/>
        <v>149</v>
      </c>
      <c r="V46" s="35">
        <f t="shared" si="93"/>
        <v>16.206259999999993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V86"/>
  <sheetViews>
    <sheetView zoomScale="75" zoomScaleNormal="75" workbookViewId="0">
      <pane ySplit="5" topLeftCell="A63" activePane="bottomLeft" state="frozen"/>
      <selection pane="bottomLeft" activeCell="R93" sqref="R9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LOI-1397  27.12.23</v>
      </c>
      <c r="D1" s="1"/>
      <c r="E1" s="2"/>
      <c r="F1" s="2"/>
      <c r="G1" s="143" t="s">
        <v>582</v>
      </c>
      <c r="H1" s="144"/>
      <c r="I1" s="145" t="s">
        <v>590</v>
      </c>
      <c r="J1" s="144"/>
      <c r="K1" s="3"/>
      <c r="L1" s="4"/>
      <c r="M1" s="4"/>
      <c r="N1" s="3"/>
      <c r="O1" s="4"/>
      <c r="P1" s="146" t="str">
        <f>+F2</f>
        <v>LOI-1397  27.12.23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463</v>
      </c>
      <c r="B2" s="8"/>
      <c r="C2" s="9"/>
      <c r="D2" s="9"/>
      <c r="E2" s="10"/>
      <c r="F2" s="146" t="s">
        <v>598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LOI-1397  27.12.23</v>
      </c>
      <c r="V2" s="146"/>
    </row>
    <row r="3" spans="1:22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30">
        <v>15</v>
      </c>
      <c r="D6" s="27">
        <v>6.7</v>
      </c>
      <c r="E6" s="28">
        <v>2</v>
      </c>
      <c r="F6" s="16">
        <f>(C6*D6*E6/1000)</f>
        <v>0.20100000000000001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2</v>
      </c>
      <c r="V6" s="19">
        <f>F6-T6</f>
        <v>0.20100000000000001</v>
      </c>
    </row>
    <row r="7" spans="1:22">
      <c r="A7" s="26"/>
      <c r="B7" s="26"/>
      <c r="C7" s="30"/>
      <c r="D7" s="27"/>
      <c r="E7" s="31">
        <f t="shared" ref="E7" si="0">SUM(E6)</f>
        <v>2</v>
      </c>
      <c r="F7" s="38">
        <f>SUM(F6)</f>
        <v>0.20100000000000001</v>
      </c>
      <c r="G7" s="17"/>
      <c r="H7" s="31">
        <f t="shared" ref="H7" si="1">SUM(H6)</f>
        <v>0</v>
      </c>
      <c r="I7" s="38">
        <f>SUM(I6)</f>
        <v>0</v>
      </c>
      <c r="J7" s="16"/>
      <c r="K7" s="31">
        <f t="shared" ref="K7" si="2">SUM(K6)</f>
        <v>0</v>
      </c>
      <c r="L7" s="38">
        <f>SUM(L6)</f>
        <v>0</v>
      </c>
      <c r="M7" s="16"/>
      <c r="N7" s="31">
        <f t="shared" ref="N7" si="3">SUM(N6)</f>
        <v>0</v>
      </c>
      <c r="O7" s="38">
        <f>SUM(O6)</f>
        <v>0</v>
      </c>
      <c r="P7" s="16"/>
      <c r="Q7" s="31">
        <f t="shared" ref="Q7" si="4">SUM(Q6)</f>
        <v>0</v>
      </c>
      <c r="R7" s="38">
        <f>SUM(R6)</f>
        <v>0</v>
      </c>
      <c r="S7" s="31">
        <f t="shared" ref="S7" si="5">SUM(S6)</f>
        <v>0</v>
      </c>
      <c r="T7" s="38">
        <f>SUM(T6)</f>
        <v>0</v>
      </c>
      <c r="U7" s="31">
        <f t="shared" ref="U7" si="6">SUM(U6)</f>
        <v>2</v>
      </c>
      <c r="V7" s="38">
        <f>SUM(V6)</f>
        <v>0.20100000000000001</v>
      </c>
    </row>
    <row r="8" spans="1:22">
      <c r="A8" s="26" t="s">
        <v>13</v>
      </c>
      <c r="B8" s="26" t="s">
        <v>45</v>
      </c>
      <c r="C8" s="30">
        <v>9.26</v>
      </c>
      <c r="D8" s="27">
        <v>8.1</v>
      </c>
      <c r="E8" s="28">
        <v>2</v>
      </c>
      <c r="F8" s="16">
        <f t="shared" ref="F8:F12" si="7">(C8*D8*E8/1000)</f>
        <v>0.15001200000000001</v>
      </c>
      <c r="G8" s="17"/>
      <c r="H8" s="18"/>
      <c r="I8" s="19">
        <f t="shared" ref="I8:I12" si="8">(C8*D8*H8/1000)</f>
        <v>0</v>
      </c>
      <c r="J8" s="16"/>
      <c r="K8" s="18"/>
      <c r="L8" s="19">
        <f t="shared" ref="L8:L12" si="9">(C8*D8*K8/1000)</f>
        <v>0</v>
      </c>
      <c r="M8" s="16"/>
      <c r="N8" s="18"/>
      <c r="O8" s="19">
        <f t="shared" ref="O8:O12" si="10">(C8*D8*N8/1000)</f>
        <v>0</v>
      </c>
      <c r="P8" s="16"/>
      <c r="Q8" s="18"/>
      <c r="R8" s="19">
        <f t="shared" ref="R8:R12" si="11">(C8*D8*Q8/1000)</f>
        <v>0</v>
      </c>
      <c r="S8" s="20">
        <f t="shared" ref="S8:T12" si="12">+H8+K8+Q8+N8</f>
        <v>0</v>
      </c>
      <c r="T8" s="19">
        <f t="shared" si="12"/>
        <v>0</v>
      </c>
      <c r="U8" s="21">
        <f t="shared" ref="U8:V12" si="13">E8-S8</f>
        <v>2</v>
      </c>
      <c r="V8" s="19">
        <f t="shared" si="13"/>
        <v>0.15001200000000001</v>
      </c>
    </row>
    <row r="9" spans="1:22">
      <c r="A9" s="26" t="s">
        <v>13</v>
      </c>
      <c r="B9" s="26" t="s">
        <v>45</v>
      </c>
      <c r="C9" s="30">
        <v>9.26</v>
      </c>
      <c r="D9" s="27">
        <v>9</v>
      </c>
      <c r="E9" s="28">
        <v>3</v>
      </c>
      <c r="F9" s="16">
        <f t="shared" si="7"/>
        <v>0.25002000000000002</v>
      </c>
      <c r="G9" s="17"/>
      <c r="H9" s="18"/>
      <c r="I9" s="19">
        <f t="shared" si="8"/>
        <v>0</v>
      </c>
      <c r="J9" s="16"/>
      <c r="K9" s="18"/>
      <c r="L9" s="19">
        <f t="shared" si="9"/>
        <v>0</v>
      </c>
      <c r="M9" s="16"/>
      <c r="N9" s="18"/>
      <c r="O9" s="19">
        <f t="shared" si="10"/>
        <v>0</v>
      </c>
      <c r="P9" s="16"/>
      <c r="Q9" s="18"/>
      <c r="R9" s="19">
        <f t="shared" si="11"/>
        <v>0</v>
      </c>
      <c r="S9" s="20">
        <f t="shared" si="12"/>
        <v>0</v>
      </c>
      <c r="T9" s="19">
        <f t="shared" si="12"/>
        <v>0</v>
      </c>
      <c r="U9" s="21">
        <f t="shared" si="13"/>
        <v>3</v>
      </c>
      <c r="V9" s="19">
        <f t="shared" si="13"/>
        <v>0.25002000000000002</v>
      </c>
    </row>
    <row r="10" spans="1:22">
      <c r="A10" s="26" t="s">
        <v>13</v>
      </c>
      <c r="B10" s="26" t="s">
        <v>45</v>
      </c>
      <c r="C10" s="30">
        <v>9.26</v>
      </c>
      <c r="D10" s="27">
        <v>9.8000000000000007</v>
      </c>
      <c r="E10" s="28">
        <v>2</v>
      </c>
      <c r="F10" s="16">
        <f t="shared" si="7"/>
        <v>0.18149600000000002</v>
      </c>
      <c r="G10" s="17"/>
      <c r="H10" s="18"/>
      <c r="I10" s="19">
        <f t="shared" si="8"/>
        <v>0</v>
      </c>
      <c r="J10" s="16"/>
      <c r="K10" s="18"/>
      <c r="L10" s="19">
        <f t="shared" si="9"/>
        <v>0</v>
      </c>
      <c r="M10" s="16"/>
      <c r="N10" s="18"/>
      <c r="O10" s="19">
        <f t="shared" si="10"/>
        <v>0</v>
      </c>
      <c r="P10" s="16"/>
      <c r="Q10" s="18"/>
      <c r="R10" s="19">
        <f t="shared" si="11"/>
        <v>0</v>
      </c>
      <c r="S10" s="20">
        <f t="shared" si="12"/>
        <v>0</v>
      </c>
      <c r="T10" s="19">
        <f t="shared" si="12"/>
        <v>0</v>
      </c>
      <c r="U10" s="21">
        <f t="shared" si="13"/>
        <v>2</v>
      </c>
      <c r="V10" s="19">
        <f t="shared" si="13"/>
        <v>0.18149600000000002</v>
      </c>
    </row>
    <row r="11" spans="1:22">
      <c r="A11" s="26" t="s">
        <v>13</v>
      </c>
      <c r="B11" s="26" t="s">
        <v>45</v>
      </c>
      <c r="C11" s="30">
        <v>9.26</v>
      </c>
      <c r="D11" s="27">
        <v>11.3</v>
      </c>
      <c r="E11" s="28">
        <v>4</v>
      </c>
      <c r="F11" s="16">
        <f t="shared" si="7"/>
        <v>0.41855200000000004</v>
      </c>
      <c r="G11" s="17"/>
      <c r="H11" s="18"/>
      <c r="I11" s="19">
        <f t="shared" si="8"/>
        <v>0</v>
      </c>
      <c r="J11" s="16"/>
      <c r="K11" s="18"/>
      <c r="L11" s="19">
        <f t="shared" si="9"/>
        <v>0</v>
      </c>
      <c r="M11" s="16"/>
      <c r="N11" s="18"/>
      <c r="O11" s="19">
        <f t="shared" si="10"/>
        <v>0</v>
      </c>
      <c r="P11" s="16"/>
      <c r="Q11" s="18"/>
      <c r="R11" s="19">
        <f t="shared" si="11"/>
        <v>0</v>
      </c>
      <c r="S11" s="20">
        <f t="shared" si="12"/>
        <v>0</v>
      </c>
      <c r="T11" s="19">
        <f t="shared" si="12"/>
        <v>0</v>
      </c>
      <c r="U11" s="21">
        <f t="shared" si="13"/>
        <v>4</v>
      </c>
      <c r="V11" s="19">
        <f t="shared" si="13"/>
        <v>0.41855200000000004</v>
      </c>
    </row>
    <row r="12" spans="1:22">
      <c r="A12" s="26" t="s">
        <v>13</v>
      </c>
      <c r="B12" s="26" t="s">
        <v>45</v>
      </c>
      <c r="C12" s="30">
        <v>9.26</v>
      </c>
      <c r="D12" s="27">
        <v>11.8</v>
      </c>
      <c r="E12" s="28">
        <v>5</v>
      </c>
      <c r="F12" s="16">
        <f t="shared" si="7"/>
        <v>0.54634000000000005</v>
      </c>
      <c r="G12" s="17"/>
      <c r="H12" s="18"/>
      <c r="I12" s="19">
        <f t="shared" si="8"/>
        <v>0</v>
      </c>
      <c r="J12" s="16"/>
      <c r="K12" s="18"/>
      <c r="L12" s="19">
        <f t="shared" si="9"/>
        <v>0</v>
      </c>
      <c r="M12" s="16"/>
      <c r="N12" s="18"/>
      <c r="O12" s="19">
        <f t="shared" si="10"/>
        <v>0</v>
      </c>
      <c r="P12" s="16"/>
      <c r="Q12" s="18"/>
      <c r="R12" s="19">
        <f t="shared" si="11"/>
        <v>0</v>
      </c>
      <c r="S12" s="20">
        <f t="shared" si="12"/>
        <v>0</v>
      </c>
      <c r="T12" s="19">
        <f t="shared" si="12"/>
        <v>0</v>
      </c>
      <c r="U12" s="21">
        <f t="shared" si="13"/>
        <v>5</v>
      </c>
      <c r="V12" s="19">
        <f t="shared" si="13"/>
        <v>0.54634000000000005</v>
      </c>
    </row>
    <row r="13" spans="1:22">
      <c r="A13" s="26"/>
      <c r="B13" s="26"/>
      <c r="C13" s="30"/>
      <c r="D13" s="27"/>
      <c r="E13" s="31">
        <f>SUM(E8:E12)</f>
        <v>16</v>
      </c>
      <c r="F13" s="38">
        <f>SUM(F8:F12)</f>
        <v>1.5464200000000001</v>
      </c>
      <c r="G13" s="17"/>
      <c r="H13" s="31">
        <f>SUM(H8:H12)</f>
        <v>0</v>
      </c>
      <c r="I13" s="38">
        <f>SUM(I8:I12)</f>
        <v>0</v>
      </c>
      <c r="J13" s="16"/>
      <c r="K13" s="31">
        <f>SUM(K8:K12)</f>
        <v>0</v>
      </c>
      <c r="L13" s="38">
        <f>SUM(L8:L12)</f>
        <v>0</v>
      </c>
      <c r="M13" s="16"/>
      <c r="N13" s="31">
        <f>SUM(N8:N12)</f>
        <v>0</v>
      </c>
      <c r="O13" s="38">
        <f>SUM(O8:O12)</f>
        <v>0</v>
      </c>
      <c r="P13" s="16"/>
      <c r="Q13" s="31">
        <f t="shared" ref="Q13:V13" si="14">SUM(Q8:Q12)</f>
        <v>0</v>
      </c>
      <c r="R13" s="38">
        <f t="shared" si="14"/>
        <v>0</v>
      </c>
      <c r="S13" s="31">
        <f t="shared" si="14"/>
        <v>0</v>
      </c>
      <c r="T13" s="38">
        <f t="shared" si="14"/>
        <v>0</v>
      </c>
      <c r="U13" s="31">
        <f t="shared" si="14"/>
        <v>16</v>
      </c>
      <c r="V13" s="38">
        <f t="shared" si="14"/>
        <v>1.5464200000000001</v>
      </c>
    </row>
    <row r="14" spans="1:22">
      <c r="A14" s="26" t="s">
        <v>13</v>
      </c>
      <c r="B14" s="26" t="s">
        <v>46</v>
      </c>
      <c r="C14" s="30">
        <v>10.7</v>
      </c>
      <c r="D14" s="27">
        <v>6</v>
      </c>
      <c r="E14" s="28">
        <v>1</v>
      </c>
      <c r="F14" s="16">
        <f t="shared" ref="F14:F16" si="15">(C14*D14*E14/1000)</f>
        <v>6.4199999999999993E-2</v>
      </c>
      <c r="G14" s="17"/>
      <c r="H14" s="18"/>
      <c r="I14" s="19">
        <f t="shared" ref="I14:I16" si="16">(C14*D14*H14/1000)</f>
        <v>0</v>
      </c>
      <c r="J14" s="16"/>
      <c r="K14" s="18"/>
      <c r="L14" s="19">
        <f t="shared" ref="L14:L16" si="17">(C14*D14*K14/1000)</f>
        <v>0</v>
      </c>
      <c r="M14" s="16"/>
      <c r="N14" s="18"/>
      <c r="O14" s="19">
        <f t="shared" ref="O14:O16" si="18">(C14*D14*N14/1000)</f>
        <v>0</v>
      </c>
      <c r="P14" s="16"/>
      <c r="Q14" s="18"/>
      <c r="R14" s="19">
        <f t="shared" ref="R14:R16" si="19">(C14*D14*Q14/1000)</f>
        <v>0</v>
      </c>
      <c r="S14" s="20">
        <f t="shared" ref="S14:T16" si="20">+H14+K14+Q14+N14</f>
        <v>0</v>
      </c>
      <c r="T14" s="19">
        <f t="shared" si="20"/>
        <v>0</v>
      </c>
      <c r="U14" s="21">
        <f t="shared" ref="U14:V16" si="21">E14-S14</f>
        <v>1</v>
      </c>
      <c r="V14" s="19">
        <f t="shared" si="21"/>
        <v>6.4199999999999993E-2</v>
      </c>
    </row>
    <row r="15" spans="1:22">
      <c r="A15" s="26" t="s">
        <v>13</v>
      </c>
      <c r="B15" s="26" t="s">
        <v>46</v>
      </c>
      <c r="C15" s="30">
        <v>10.7</v>
      </c>
      <c r="D15" s="27">
        <v>8.1</v>
      </c>
      <c r="E15" s="28">
        <v>2</v>
      </c>
      <c r="F15" s="16">
        <f t="shared" si="15"/>
        <v>0.17333999999999997</v>
      </c>
      <c r="G15" s="17"/>
      <c r="H15" s="18"/>
      <c r="I15" s="19">
        <f t="shared" si="16"/>
        <v>0</v>
      </c>
      <c r="J15" s="16"/>
      <c r="K15" s="18"/>
      <c r="L15" s="19">
        <f t="shared" si="17"/>
        <v>0</v>
      </c>
      <c r="M15" s="16"/>
      <c r="N15" s="18"/>
      <c r="O15" s="19">
        <f t="shared" si="18"/>
        <v>0</v>
      </c>
      <c r="P15" s="16"/>
      <c r="Q15" s="18"/>
      <c r="R15" s="19">
        <f t="shared" si="19"/>
        <v>0</v>
      </c>
      <c r="S15" s="20">
        <f t="shared" si="20"/>
        <v>0</v>
      </c>
      <c r="T15" s="19">
        <f t="shared" si="20"/>
        <v>0</v>
      </c>
      <c r="U15" s="21">
        <f t="shared" si="21"/>
        <v>2</v>
      </c>
      <c r="V15" s="19">
        <f t="shared" si="21"/>
        <v>0.17333999999999997</v>
      </c>
    </row>
    <row r="16" spans="1:22">
      <c r="A16" s="26" t="s">
        <v>13</v>
      </c>
      <c r="B16" s="26" t="s">
        <v>46</v>
      </c>
      <c r="C16" s="30">
        <v>10.7</v>
      </c>
      <c r="D16" s="27">
        <v>11.8</v>
      </c>
      <c r="E16" s="28">
        <v>3</v>
      </c>
      <c r="F16" s="16">
        <f t="shared" si="15"/>
        <v>0.37878000000000001</v>
      </c>
      <c r="G16" s="17"/>
      <c r="H16" s="18"/>
      <c r="I16" s="19">
        <f t="shared" si="16"/>
        <v>0</v>
      </c>
      <c r="J16" s="16"/>
      <c r="K16" s="18"/>
      <c r="L16" s="19">
        <f t="shared" si="17"/>
        <v>0</v>
      </c>
      <c r="M16" s="16"/>
      <c r="N16" s="18"/>
      <c r="O16" s="19">
        <f t="shared" si="18"/>
        <v>0</v>
      </c>
      <c r="P16" s="16"/>
      <c r="Q16" s="18"/>
      <c r="R16" s="19">
        <f t="shared" si="19"/>
        <v>0</v>
      </c>
      <c r="S16" s="20">
        <f t="shared" si="20"/>
        <v>0</v>
      </c>
      <c r="T16" s="19">
        <f t="shared" si="20"/>
        <v>0</v>
      </c>
      <c r="U16" s="21">
        <f t="shared" si="21"/>
        <v>3</v>
      </c>
      <c r="V16" s="19">
        <f t="shared" si="21"/>
        <v>0.37878000000000001</v>
      </c>
    </row>
    <row r="17" spans="1:22">
      <c r="A17" s="26"/>
      <c r="B17" s="26"/>
      <c r="C17" s="30"/>
      <c r="D17" s="27"/>
      <c r="E17" s="31">
        <f t="shared" ref="E17" si="22">SUM(E14:E16)</f>
        <v>6</v>
      </c>
      <c r="F17" s="38">
        <f>SUM(F14:F16)</f>
        <v>0.61631999999999998</v>
      </c>
      <c r="G17" s="17"/>
      <c r="H17" s="31">
        <f t="shared" ref="H17" si="23">SUM(H14:H16)</f>
        <v>0</v>
      </c>
      <c r="I17" s="38">
        <f>SUM(I14:I16)</f>
        <v>0</v>
      </c>
      <c r="J17" s="16"/>
      <c r="K17" s="31">
        <f t="shared" ref="K17" si="24">SUM(K14:K16)</f>
        <v>0</v>
      </c>
      <c r="L17" s="38">
        <f>SUM(L14:L16)</f>
        <v>0</v>
      </c>
      <c r="M17" s="16"/>
      <c r="N17" s="31">
        <f t="shared" ref="N17" si="25">SUM(N14:N16)</f>
        <v>0</v>
      </c>
      <c r="O17" s="38">
        <f>SUM(O14:O16)</f>
        <v>0</v>
      </c>
      <c r="P17" s="16"/>
      <c r="Q17" s="31">
        <f t="shared" ref="Q17" si="26">SUM(Q14:Q16)</f>
        <v>0</v>
      </c>
      <c r="R17" s="38">
        <f>SUM(R14:R16)</f>
        <v>0</v>
      </c>
      <c r="S17" s="31">
        <f t="shared" ref="S17" si="27">SUM(S14:S16)</f>
        <v>0</v>
      </c>
      <c r="T17" s="38">
        <f>SUM(T14:T16)</f>
        <v>0</v>
      </c>
      <c r="U17" s="31">
        <f t="shared" ref="U17" si="28">SUM(U14:U16)</f>
        <v>6</v>
      </c>
      <c r="V17" s="38">
        <f>SUM(V14:V16)</f>
        <v>0.61631999999999998</v>
      </c>
    </row>
    <row r="18" spans="1:22">
      <c r="A18" s="26" t="s">
        <v>13</v>
      </c>
      <c r="B18" s="26" t="s">
        <v>61</v>
      </c>
      <c r="C18" s="30">
        <v>12.2</v>
      </c>
      <c r="D18" s="27">
        <v>6.1</v>
      </c>
      <c r="E18" s="28">
        <v>1</v>
      </c>
      <c r="F18" s="16">
        <f t="shared" ref="F18:F19" si="29">(C18*D18*E18/1000)</f>
        <v>7.4419999999999986E-2</v>
      </c>
      <c r="G18" s="17"/>
      <c r="H18" s="18"/>
      <c r="I18" s="19">
        <f t="shared" ref="I18:I19" si="30">(C18*D18*H18/1000)</f>
        <v>0</v>
      </c>
      <c r="J18" s="16"/>
      <c r="K18" s="18"/>
      <c r="L18" s="19">
        <f t="shared" ref="L18:L19" si="31">(C18*D18*K18/1000)</f>
        <v>0</v>
      </c>
      <c r="M18" s="16"/>
      <c r="N18" s="18"/>
      <c r="O18" s="19">
        <f t="shared" ref="O18:O19" si="32">(C18*D18*N18/1000)</f>
        <v>0</v>
      </c>
      <c r="P18" s="16"/>
      <c r="Q18" s="18"/>
      <c r="R18" s="19">
        <f t="shared" ref="R18:R19" si="33">(C18*D18*Q18/1000)</f>
        <v>0</v>
      </c>
      <c r="S18" s="20">
        <f t="shared" ref="S18:T19" si="34">+H18+K18+Q18+N18</f>
        <v>0</v>
      </c>
      <c r="T18" s="19">
        <f t="shared" si="34"/>
        <v>0</v>
      </c>
      <c r="U18" s="21">
        <f t="shared" ref="U18:V19" si="35">E18-S18</f>
        <v>1</v>
      </c>
      <c r="V18" s="19">
        <f t="shared" si="35"/>
        <v>7.4419999999999986E-2</v>
      </c>
    </row>
    <row r="19" spans="1:22">
      <c r="A19" s="26" t="s">
        <v>13</v>
      </c>
      <c r="B19" s="26" t="s">
        <v>61</v>
      </c>
      <c r="C19" s="30">
        <v>12.2</v>
      </c>
      <c r="D19" s="27">
        <v>6.3</v>
      </c>
      <c r="E19" s="28">
        <v>1</v>
      </c>
      <c r="F19" s="16">
        <f t="shared" si="29"/>
        <v>7.6859999999999998E-2</v>
      </c>
      <c r="G19" s="17"/>
      <c r="H19" s="18"/>
      <c r="I19" s="19">
        <f t="shared" si="30"/>
        <v>0</v>
      </c>
      <c r="J19" s="16"/>
      <c r="K19" s="18"/>
      <c r="L19" s="19">
        <f t="shared" si="31"/>
        <v>0</v>
      </c>
      <c r="M19" s="16"/>
      <c r="N19" s="18"/>
      <c r="O19" s="19">
        <f t="shared" si="32"/>
        <v>0</v>
      </c>
      <c r="P19" s="16"/>
      <c r="Q19" s="18"/>
      <c r="R19" s="19">
        <f t="shared" si="33"/>
        <v>0</v>
      </c>
      <c r="S19" s="20">
        <f t="shared" si="34"/>
        <v>0</v>
      </c>
      <c r="T19" s="19">
        <f t="shared" si="34"/>
        <v>0</v>
      </c>
      <c r="U19" s="21">
        <f t="shared" si="35"/>
        <v>1</v>
      </c>
      <c r="V19" s="19">
        <f t="shared" si="35"/>
        <v>7.6859999999999998E-2</v>
      </c>
    </row>
    <row r="20" spans="1:22">
      <c r="A20" s="26"/>
      <c r="B20" s="26"/>
      <c r="C20" s="30"/>
      <c r="D20" s="27"/>
      <c r="E20" s="31">
        <f t="shared" ref="E20" si="36">SUM(E18:E19)</f>
        <v>2</v>
      </c>
      <c r="F20" s="38">
        <f>SUM(F18:F19)</f>
        <v>0.15127999999999997</v>
      </c>
      <c r="G20" s="17"/>
      <c r="H20" s="31">
        <f t="shared" ref="H20" si="37">SUM(H18:H19)</f>
        <v>0</v>
      </c>
      <c r="I20" s="38">
        <f>SUM(I18:I19)</f>
        <v>0</v>
      </c>
      <c r="J20" s="16"/>
      <c r="K20" s="31">
        <f t="shared" ref="K20" si="38">SUM(K18:K19)</f>
        <v>0</v>
      </c>
      <c r="L20" s="38">
        <f>SUM(L18:L19)</f>
        <v>0</v>
      </c>
      <c r="M20" s="16"/>
      <c r="N20" s="31">
        <f t="shared" ref="N20" si="39">SUM(N18:N19)</f>
        <v>0</v>
      </c>
      <c r="O20" s="38">
        <f>SUM(O18:O19)</f>
        <v>0</v>
      </c>
      <c r="P20" s="16"/>
      <c r="Q20" s="31">
        <f t="shared" ref="Q20" si="40">SUM(Q18:Q19)</f>
        <v>0</v>
      </c>
      <c r="R20" s="38">
        <f>SUM(R18:R19)</f>
        <v>0</v>
      </c>
      <c r="S20" s="31">
        <f t="shared" ref="S20" si="41">SUM(S18:S19)</f>
        <v>0</v>
      </c>
      <c r="T20" s="38">
        <f>SUM(T18:T19)</f>
        <v>0</v>
      </c>
      <c r="U20" s="31">
        <f t="shared" ref="U20" si="42">SUM(U18:U19)</f>
        <v>2</v>
      </c>
      <c r="V20" s="38">
        <f>SUM(V18:V19)</f>
        <v>0.15127999999999997</v>
      </c>
    </row>
    <row r="21" spans="1:22">
      <c r="A21" s="26" t="s">
        <v>13</v>
      </c>
      <c r="B21" s="26" t="s">
        <v>25</v>
      </c>
      <c r="C21" s="30">
        <v>13.4</v>
      </c>
      <c r="D21" s="27">
        <v>6</v>
      </c>
      <c r="E21" s="28">
        <v>1</v>
      </c>
      <c r="F21" s="16">
        <f t="shared" ref="F21:F22" si="43">(C21*D21*E21/1000)</f>
        <v>8.0399999999999999E-2</v>
      </c>
      <c r="G21" s="17"/>
      <c r="H21" s="18"/>
      <c r="I21" s="19">
        <f t="shared" ref="I21:I22" si="44">(C21*D21*H21/1000)</f>
        <v>0</v>
      </c>
      <c r="J21" s="16"/>
      <c r="K21" s="18"/>
      <c r="L21" s="19">
        <f t="shared" ref="L21:L22" si="45">(C21*D21*K21/1000)</f>
        <v>0</v>
      </c>
      <c r="M21" s="16"/>
      <c r="N21" s="18"/>
      <c r="O21" s="19">
        <f t="shared" ref="O21:O22" si="46">(C21*D21*N21/1000)</f>
        <v>0</v>
      </c>
      <c r="P21" s="16"/>
      <c r="Q21" s="18"/>
      <c r="R21" s="19">
        <f t="shared" ref="R21:R22" si="47">(C21*D21*Q21/1000)</f>
        <v>0</v>
      </c>
      <c r="S21" s="20">
        <f t="shared" ref="S21:T22" si="48">+H21+K21+Q21+N21</f>
        <v>0</v>
      </c>
      <c r="T21" s="19">
        <f t="shared" si="48"/>
        <v>0</v>
      </c>
      <c r="U21" s="21">
        <f t="shared" ref="U21:V22" si="49">E21-S21</f>
        <v>1</v>
      </c>
      <c r="V21" s="19">
        <f t="shared" si="49"/>
        <v>8.0399999999999999E-2</v>
      </c>
    </row>
    <row r="22" spans="1:22">
      <c r="A22" s="26" t="s">
        <v>13</v>
      </c>
      <c r="B22" s="26" t="s">
        <v>25</v>
      </c>
      <c r="C22" s="30">
        <v>13.4</v>
      </c>
      <c r="D22" s="27">
        <v>7.5</v>
      </c>
      <c r="E22" s="28">
        <v>3</v>
      </c>
      <c r="F22" s="16">
        <f t="shared" si="43"/>
        <v>0.30149999999999999</v>
      </c>
      <c r="G22" s="17"/>
      <c r="H22" s="18"/>
      <c r="I22" s="19">
        <f t="shared" si="44"/>
        <v>0</v>
      </c>
      <c r="J22" s="16"/>
      <c r="K22" s="18"/>
      <c r="L22" s="19">
        <f t="shared" si="45"/>
        <v>0</v>
      </c>
      <c r="M22" s="16"/>
      <c r="N22" s="18"/>
      <c r="O22" s="19">
        <f t="shared" si="46"/>
        <v>0</v>
      </c>
      <c r="P22" s="16"/>
      <c r="Q22" s="18"/>
      <c r="R22" s="19">
        <f t="shared" si="47"/>
        <v>0</v>
      </c>
      <c r="S22" s="20">
        <f t="shared" si="48"/>
        <v>0</v>
      </c>
      <c r="T22" s="19">
        <f t="shared" si="48"/>
        <v>0</v>
      </c>
      <c r="U22" s="21">
        <f t="shared" si="49"/>
        <v>3</v>
      </c>
      <c r="V22" s="19">
        <f t="shared" si="49"/>
        <v>0.30149999999999999</v>
      </c>
    </row>
    <row r="23" spans="1:22">
      <c r="A23" s="26"/>
      <c r="B23" s="26"/>
      <c r="C23" s="30"/>
      <c r="D23" s="27"/>
      <c r="E23" s="31">
        <f t="shared" ref="E23" si="50">SUM(E21:E22)</f>
        <v>4</v>
      </c>
      <c r="F23" s="38">
        <f>SUM(F21:F22)</f>
        <v>0.38190000000000002</v>
      </c>
      <c r="H23" s="31">
        <f t="shared" ref="H23" si="51">SUM(H21:H22)</f>
        <v>0</v>
      </c>
      <c r="I23" s="38">
        <f>SUM(I21:I22)</f>
        <v>0</v>
      </c>
      <c r="K23" s="31">
        <f t="shared" ref="K23" si="52">SUM(K21:K22)</f>
        <v>0</v>
      </c>
      <c r="L23" s="38">
        <f>SUM(L21:L22)</f>
        <v>0</v>
      </c>
      <c r="N23" s="31">
        <f t="shared" ref="N23" si="53">SUM(N21:N22)</f>
        <v>0</v>
      </c>
      <c r="O23" s="38">
        <f>SUM(O21:O22)</f>
        <v>0</v>
      </c>
      <c r="Q23" s="31">
        <f t="shared" ref="Q23" si="54">SUM(Q21:Q22)</f>
        <v>0</v>
      </c>
      <c r="R23" s="38">
        <f>SUM(R21:R22)</f>
        <v>0</v>
      </c>
      <c r="S23" s="31">
        <f t="shared" ref="S23" si="55">SUM(S21:S22)</f>
        <v>0</v>
      </c>
      <c r="T23" s="38">
        <f>SUM(T21:T22)</f>
        <v>0</v>
      </c>
      <c r="U23" s="31">
        <f t="shared" ref="U23" si="56">SUM(U21:U22)</f>
        <v>4</v>
      </c>
      <c r="V23" s="38">
        <f>SUM(V21:V22)</f>
        <v>0.38190000000000002</v>
      </c>
    </row>
    <row r="24" spans="1:22">
      <c r="A24" s="26" t="s">
        <v>13</v>
      </c>
      <c r="B24" s="26" t="s">
        <v>47</v>
      </c>
      <c r="C24" s="30">
        <v>18.2</v>
      </c>
      <c r="D24" s="27">
        <v>9.1</v>
      </c>
      <c r="E24" s="28">
        <v>1</v>
      </c>
      <c r="F24" s="16">
        <f t="shared" ref="F24:F25" si="57">(C24*D24*E24/1000)</f>
        <v>0.16561999999999999</v>
      </c>
      <c r="G24" s="17"/>
      <c r="H24" s="18"/>
      <c r="I24" s="19">
        <f t="shared" ref="I24:I25" si="58">(C24*D24*H24/1000)</f>
        <v>0</v>
      </c>
      <c r="J24" s="16"/>
      <c r="K24" s="18"/>
      <c r="L24" s="19">
        <f t="shared" ref="L24:L25" si="59">(C24*D24*K24/1000)</f>
        <v>0</v>
      </c>
      <c r="M24" s="16"/>
      <c r="N24" s="18"/>
      <c r="O24" s="19">
        <f t="shared" ref="O24:O25" si="60">(C24*D24*N24/1000)</f>
        <v>0</v>
      </c>
      <c r="P24" s="16"/>
      <c r="Q24" s="18"/>
      <c r="R24" s="19">
        <f t="shared" ref="R24:R25" si="61">(C24*D24*Q24/1000)</f>
        <v>0</v>
      </c>
      <c r="S24" s="20">
        <f t="shared" ref="S24:T25" si="62">+H24+K24+Q24+N24</f>
        <v>0</v>
      </c>
      <c r="T24" s="19">
        <f t="shared" si="62"/>
        <v>0</v>
      </c>
      <c r="U24" s="21">
        <f t="shared" ref="U24:V25" si="63">E24-S24</f>
        <v>1</v>
      </c>
      <c r="V24" s="19">
        <f t="shared" si="63"/>
        <v>0.16561999999999999</v>
      </c>
    </row>
    <row r="25" spans="1:22">
      <c r="A25" s="26" t="s">
        <v>13</v>
      </c>
      <c r="B25" s="26" t="s">
        <v>47</v>
      </c>
      <c r="C25" s="30">
        <v>18.2</v>
      </c>
      <c r="D25" s="27">
        <v>10.1</v>
      </c>
      <c r="E25" s="28">
        <v>4</v>
      </c>
      <c r="F25" s="16">
        <f t="shared" si="57"/>
        <v>0.73527999999999993</v>
      </c>
      <c r="G25" s="17"/>
      <c r="H25" s="18"/>
      <c r="I25" s="19">
        <f t="shared" si="58"/>
        <v>0</v>
      </c>
      <c r="J25" s="16"/>
      <c r="K25" s="18"/>
      <c r="L25" s="19">
        <f t="shared" si="59"/>
        <v>0</v>
      </c>
      <c r="M25" s="16"/>
      <c r="N25" s="18"/>
      <c r="O25" s="19">
        <f t="shared" si="60"/>
        <v>0</v>
      </c>
      <c r="P25" s="16"/>
      <c r="Q25" s="18"/>
      <c r="R25" s="19">
        <f t="shared" si="61"/>
        <v>0</v>
      </c>
      <c r="S25" s="20">
        <f t="shared" si="62"/>
        <v>0</v>
      </c>
      <c r="T25" s="19">
        <f t="shared" si="62"/>
        <v>0</v>
      </c>
      <c r="U25" s="21">
        <f t="shared" si="63"/>
        <v>4</v>
      </c>
      <c r="V25" s="19">
        <f t="shared" si="63"/>
        <v>0.73527999999999993</v>
      </c>
    </row>
    <row r="26" spans="1:22">
      <c r="A26" s="26"/>
      <c r="B26" s="26"/>
      <c r="C26" s="30"/>
      <c r="D26" s="27"/>
      <c r="E26" s="31">
        <f>SUM(E24:E25)</f>
        <v>5</v>
      </c>
      <c r="F26" s="38">
        <f>SUM(F24:F25)</f>
        <v>0.90089999999999992</v>
      </c>
      <c r="G26" s="17"/>
      <c r="H26" s="31">
        <f>SUM(H24:H25)</f>
        <v>0</v>
      </c>
      <c r="I26" s="38">
        <f>SUM(I24:I25)</f>
        <v>0</v>
      </c>
      <c r="J26" s="16"/>
      <c r="K26" s="31">
        <f>SUM(K24:K25)</f>
        <v>0</v>
      </c>
      <c r="L26" s="38">
        <f>SUM(L24:L25)</f>
        <v>0</v>
      </c>
      <c r="M26" s="16"/>
      <c r="N26" s="31">
        <f>SUM(N24:N25)</f>
        <v>0</v>
      </c>
      <c r="O26" s="38">
        <f>SUM(O24:O25)</f>
        <v>0</v>
      </c>
      <c r="P26" s="16"/>
      <c r="Q26" s="31">
        <f t="shared" ref="Q26:V26" si="64">SUM(Q24:Q25)</f>
        <v>0</v>
      </c>
      <c r="R26" s="38">
        <f t="shared" si="64"/>
        <v>0</v>
      </c>
      <c r="S26" s="31">
        <f t="shared" si="64"/>
        <v>0</v>
      </c>
      <c r="T26" s="38">
        <f t="shared" si="64"/>
        <v>0</v>
      </c>
      <c r="U26" s="31">
        <f t="shared" si="64"/>
        <v>5</v>
      </c>
      <c r="V26" s="38">
        <f t="shared" si="64"/>
        <v>0.90089999999999992</v>
      </c>
    </row>
    <row r="27" spans="1:22">
      <c r="A27" s="26" t="s">
        <v>13</v>
      </c>
      <c r="B27" s="26" t="s">
        <v>51</v>
      </c>
      <c r="C27" s="30">
        <v>19.8</v>
      </c>
      <c r="D27" s="27">
        <v>8.25</v>
      </c>
      <c r="E27" s="28">
        <v>7</v>
      </c>
      <c r="F27" s="16">
        <f t="shared" ref="F27:F29" si="65">(C27*D27*E27/1000)</f>
        <v>1.1434500000000001</v>
      </c>
      <c r="G27" s="17"/>
      <c r="H27" s="18"/>
      <c r="I27" s="19">
        <f t="shared" ref="I27:I29" si="66">(C27*D27*H27/1000)</f>
        <v>0</v>
      </c>
      <c r="J27" s="16"/>
      <c r="K27" s="18"/>
      <c r="L27" s="19">
        <f t="shared" ref="L27:L29" si="67">(C27*D27*K27/1000)</f>
        <v>0</v>
      </c>
      <c r="M27" s="16"/>
      <c r="N27" s="18"/>
      <c r="O27" s="19">
        <f t="shared" ref="O27:O29" si="68">(C27*D27*N27/1000)</f>
        <v>0</v>
      </c>
      <c r="P27" s="16"/>
      <c r="Q27" s="18"/>
      <c r="R27" s="19">
        <f t="shared" ref="R27:R29" si="69">(C27*D27*Q27/1000)</f>
        <v>0</v>
      </c>
      <c r="S27" s="20">
        <f t="shared" ref="S27:T29" si="70">+H27+K27+Q27+N27</f>
        <v>0</v>
      </c>
      <c r="T27" s="19">
        <f t="shared" si="70"/>
        <v>0</v>
      </c>
      <c r="U27" s="21">
        <f t="shared" ref="U27:V29" si="71">E27-S27</f>
        <v>7</v>
      </c>
      <c r="V27" s="19">
        <f t="shared" si="71"/>
        <v>1.1434500000000001</v>
      </c>
    </row>
    <row r="28" spans="1:22">
      <c r="A28" s="26" t="s">
        <v>13</v>
      </c>
      <c r="B28" s="26" t="s">
        <v>51</v>
      </c>
      <c r="C28" s="30">
        <v>19.8</v>
      </c>
      <c r="D28" s="27">
        <v>9.25</v>
      </c>
      <c r="E28" s="28">
        <v>16</v>
      </c>
      <c r="F28" s="16">
        <f t="shared" si="65"/>
        <v>2.9304000000000001</v>
      </c>
      <c r="G28" s="17"/>
      <c r="H28" s="18"/>
      <c r="I28" s="19">
        <f t="shared" si="66"/>
        <v>0</v>
      </c>
      <c r="J28" s="16"/>
      <c r="K28" s="18"/>
      <c r="L28" s="19">
        <f t="shared" si="67"/>
        <v>0</v>
      </c>
      <c r="M28" s="16"/>
      <c r="N28" s="18"/>
      <c r="O28" s="19">
        <f t="shared" si="68"/>
        <v>0</v>
      </c>
      <c r="P28" s="16"/>
      <c r="Q28" s="18"/>
      <c r="R28" s="19">
        <f t="shared" si="69"/>
        <v>0</v>
      </c>
      <c r="S28" s="20">
        <f t="shared" si="70"/>
        <v>0</v>
      </c>
      <c r="T28" s="19">
        <f t="shared" si="70"/>
        <v>0</v>
      </c>
      <c r="U28" s="21">
        <f t="shared" si="71"/>
        <v>16</v>
      </c>
      <c r="V28" s="19">
        <f t="shared" si="71"/>
        <v>2.9304000000000001</v>
      </c>
    </row>
    <row r="29" spans="1:22">
      <c r="A29" s="26" t="s">
        <v>13</v>
      </c>
      <c r="B29" s="26" t="s">
        <v>51</v>
      </c>
      <c r="C29" s="30">
        <v>19.8</v>
      </c>
      <c r="D29" s="27">
        <v>10.9</v>
      </c>
      <c r="E29" s="28">
        <v>1</v>
      </c>
      <c r="F29" s="16">
        <f t="shared" si="65"/>
        <v>0.21582000000000001</v>
      </c>
      <c r="G29" s="17"/>
      <c r="H29" s="18"/>
      <c r="I29" s="19">
        <f t="shared" si="66"/>
        <v>0</v>
      </c>
      <c r="J29" s="16"/>
      <c r="K29" s="18"/>
      <c r="L29" s="19">
        <f t="shared" si="67"/>
        <v>0</v>
      </c>
      <c r="M29" s="16"/>
      <c r="N29" s="18"/>
      <c r="O29" s="19">
        <f t="shared" si="68"/>
        <v>0</v>
      </c>
      <c r="P29" s="16"/>
      <c r="Q29" s="18"/>
      <c r="R29" s="19">
        <f t="shared" si="69"/>
        <v>0</v>
      </c>
      <c r="S29" s="20">
        <f t="shared" si="70"/>
        <v>0</v>
      </c>
      <c r="T29" s="19">
        <f t="shared" si="70"/>
        <v>0</v>
      </c>
      <c r="U29" s="21">
        <f t="shared" si="71"/>
        <v>1</v>
      </c>
      <c r="V29" s="19">
        <f t="shared" si="71"/>
        <v>0.21582000000000001</v>
      </c>
    </row>
    <row r="30" spans="1:22">
      <c r="A30" s="26"/>
      <c r="B30" s="26"/>
      <c r="C30" s="30"/>
      <c r="D30" s="27"/>
      <c r="E30" s="31">
        <f>SUM(E27:E29)</f>
        <v>24</v>
      </c>
      <c r="F30" s="38">
        <f>SUM(F27:F29)</f>
        <v>4.2896700000000001</v>
      </c>
      <c r="H30" s="31">
        <f>SUM(H27:H29)</f>
        <v>0</v>
      </c>
      <c r="I30" s="38">
        <f>SUM(I27:I29)</f>
        <v>0</v>
      </c>
      <c r="K30" s="31">
        <f>SUM(K27:K29)</f>
        <v>0</v>
      </c>
      <c r="L30" s="38">
        <f>SUM(L27:L29)</f>
        <v>0</v>
      </c>
      <c r="N30" s="31">
        <f>SUM(N27:N29)</f>
        <v>0</v>
      </c>
      <c r="O30" s="38">
        <f>SUM(O27:O29)</f>
        <v>0</v>
      </c>
      <c r="Q30" s="31">
        <f t="shared" ref="Q30:V30" si="72">SUM(Q27:Q29)</f>
        <v>0</v>
      </c>
      <c r="R30" s="38">
        <f t="shared" si="72"/>
        <v>0</v>
      </c>
      <c r="S30" s="31">
        <f t="shared" si="72"/>
        <v>0</v>
      </c>
      <c r="T30" s="38">
        <f t="shared" si="72"/>
        <v>0</v>
      </c>
      <c r="U30" s="31">
        <f t="shared" si="72"/>
        <v>24</v>
      </c>
      <c r="V30" s="38">
        <f t="shared" si="72"/>
        <v>4.2896700000000001</v>
      </c>
    </row>
    <row r="31" spans="1:22">
      <c r="A31" s="26" t="s">
        <v>13</v>
      </c>
      <c r="B31" s="26" t="s">
        <v>53</v>
      </c>
      <c r="C31" s="30">
        <v>23.6</v>
      </c>
      <c r="D31" s="27">
        <v>6</v>
      </c>
      <c r="E31" s="28">
        <v>1</v>
      </c>
      <c r="F31" s="16">
        <f t="shared" ref="F31:F34" si="73">(C31*D31*E31/1000)</f>
        <v>0.14160000000000003</v>
      </c>
      <c r="G31" s="17"/>
      <c r="H31" s="18"/>
      <c r="I31" s="19">
        <f t="shared" ref="I31:I34" si="74">(C31*D31*H31/1000)</f>
        <v>0</v>
      </c>
      <c r="J31" s="16"/>
      <c r="K31" s="18"/>
      <c r="L31" s="19">
        <f t="shared" ref="L31:L34" si="75">(C31*D31*K31/1000)</f>
        <v>0</v>
      </c>
      <c r="M31" s="16"/>
      <c r="N31" s="18"/>
      <c r="O31" s="19">
        <f t="shared" ref="O31:O34" si="76">(C31*D31*N31/1000)</f>
        <v>0</v>
      </c>
      <c r="P31" s="16"/>
      <c r="Q31" s="18"/>
      <c r="R31" s="19">
        <f t="shared" ref="R31:R34" si="77">(C31*D31*Q31/1000)</f>
        <v>0</v>
      </c>
      <c r="S31" s="20">
        <f t="shared" ref="S31:T34" si="78">+H31+K31+Q31+N31</f>
        <v>0</v>
      </c>
      <c r="T31" s="19">
        <f t="shared" si="78"/>
        <v>0</v>
      </c>
      <c r="U31" s="21">
        <f t="shared" ref="U31:V34" si="79">E31-S31</f>
        <v>1</v>
      </c>
      <c r="V31" s="19">
        <f t="shared" si="79"/>
        <v>0.14160000000000003</v>
      </c>
    </row>
    <row r="32" spans="1:22">
      <c r="A32" s="26" t="s">
        <v>13</v>
      </c>
      <c r="B32" s="26" t="s">
        <v>53</v>
      </c>
      <c r="C32" s="30">
        <v>23.6</v>
      </c>
      <c r="D32" s="27">
        <v>7.2</v>
      </c>
      <c r="E32" s="28">
        <v>7</v>
      </c>
      <c r="F32" s="16">
        <f t="shared" si="73"/>
        <v>1.1894400000000001</v>
      </c>
      <c r="G32" s="17"/>
      <c r="H32" s="18"/>
      <c r="I32" s="19">
        <f t="shared" si="74"/>
        <v>0</v>
      </c>
      <c r="J32" s="16"/>
      <c r="K32" s="18"/>
      <c r="L32" s="19">
        <f t="shared" si="75"/>
        <v>0</v>
      </c>
      <c r="M32" s="16"/>
      <c r="N32" s="18"/>
      <c r="O32" s="19">
        <f t="shared" si="76"/>
        <v>0</v>
      </c>
      <c r="P32" s="16"/>
      <c r="Q32" s="18"/>
      <c r="R32" s="19">
        <f t="shared" si="77"/>
        <v>0</v>
      </c>
      <c r="S32" s="20">
        <f t="shared" si="78"/>
        <v>0</v>
      </c>
      <c r="T32" s="19">
        <f t="shared" si="78"/>
        <v>0</v>
      </c>
      <c r="U32" s="21">
        <f t="shared" si="79"/>
        <v>7</v>
      </c>
      <c r="V32" s="19">
        <f t="shared" si="79"/>
        <v>1.1894400000000001</v>
      </c>
    </row>
    <row r="33" spans="1:22">
      <c r="A33" s="26" t="s">
        <v>13</v>
      </c>
      <c r="B33" s="26" t="s">
        <v>53</v>
      </c>
      <c r="C33" s="30">
        <v>23.6</v>
      </c>
      <c r="D33" s="27">
        <v>10.199999999999999</v>
      </c>
      <c r="E33" s="28">
        <v>4</v>
      </c>
      <c r="F33" s="16">
        <f t="shared" si="73"/>
        <v>0.96287999999999996</v>
      </c>
      <c r="G33" s="17"/>
      <c r="H33" s="18"/>
      <c r="I33" s="19">
        <f t="shared" si="74"/>
        <v>0</v>
      </c>
      <c r="J33" s="16"/>
      <c r="K33" s="18"/>
      <c r="L33" s="19">
        <f t="shared" si="75"/>
        <v>0</v>
      </c>
      <c r="M33" s="16"/>
      <c r="N33" s="18"/>
      <c r="O33" s="19">
        <f t="shared" si="76"/>
        <v>0</v>
      </c>
      <c r="P33" s="16"/>
      <c r="Q33" s="18"/>
      <c r="R33" s="19">
        <f t="shared" si="77"/>
        <v>0</v>
      </c>
      <c r="S33" s="20">
        <f t="shared" si="78"/>
        <v>0</v>
      </c>
      <c r="T33" s="19">
        <f t="shared" si="78"/>
        <v>0</v>
      </c>
      <c r="U33" s="21">
        <f t="shared" si="79"/>
        <v>4</v>
      </c>
      <c r="V33" s="19">
        <f t="shared" si="79"/>
        <v>0.96287999999999996</v>
      </c>
    </row>
    <row r="34" spans="1:22">
      <c r="A34" s="26" t="s">
        <v>13</v>
      </c>
      <c r="B34" s="26" t="s">
        <v>53</v>
      </c>
      <c r="C34" s="30">
        <v>23.6</v>
      </c>
      <c r="D34" s="27">
        <v>10.25</v>
      </c>
      <c r="E34" s="28">
        <v>11</v>
      </c>
      <c r="F34" s="16">
        <f t="shared" si="73"/>
        <v>2.6609000000000003</v>
      </c>
      <c r="G34" s="17"/>
      <c r="H34" s="18"/>
      <c r="I34" s="19">
        <f t="shared" si="74"/>
        <v>0</v>
      </c>
      <c r="J34" s="16"/>
      <c r="K34" s="18"/>
      <c r="L34" s="19">
        <f t="shared" si="75"/>
        <v>0</v>
      </c>
      <c r="M34" s="16"/>
      <c r="N34" s="18"/>
      <c r="O34" s="19">
        <f t="shared" si="76"/>
        <v>0</v>
      </c>
      <c r="P34" s="16"/>
      <c r="Q34" s="18"/>
      <c r="R34" s="19">
        <f t="shared" si="77"/>
        <v>0</v>
      </c>
      <c r="S34" s="20">
        <f t="shared" si="78"/>
        <v>0</v>
      </c>
      <c r="T34" s="19">
        <f t="shared" si="78"/>
        <v>0</v>
      </c>
      <c r="U34" s="21">
        <f t="shared" si="79"/>
        <v>11</v>
      </c>
      <c r="V34" s="19">
        <f t="shared" si="79"/>
        <v>2.6609000000000003</v>
      </c>
    </row>
    <row r="35" spans="1:22">
      <c r="A35" s="26"/>
      <c r="B35" s="26"/>
      <c r="C35" s="30"/>
      <c r="D35" s="27"/>
      <c r="E35" s="31">
        <f>SUM(E31:E34)</f>
        <v>23</v>
      </c>
      <c r="F35" s="38">
        <f>SUM(F31:F34)</f>
        <v>4.9548199999999998</v>
      </c>
      <c r="G35" s="17"/>
      <c r="H35" s="31">
        <f>SUM(H31:H34)</f>
        <v>0</v>
      </c>
      <c r="I35" s="38">
        <f>SUM(I31:I34)</f>
        <v>0</v>
      </c>
      <c r="J35" s="16"/>
      <c r="K35" s="31">
        <f>SUM(K31:K34)</f>
        <v>0</v>
      </c>
      <c r="L35" s="38">
        <f>SUM(L31:L34)</f>
        <v>0</v>
      </c>
      <c r="M35" s="16"/>
      <c r="N35" s="31">
        <f>SUM(N31:N34)</f>
        <v>0</v>
      </c>
      <c r="O35" s="38">
        <f>SUM(O31:O34)</f>
        <v>0</v>
      </c>
      <c r="P35" s="16"/>
      <c r="Q35" s="31">
        <f t="shared" ref="Q35:V35" si="80">SUM(Q31:Q34)</f>
        <v>0</v>
      </c>
      <c r="R35" s="38">
        <f t="shared" si="80"/>
        <v>0</v>
      </c>
      <c r="S35" s="31">
        <f t="shared" si="80"/>
        <v>0</v>
      </c>
      <c r="T35" s="38">
        <f t="shared" si="80"/>
        <v>0</v>
      </c>
      <c r="U35" s="31">
        <f t="shared" si="80"/>
        <v>23</v>
      </c>
      <c r="V35" s="38">
        <f t="shared" si="80"/>
        <v>4.9548199999999998</v>
      </c>
    </row>
    <row r="36" spans="1:22">
      <c r="A36" s="26" t="s">
        <v>13</v>
      </c>
      <c r="B36" s="26" t="s">
        <v>125</v>
      </c>
      <c r="C36" s="30">
        <v>27.3</v>
      </c>
      <c r="D36" s="27">
        <v>6</v>
      </c>
      <c r="E36" s="28">
        <v>1</v>
      </c>
      <c r="F36" s="16">
        <f>(C36*D36*E36/1000)</f>
        <v>0.1638</v>
      </c>
      <c r="G36" s="17"/>
      <c r="H36" s="18"/>
      <c r="I36" s="19">
        <f>(C36*D36*H36/1000)</f>
        <v>0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0</v>
      </c>
      <c r="T36" s="19">
        <f>+I36+L36+R36+O36</f>
        <v>0</v>
      </c>
      <c r="U36" s="21">
        <f>E36-S36</f>
        <v>1</v>
      </c>
      <c r="V36" s="19">
        <f>F36-T36</f>
        <v>0.1638</v>
      </c>
    </row>
    <row r="37" spans="1:22">
      <c r="A37" s="26"/>
      <c r="B37" s="26"/>
      <c r="C37" s="30"/>
      <c r="D37" s="27"/>
      <c r="E37" s="31">
        <f>SUM(E36)</f>
        <v>1</v>
      </c>
      <c r="F37" s="38">
        <f>SUM(F36)</f>
        <v>0.1638</v>
      </c>
      <c r="G37" s="17"/>
      <c r="H37" s="31">
        <f>SUM(H36)</f>
        <v>0</v>
      </c>
      <c r="I37" s="38">
        <f>SUM(I36)</f>
        <v>0</v>
      </c>
      <c r="J37" s="16"/>
      <c r="K37" s="31">
        <f>SUM(K36)</f>
        <v>0</v>
      </c>
      <c r="L37" s="38">
        <f>SUM(L36)</f>
        <v>0</v>
      </c>
      <c r="M37" s="16"/>
      <c r="N37" s="31">
        <f>SUM(N36)</f>
        <v>0</v>
      </c>
      <c r="O37" s="38">
        <f>SUM(O36)</f>
        <v>0</v>
      </c>
      <c r="P37" s="16"/>
      <c r="Q37" s="31">
        <f t="shared" ref="Q37:V37" si="81">SUM(Q36)</f>
        <v>0</v>
      </c>
      <c r="R37" s="38">
        <f t="shared" si="81"/>
        <v>0</v>
      </c>
      <c r="S37" s="31">
        <f t="shared" si="81"/>
        <v>0</v>
      </c>
      <c r="T37" s="38">
        <f t="shared" si="81"/>
        <v>0</v>
      </c>
      <c r="U37" s="31">
        <f t="shared" si="81"/>
        <v>1</v>
      </c>
      <c r="V37" s="38">
        <f t="shared" si="81"/>
        <v>0.1638</v>
      </c>
    </row>
    <row r="38" spans="1:22">
      <c r="A38" s="26" t="s">
        <v>13</v>
      </c>
      <c r="B38" s="26" t="s">
        <v>75</v>
      </c>
      <c r="C38" s="30">
        <v>31.6</v>
      </c>
      <c r="D38" s="27">
        <v>6</v>
      </c>
      <c r="E38" s="28">
        <v>2</v>
      </c>
      <c r="F38" s="16">
        <f>(C38*D38*E38/1000)</f>
        <v>0.37920000000000004</v>
      </c>
      <c r="G38" s="17"/>
      <c r="H38" s="18"/>
      <c r="I38" s="19">
        <f>(C38*D38*H38/1000)</f>
        <v>0</v>
      </c>
      <c r="J38" s="16"/>
      <c r="K38" s="18"/>
      <c r="L38" s="19">
        <f>(C38*D38*K38/1000)</f>
        <v>0</v>
      </c>
      <c r="M38" s="16"/>
      <c r="N38" s="18"/>
      <c r="O38" s="19">
        <f>(C38*D38*N38/1000)</f>
        <v>0</v>
      </c>
      <c r="P38" s="16"/>
      <c r="Q38" s="18"/>
      <c r="R38" s="19">
        <f>(C38*D38*Q38/1000)</f>
        <v>0</v>
      </c>
      <c r="S38" s="20">
        <f>+H38+K38+Q38+N38</f>
        <v>0</v>
      </c>
      <c r="T38" s="19">
        <f>+I38+L38+R38+O38</f>
        <v>0</v>
      </c>
      <c r="U38" s="21">
        <f>E38-S38</f>
        <v>2</v>
      </c>
      <c r="V38" s="19">
        <f>F38-T38</f>
        <v>0.37920000000000004</v>
      </c>
    </row>
    <row r="39" spans="1:22">
      <c r="A39" s="26"/>
      <c r="B39" s="26"/>
      <c r="C39" s="30"/>
      <c r="D39" s="27"/>
      <c r="E39" s="31">
        <f t="shared" ref="E39" si="82">SUM(E38)</f>
        <v>2</v>
      </c>
      <c r="F39" s="38">
        <f>SUM(F38)</f>
        <v>0.37920000000000004</v>
      </c>
      <c r="G39" s="17"/>
      <c r="H39" s="31">
        <f t="shared" ref="H39" si="83">SUM(H38)</f>
        <v>0</v>
      </c>
      <c r="I39" s="38">
        <f>SUM(I38)</f>
        <v>0</v>
      </c>
      <c r="J39" s="16"/>
      <c r="K39" s="31">
        <f t="shared" ref="K39" si="84">SUM(K38)</f>
        <v>0</v>
      </c>
      <c r="L39" s="38">
        <f>SUM(L38)</f>
        <v>0</v>
      </c>
      <c r="M39" s="16"/>
      <c r="N39" s="31">
        <f t="shared" ref="N39" si="85">SUM(N38)</f>
        <v>0</v>
      </c>
      <c r="O39" s="38">
        <f>SUM(O38)</f>
        <v>0</v>
      </c>
      <c r="P39" s="16"/>
      <c r="Q39" s="31">
        <f t="shared" ref="Q39" si="86">SUM(Q38)</f>
        <v>0</v>
      </c>
      <c r="R39" s="38">
        <f>SUM(R38)</f>
        <v>0</v>
      </c>
      <c r="S39" s="31">
        <f t="shared" ref="S39" si="87">SUM(S38)</f>
        <v>0</v>
      </c>
      <c r="T39" s="38">
        <f>SUM(T38)</f>
        <v>0</v>
      </c>
      <c r="U39" s="31">
        <f t="shared" ref="U39" si="88">SUM(U38)</f>
        <v>2</v>
      </c>
      <c r="V39" s="38">
        <f>SUM(V38)</f>
        <v>0.37920000000000004</v>
      </c>
    </row>
    <row r="40" spans="1:22">
      <c r="A40" s="26" t="s">
        <v>13</v>
      </c>
      <c r="B40" s="26" t="s">
        <v>126</v>
      </c>
      <c r="C40" s="30">
        <v>33.799999999999997</v>
      </c>
      <c r="D40" s="27">
        <v>6.3</v>
      </c>
      <c r="E40" s="28">
        <v>9</v>
      </c>
      <c r="F40" s="16">
        <f t="shared" ref="F40:F42" si="89">(C40*D40*E40/1000)</f>
        <v>1.9164599999999998</v>
      </c>
      <c r="G40" s="17"/>
      <c r="H40" s="18"/>
      <c r="I40" s="19">
        <f t="shared" ref="I40:I42" si="90">(C40*D40*H40/1000)</f>
        <v>0</v>
      </c>
      <c r="J40" s="16"/>
      <c r="K40" s="18"/>
      <c r="L40" s="19">
        <f t="shared" ref="L40:L42" si="91">(C40*D40*K40/1000)</f>
        <v>0</v>
      </c>
      <c r="M40" s="16"/>
      <c r="N40" s="18"/>
      <c r="O40" s="19">
        <f t="shared" ref="O40:O42" si="92">(C40*D40*N40/1000)</f>
        <v>0</v>
      </c>
      <c r="P40" s="16"/>
      <c r="Q40" s="18"/>
      <c r="R40" s="19">
        <f t="shared" ref="R40:R42" si="93">(C40*D40*Q40/1000)</f>
        <v>0</v>
      </c>
      <c r="S40" s="20">
        <f t="shared" ref="S40:T42" si="94">+H40+K40+Q40+N40</f>
        <v>0</v>
      </c>
      <c r="T40" s="19">
        <f t="shared" si="94"/>
        <v>0</v>
      </c>
      <c r="U40" s="21">
        <f t="shared" ref="U40:V42" si="95">E40-S40</f>
        <v>9</v>
      </c>
      <c r="V40" s="19">
        <f t="shared" si="95"/>
        <v>1.9164599999999998</v>
      </c>
    </row>
    <row r="41" spans="1:22">
      <c r="A41" s="26" t="s">
        <v>13</v>
      </c>
      <c r="B41" s="26" t="s">
        <v>126</v>
      </c>
      <c r="C41" s="30">
        <v>33.799999999999997</v>
      </c>
      <c r="D41" s="27">
        <v>6.5</v>
      </c>
      <c r="E41" s="28">
        <v>2</v>
      </c>
      <c r="F41" s="16">
        <f t="shared" si="89"/>
        <v>0.43939999999999996</v>
      </c>
      <c r="G41" s="17"/>
      <c r="H41" s="18"/>
      <c r="I41" s="19">
        <f t="shared" si="90"/>
        <v>0</v>
      </c>
      <c r="J41" s="16"/>
      <c r="K41" s="18"/>
      <c r="L41" s="19">
        <f t="shared" si="91"/>
        <v>0</v>
      </c>
      <c r="M41" s="16"/>
      <c r="N41" s="18"/>
      <c r="O41" s="19">
        <f t="shared" si="92"/>
        <v>0</v>
      </c>
      <c r="P41" s="16"/>
      <c r="Q41" s="18"/>
      <c r="R41" s="19">
        <f t="shared" si="93"/>
        <v>0</v>
      </c>
      <c r="S41" s="20">
        <f t="shared" si="94"/>
        <v>0</v>
      </c>
      <c r="T41" s="19">
        <f t="shared" si="94"/>
        <v>0</v>
      </c>
      <c r="U41" s="21">
        <f t="shared" si="95"/>
        <v>2</v>
      </c>
      <c r="V41" s="19">
        <f t="shared" si="95"/>
        <v>0.43939999999999996</v>
      </c>
    </row>
    <row r="42" spans="1:22">
      <c r="A42" s="26" t="s">
        <v>13</v>
      </c>
      <c r="B42" s="26" t="s">
        <v>126</v>
      </c>
      <c r="C42" s="30">
        <v>33.799999999999997</v>
      </c>
      <c r="D42" s="27">
        <v>8.3000000000000007</v>
      </c>
      <c r="E42" s="28">
        <v>10</v>
      </c>
      <c r="F42" s="16">
        <f t="shared" si="89"/>
        <v>2.8054000000000001</v>
      </c>
      <c r="G42" s="17"/>
      <c r="H42" s="18"/>
      <c r="I42" s="19">
        <f t="shared" si="90"/>
        <v>0</v>
      </c>
      <c r="J42" s="16"/>
      <c r="K42" s="18"/>
      <c r="L42" s="19">
        <f t="shared" si="91"/>
        <v>0</v>
      </c>
      <c r="M42" s="16"/>
      <c r="N42" s="18"/>
      <c r="O42" s="19">
        <f t="shared" si="92"/>
        <v>0</v>
      </c>
      <c r="P42" s="16"/>
      <c r="Q42" s="18"/>
      <c r="R42" s="19">
        <f t="shared" si="93"/>
        <v>0</v>
      </c>
      <c r="S42" s="20">
        <f t="shared" si="94"/>
        <v>0</v>
      </c>
      <c r="T42" s="19">
        <f t="shared" si="94"/>
        <v>0</v>
      </c>
      <c r="U42" s="21">
        <f t="shared" si="95"/>
        <v>10</v>
      </c>
      <c r="V42" s="19">
        <f t="shared" si="95"/>
        <v>2.8054000000000001</v>
      </c>
    </row>
    <row r="43" spans="1:22">
      <c r="A43" s="26"/>
      <c r="B43" s="26"/>
      <c r="C43" s="30"/>
      <c r="D43" s="27"/>
      <c r="E43" s="31">
        <f>SUM(E40:E42)</f>
        <v>21</v>
      </c>
      <c r="F43" s="38">
        <f>SUM(F40:F42)</f>
        <v>5.1612600000000004</v>
      </c>
      <c r="G43" s="17"/>
      <c r="H43" s="31">
        <f>SUM(H40:H42)</f>
        <v>0</v>
      </c>
      <c r="I43" s="38">
        <f>SUM(I40:I42)</f>
        <v>0</v>
      </c>
      <c r="J43" s="16"/>
      <c r="K43" s="31">
        <f>SUM(K40:K42)</f>
        <v>0</v>
      </c>
      <c r="L43" s="38">
        <f>SUM(L40:L42)</f>
        <v>0</v>
      </c>
      <c r="M43" s="16"/>
      <c r="N43" s="31">
        <f>SUM(N40:N42)</f>
        <v>0</v>
      </c>
      <c r="O43" s="38">
        <f>SUM(O40:O42)</f>
        <v>0</v>
      </c>
      <c r="P43" s="16"/>
      <c r="Q43" s="31">
        <f t="shared" ref="Q43:V43" si="96">SUM(Q40:Q42)</f>
        <v>0</v>
      </c>
      <c r="R43" s="38">
        <f t="shared" si="96"/>
        <v>0</v>
      </c>
      <c r="S43" s="31">
        <f t="shared" si="96"/>
        <v>0</v>
      </c>
      <c r="T43" s="38">
        <f t="shared" si="96"/>
        <v>0</v>
      </c>
      <c r="U43" s="31">
        <f t="shared" si="96"/>
        <v>21</v>
      </c>
      <c r="V43" s="38">
        <f t="shared" si="96"/>
        <v>5.1612600000000004</v>
      </c>
    </row>
    <row r="44" spans="1:22">
      <c r="A44" s="26" t="s">
        <v>13</v>
      </c>
      <c r="B44" s="26" t="s">
        <v>599</v>
      </c>
      <c r="C44" s="30">
        <v>42.1</v>
      </c>
      <c r="D44" s="27">
        <v>8.6</v>
      </c>
      <c r="E44" s="28">
        <v>1</v>
      </c>
      <c r="F44" s="16">
        <f>(C44*D44*E44/1000)</f>
        <v>0.36205999999999999</v>
      </c>
      <c r="G44" s="17"/>
      <c r="H44" s="18"/>
      <c r="I44" s="19">
        <f>(C44*D44*H44/1000)</f>
        <v>0</v>
      </c>
      <c r="J44" s="16"/>
      <c r="K44" s="18"/>
      <c r="L44" s="19">
        <f>(C44*D44*K44/1000)</f>
        <v>0</v>
      </c>
      <c r="M44" s="16"/>
      <c r="N44" s="18"/>
      <c r="O44" s="19">
        <f>(C44*D44*N44/1000)</f>
        <v>0</v>
      </c>
      <c r="P44" s="16"/>
      <c r="Q44" s="18"/>
      <c r="R44" s="19">
        <f>(C44*D44*Q44/1000)</f>
        <v>0</v>
      </c>
      <c r="S44" s="20">
        <f>+H44+K44+Q44+N44</f>
        <v>0</v>
      </c>
      <c r="T44" s="19">
        <f>+I44+L44+R44+O44</f>
        <v>0</v>
      </c>
      <c r="U44" s="21">
        <f>E44-S44</f>
        <v>1</v>
      </c>
      <c r="V44" s="19">
        <f>F44-T44</f>
        <v>0.36205999999999999</v>
      </c>
    </row>
    <row r="45" spans="1:22">
      <c r="A45" s="26"/>
      <c r="B45" s="26"/>
      <c r="C45" s="30"/>
      <c r="D45" s="27"/>
      <c r="E45" s="31">
        <f>SUM(E44)</f>
        <v>1</v>
      </c>
      <c r="F45" s="38">
        <f>SUM(F44)</f>
        <v>0.36205999999999999</v>
      </c>
      <c r="H45" s="31">
        <f>SUM(H44)</f>
        <v>0</v>
      </c>
      <c r="I45" s="38">
        <f>SUM(I44)</f>
        <v>0</v>
      </c>
      <c r="K45" s="31">
        <f>SUM(K44)</f>
        <v>0</v>
      </c>
      <c r="L45" s="38">
        <f>SUM(L44)</f>
        <v>0</v>
      </c>
      <c r="N45" s="31">
        <f>SUM(N44)</f>
        <v>0</v>
      </c>
      <c r="O45" s="38">
        <f>SUM(O44)</f>
        <v>0</v>
      </c>
      <c r="Q45" s="31">
        <f t="shared" ref="Q45:V45" si="97">SUM(Q44)</f>
        <v>0</v>
      </c>
      <c r="R45" s="38">
        <f t="shared" si="97"/>
        <v>0</v>
      </c>
      <c r="S45" s="31">
        <f t="shared" si="97"/>
        <v>0</v>
      </c>
      <c r="T45" s="38">
        <f t="shared" si="97"/>
        <v>0</v>
      </c>
      <c r="U45" s="31">
        <f t="shared" si="97"/>
        <v>1</v>
      </c>
      <c r="V45" s="38">
        <f t="shared" si="97"/>
        <v>0.36205999999999999</v>
      </c>
    </row>
    <row r="46" spans="1:22">
      <c r="A46" s="26" t="s">
        <v>13</v>
      </c>
      <c r="B46" s="26" t="s">
        <v>174</v>
      </c>
      <c r="C46" s="30">
        <v>5.37</v>
      </c>
      <c r="D46" s="27">
        <v>6</v>
      </c>
      <c r="E46" s="28">
        <v>1</v>
      </c>
      <c r="F46" s="16">
        <f t="shared" ref="F46:F49" si="98">(C46*D46*E46/1000)</f>
        <v>3.2219999999999999E-2</v>
      </c>
      <c r="G46" s="17"/>
      <c r="H46" s="18"/>
      <c r="I46" s="19">
        <f t="shared" ref="I46:I49" si="99">(C46*D46*H46/1000)</f>
        <v>0</v>
      </c>
      <c r="J46" s="16"/>
      <c r="K46" s="18"/>
      <c r="L46" s="19">
        <f t="shared" ref="L46:L49" si="100">(C46*D46*K46/1000)</f>
        <v>0</v>
      </c>
      <c r="M46" s="16"/>
      <c r="N46" s="18"/>
      <c r="O46" s="19">
        <f t="shared" ref="O46:O49" si="101">(C46*D46*N46/1000)</f>
        <v>0</v>
      </c>
      <c r="P46" s="16"/>
      <c r="Q46" s="18"/>
      <c r="R46" s="19">
        <f t="shared" ref="R46:R49" si="102">(C46*D46*Q46/1000)</f>
        <v>0</v>
      </c>
      <c r="S46" s="20">
        <f t="shared" ref="S46:T49" si="103">+H46+K46+Q46+N46</f>
        <v>0</v>
      </c>
      <c r="T46" s="19">
        <f t="shared" si="103"/>
        <v>0</v>
      </c>
      <c r="U46" s="21">
        <f t="shared" ref="U46:V49" si="104">E46-S46</f>
        <v>1</v>
      </c>
      <c r="V46" s="19">
        <f t="shared" si="104"/>
        <v>3.2219999999999999E-2</v>
      </c>
    </row>
    <row r="47" spans="1:22">
      <c r="A47" s="26" t="s">
        <v>13</v>
      </c>
      <c r="B47" s="26" t="s">
        <v>174</v>
      </c>
      <c r="C47" s="30">
        <v>5.37</v>
      </c>
      <c r="D47" s="27">
        <v>10</v>
      </c>
      <c r="E47" s="28">
        <v>1</v>
      </c>
      <c r="F47" s="16">
        <f t="shared" si="98"/>
        <v>5.3700000000000005E-2</v>
      </c>
      <c r="G47" s="17"/>
      <c r="H47" s="18"/>
      <c r="I47" s="19">
        <f t="shared" si="99"/>
        <v>0</v>
      </c>
      <c r="J47" s="16"/>
      <c r="K47" s="18"/>
      <c r="L47" s="19">
        <f t="shared" si="100"/>
        <v>0</v>
      </c>
      <c r="M47" s="16"/>
      <c r="N47" s="18"/>
      <c r="O47" s="19">
        <f t="shared" si="101"/>
        <v>0</v>
      </c>
      <c r="P47" s="16"/>
      <c r="Q47" s="18"/>
      <c r="R47" s="19">
        <f t="shared" si="102"/>
        <v>0</v>
      </c>
      <c r="S47" s="20">
        <f t="shared" si="103"/>
        <v>0</v>
      </c>
      <c r="T47" s="19">
        <f t="shared" si="103"/>
        <v>0</v>
      </c>
      <c r="U47" s="21">
        <f t="shared" si="104"/>
        <v>1</v>
      </c>
      <c r="V47" s="19">
        <f t="shared" si="104"/>
        <v>5.3700000000000005E-2</v>
      </c>
    </row>
    <row r="48" spans="1:22">
      <c r="A48" s="26" t="s">
        <v>13</v>
      </c>
      <c r="B48" s="26" t="s">
        <v>174</v>
      </c>
      <c r="C48" s="30">
        <v>5.37</v>
      </c>
      <c r="D48" s="27">
        <v>11</v>
      </c>
      <c r="E48" s="28">
        <v>13</v>
      </c>
      <c r="F48" s="16">
        <f t="shared" si="98"/>
        <v>0.76790999999999998</v>
      </c>
      <c r="G48" s="17"/>
      <c r="H48" s="18"/>
      <c r="I48" s="19">
        <f t="shared" si="99"/>
        <v>0</v>
      </c>
      <c r="J48" s="16"/>
      <c r="K48" s="18"/>
      <c r="L48" s="19">
        <f t="shared" si="100"/>
        <v>0</v>
      </c>
      <c r="M48" s="16"/>
      <c r="N48" s="18"/>
      <c r="O48" s="19">
        <f t="shared" si="101"/>
        <v>0</v>
      </c>
      <c r="P48" s="16"/>
      <c r="Q48" s="18"/>
      <c r="R48" s="19">
        <f t="shared" si="102"/>
        <v>0</v>
      </c>
      <c r="S48" s="20">
        <f t="shared" si="103"/>
        <v>0</v>
      </c>
      <c r="T48" s="19">
        <f t="shared" si="103"/>
        <v>0</v>
      </c>
      <c r="U48" s="21">
        <f t="shared" si="104"/>
        <v>13</v>
      </c>
      <c r="V48" s="19">
        <f t="shared" si="104"/>
        <v>0.76790999999999998</v>
      </c>
    </row>
    <row r="49" spans="1:22">
      <c r="A49" s="26" t="s">
        <v>13</v>
      </c>
      <c r="B49" s="26" t="s">
        <v>174</v>
      </c>
      <c r="C49" s="30">
        <v>5.37</v>
      </c>
      <c r="D49" s="27">
        <v>11.5</v>
      </c>
      <c r="E49" s="28">
        <v>16</v>
      </c>
      <c r="F49" s="16">
        <f t="shared" si="98"/>
        <v>0.98808000000000007</v>
      </c>
      <c r="G49" s="17"/>
      <c r="H49" s="18"/>
      <c r="I49" s="19">
        <f t="shared" si="99"/>
        <v>0</v>
      </c>
      <c r="J49" s="16"/>
      <c r="K49" s="18"/>
      <c r="L49" s="19">
        <f t="shared" si="100"/>
        <v>0</v>
      </c>
      <c r="M49" s="16"/>
      <c r="N49" s="18"/>
      <c r="O49" s="19">
        <f t="shared" si="101"/>
        <v>0</v>
      </c>
      <c r="P49" s="16"/>
      <c r="Q49" s="18"/>
      <c r="R49" s="19">
        <f t="shared" si="102"/>
        <v>0</v>
      </c>
      <c r="S49" s="20">
        <f t="shared" si="103"/>
        <v>0</v>
      </c>
      <c r="T49" s="19">
        <f t="shared" si="103"/>
        <v>0</v>
      </c>
      <c r="U49" s="21">
        <f t="shared" si="104"/>
        <v>16</v>
      </c>
      <c r="V49" s="19">
        <f t="shared" si="104"/>
        <v>0.98808000000000007</v>
      </c>
    </row>
    <row r="50" spans="1:22">
      <c r="A50" s="26"/>
      <c r="B50" s="26"/>
      <c r="C50" s="30"/>
      <c r="D50" s="27"/>
      <c r="E50" s="31">
        <f t="shared" ref="E50:F50" si="105">SUM(E46:E49)</f>
        <v>31</v>
      </c>
      <c r="F50" s="38">
        <f t="shared" si="105"/>
        <v>1.8419099999999999</v>
      </c>
      <c r="H50" s="31">
        <f t="shared" ref="H50:I50" si="106">SUM(H46:H49)</f>
        <v>0</v>
      </c>
      <c r="I50" s="38">
        <f t="shared" si="106"/>
        <v>0</v>
      </c>
      <c r="K50" s="31">
        <f t="shared" ref="K50:L50" si="107">SUM(K46:K49)</f>
        <v>0</v>
      </c>
      <c r="L50" s="38">
        <f t="shared" si="107"/>
        <v>0</v>
      </c>
      <c r="N50" s="31">
        <f t="shared" ref="N50:O50" si="108">SUM(N46:N49)</f>
        <v>0</v>
      </c>
      <c r="O50" s="38">
        <f t="shared" si="108"/>
        <v>0</v>
      </c>
      <c r="Q50" s="31">
        <f t="shared" ref="Q50:V50" si="109">SUM(Q46:Q49)</f>
        <v>0</v>
      </c>
      <c r="R50" s="38">
        <f t="shared" si="109"/>
        <v>0</v>
      </c>
      <c r="S50" s="31">
        <f t="shared" si="109"/>
        <v>0</v>
      </c>
      <c r="T50" s="38">
        <f t="shared" si="109"/>
        <v>0</v>
      </c>
      <c r="U50" s="31">
        <f t="shared" si="109"/>
        <v>31</v>
      </c>
      <c r="V50" s="38">
        <f t="shared" si="109"/>
        <v>1.8419099999999999</v>
      </c>
    </row>
    <row r="51" spans="1:22">
      <c r="A51" s="26" t="s">
        <v>13</v>
      </c>
      <c r="B51" s="26" t="s">
        <v>181</v>
      </c>
      <c r="C51" s="30">
        <v>6.38</v>
      </c>
      <c r="D51" s="27">
        <v>9.1</v>
      </c>
      <c r="E51" s="28">
        <v>8</v>
      </c>
      <c r="F51" s="16">
        <f t="shared" ref="F51:F52" si="110">(C51*D51*E51/1000)</f>
        <v>0.46446399999999999</v>
      </c>
      <c r="G51" s="17"/>
      <c r="H51" s="18"/>
      <c r="I51" s="19">
        <f t="shared" ref="I51:I52" si="111">(C51*D51*H51/1000)</f>
        <v>0</v>
      </c>
      <c r="J51" s="16"/>
      <c r="K51" s="18"/>
      <c r="L51" s="19">
        <f t="shared" ref="L51:L52" si="112">(C51*D51*K51/1000)</f>
        <v>0</v>
      </c>
      <c r="M51" s="16"/>
      <c r="N51" s="18"/>
      <c r="O51" s="19">
        <f t="shared" ref="O51:O52" si="113">(C51*D51*N51/1000)</f>
        <v>0</v>
      </c>
      <c r="P51" s="16"/>
      <c r="Q51" s="18"/>
      <c r="R51" s="19">
        <f t="shared" ref="R51:R52" si="114">(C51*D51*Q51/1000)</f>
        <v>0</v>
      </c>
      <c r="S51" s="20">
        <f t="shared" ref="S51:T52" si="115">+H51+K51+Q51+N51</f>
        <v>0</v>
      </c>
      <c r="T51" s="19">
        <f t="shared" si="115"/>
        <v>0</v>
      </c>
      <c r="U51" s="21">
        <f t="shared" ref="U51:V52" si="116">E51-S51</f>
        <v>8</v>
      </c>
      <c r="V51" s="19">
        <f t="shared" si="116"/>
        <v>0.46446399999999999</v>
      </c>
    </row>
    <row r="52" spans="1:22">
      <c r="A52" s="26" t="s">
        <v>13</v>
      </c>
      <c r="B52" s="26" t="s">
        <v>181</v>
      </c>
      <c r="C52" s="30">
        <v>6.38</v>
      </c>
      <c r="D52" s="27">
        <v>10</v>
      </c>
      <c r="E52" s="28">
        <v>1</v>
      </c>
      <c r="F52" s="16">
        <f t="shared" si="110"/>
        <v>6.3799999999999996E-2</v>
      </c>
      <c r="G52" s="17"/>
      <c r="H52" s="18"/>
      <c r="I52" s="19">
        <f t="shared" si="111"/>
        <v>0</v>
      </c>
      <c r="J52" s="16"/>
      <c r="K52" s="18"/>
      <c r="L52" s="19">
        <f t="shared" si="112"/>
        <v>0</v>
      </c>
      <c r="M52" s="16"/>
      <c r="N52" s="18"/>
      <c r="O52" s="19">
        <f t="shared" si="113"/>
        <v>0</v>
      </c>
      <c r="P52" s="16"/>
      <c r="Q52" s="18"/>
      <c r="R52" s="19">
        <f t="shared" si="114"/>
        <v>0</v>
      </c>
      <c r="S52" s="20">
        <f t="shared" si="115"/>
        <v>0</v>
      </c>
      <c r="T52" s="19">
        <f t="shared" si="115"/>
        <v>0</v>
      </c>
      <c r="U52" s="21">
        <f t="shared" si="116"/>
        <v>1</v>
      </c>
      <c r="V52" s="19">
        <f t="shared" si="116"/>
        <v>6.3799999999999996E-2</v>
      </c>
    </row>
    <row r="53" spans="1:22">
      <c r="A53" s="26"/>
      <c r="B53" s="26"/>
      <c r="C53" s="30"/>
      <c r="D53" s="27"/>
      <c r="E53" s="31">
        <f t="shared" ref="E53:F53" si="117">SUM(E51:E52)</f>
        <v>9</v>
      </c>
      <c r="F53" s="38">
        <f t="shared" si="117"/>
        <v>0.52826399999999996</v>
      </c>
      <c r="H53" s="31">
        <f t="shared" ref="H53:I53" si="118">SUM(H51:H52)</f>
        <v>0</v>
      </c>
      <c r="I53" s="38">
        <f t="shared" si="118"/>
        <v>0</v>
      </c>
      <c r="K53" s="31">
        <f t="shared" ref="K53:L53" si="119">SUM(K51:K52)</f>
        <v>0</v>
      </c>
      <c r="L53" s="38">
        <f t="shared" si="119"/>
        <v>0</v>
      </c>
      <c r="N53" s="31">
        <f t="shared" ref="N53:O53" si="120">SUM(N51:N52)</f>
        <v>0</v>
      </c>
      <c r="O53" s="38">
        <f t="shared" si="120"/>
        <v>0</v>
      </c>
      <c r="Q53" s="31">
        <f t="shared" ref="Q53:V53" si="121">SUM(Q51:Q52)</f>
        <v>0</v>
      </c>
      <c r="R53" s="38">
        <f t="shared" si="121"/>
        <v>0</v>
      </c>
      <c r="S53" s="31">
        <f t="shared" si="121"/>
        <v>0</v>
      </c>
      <c r="T53" s="38">
        <f t="shared" si="121"/>
        <v>0</v>
      </c>
      <c r="U53" s="31">
        <f t="shared" si="121"/>
        <v>9</v>
      </c>
      <c r="V53" s="38">
        <f t="shared" si="121"/>
        <v>0.52826399999999996</v>
      </c>
    </row>
    <row r="54" spans="1:22">
      <c r="A54" s="26" t="s">
        <v>13</v>
      </c>
      <c r="B54" s="26" t="s">
        <v>34</v>
      </c>
      <c r="C54" s="30">
        <v>5.76</v>
      </c>
      <c r="D54" s="27">
        <v>7.5</v>
      </c>
      <c r="E54" s="28">
        <v>2</v>
      </c>
      <c r="F54" s="16">
        <f t="shared" ref="F54:F55" si="122">(C54*D54*E54/1000)</f>
        <v>8.6399999999999991E-2</v>
      </c>
      <c r="G54" s="17"/>
      <c r="H54" s="18"/>
      <c r="I54" s="19">
        <f t="shared" ref="I54:I55" si="123">(C54*D54*H54/1000)</f>
        <v>0</v>
      </c>
      <c r="J54" s="16"/>
      <c r="K54" s="18"/>
      <c r="L54" s="19">
        <f t="shared" ref="L54:L55" si="124">(C54*D54*K54/1000)</f>
        <v>0</v>
      </c>
      <c r="M54" s="16"/>
      <c r="N54" s="18"/>
      <c r="O54" s="19">
        <f t="shared" ref="O54:O55" si="125">(C54*D54*N54/1000)</f>
        <v>0</v>
      </c>
      <c r="P54" s="16"/>
      <c r="Q54" s="18"/>
      <c r="R54" s="19">
        <f t="shared" ref="R54:R55" si="126">(C54*D54*Q54/1000)</f>
        <v>0</v>
      </c>
      <c r="S54" s="20">
        <f t="shared" ref="S54:T55" si="127">+H54+K54+Q54+N54</f>
        <v>0</v>
      </c>
      <c r="T54" s="19">
        <f t="shared" si="127"/>
        <v>0</v>
      </c>
      <c r="U54" s="21">
        <f t="shared" ref="U54:V55" si="128">E54-S54</f>
        <v>2</v>
      </c>
      <c r="V54" s="19">
        <f t="shared" si="128"/>
        <v>8.6399999999999991E-2</v>
      </c>
    </row>
    <row r="55" spans="1:22">
      <c r="A55" s="26" t="s">
        <v>13</v>
      </c>
      <c r="B55" s="26" t="s">
        <v>34</v>
      </c>
      <c r="C55" s="30">
        <v>5.76</v>
      </c>
      <c r="D55" s="27">
        <v>10</v>
      </c>
      <c r="E55" s="28">
        <v>10</v>
      </c>
      <c r="F55" s="16">
        <f t="shared" si="122"/>
        <v>0.57599999999999996</v>
      </c>
      <c r="G55" s="17"/>
      <c r="H55" s="18"/>
      <c r="I55" s="19">
        <f t="shared" si="123"/>
        <v>0</v>
      </c>
      <c r="J55" s="16"/>
      <c r="K55" s="18"/>
      <c r="L55" s="19">
        <f t="shared" si="124"/>
        <v>0</v>
      </c>
      <c r="M55" s="16"/>
      <c r="N55" s="18"/>
      <c r="O55" s="19">
        <f t="shared" si="125"/>
        <v>0</v>
      </c>
      <c r="P55" s="16"/>
      <c r="Q55" s="18"/>
      <c r="R55" s="19">
        <f t="shared" si="126"/>
        <v>0</v>
      </c>
      <c r="S55" s="20">
        <f t="shared" si="127"/>
        <v>0</v>
      </c>
      <c r="T55" s="19">
        <f t="shared" si="127"/>
        <v>0</v>
      </c>
      <c r="U55" s="21">
        <f t="shared" si="128"/>
        <v>10</v>
      </c>
      <c r="V55" s="19">
        <f t="shared" si="128"/>
        <v>0.57599999999999996</v>
      </c>
    </row>
    <row r="56" spans="1:22">
      <c r="A56" s="26"/>
      <c r="B56" s="26"/>
      <c r="C56" s="30"/>
      <c r="D56" s="27"/>
      <c r="E56" s="31">
        <f t="shared" ref="E56:F56" si="129">SUM(E54:E55)</f>
        <v>12</v>
      </c>
      <c r="F56" s="38">
        <f t="shared" si="129"/>
        <v>0.66239999999999999</v>
      </c>
      <c r="H56" s="31">
        <f t="shared" ref="H56:I56" si="130">SUM(H54:H55)</f>
        <v>0</v>
      </c>
      <c r="I56" s="38">
        <f t="shared" si="130"/>
        <v>0</v>
      </c>
      <c r="K56" s="31">
        <f t="shared" ref="K56:L56" si="131">SUM(K54:K55)</f>
        <v>0</v>
      </c>
      <c r="L56" s="38">
        <f t="shared" si="131"/>
        <v>0</v>
      </c>
      <c r="N56" s="31">
        <f t="shared" ref="N56:O56" si="132">SUM(N54:N55)</f>
        <v>0</v>
      </c>
      <c r="O56" s="38">
        <f t="shared" si="132"/>
        <v>0</v>
      </c>
      <c r="Q56" s="31">
        <f t="shared" ref="Q56:V56" si="133">SUM(Q54:Q55)</f>
        <v>0</v>
      </c>
      <c r="R56" s="38">
        <f t="shared" si="133"/>
        <v>0</v>
      </c>
      <c r="S56" s="31">
        <f t="shared" si="133"/>
        <v>0</v>
      </c>
      <c r="T56" s="38">
        <f t="shared" si="133"/>
        <v>0</v>
      </c>
      <c r="U56" s="31">
        <f t="shared" si="133"/>
        <v>12</v>
      </c>
      <c r="V56" s="38">
        <f t="shared" si="133"/>
        <v>0.66239999999999999</v>
      </c>
    </row>
    <row r="57" spans="1:22">
      <c r="A57" s="26" t="s">
        <v>13</v>
      </c>
      <c r="B57" s="26" t="s">
        <v>35</v>
      </c>
      <c r="C57" s="30">
        <v>6.85</v>
      </c>
      <c r="D57" s="27">
        <v>8</v>
      </c>
      <c r="E57" s="28">
        <v>2</v>
      </c>
      <c r="F57" s="16">
        <f t="shared" ref="F57:F61" si="134">(C57*D57*E57/1000)</f>
        <v>0.10959999999999999</v>
      </c>
      <c r="G57" s="17"/>
      <c r="H57" s="18"/>
      <c r="I57" s="19">
        <f t="shared" ref="I57:I61" si="135">(C57*D57*H57/1000)</f>
        <v>0</v>
      </c>
      <c r="J57" s="16"/>
      <c r="K57" s="18"/>
      <c r="L57" s="19">
        <f t="shared" ref="L57:L61" si="136">(C57*D57*K57/1000)</f>
        <v>0</v>
      </c>
      <c r="M57" s="16"/>
      <c r="N57" s="18"/>
      <c r="O57" s="19">
        <f t="shared" ref="O57:O61" si="137">(C57*D57*N57/1000)</f>
        <v>0</v>
      </c>
      <c r="P57" s="16"/>
      <c r="Q57" s="18"/>
      <c r="R57" s="19">
        <f t="shared" ref="R57:R61" si="138">(C57*D57*Q57/1000)</f>
        <v>0</v>
      </c>
      <c r="S57" s="20">
        <f t="shared" ref="S57:T61" si="139">+H57+K57+Q57+N57</f>
        <v>0</v>
      </c>
      <c r="T57" s="19">
        <f t="shared" si="139"/>
        <v>0</v>
      </c>
      <c r="U57" s="21">
        <f t="shared" ref="U57:V61" si="140">E57-S57</f>
        <v>2</v>
      </c>
      <c r="V57" s="19">
        <f t="shared" si="140"/>
        <v>0.10959999999999999</v>
      </c>
    </row>
    <row r="58" spans="1:22">
      <c r="A58" s="26" t="s">
        <v>13</v>
      </c>
      <c r="B58" s="26" t="s">
        <v>35</v>
      </c>
      <c r="C58" s="30">
        <v>6.85</v>
      </c>
      <c r="D58" s="27">
        <v>8.9</v>
      </c>
      <c r="E58" s="28">
        <v>2</v>
      </c>
      <c r="F58" s="16">
        <f t="shared" si="134"/>
        <v>0.12193</v>
      </c>
      <c r="G58" s="17"/>
      <c r="H58" s="18"/>
      <c r="I58" s="19">
        <f t="shared" si="135"/>
        <v>0</v>
      </c>
      <c r="J58" s="16"/>
      <c r="K58" s="18"/>
      <c r="L58" s="19">
        <f t="shared" si="136"/>
        <v>0</v>
      </c>
      <c r="M58" s="16"/>
      <c r="N58" s="18"/>
      <c r="O58" s="19">
        <f t="shared" si="137"/>
        <v>0</v>
      </c>
      <c r="P58" s="16"/>
      <c r="Q58" s="18"/>
      <c r="R58" s="19">
        <f t="shared" si="138"/>
        <v>0</v>
      </c>
      <c r="S58" s="20">
        <f t="shared" si="139"/>
        <v>0</v>
      </c>
      <c r="T58" s="19">
        <f t="shared" si="139"/>
        <v>0</v>
      </c>
      <c r="U58" s="21">
        <f t="shared" si="140"/>
        <v>2</v>
      </c>
      <c r="V58" s="19">
        <f t="shared" si="140"/>
        <v>0.12193</v>
      </c>
    </row>
    <row r="59" spans="1:22">
      <c r="A59" s="26" t="s">
        <v>13</v>
      </c>
      <c r="B59" s="26" t="s">
        <v>35</v>
      </c>
      <c r="C59" s="30">
        <v>6.85</v>
      </c>
      <c r="D59" s="27">
        <v>10</v>
      </c>
      <c r="E59" s="28">
        <v>13</v>
      </c>
      <c r="F59" s="16">
        <f t="shared" si="134"/>
        <v>0.89049999999999996</v>
      </c>
      <c r="G59" s="17"/>
      <c r="H59" s="18"/>
      <c r="I59" s="19">
        <f t="shared" si="135"/>
        <v>0</v>
      </c>
      <c r="J59" s="16"/>
      <c r="K59" s="18"/>
      <c r="L59" s="19">
        <f t="shared" si="136"/>
        <v>0</v>
      </c>
      <c r="M59" s="16"/>
      <c r="N59" s="18"/>
      <c r="O59" s="19">
        <f t="shared" si="137"/>
        <v>0</v>
      </c>
      <c r="P59" s="16"/>
      <c r="Q59" s="18"/>
      <c r="R59" s="19">
        <f t="shared" si="138"/>
        <v>0</v>
      </c>
      <c r="S59" s="20">
        <f t="shared" si="139"/>
        <v>0</v>
      </c>
      <c r="T59" s="19">
        <f t="shared" si="139"/>
        <v>0</v>
      </c>
      <c r="U59" s="21">
        <f t="shared" si="140"/>
        <v>13</v>
      </c>
      <c r="V59" s="19">
        <f t="shared" si="140"/>
        <v>0.89049999999999996</v>
      </c>
    </row>
    <row r="60" spans="1:22">
      <c r="A60" s="26" t="s">
        <v>13</v>
      </c>
      <c r="B60" s="26" t="s">
        <v>35</v>
      </c>
      <c r="C60" s="30">
        <v>6.85</v>
      </c>
      <c r="D60" s="27">
        <v>11.5</v>
      </c>
      <c r="E60" s="28">
        <v>22</v>
      </c>
      <c r="F60" s="16">
        <f t="shared" si="134"/>
        <v>1.7330499999999998</v>
      </c>
      <c r="G60" s="17"/>
      <c r="H60" s="18"/>
      <c r="I60" s="19">
        <f t="shared" si="135"/>
        <v>0</v>
      </c>
      <c r="J60" s="16"/>
      <c r="K60" s="18"/>
      <c r="L60" s="19">
        <f t="shared" si="136"/>
        <v>0</v>
      </c>
      <c r="M60" s="16"/>
      <c r="N60" s="18"/>
      <c r="O60" s="19">
        <f t="shared" si="137"/>
        <v>0</v>
      </c>
      <c r="P60" s="16"/>
      <c r="Q60" s="18"/>
      <c r="R60" s="19">
        <f t="shared" si="138"/>
        <v>0</v>
      </c>
      <c r="S60" s="20">
        <f t="shared" si="139"/>
        <v>0</v>
      </c>
      <c r="T60" s="19">
        <f t="shared" si="139"/>
        <v>0</v>
      </c>
      <c r="U60" s="21">
        <f t="shared" si="140"/>
        <v>22</v>
      </c>
      <c r="V60" s="19">
        <f t="shared" si="140"/>
        <v>1.7330499999999998</v>
      </c>
    </row>
    <row r="61" spans="1:22">
      <c r="A61" s="26" t="s">
        <v>13</v>
      </c>
      <c r="B61" s="26" t="s">
        <v>35</v>
      </c>
      <c r="C61" s="30">
        <v>6.85</v>
      </c>
      <c r="D61" s="27">
        <v>12</v>
      </c>
      <c r="E61" s="28">
        <v>8</v>
      </c>
      <c r="F61" s="16">
        <f t="shared" si="134"/>
        <v>0.65759999999999996</v>
      </c>
      <c r="G61" s="17"/>
      <c r="H61" s="18"/>
      <c r="I61" s="19">
        <f t="shared" si="135"/>
        <v>0</v>
      </c>
      <c r="J61" s="16"/>
      <c r="K61" s="18"/>
      <c r="L61" s="19">
        <f t="shared" si="136"/>
        <v>0</v>
      </c>
      <c r="M61" s="16"/>
      <c r="N61" s="18"/>
      <c r="O61" s="19">
        <f t="shared" si="137"/>
        <v>0</v>
      </c>
      <c r="P61" s="16"/>
      <c r="Q61" s="18"/>
      <c r="R61" s="19">
        <f t="shared" si="138"/>
        <v>0</v>
      </c>
      <c r="S61" s="20">
        <f t="shared" si="139"/>
        <v>0</v>
      </c>
      <c r="T61" s="19">
        <f t="shared" si="139"/>
        <v>0</v>
      </c>
      <c r="U61" s="21">
        <f t="shared" si="140"/>
        <v>8</v>
      </c>
      <c r="V61" s="19">
        <f t="shared" si="140"/>
        <v>0.65759999999999996</v>
      </c>
    </row>
    <row r="62" spans="1:22">
      <c r="A62" s="26"/>
      <c r="B62" s="26"/>
      <c r="C62" s="30"/>
      <c r="D62" s="27"/>
      <c r="E62" s="31">
        <f>SUM(E57:E61)</f>
        <v>47</v>
      </c>
      <c r="F62" s="38">
        <f>SUM(F57:F61)</f>
        <v>3.5126799999999996</v>
      </c>
      <c r="H62" s="31">
        <f>SUM(H57:H61)</f>
        <v>0</v>
      </c>
      <c r="I62" s="38">
        <f>SUM(I57:I61)</f>
        <v>0</v>
      </c>
      <c r="K62" s="31">
        <f>SUM(K57:K61)</f>
        <v>0</v>
      </c>
      <c r="L62" s="38">
        <f>SUM(L57:L61)</f>
        <v>0</v>
      </c>
      <c r="N62" s="31">
        <f>SUM(N57:N61)</f>
        <v>0</v>
      </c>
      <c r="O62" s="38">
        <f>SUM(O57:O61)</f>
        <v>0</v>
      </c>
      <c r="Q62" s="31">
        <f t="shared" ref="Q62:V62" si="141">SUM(Q57:Q61)</f>
        <v>0</v>
      </c>
      <c r="R62" s="38">
        <f t="shared" si="141"/>
        <v>0</v>
      </c>
      <c r="S62" s="31">
        <f t="shared" si="141"/>
        <v>0</v>
      </c>
      <c r="T62" s="38">
        <f t="shared" si="141"/>
        <v>0</v>
      </c>
      <c r="U62" s="31">
        <f t="shared" si="141"/>
        <v>47</v>
      </c>
      <c r="V62" s="38">
        <f t="shared" si="141"/>
        <v>3.5126799999999996</v>
      </c>
    </row>
    <row r="63" spans="1:22">
      <c r="A63" s="26" t="s">
        <v>13</v>
      </c>
      <c r="B63" s="26" t="s">
        <v>58</v>
      </c>
      <c r="C63" s="30">
        <v>7.34</v>
      </c>
      <c r="D63" s="27">
        <v>6.9</v>
      </c>
      <c r="E63" s="28">
        <v>4</v>
      </c>
      <c r="F63" s="16">
        <f t="shared" ref="F63:F67" si="142">(C63*D63*E63/1000)</f>
        <v>0.20258400000000001</v>
      </c>
      <c r="G63" s="17"/>
      <c r="H63" s="18"/>
      <c r="I63" s="19">
        <f t="shared" ref="I63:I67" si="143">(C63*D63*H63/1000)</f>
        <v>0</v>
      </c>
      <c r="J63" s="16"/>
      <c r="K63" s="18"/>
      <c r="L63" s="19">
        <f t="shared" ref="L63:L67" si="144">(C63*D63*K63/1000)</f>
        <v>0</v>
      </c>
      <c r="M63" s="16"/>
      <c r="N63" s="18"/>
      <c r="O63" s="19">
        <f t="shared" ref="O63:O67" si="145">(C63*D63*N63/1000)</f>
        <v>0</v>
      </c>
      <c r="P63" s="16"/>
      <c r="Q63" s="18"/>
      <c r="R63" s="19">
        <f t="shared" ref="R63:R67" si="146">(C63*D63*Q63/1000)</f>
        <v>0</v>
      </c>
      <c r="S63" s="20">
        <f t="shared" ref="S63:T67" si="147">+H63+K63+Q63+N63</f>
        <v>0</v>
      </c>
      <c r="T63" s="19">
        <f t="shared" si="147"/>
        <v>0</v>
      </c>
      <c r="U63" s="21">
        <f t="shared" ref="U63:V67" si="148">E63-S63</f>
        <v>4</v>
      </c>
      <c r="V63" s="19">
        <f t="shared" si="148"/>
        <v>0.20258400000000001</v>
      </c>
    </row>
    <row r="64" spans="1:22">
      <c r="A64" s="26" t="s">
        <v>13</v>
      </c>
      <c r="B64" s="26" t="s">
        <v>58</v>
      </c>
      <c r="C64" s="30">
        <v>7.34</v>
      </c>
      <c r="D64" s="27">
        <v>7.1</v>
      </c>
      <c r="E64" s="28">
        <v>1</v>
      </c>
      <c r="F64" s="16">
        <f t="shared" si="142"/>
        <v>5.2114000000000001E-2</v>
      </c>
      <c r="G64" s="17"/>
      <c r="H64" s="18"/>
      <c r="I64" s="19">
        <f t="shared" si="143"/>
        <v>0</v>
      </c>
      <c r="J64" s="16"/>
      <c r="K64" s="18"/>
      <c r="L64" s="19">
        <f t="shared" si="144"/>
        <v>0</v>
      </c>
      <c r="M64" s="16"/>
      <c r="N64" s="18"/>
      <c r="O64" s="19">
        <f t="shared" si="145"/>
        <v>0</v>
      </c>
      <c r="P64" s="16"/>
      <c r="Q64" s="18"/>
      <c r="R64" s="19">
        <f t="shared" si="146"/>
        <v>0</v>
      </c>
      <c r="S64" s="20">
        <f t="shared" si="147"/>
        <v>0</v>
      </c>
      <c r="T64" s="19">
        <f t="shared" si="147"/>
        <v>0</v>
      </c>
      <c r="U64" s="21">
        <f t="shared" si="148"/>
        <v>1</v>
      </c>
      <c r="V64" s="19">
        <f t="shared" si="148"/>
        <v>5.2114000000000001E-2</v>
      </c>
    </row>
    <row r="65" spans="1:22">
      <c r="A65" s="26" t="s">
        <v>13</v>
      </c>
      <c r="B65" s="26" t="s">
        <v>58</v>
      </c>
      <c r="C65" s="30">
        <v>7.34</v>
      </c>
      <c r="D65" s="27">
        <v>10.1</v>
      </c>
      <c r="E65" s="28">
        <v>10</v>
      </c>
      <c r="F65" s="16">
        <f t="shared" si="142"/>
        <v>0.74134</v>
      </c>
      <c r="G65" s="17"/>
      <c r="H65" s="18"/>
      <c r="I65" s="19">
        <f t="shared" si="143"/>
        <v>0</v>
      </c>
      <c r="J65" s="16"/>
      <c r="K65" s="18"/>
      <c r="L65" s="19">
        <f t="shared" si="144"/>
        <v>0</v>
      </c>
      <c r="M65" s="16"/>
      <c r="N65" s="18"/>
      <c r="O65" s="19">
        <f t="shared" si="145"/>
        <v>0</v>
      </c>
      <c r="P65" s="16"/>
      <c r="Q65" s="18"/>
      <c r="R65" s="19">
        <f t="shared" si="146"/>
        <v>0</v>
      </c>
      <c r="S65" s="20">
        <f t="shared" si="147"/>
        <v>0</v>
      </c>
      <c r="T65" s="19">
        <f t="shared" si="147"/>
        <v>0</v>
      </c>
      <c r="U65" s="21">
        <f t="shared" si="148"/>
        <v>10</v>
      </c>
      <c r="V65" s="19">
        <f t="shared" si="148"/>
        <v>0.74134</v>
      </c>
    </row>
    <row r="66" spans="1:22">
      <c r="A66" s="26" t="s">
        <v>13</v>
      </c>
      <c r="B66" s="26" t="s">
        <v>58</v>
      </c>
      <c r="C66" s="30">
        <v>7.34</v>
      </c>
      <c r="D66" s="27">
        <v>10.5</v>
      </c>
      <c r="E66" s="28">
        <v>2</v>
      </c>
      <c r="F66" s="16">
        <f t="shared" si="142"/>
        <v>0.15414</v>
      </c>
      <c r="G66" s="17"/>
      <c r="H66" s="18"/>
      <c r="I66" s="19">
        <f t="shared" si="143"/>
        <v>0</v>
      </c>
      <c r="J66" s="16"/>
      <c r="K66" s="18"/>
      <c r="L66" s="19">
        <f t="shared" si="144"/>
        <v>0</v>
      </c>
      <c r="M66" s="16"/>
      <c r="N66" s="18"/>
      <c r="O66" s="19">
        <f t="shared" si="145"/>
        <v>0</v>
      </c>
      <c r="P66" s="16"/>
      <c r="Q66" s="18"/>
      <c r="R66" s="19">
        <f t="shared" si="146"/>
        <v>0</v>
      </c>
      <c r="S66" s="20">
        <f t="shared" si="147"/>
        <v>0</v>
      </c>
      <c r="T66" s="19">
        <f t="shared" si="147"/>
        <v>0</v>
      </c>
      <c r="U66" s="21">
        <f t="shared" si="148"/>
        <v>2</v>
      </c>
      <c r="V66" s="19">
        <f t="shared" si="148"/>
        <v>0.15414</v>
      </c>
    </row>
    <row r="67" spans="1:22">
      <c r="A67" s="26" t="s">
        <v>13</v>
      </c>
      <c r="B67" s="26" t="s">
        <v>58</v>
      </c>
      <c r="C67" s="30">
        <v>7.34</v>
      </c>
      <c r="D67" s="27">
        <v>11.7</v>
      </c>
      <c r="E67" s="28">
        <v>4</v>
      </c>
      <c r="F67" s="16">
        <f t="shared" si="142"/>
        <v>0.34351199999999998</v>
      </c>
      <c r="G67" s="17"/>
      <c r="H67" s="18"/>
      <c r="I67" s="19">
        <f t="shared" si="143"/>
        <v>0</v>
      </c>
      <c r="J67" s="16"/>
      <c r="K67" s="18"/>
      <c r="L67" s="19">
        <f t="shared" si="144"/>
        <v>0</v>
      </c>
      <c r="M67" s="16"/>
      <c r="N67" s="18"/>
      <c r="O67" s="19">
        <f t="shared" si="145"/>
        <v>0</v>
      </c>
      <c r="P67" s="16"/>
      <c r="Q67" s="18"/>
      <c r="R67" s="19">
        <f t="shared" si="146"/>
        <v>0</v>
      </c>
      <c r="S67" s="20">
        <f t="shared" si="147"/>
        <v>0</v>
      </c>
      <c r="T67" s="19">
        <f t="shared" si="147"/>
        <v>0</v>
      </c>
      <c r="U67" s="21">
        <f t="shared" si="148"/>
        <v>4</v>
      </c>
      <c r="V67" s="19">
        <f t="shared" si="148"/>
        <v>0.34351199999999998</v>
      </c>
    </row>
    <row r="68" spans="1:22">
      <c r="A68" s="26"/>
      <c r="B68" s="26"/>
      <c r="C68" s="30"/>
      <c r="D68" s="27"/>
      <c r="E68" s="31">
        <f>SUM(E63:E67)</f>
        <v>21</v>
      </c>
      <c r="F68" s="38">
        <f>SUM(F63:F67)</f>
        <v>1.49369</v>
      </c>
      <c r="H68" s="31">
        <f>SUM(H63:H67)</f>
        <v>0</v>
      </c>
      <c r="I68" s="38">
        <f>SUM(I63:I67)</f>
        <v>0</v>
      </c>
      <c r="K68" s="31">
        <f>SUM(K63:K67)</f>
        <v>0</v>
      </c>
      <c r="L68" s="38">
        <f>SUM(L63:L67)</f>
        <v>0</v>
      </c>
      <c r="N68" s="31">
        <f>SUM(N63:N67)</f>
        <v>0</v>
      </c>
      <c r="O68" s="38">
        <f>SUM(O63:O67)</f>
        <v>0</v>
      </c>
      <c r="Q68" s="31">
        <f t="shared" ref="Q68:V68" si="149">SUM(Q63:Q67)</f>
        <v>0</v>
      </c>
      <c r="R68" s="38">
        <f t="shared" si="149"/>
        <v>0</v>
      </c>
      <c r="S68" s="31">
        <f t="shared" si="149"/>
        <v>0</v>
      </c>
      <c r="T68" s="38">
        <f t="shared" si="149"/>
        <v>0</v>
      </c>
      <c r="U68" s="31">
        <f t="shared" si="149"/>
        <v>21</v>
      </c>
      <c r="V68" s="38">
        <f t="shared" si="149"/>
        <v>1.49369</v>
      </c>
    </row>
    <row r="69" spans="1:22">
      <c r="A69" s="26" t="s">
        <v>13</v>
      </c>
      <c r="B69" s="26" t="s">
        <v>26</v>
      </c>
      <c r="C69" s="30">
        <v>8.3000000000000007</v>
      </c>
      <c r="D69" s="27">
        <v>6.8</v>
      </c>
      <c r="E69" s="28">
        <v>2</v>
      </c>
      <c r="F69" s="16">
        <f t="shared" ref="F69:F78" si="150">(C69*D69*E69/1000)</f>
        <v>0.11288000000000001</v>
      </c>
      <c r="G69" s="17"/>
      <c r="H69" s="18"/>
      <c r="I69" s="19">
        <f t="shared" ref="I69:I78" si="151">(C69*D69*H69/1000)</f>
        <v>0</v>
      </c>
      <c r="J69" s="16"/>
      <c r="K69" s="18"/>
      <c r="L69" s="19">
        <f t="shared" ref="L69:L78" si="152">(C69*D69*K69/1000)</f>
        <v>0</v>
      </c>
      <c r="M69" s="16"/>
      <c r="N69" s="18"/>
      <c r="O69" s="19">
        <f t="shared" ref="O69:O78" si="153">(C69*D69*N69/1000)</f>
        <v>0</v>
      </c>
      <c r="P69" s="16"/>
      <c r="Q69" s="18"/>
      <c r="R69" s="19">
        <f t="shared" ref="R69:R78" si="154">(C69*D69*Q69/1000)</f>
        <v>0</v>
      </c>
      <c r="S69" s="20">
        <f t="shared" ref="S69:T78" si="155">+H69+K69+Q69+N69</f>
        <v>0</v>
      </c>
      <c r="T69" s="19">
        <f t="shared" si="155"/>
        <v>0</v>
      </c>
      <c r="U69" s="21">
        <f t="shared" ref="U69:V78" si="156">E69-S69</f>
        <v>2</v>
      </c>
      <c r="V69" s="19">
        <f t="shared" si="156"/>
        <v>0.11288000000000001</v>
      </c>
    </row>
    <row r="70" spans="1:22">
      <c r="A70" s="26" t="s">
        <v>13</v>
      </c>
      <c r="B70" s="26" t="s">
        <v>26</v>
      </c>
      <c r="C70" s="30">
        <v>8.3000000000000007</v>
      </c>
      <c r="D70" s="27">
        <v>7</v>
      </c>
      <c r="E70" s="28">
        <v>2</v>
      </c>
      <c r="F70" s="16">
        <f t="shared" si="150"/>
        <v>0.11620000000000001</v>
      </c>
      <c r="G70" s="17"/>
      <c r="H70" s="18"/>
      <c r="I70" s="19">
        <f t="shared" si="151"/>
        <v>0</v>
      </c>
      <c r="J70" s="16"/>
      <c r="K70" s="18"/>
      <c r="L70" s="19">
        <f t="shared" si="152"/>
        <v>0</v>
      </c>
      <c r="M70" s="16"/>
      <c r="N70" s="18"/>
      <c r="O70" s="19">
        <f t="shared" si="153"/>
        <v>0</v>
      </c>
      <c r="P70" s="16"/>
      <c r="Q70" s="18"/>
      <c r="R70" s="19">
        <f t="shared" si="154"/>
        <v>0</v>
      </c>
      <c r="S70" s="20">
        <f t="shared" si="155"/>
        <v>0</v>
      </c>
      <c r="T70" s="19">
        <f t="shared" si="155"/>
        <v>0</v>
      </c>
      <c r="U70" s="21">
        <f t="shared" si="156"/>
        <v>2</v>
      </c>
      <c r="V70" s="19">
        <f t="shared" si="156"/>
        <v>0.11620000000000001</v>
      </c>
    </row>
    <row r="71" spans="1:22">
      <c r="A71" s="26" t="s">
        <v>13</v>
      </c>
      <c r="B71" s="26" t="s">
        <v>26</v>
      </c>
      <c r="C71" s="30">
        <v>8.3000000000000007</v>
      </c>
      <c r="D71" s="27">
        <v>7.3</v>
      </c>
      <c r="E71" s="28">
        <v>4</v>
      </c>
      <c r="F71" s="16">
        <f t="shared" si="150"/>
        <v>0.24236000000000002</v>
      </c>
      <c r="G71" s="17"/>
      <c r="H71" s="18"/>
      <c r="I71" s="19">
        <f t="shared" si="151"/>
        <v>0</v>
      </c>
      <c r="J71" s="16"/>
      <c r="K71" s="18"/>
      <c r="L71" s="19">
        <f t="shared" si="152"/>
        <v>0</v>
      </c>
      <c r="M71" s="16"/>
      <c r="N71" s="18"/>
      <c r="O71" s="19">
        <f t="shared" si="153"/>
        <v>0</v>
      </c>
      <c r="P71" s="16"/>
      <c r="Q71" s="18"/>
      <c r="R71" s="19">
        <f t="shared" si="154"/>
        <v>0</v>
      </c>
      <c r="S71" s="20">
        <f t="shared" si="155"/>
        <v>0</v>
      </c>
      <c r="T71" s="19">
        <f t="shared" si="155"/>
        <v>0</v>
      </c>
      <c r="U71" s="21">
        <f t="shared" si="156"/>
        <v>4</v>
      </c>
      <c r="V71" s="19">
        <f t="shared" si="156"/>
        <v>0.24236000000000002</v>
      </c>
    </row>
    <row r="72" spans="1:22">
      <c r="A72" s="26" t="s">
        <v>13</v>
      </c>
      <c r="B72" s="26" t="s">
        <v>26</v>
      </c>
      <c r="C72" s="30">
        <v>8.3000000000000007</v>
      </c>
      <c r="D72" s="27">
        <v>7.9</v>
      </c>
      <c r="E72" s="28">
        <v>4</v>
      </c>
      <c r="F72" s="16">
        <f t="shared" si="150"/>
        <v>0.26228000000000001</v>
      </c>
      <c r="G72" s="17"/>
      <c r="H72" s="18"/>
      <c r="I72" s="19">
        <f t="shared" si="151"/>
        <v>0</v>
      </c>
      <c r="J72" s="16"/>
      <c r="K72" s="18"/>
      <c r="L72" s="19">
        <f t="shared" si="152"/>
        <v>0</v>
      </c>
      <c r="M72" s="16"/>
      <c r="N72" s="18"/>
      <c r="O72" s="19">
        <f t="shared" si="153"/>
        <v>0</v>
      </c>
      <c r="P72" s="16"/>
      <c r="Q72" s="18"/>
      <c r="R72" s="19">
        <f t="shared" si="154"/>
        <v>0</v>
      </c>
      <c r="S72" s="20">
        <f t="shared" si="155"/>
        <v>0</v>
      </c>
      <c r="T72" s="19">
        <f t="shared" si="155"/>
        <v>0</v>
      </c>
      <c r="U72" s="21">
        <f t="shared" si="156"/>
        <v>4</v>
      </c>
      <c r="V72" s="19">
        <f t="shared" si="156"/>
        <v>0.26228000000000001</v>
      </c>
    </row>
    <row r="73" spans="1:22">
      <c r="A73" s="26" t="s">
        <v>13</v>
      </c>
      <c r="B73" s="26" t="s">
        <v>26</v>
      </c>
      <c r="C73" s="30">
        <v>8.3000000000000007</v>
      </c>
      <c r="D73" s="27">
        <v>8.3000000000000007</v>
      </c>
      <c r="E73" s="28">
        <v>8</v>
      </c>
      <c r="F73" s="16">
        <f t="shared" si="150"/>
        <v>0.55112000000000017</v>
      </c>
      <c r="G73" s="17"/>
      <c r="H73" s="18"/>
      <c r="I73" s="19">
        <f t="shared" si="151"/>
        <v>0</v>
      </c>
      <c r="J73" s="16"/>
      <c r="K73" s="18"/>
      <c r="L73" s="19">
        <f t="shared" si="152"/>
        <v>0</v>
      </c>
      <c r="M73" s="16"/>
      <c r="N73" s="18"/>
      <c r="O73" s="19">
        <f t="shared" si="153"/>
        <v>0</v>
      </c>
      <c r="P73" s="16"/>
      <c r="Q73" s="18"/>
      <c r="R73" s="19">
        <f t="shared" si="154"/>
        <v>0</v>
      </c>
      <c r="S73" s="20">
        <f t="shared" si="155"/>
        <v>0</v>
      </c>
      <c r="T73" s="19">
        <f t="shared" si="155"/>
        <v>0</v>
      </c>
      <c r="U73" s="21">
        <f t="shared" si="156"/>
        <v>8</v>
      </c>
      <c r="V73" s="19">
        <f t="shared" si="156"/>
        <v>0.55112000000000017</v>
      </c>
    </row>
    <row r="74" spans="1:22">
      <c r="A74" s="26" t="s">
        <v>13</v>
      </c>
      <c r="B74" s="26" t="s">
        <v>26</v>
      </c>
      <c r="C74" s="30">
        <v>8.3000000000000007</v>
      </c>
      <c r="D74" s="27">
        <v>8.9</v>
      </c>
      <c r="E74" s="28">
        <v>8</v>
      </c>
      <c r="F74" s="16">
        <f t="shared" si="150"/>
        <v>0.59096000000000004</v>
      </c>
      <c r="G74" s="17"/>
      <c r="H74" s="18"/>
      <c r="I74" s="19">
        <f t="shared" si="151"/>
        <v>0</v>
      </c>
      <c r="J74" s="16"/>
      <c r="K74" s="18"/>
      <c r="L74" s="19">
        <f t="shared" si="152"/>
        <v>0</v>
      </c>
      <c r="M74" s="16"/>
      <c r="N74" s="18"/>
      <c r="O74" s="19">
        <f t="shared" si="153"/>
        <v>0</v>
      </c>
      <c r="P74" s="16"/>
      <c r="Q74" s="18"/>
      <c r="R74" s="19">
        <f t="shared" si="154"/>
        <v>0</v>
      </c>
      <c r="S74" s="20">
        <f t="shared" si="155"/>
        <v>0</v>
      </c>
      <c r="T74" s="19">
        <f t="shared" si="155"/>
        <v>0</v>
      </c>
      <c r="U74" s="21">
        <f t="shared" si="156"/>
        <v>8</v>
      </c>
      <c r="V74" s="19">
        <f t="shared" si="156"/>
        <v>0.59096000000000004</v>
      </c>
    </row>
    <row r="75" spans="1:22">
      <c r="A75" s="26" t="s">
        <v>13</v>
      </c>
      <c r="B75" s="26" t="s">
        <v>26</v>
      </c>
      <c r="C75" s="30">
        <v>8.3000000000000007</v>
      </c>
      <c r="D75" s="27">
        <v>9.5500000000000007</v>
      </c>
      <c r="E75" s="28">
        <v>14</v>
      </c>
      <c r="F75" s="16">
        <f t="shared" si="150"/>
        <v>1.1097100000000002</v>
      </c>
      <c r="G75" s="17"/>
      <c r="H75" s="18"/>
      <c r="I75" s="19">
        <f t="shared" si="151"/>
        <v>0</v>
      </c>
      <c r="J75" s="16"/>
      <c r="K75" s="18"/>
      <c r="L75" s="19">
        <f t="shared" si="152"/>
        <v>0</v>
      </c>
      <c r="M75" s="16"/>
      <c r="N75" s="18"/>
      <c r="O75" s="19">
        <f t="shared" si="153"/>
        <v>0</v>
      </c>
      <c r="P75" s="16"/>
      <c r="Q75" s="18"/>
      <c r="R75" s="19">
        <f t="shared" si="154"/>
        <v>0</v>
      </c>
      <c r="S75" s="20">
        <f t="shared" si="155"/>
        <v>0</v>
      </c>
      <c r="T75" s="19">
        <f t="shared" si="155"/>
        <v>0</v>
      </c>
      <c r="U75" s="21">
        <f t="shared" si="156"/>
        <v>14</v>
      </c>
      <c r="V75" s="19">
        <f t="shared" si="156"/>
        <v>1.1097100000000002</v>
      </c>
    </row>
    <row r="76" spans="1:22">
      <c r="A76" s="26" t="s">
        <v>13</v>
      </c>
      <c r="B76" s="26" t="s">
        <v>26</v>
      </c>
      <c r="C76" s="30">
        <v>8.3000000000000007</v>
      </c>
      <c r="D76" s="27">
        <v>10.9</v>
      </c>
      <c r="E76" s="28">
        <v>8</v>
      </c>
      <c r="F76" s="16">
        <f t="shared" si="150"/>
        <v>0.72376000000000007</v>
      </c>
      <c r="G76" s="17"/>
      <c r="H76" s="18"/>
      <c r="I76" s="19">
        <f t="shared" si="151"/>
        <v>0</v>
      </c>
      <c r="J76" s="16"/>
      <c r="K76" s="18"/>
      <c r="L76" s="19">
        <f t="shared" si="152"/>
        <v>0</v>
      </c>
      <c r="M76" s="16"/>
      <c r="N76" s="18"/>
      <c r="O76" s="19">
        <f t="shared" si="153"/>
        <v>0</v>
      </c>
      <c r="P76" s="16"/>
      <c r="Q76" s="18"/>
      <c r="R76" s="19">
        <f t="shared" si="154"/>
        <v>0</v>
      </c>
      <c r="S76" s="20">
        <f t="shared" si="155"/>
        <v>0</v>
      </c>
      <c r="T76" s="19">
        <f t="shared" si="155"/>
        <v>0</v>
      </c>
      <c r="U76" s="21">
        <f t="shared" si="156"/>
        <v>8</v>
      </c>
      <c r="V76" s="19">
        <f t="shared" si="156"/>
        <v>0.72376000000000007</v>
      </c>
    </row>
    <row r="77" spans="1:22">
      <c r="A77" s="26" t="s">
        <v>13</v>
      </c>
      <c r="B77" s="26" t="s">
        <v>26</v>
      </c>
      <c r="C77" s="30">
        <v>8.3000000000000007</v>
      </c>
      <c r="D77" s="27">
        <v>11.1</v>
      </c>
      <c r="E77" s="28">
        <v>8</v>
      </c>
      <c r="F77" s="16">
        <f t="shared" si="150"/>
        <v>0.73704000000000003</v>
      </c>
      <c r="G77" s="17"/>
      <c r="H77" s="18"/>
      <c r="I77" s="19">
        <f t="shared" si="151"/>
        <v>0</v>
      </c>
      <c r="J77" s="16"/>
      <c r="K77" s="18"/>
      <c r="L77" s="19">
        <f t="shared" si="152"/>
        <v>0</v>
      </c>
      <c r="M77" s="16"/>
      <c r="N77" s="18"/>
      <c r="O77" s="19">
        <f t="shared" si="153"/>
        <v>0</v>
      </c>
      <c r="P77" s="16"/>
      <c r="Q77" s="18"/>
      <c r="R77" s="19">
        <f t="shared" si="154"/>
        <v>0</v>
      </c>
      <c r="S77" s="20">
        <f t="shared" si="155"/>
        <v>0</v>
      </c>
      <c r="T77" s="19">
        <f t="shared" si="155"/>
        <v>0</v>
      </c>
      <c r="U77" s="21">
        <f t="shared" si="156"/>
        <v>8</v>
      </c>
      <c r="V77" s="19">
        <f t="shared" si="156"/>
        <v>0.73704000000000003</v>
      </c>
    </row>
    <row r="78" spans="1:22">
      <c r="A78" s="26" t="s">
        <v>13</v>
      </c>
      <c r="B78" s="26" t="s">
        <v>26</v>
      </c>
      <c r="C78" s="30">
        <v>8.3000000000000007</v>
      </c>
      <c r="D78" s="27">
        <v>11.5</v>
      </c>
      <c r="E78" s="28">
        <v>9</v>
      </c>
      <c r="F78" s="16">
        <f t="shared" si="150"/>
        <v>0.85905000000000009</v>
      </c>
      <c r="G78" s="17"/>
      <c r="H78" s="18"/>
      <c r="I78" s="19">
        <f t="shared" si="151"/>
        <v>0</v>
      </c>
      <c r="J78" s="16"/>
      <c r="K78" s="18"/>
      <c r="L78" s="19">
        <f t="shared" si="152"/>
        <v>0</v>
      </c>
      <c r="M78" s="16"/>
      <c r="N78" s="18"/>
      <c r="O78" s="19">
        <f t="shared" si="153"/>
        <v>0</v>
      </c>
      <c r="P78" s="16"/>
      <c r="Q78" s="18"/>
      <c r="R78" s="19">
        <f t="shared" si="154"/>
        <v>0</v>
      </c>
      <c r="S78" s="20">
        <f t="shared" si="155"/>
        <v>0</v>
      </c>
      <c r="T78" s="19">
        <f t="shared" si="155"/>
        <v>0</v>
      </c>
      <c r="U78" s="21">
        <f t="shared" si="156"/>
        <v>9</v>
      </c>
      <c r="V78" s="19">
        <f t="shared" si="156"/>
        <v>0.85905000000000009</v>
      </c>
    </row>
    <row r="79" spans="1:22">
      <c r="A79" s="26"/>
      <c r="B79" s="26"/>
      <c r="C79" s="30"/>
      <c r="D79" s="27"/>
      <c r="E79" s="31">
        <f>SUM(E69:E78)</f>
        <v>67</v>
      </c>
      <c r="F79" s="38">
        <f>SUM(F69:F78)</f>
        <v>5.3053600000000003</v>
      </c>
      <c r="H79" s="31">
        <f>SUM(H69:H78)</f>
        <v>0</v>
      </c>
      <c r="I79" s="38">
        <f>SUM(I69:I78)</f>
        <v>0</v>
      </c>
      <c r="K79" s="31">
        <f>SUM(K69:K78)</f>
        <v>0</v>
      </c>
      <c r="L79" s="38">
        <f>SUM(L69:L78)</f>
        <v>0</v>
      </c>
      <c r="N79" s="31">
        <f>SUM(N69:N78)</f>
        <v>0</v>
      </c>
      <c r="O79" s="38">
        <f>SUM(O69:O78)</f>
        <v>0</v>
      </c>
      <c r="Q79" s="31">
        <f t="shared" ref="Q79:V79" si="157">SUM(Q69:Q78)</f>
        <v>0</v>
      </c>
      <c r="R79" s="38">
        <f t="shared" si="157"/>
        <v>0</v>
      </c>
      <c r="S79" s="31">
        <f t="shared" si="157"/>
        <v>0</v>
      </c>
      <c r="T79" s="38">
        <f t="shared" si="157"/>
        <v>0</v>
      </c>
      <c r="U79" s="31">
        <f t="shared" si="157"/>
        <v>67</v>
      </c>
      <c r="V79" s="38">
        <f t="shared" si="157"/>
        <v>5.3053600000000003</v>
      </c>
    </row>
    <row r="80" spans="1:22">
      <c r="A80" s="26" t="s">
        <v>13</v>
      </c>
      <c r="B80" s="26" t="s">
        <v>37</v>
      </c>
      <c r="C80" s="30">
        <v>9.61</v>
      </c>
      <c r="D80" s="27">
        <v>6.35</v>
      </c>
      <c r="E80" s="28">
        <v>8</v>
      </c>
      <c r="F80" s="16">
        <f t="shared" ref="F80:F84" si="158">(C80*D80*E80/1000)</f>
        <v>0.48818799999999996</v>
      </c>
      <c r="G80" s="17"/>
      <c r="H80" s="18"/>
      <c r="I80" s="19">
        <f t="shared" ref="I80:I84" si="159">(C80*D80*H80/1000)</f>
        <v>0</v>
      </c>
      <c r="J80" s="16"/>
      <c r="K80" s="18"/>
      <c r="L80" s="19">
        <f t="shared" ref="L80:L84" si="160">(C80*D80*K80/1000)</f>
        <v>0</v>
      </c>
      <c r="M80" s="16"/>
      <c r="N80" s="18"/>
      <c r="O80" s="19">
        <f t="shared" ref="O80:O84" si="161">(C80*D80*N80/1000)</f>
        <v>0</v>
      </c>
      <c r="P80" s="16"/>
      <c r="Q80" s="18"/>
      <c r="R80" s="19">
        <f t="shared" ref="R80:R84" si="162">(C80*D80*Q80/1000)</f>
        <v>0</v>
      </c>
      <c r="S80" s="20">
        <f t="shared" ref="S80:T84" si="163">+H80+K80+Q80+N80</f>
        <v>0</v>
      </c>
      <c r="T80" s="19">
        <f t="shared" si="163"/>
        <v>0</v>
      </c>
      <c r="U80" s="21">
        <f t="shared" ref="U80:V84" si="164">E80-S80</f>
        <v>8</v>
      </c>
      <c r="V80" s="19">
        <f t="shared" si="164"/>
        <v>0.48818799999999996</v>
      </c>
    </row>
    <row r="81" spans="1:22">
      <c r="A81" s="26" t="s">
        <v>13</v>
      </c>
      <c r="B81" s="26" t="s">
        <v>37</v>
      </c>
      <c r="C81" s="30">
        <v>9.61</v>
      </c>
      <c r="D81" s="27">
        <v>7.3</v>
      </c>
      <c r="E81" s="28">
        <v>2</v>
      </c>
      <c r="F81" s="16">
        <f t="shared" si="158"/>
        <v>0.14030599999999999</v>
      </c>
      <c r="G81" s="17"/>
      <c r="H81" s="18"/>
      <c r="I81" s="19">
        <f t="shared" si="159"/>
        <v>0</v>
      </c>
      <c r="J81" s="16"/>
      <c r="K81" s="18"/>
      <c r="L81" s="19">
        <f t="shared" si="160"/>
        <v>0</v>
      </c>
      <c r="M81" s="16"/>
      <c r="N81" s="18"/>
      <c r="O81" s="19">
        <f t="shared" si="161"/>
        <v>0</v>
      </c>
      <c r="P81" s="16"/>
      <c r="Q81" s="18"/>
      <c r="R81" s="19">
        <f t="shared" si="162"/>
        <v>0</v>
      </c>
      <c r="S81" s="20">
        <f t="shared" si="163"/>
        <v>0</v>
      </c>
      <c r="T81" s="19">
        <f t="shared" si="163"/>
        <v>0</v>
      </c>
      <c r="U81" s="21">
        <f t="shared" si="164"/>
        <v>2</v>
      </c>
      <c r="V81" s="19">
        <f t="shared" si="164"/>
        <v>0.14030599999999999</v>
      </c>
    </row>
    <row r="82" spans="1:22">
      <c r="A82" s="26" t="s">
        <v>13</v>
      </c>
      <c r="B82" s="26" t="s">
        <v>37</v>
      </c>
      <c r="C82" s="30">
        <v>9.61</v>
      </c>
      <c r="D82" s="27">
        <v>8.1</v>
      </c>
      <c r="E82" s="28">
        <v>6</v>
      </c>
      <c r="F82" s="16">
        <f t="shared" si="158"/>
        <v>0.46704599999999996</v>
      </c>
      <c r="G82" s="17"/>
      <c r="H82" s="18"/>
      <c r="I82" s="19">
        <f t="shared" si="159"/>
        <v>0</v>
      </c>
      <c r="J82" s="16"/>
      <c r="K82" s="18"/>
      <c r="L82" s="19">
        <f t="shared" si="160"/>
        <v>0</v>
      </c>
      <c r="M82" s="16"/>
      <c r="N82" s="18"/>
      <c r="O82" s="19">
        <f t="shared" si="161"/>
        <v>0</v>
      </c>
      <c r="P82" s="16"/>
      <c r="Q82" s="18"/>
      <c r="R82" s="19">
        <f t="shared" si="162"/>
        <v>0</v>
      </c>
      <c r="S82" s="20">
        <f t="shared" si="163"/>
        <v>0</v>
      </c>
      <c r="T82" s="19">
        <f t="shared" si="163"/>
        <v>0</v>
      </c>
      <c r="U82" s="21">
        <f t="shared" si="164"/>
        <v>6</v>
      </c>
      <c r="V82" s="19">
        <f t="shared" si="164"/>
        <v>0.46704599999999996</v>
      </c>
    </row>
    <row r="83" spans="1:22">
      <c r="A83" s="26" t="s">
        <v>13</v>
      </c>
      <c r="B83" s="26" t="s">
        <v>37</v>
      </c>
      <c r="C83" s="30">
        <v>9.61</v>
      </c>
      <c r="D83" s="27">
        <v>9.8000000000000007</v>
      </c>
      <c r="E83" s="28">
        <v>8</v>
      </c>
      <c r="F83" s="16">
        <f t="shared" si="158"/>
        <v>0.75342399999999998</v>
      </c>
      <c r="G83" s="17"/>
      <c r="H83" s="18"/>
      <c r="I83" s="19">
        <f t="shared" si="159"/>
        <v>0</v>
      </c>
      <c r="J83" s="16"/>
      <c r="K83" s="18"/>
      <c r="L83" s="19">
        <f t="shared" si="160"/>
        <v>0</v>
      </c>
      <c r="M83" s="16"/>
      <c r="N83" s="18"/>
      <c r="O83" s="19">
        <f t="shared" si="161"/>
        <v>0</v>
      </c>
      <c r="P83" s="16"/>
      <c r="Q83" s="18"/>
      <c r="R83" s="19">
        <f t="shared" si="162"/>
        <v>0</v>
      </c>
      <c r="S83" s="20">
        <f t="shared" si="163"/>
        <v>0</v>
      </c>
      <c r="T83" s="19">
        <f t="shared" si="163"/>
        <v>0</v>
      </c>
      <c r="U83" s="21">
        <f t="shared" si="164"/>
        <v>8</v>
      </c>
      <c r="V83" s="19">
        <f t="shared" si="164"/>
        <v>0.75342399999999998</v>
      </c>
    </row>
    <row r="84" spans="1:22">
      <c r="A84" s="26" t="s">
        <v>13</v>
      </c>
      <c r="B84" s="26" t="s">
        <v>37</v>
      </c>
      <c r="C84" s="30">
        <v>9.61</v>
      </c>
      <c r="D84" s="27">
        <v>11.55</v>
      </c>
      <c r="E84" s="28">
        <v>8</v>
      </c>
      <c r="F84" s="16">
        <f t="shared" si="158"/>
        <v>0.88796400000000009</v>
      </c>
      <c r="G84" s="17"/>
      <c r="H84" s="18"/>
      <c r="I84" s="19">
        <f t="shared" si="159"/>
        <v>0</v>
      </c>
      <c r="J84" s="16"/>
      <c r="K84" s="18"/>
      <c r="L84" s="19">
        <f t="shared" si="160"/>
        <v>0</v>
      </c>
      <c r="M84" s="16"/>
      <c r="N84" s="18"/>
      <c r="O84" s="19">
        <f t="shared" si="161"/>
        <v>0</v>
      </c>
      <c r="P84" s="16"/>
      <c r="Q84" s="18"/>
      <c r="R84" s="19">
        <f t="shared" si="162"/>
        <v>0</v>
      </c>
      <c r="S84" s="20">
        <f t="shared" si="163"/>
        <v>0</v>
      </c>
      <c r="T84" s="19">
        <f t="shared" si="163"/>
        <v>0</v>
      </c>
      <c r="U84" s="21">
        <f t="shared" si="164"/>
        <v>8</v>
      </c>
      <c r="V84" s="19">
        <f t="shared" si="164"/>
        <v>0.88796400000000009</v>
      </c>
    </row>
    <row r="85" spans="1:22">
      <c r="A85" s="26"/>
      <c r="B85" s="26"/>
      <c r="C85" s="28"/>
      <c r="D85" s="27"/>
      <c r="E85" s="31">
        <f>SUM(E80:E84)</f>
        <v>32</v>
      </c>
      <c r="F85" s="38">
        <f>SUM(F80:F84)</f>
        <v>2.7369279999999998</v>
      </c>
      <c r="H85" s="31">
        <f>SUM(H80:H84)</f>
        <v>0</v>
      </c>
      <c r="I85" s="38">
        <f>SUM(I80:I84)</f>
        <v>0</v>
      </c>
      <c r="K85" s="31">
        <f>SUM(K80:K84)</f>
        <v>0</v>
      </c>
      <c r="L85" s="38">
        <f>SUM(L80:L84)</f>
        <v>0</v>
      </c>
      <c r="N85" s="31">
        <f>SUM(N80:N84)</f>
        <v>0</v>
      </c>
      <c r="O85" s="38">
        <f>SUM(O80:O84)</f>
        <v>0</v>
      </c>
      <c r="Q85" s="31">
        <f t="shared" ref="Q85:V85" si="165">SUM(Q80:Q84)</f>
        <v>0</v>
      </c>
      <c r="R85" s="38">
        <f t="shared" si="165"/>
        <v>0</v>
      </c>
      <c r="S85" s="31">
        <f t="shared" si="165"/>
        <v>0</v>
      </c>
      <c r="T85" s="38">
        <f t="shared" si="165"/>
        <v>0</v>
      </c>
      <c r="U85" s="31">
        <f t="shared" si="165"/>
        <v>32</v>
      </c>
      <c r="V85" s="38">
        <f t="shared" si="165"/>
        <v>2.7369279999999998</v>
      </c>
    </row>
    <row r="86" spans="1:22">
      <c r="A86" s="33"/>
      <c r="B86" s="33"/>
      <c r="C86" s="34"/>
      <c r="D86" s="34"/>
      <c r="E86" s="34">
        <f>SUM(E6:E85)/2</f>
        <v>326</v>
      </c>
      <c r="F86" s="35">
        <f>SUM(F6:F85)/2</f>
        <v>35.189861999999991</v>
      </c>
      <c r="H86" s="34">
        <f>SUM(H6:H85)/2</f>
        <v>0</v>
      </c>
      <c r="I86" s="35">
        <f>SUM(I6:I85)/2</f>
        <v>0</v>
      </c>
      <c r="K86" s="34">
        <f>SUM(K6:K85)/2</f>
        <v>0</v>
      </c>
      <c r="L86" s="35">
        <f>SUM(L6:L85)/2</f>
        <v>0</v>
      </c>
      <c r="N86" s="34">
        <f>SUM(N6:N85)/2</f>
        <v>0</v>
      </c>
      <c r="O86" s="35">
        <f>SUM(O6:O85)/2</f>
        <v>0</v>
      </c>
      <c r="Q86" s="34">
        <f t="shared" ref="Q86:V86" si="166">SUM(Q6:Q85)/2</f>
        <v>0</v>
      </c>
      <c r="R86" s="35">
        <f t="shared" si="166"/>
        <v>0</v>
      </c>
      <c r="S86" s="34">
        <f t="shared" si="166"/>
        <v>0</v>
      </c>
      <c r="T86" s="35">
        <f t="shared" si="166"/>
        <v>0</v>
      </c>
      <c r="U86" s="34">
        <f t="shared" si="166"/>
        <v>326</v>
      </c>
      <c r="V86" s="35">
        <f t="shared" si="166"/>
        <v>35.189861999999991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V12"/>
  <sheetViews>
    <sheetView zoomScale="75" zoomScaleNormal="75" workbookViewId="0">
      <pane ySplit="5" topLeftCell="A6" activePane="bottomLeft" state="frozen"/>
      <selection pane="bottomLeft" activeCell="L33" sqref="L33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LOI-1439  28.12.23</v>
      </c>
      <c r="D1" s="1"/>
      <c r="E1" s="2"/>
      <c r="F1" s="2"/>
      <c r="G1" s="143" t="s">
        <v>601</v>
      </c>
      <c r="H1" s="144"/>
      <c r="I1" s="145" t="s">
        <v>590</v>
      </c>
      <c r="J1" s="144"/>
      <c r="K1" s="3"/>
      <c r="L1" s="4"/>
      <c r="M1" s="4"/>
      <c r="N1" s="3"/>
      <c r="O1" s="4"/>
      <c r="P1" s="146" t="str">
        <f>+F2</f>
        <v>LOI-1439  28.12.23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502</v>
      </c>
      <c r="B2" s="8"/>
      <c r="C2" s="9"/>
      <c r="D2" s="9"/>
      <c r="E2" s="10"/>
      <c r="F2" s="146" t="s">
        <v>600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LOI-1439  28.12.23</v>
      </c>
      <c r="V2" s="146"/>
    </row>
    <row r="3" spans="1:22">
      <c r="A3" s="12" t="s">
        <v>438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602</v>
      </c>
      <c r="C6" s="30">
        <v>9.8000000000000007</v>
      </c>
      <c r="D6" s="27">
        <v>11</v>
      </c>
      <c r="E6" s="28">
        <v>404</v>
      </c>
      <c r="F6" s="16">
        <f t="shared" ref="F6:F10" si="0">(C6*D6*E6/1000)</f>
        <v>43.551200000000001</v>
      </c>
      <c r="G6" s="17"/>
      <c r="H6" s="18"/>
      <c r="I6" s="19">
        <f t="shared" ref="I6:I10" si="1">(C6*D6*H6/1000)</f>
        <v>0</v>
      </c>
      <c r="J6" s="16"/>
      <c r="K6" s="18"/>
      <c r="L6" s="19">
        <f t="shared" ref="L6:L10" si="2">(C6*D6*K6/1000)</f>
        <v>0</v>
      </c>
      <c r="M6" s="16"/>
      <c r="N6" s="18"/>
      <c r="O6" s="19">
        <f t="shared" ref="O6:O10" si="3">(C6*D6*N6/1000)</f>
        <v>0</v>
      </c>
      <c r="P6" s="16"/>
      <c r="Q6" s="18"/>
      <c r="R6" s="19">
        <f t="shared" ref="R6:R10" si="4">(C6*D6*Q6/1000)</f>
        <v>0</v>
      </c>
      <c r="S6" s="20">
        <f t="shared" ref="S6:T10" si="5">+H6+K6+Q6+N6</f>
        <v>0</v>
      </c>
      <c r="T6" s="19">
        <f t="shared" si="5"/>
        <v>0</v>
      </c>
      <c r="U6" s="21">
        <f t="shared" ref="U6:V10" si="6">E6-S6</f>
        <v>404</v>
      </c>
      <c r="V6" s="19">
        <f t="shared" si="6"/>
        <v>43.551200000000001</v>
      </c>
    </row>
    <row r="7" spans="1:22">
      <c r="A7" s="26" t="s">
        <v>13</v>
      </c>
      <c r="B7" s="26" t="s">
        <v>602</v>
      </c>
      <c r="C7" s="30">
        <v>9.8000000000000007</v>
      </c>
      <c r="D7" s="27">
        <v>11.2</v>
      </c>
      <c r="E7" s="28">
        <v>532</v>
      </c>
      <c r="F7" s="16">
        <f t="shared" si="0"/>
        <v>58.392319999999998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532</v>
      </c>
      <c r="V7" s="19">
        <f t="shared" si="6"/>
        <v>58.392319999999998</v>
      </c>
    </row>
    <row r="8" spans="1:22">
      <c r="A8" s="26" t="s">
        <v>13</v>
      </c>
      <c r="B8" s="26" t="s">
        <v>602</v>
      </c>
      <c r="C8" s="30">
        <v>9.8000000000000007</v>
      </c>
      <c r="D8" s="27"/>
      <c r="E8" s="28"/>
      <c r="F8" s="16">
        <f t="shared" si="0"/>
        <v>0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5"/>
        <v>0</v>
      </c>
      <c r="U8" s="21">
        <f t="shared" si="6"/>
        <v>0</v>
      </c>
      <c r="V8" s="19">
        <f t="shared" si="6"/>
        <v>0</v>
      </c>
    </row>
    <row r="9" spans="1:22">
      <c r="A9" s="26" t="s">
        <v>13</v>
      </c>
      <c r="B9" s="26" t="s">
        <v>602</v>
      </c>
      <c r="C9" s="30">
        <v>9.8000000000000007</v>
      </c>
      <c r="D9" s="27"/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5"/>
        <v>0</v>
      </c>
      <c r="U9" s="21">
        <f t="shared" si="6"/>
        <v>0</v>
      </c>
      <c r="V9" s="19">
        <f t="shared" si="6"/>
        <v>0</v>
      </c>
    </row>
    <row r="10" spans="1:22">
      <c r="A10" s="26" t="s">
        <v>13</v>
      </c>
      <c r="B10" s="26" t="s">
        <v>602</v>
      </c>
      <c r="C10" s="30">
        <v>9.8000000000000007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5"/>
        <v>0</v>
      </c>
      <c r="U10" s="21">
        <f t="shared" si="6"/>
        <v>0</v>
      </c>
      <c r="V10" s="19">
        <f t="shared" si="6"/>
        <v>0</v>
      </c>
    </row>
    <row r="11" spans="1:22">
      <c r="A11" s="26"/>
      <c r="B11" s="26"/>
      <c r="C11" s="30"/>
      <c r="D11" s="27"/>
      <c r="E11" s="31">
        <f>SUM(E6:E10)</f>
        <v>936</v>
      </c>
      <c r="F11" s="38">
        <f>SUM(F6:F10)</f>
        <v>101.94352000000001</v>
      </c>
      <c r="G11" s="17"/>
      <c r="H11" s="31">
        <f>SUM(H6:H10)</f>
        <v>0</v>
      </c>
      <c r="I11" s="38">
        <f>SUM(I6:I10)</f>
        <v>0</v>
      </c>
      <c r="J11" s="16"/>
      <c r="K11" s="31">
        <f>SUM(K6:K10)</f>
        <v>0</v>
      </c>
      <c r="L11" s="38">
        <f>SUM(L6:L10)</f>
        <v>0</v>
      </c>
      <c r="M11" s="16"/>
      <c r="N11" s="31">
        <f>SUM(N6:N10)</f>
        <v>0</v>
      </c>
      <c r="O11" s="38">
        <f>SUM(O6:O10)</f>
        <v>0</v>
      </c>
      <c r="P11" s="16"/>
      <c r="Q11" s="31">
        <f t="shared" ref="Q11:V11" si="7">SUM(Q6:Q10)</f>
        <v>0</v>
      </c>
      <c r="R11" s="38">
        <f t="shared" si="7"/>
        <v>0</v>
      </c>
      <c r="S11" s="31">
        <f t="shared" si="7"/>
        <v>0</v>
      </c>
      <c r="T11" s="38">
        <f t="shared" si="7"/>
        <v>0</v>
      </c>
      <c r="U11" s="31">
        <f t="shared" si="7"/>
        <v>936</v>
      </c>
      <c r="V11" s="38">
        <f t="shared" si="7"/>
        <v>101.94352000000001</v>
      </c>
    </row>
    <row r="12" spans="1:22">
      <c r="A12" s="33"/>
      <c r="B12" s="33"/>
      <c r="C12" s="34"/>
      <c r="D12" s="34"/>
      <c r="E12" s="34">
        <f>SUM(E6:E11)/2</f>
        <v>936</v>
      </c>
      <c r="F12" s="35">
        <f>SUM(F6:F11)/2</f>
        <v>101.94352000000001</v>
      </c>
      <c r="H12" s="34">
        <f>SUM(H6:H11)/2</f>
        <v>0</v>
      </c>
      <c r="I12" s="35">
        <f>SUM(I6:I11)/2</f>
        <v>0</v>
      </c>
      <c r="K12" s="34">
        <f>SUM(K6:K11)/2</f>
        <v>0</v>
      </c>
      <c r="L12" s="35">
        <f>SUM(L6:L11)/2</f>
        <v>0</v>
      </c>
      <c r="N12" s="34">
        <f>SUM(N6:N11)/2</f>
        <v>0</v>
      </c>
      <c r="O12" s="35">
        <f>SUM(O6:O11)/2</f>
        <v>0</v>
      </c>
      <c r="Q12" s="34">
        <f t="shared" ref="Q12:V12" si="8">SUM(Q6:Q11)/2</f>
        <v>0</v>
      </c>
      <c r="R12" s="35">
        <f t="shared" si="8"/>
        <v>0</v>
      </c>
      <c r="S12" s="34">
        <f t="shared" si="8"/>
        <v>0</v>
      </c>
      <c r="T12" s="35">
        <f t="shared" si="8"/>
        <v>0</v>
      </c>
      <c r="U12" s="34">
        <f t="shared" si="8"/>
        <v>936</v>
      </c>
      <c r="V12" s="35">
        <f t="shared" si="8"/>
        <v>101.94352000000001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V15"/>
  <sheetViews>
    <sheetView zoomScale="75" zoomScaleNormal="75" workbookViewId="0">
      <pane ySplit="5" topLeftCell="A6" activePane="bottomLeft" state="frozen"/>
      <selection pane="bottomLeft" activeCell="O22" sqref="O22"/>
    </sheetView>
  </sheetViews>
  <sheetFormatPr defaultRowHeight="14.4"/>
  <cols>
    <col min="1" max="1" width="5.109375" customWidth="1"/>
    <col min="2" max="2" width="17.33203125" customWidth="1"/>
    <col min="3" max="3" width="8.5546875" customWidth="1"/>
    <col min="4" max="4" width="10.88671875" customWidth="1"/>
    <col min="5" max="5" width="7.6640625" customWidth="1"/>
    <col min="6" max="6" width="10.44140625" customWidth="1"/>
    <col min="7" max="7" width="14.88671875" customWidth="1"/>
    <col min="8" max="8" width="10.5546875" customWidth="1"/>
    <col min="9" max="9" width="9.109375" customWidth="1"/>
    <col min="10" max="10" width="13.109375" customWidth="1"/>
    <col min="11" max="11" width="6.88671875" customWidth="1"/>
    <col min="12" max="12" width="9.109375" customWidth="1"/>
    <col min="13" max="13" width="13.109375" customWidth="1"/>
    <col min="14" max="14" width="6.88671875" customWidth="1"/>
    <col min="15" max="15" width="9.109375" customWidth="1"/>
    <col min="16" max="16" width="14" customWidth="1"/>
    <col min="17" max="19" width="9.109375" customWidth="1"/>
    <col min="20" max="20" width="10.664062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LOI-1456  09.01.24</v>
      </c>
      <c r="D1" s="1"/>
      <c r="E1" s="2"/>
      <c r="F1" s="2"/>
      <c r="G1" s="143" t="s">
        <v>616</v>
      </c>
      <c r="H1" s="144"/>
      <c r="I1" s="145" t="s">
        <v>581</v>
      </c>
      <c r="J1" s="144"/>
      <c r="K1" s="3"/>
      <c r="L1" s="4"/>
      <c r="M1" s="4"/>
      <c r="N1" s="3"/>
      <c r="O1" s="4"/>
      <c r="P1" s="146" t="str">
        <f>+F2</f>
        <v>LOI-1456  09.01.24</v>
      </c>
      <c r="Q1" s="146"/>
      <c r="R1" s="5"/>
      <c r="S1" s="5"/>
      <c r="T1" s="147" t="s">
        <v>1</v>
      </c>
      <c r="U1" s="147"/>
      <c r="V1" s="147"/>
    </row>
    <row r="2" spans="1:22">
      <c r="A2" s="7" t="s">
        <v>502</v>
      </c>
      <c r="B2" s="8"/>
      <c r="C2" s="9"/>
      <c r="D2" s="9"/>
      <c r="E2" s="10"/>
      <c r="F2" s="146" t="s">
        <v>617</v>
      </c>
      <c r="G2" s="146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6" t="str">
        <f>+P1</f>
        <v>LOI-1456  09.01.24</v>
      </c>
      <c r="V2" s="146"/>
    </row>
    <row r="3" spans="1:22">
      <c r="A3" s="12" t="s">
        <v>438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 ht="13.8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8"/>
      <c r="K4" s="148"/>
      <c r="L4" s="148"/>
      <c r="M4" s="148"/>
      <c r="N4" s="148"/>
      <c r="O4" s="148"/>
      <c r="P4" s="148"/>
      <c r="Q4" s="148"/>
      <c r="R4" s="148"/>
      <c r="S4" s="149" t="s">
        <v>4</v>
      </c>
      <c r="T4" s="149"/>
      <c r="U4" s="150" t="s">
        <v>5</v>
      </c>
      <c r="V4" s="150"/>
    </row>
    <row r="5" spans="1:22" s="6" customFormat="1" ht="27.6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18</v>
      </c>
      <c r="C6" s="30">
        <v>16.600000000000001</v>
      </c>
      <c r="D6" s="27">
        <v>10.6</v>
      </c>
      <c r="E6" s="28">
        <v>22</v>
      </c>
      <c r="F6" s="16">
        <f t="shared" ref="F6:F7" si="0">(C6*D6*E6/1000)</f>
        <v>3.8711200000000003</v>
      </c>
      <c r="G6" s="17"/>
      <c r="H6" s="18"/>
      <c r="I6" s="19">
        <f t="shared" ref="I6:I7" si="1">(C6*D6*H6/1000)</f>
        <v>0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0</v>
      </c>
      <c r="T6" s="19">
        <f t="shared" si="5"/>
        <v>0</v>
      </c>
      <c r="U6" s="21">
        <f t="shared" ref="U6:V7" si="6">E6-S6</f>
        <v>22</v>
      </c>
      <c r="V6" s="19">
        <f t="shared" si="6"/>
        <v>3.8711200000000003</v>
      </c>
    </row>
    <row r="7" spans="1:22">
      <c r="A7" s="26"/>
      <c r="B7" s="26"/>
      <c r="C7" s="30"/>
      <c r="D7" s="27"/>
      <c r="E7" s="28"/>
      <c r="F7" s="16">
        <f t="shared" si="0"/>
        <v>0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0</v>
      </c>
      <c r="V7" s="19">
        <f t="shared" si="6"/>
        <v>0</v>
      </c>
    </row>
    <row r="8" spans="1:22">
      <c r="A8" s="26"/>
      <c r="B8" s="26"/>
      <c r="C8" s="30"/>
      <c r="D8" s="27"/>
      <c r="E8" s="31">
        <f>SUM(E6:E7)</f>
        <v>22</v>
      </c>
      <c r="F8" s="38">
        <f>SUM(F6:F7)</f>
        <v>3.8711200000000003</v>
      </c>
      <c r="G8" s="17"/>
      <c r="H8" s="31">
        <f>SUM(H6:H7)</f>
        <v>0</v>
      </c>
      <c r="I8" s="38">
        <f>SUM(I6:I7)</f>
        <v>0</v>
      </c>
      <c r="J8" s="16"/>
      <c r="K8" s="31">
        <f>SUM(K6:K7)</f>
        <v>0</v>
      </c>
      <c r="L8" s="38">
        <f>SUM(L6:L7)</f>
        <v>0</v>
      </c>
      <c r="M8" s="16"/>
      <c r="N8" s="31">
        <f>SUM(N6:N7)</f>
        <v>0</v>
      </c>
      <c r="O8" s="38">
        <f>SUM(O6:O7)</f>
        <v>0</v>
      </c>
      <c r="P8" s="16"/>
      <c r="Q8" s="31">
        <f t="shared" ref="Q8:V8" si="7">SUM(Q6:Q7)</f>
        <v>0</v>
      </c>
      <c r="R8" s="38">
        <f t="shared" si="7"/>
        <v>0</v>
      </c>
      <c r="S8" s="31">
        <f t="shared" si="7"/>
        <v>0</v>
      </c>
      <c r="T8" s="38">
        <f t="shared" si="7"/>
        <v>0</v>
      </c>
      <c r="U8" s="31">
        <f t="shared" si="7"/>
        <v>22</v>
      </c>
      <c r="V8" s="38">
        <f t="shared" si="7"/>
        <v>3.8711200000000003</v>
      </c>
    </row>
    <row r="9" spans="1:22">
      <c r="A9" s="26" t="s">
        <v>13</v>
      </c>
      <c r="B9" s="26" t="s">
        <v>25</v>
      </c>
      <c r="C9" s="30">
        <v>13.4</v>
      </c>
      <c r="D9" s="27">
        <v>10.6</v>
      </c>
      <c r="E9" s="28">
        <v>91</v>
      </c>
      <c r="F9" s="16">
        <f t="shared" ref="F9:F10" si="8">(C9*D9*E9/1000)</f>
        <v>12.92564</v>
      </c>
      <c r="G9" s="17"/>
      <c r="H9" s="18"/>
      <c r="I9" s="19">
        <f t="shared" ref="I9:I10" si="9">(C9*D9*H9/1000)</f>
        <v>0</v>
      </c>
      <c r="J9" s="16"/>
      <c r="K9" s="18"/>
      <c r="L9" s="19">
        <f t="shared" ref="L9:L10" si="10">(C9*D9*K9/1000)</f>
        <v>0</v>
      </c>
      <c r="M9" s="16"/>
      <c r="N9" s="18"/>
      <c r="O9" s="19">
        <f t="shared" ref="O9:O10" si="11">(C9*D9*N9/1000)</f>
        <v>0</v>
      </c>
      <c r="P9" s="16"/>
      <c r="Q9" s="18"/>
      <c r="R9" s="19">
        <f t="shared" ref="R9:R10" si="12">(C9*D9*Q9/1000)</f>
        <v>0</v>
      </c>
      <c r="S9" s="20">
        <f t="shared" ref="S9:S10" si="13">+H9+K9+Q9+N9</f>
        <v>0</v>
      </c>
      <c r="T9" s="19">
        <f t="shared" ref="T9:T10" si="14">+I9+L9+R9+O9</f>
        <v>0</v>
      </c>
      <c r="U9" s="21">
        <f t="shared" ref="U9:U10" si="15">E9-S9</f>
        <v>91</v>
      </c>
      <c r="V9" s="19">
        <f t="shared" ref="V9:V10" si="16">F9-T9</f>
        <v>12.92564</v>
      </c>
    </row>
    <row r="10" spans="1:22">
      <c r="A10" s="26"/>
      <c r="B10" s="26"/>
      <c r="C10" s="30"/>
      <c r="D10" s="27"/>
      <c r="E10" s="28"/>
      <c r="F10" s="16">
        <f t="shared" si="8"/>
        <v>0</v>
      </c>
      <c r="G10" s="17"/>
      <c r="H10" s="18"/>
      <c r="I10" s="19">
        <f t="shared" si="9"/>
        <v>0</v>
      </c>
      <c r="J10" s="16"/>
      <c r="K10" s="18"/>
      <c r="L10" s="19">
        <f t="shared" si="10"/>
        <v>0</v>
      </c>
      <c r="M10" s="16"/>
      <c r="N10" s="18"/>
      <c r="O10" s="19">
        <f t="shared" si="11"/>
        <v>0</v>
      </c>
      <c r="P10" s="16"/>
      <c r="Q10" s="18"/>
      <c r="R10" s="19">
        <f t="shared" si="12"/>
        <v>0</v>
      </c>
      <c r="S10" s="20">
        <f t="shared" si="13"/>
        <v>0</v>
      </c>
      <c r="T10" s="19">
        <f t="shared" si="14"/>
        <v>0</v>
      </c>
      <c r="U10" s="21">
        <f t="shared" si="15"/>
        <v>0</v>
      </c>
      <c r="V10" s="19">
        <f t="shared" si="16"/>
        <v>0</v>
      </c>
    </row>
    <row r="11" spans="1:22">
      <c r="A11" s="26"/>
      <c r="B11" s="26"/>
      <c r="C11" s="30"/>
      <c r="D11" s="27"/>
      <c r="E11" s="31">
        <f>SUM(E9:E10)</f>
        <v>91</v>
      </c>
      <c r="F11" s="38">
        <f>SUM(F9:F10)</f>
        <v>12.92564</v>
      </c>
      <c r="G11" s="17"/>
      <c r="H11" s="31">
        <f>SUM(H9:H10)</f>
        <v>0</v>
      </c>
      <c r="I11" s="38">
        <f>SUM(I9:I10)</f>
        <v>0</v>
      </c>
      <c r="J11" s="16"/>
      <c r="K11" s="31">
        <f>SUM(K9:K10)</f>
        <v>0</v>
      </c>
      <c r="L11" s="38">
        <f>SUM(L9:L10)</f>
        <v>0</v>
      </c>
      <c r="M11" s="16"/>
      <c r="N11" s="31">
        <f>SUM(N9:N10)</f>
        <v>0</v>
      </c>
      <c r="O11" s="38">
        <f>SUM(O9:O10)</f>
        <v>0</v>
      </c>
      <c r="P11" s="16"/>
      <c r="Q11" s="31">
        <f t="shared" ref="Q11:V11" si="17">SUM(Q9:Q10)</f>
        <v>0</v>
      </c>
      <c r="R11" s="38">
        <f t="shared" si="17"/>
        <v>0</v>
      </c>
      <c r="S11" s="31">
        <f t="shared" si="17"/>
        <v>0</v>
      </c>
      <c r="T11" s="38">
        <f t="shared" si="17"/>
        <v>0</v>
      </c>
      <c r="U11" s="31">
        <f t="shared" si="17"/>
        <v>91</v>
      </c>
      <c r="V11" s="38">
        <f t="shared" si="17"/>
        <v>12.92564</v>
      </c>
    </row>
    <row r="12" spans="1:22">
      <c r="A12" s="26" t="s">
        <v>13</v>
      </c>
      <c r="B12" s="26" t="s">
        <v>51</v>
      </c>
      <c r="C12" s="30">
        <v>19.8</v>
      </c>
      <c r="D12" s="27">
        <v>7.6</v>
      </c>
      <c r="E12" s="28">
        <v>34</v>
      </c>
      <c r="F12" s="16">
        <f t="shared" ref="F12:F13" si="18">(C12*D12*E12/1000)</f>
        <v>5.11632</v>
      </c>
      <c r="G12" s="17"/>
      <c r="H12" s="18"/>
      <c r="I12" s="19">
        <f t="shared" ref="I12:I13" si="19">(C12*D12*H12/1000)</f>
        <v>0</v>
      </c>
      <c r="J12" s="16"/>
      <c r="K12" s="18"/>
      <c r="L12" s="19">
        <f t="shared" ref="L12:L13" si="20">(C12*D12*K12/1000)</f>
        <v>0</v>
      </c>
      <c r="M12" s="16"/>
      <c r="N12" s="18"/>
      <c r="O12" s="19">
        <f t="shared" ref="O12:O13" si="21">(C12*D12*N12/1000)</f>
        <v>0</v>
      </c>
      <c r="P12" s="16"/>
      <c r="Q12" s="18"/>
      <c r="R12" s="19">
        <f t="shared" ref="R12:R13" si="22">(C12*D12*Q12/1000)</f>
        <v>0</v>
      </c>
      <c r="S12" s="20">
        <f t="shared" ref="S12:S13" si="23">+H12+K12+Q12+N12</f>
        <v>0</v>
      </c>
      <c r="T12" s="19">
        <f t="shared" ref="T12:T13" si="24">+I12+L12+R12+O12</f>
        <v>0</v>
      </c>
      <c r="U12" s="21">
        <f t="shared" ref="U12:U13" si="25">E12-S12</f>
        <v>34</v>
      </c>
      <c r="V12" s="19">
        <f t="shared" ref="V12:V13" si="26">F12-T12</f>
        <v>5.11632</v>
      </c>
    </row>
    <row r="13" spans="1:22">
      <c r="A13" s="26"/>
      <c r="B13" s="26"/>
      <c r="C13" s="30"/>
      <c r="D13" s="27"/>
      <c r="E13" s="28"/>
      <c r="F13" s="16">
        <f t="shared" si="18"/>
        <v>0</v>
      </c>
      <c r="G13" s="17"/>
      <c r="H13" s="18"/>
      <c r="I13" s="19">
        <f t="shared" si="19"/>
        <v>0</v>
      </c>
      <c r="J13" s="16"/>
      <c r="K13" s="18"/>
      <c r="L13" s="19">
        <f t="shared" si="20"/>
        <v>0</v>
      </c>
      <c r="M13" s="16"/>
      <c r="N13" s="18"/>
      <c r="O13" s="19">
        <f t="shared" si="21"/>
        <v>0</v>
      </c>
      <c r="P13" s="16"/>
      <c r="Q13" s="18"/>
      <c r="R13" s="19">
        <f t="shared" si="22"/>
        <v>0</v>
      </c>
      <c r="S13" s="20">
        <f t="shared" si="23"/>
        <v>0</v>
      </c>
      <c r="T13" s="19">
        <f t="shared" si="24"/>
        <v>0</v>
      </c>
      <c r="U13" s="21">
        <f t="shared" si="25"/>
        <v>0</v>
      </c>
      <c r="V13" s="19">
        <f t="shared" si="26"/>
        <v>0</v>
      </c>
    </row>
    <row r="14" spans="1:22">
      <c r="A14" s="26"/>
      <c r="B14" s="26"/>
      <c r="C14" s="30"/>
      <c r="D14" s="27"/>
      <c r="E14" s="31">
        <f>SUM(E12:E13)</f>
        <v>34</v>
      </c>
      <c r="F14" s="38">
        <f>SUM(F12:F13)</f>
        <v>5.11632</v>
      </c>
      <c r="G14" s="17"/>
      <c r="H14" s="31">
        <f>SUM(H12:H13)</f>
        <v>0</v>
      </c>
      <c r="I14" s="38">
        <f>SUM(I12:I13)</f>
        <v>0</v>
      </c>
      <c r="J14" s="16"/>
      <c r="K14" s="31">
        <f>SUM(K12:K13)</f>
        <v>0</v>
      </c>
      <c r="L14" s="38">
        <f>SUM(L12:L13)</f>
        <v>0</v>
      </c>
      <c r="M14" s="16"/>
      <c r="N14" s="31">
        <f>SUM(N12:N13)</f>
        <v>0</v>
      </c>
      <c r="O14" s="38">
        <f>SUM(O12:O13)</f>
        <v>0</v>
      </c>
      <c r="P14" s="16"/>
      <c r="Q14" s="31">
        <f t="shared" ref="Q14:V14" si="27">SUM(Q12:Q13)</f>
        <v>0</v>
      </c>
      <c r="R14" s="38">
        <f t="shared" si="27"/>
        <v>0</v>
      </c>
      <c r="S14" s="31">
        <f t="shared" si="27"/>
        <v>0</v>
      </c>
      <c r="T14" s="38">
        <f t="shared" si="27"/>
        <v>0</v>
      </c>
      <c r="U14" s="31">
        <f t="shared" si="27"/>
        <v>34</v>
      </c>
      <c r="V14" s="38">
        <f t="shared" si="27"/>
        <v>5.11632</v>
      </c>
    </row>
    <row r="15" spans="1:22">
      <c r="A15" s="33"/>
      <c r="B15" s="33"/>
      <c r="C15" s="34"/>
      <c r="D15" s="34"/>
      <c r="E15" s="34">
        <f>SUM(E6:E14)/2</f>
        <v>147</v>
      </c>
      <c r="F15" s="35">
        <f>SUM(F6:F14)/2</f>
        <v>21.913080000000001</v>
      </c>
      <c r="H15" s="34">
        <f>SUM(H6:H14)/2</f>
        <v>0</v>
      </c>
      <c r="I15" s="35">
        <f>SUM(I6:I14)/2</f>
        <v>0</v>
      </c>
      <c r="K15" s="34">
        <f>SUM(K6:K14)/2</f>
        <v>0</v>
      </c>
      <c r="L15" s="35">
        <f>SUM(L6:L14)/2</f>
        <v>0</v>
      </c>
      <c r="N15" s="34">
        <f>SUM(N6:N14)/2</f>
        <v>0</v>
      </c>
      <c r="O15" s="35">
        <f>SUM(O6:O14)/2</f>
        <v>0</v>
      </c>
      <c r="Q15" s="34">
        <f t="shared" ref="Q15:V15" si="28">SUM(Q6:Q14)/2</f>
        <v>0</v>
      </c>
      <c r="R15" s="35">
        <f t="shared" si="28"/>
        <v>0</v>
      </c>
      <c r="S15" s="34">
        <f t="shared" si="28"/>
        <v>0</v>
      </c>
      <c r="T15" s="35">
        <f t="shared" si="28"/>
        <v>0</v>
      </c>
      <c r="U15" s="34">
        <f t="shared" si="28"/>
        <v>147</v>
      </c>
      <c r="V15" s="35">
        <f t="shared" si="28"/>
        <v>21.913080000000001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111</vt:i4>
      </vt:variant>
      <vt:variant>
        <vt:lpstr>Named Ranges</vt:lpstr>
      </vt:variant>
      <vt:variant>
        <vt:i4>103</vt:i4>
      </vt:variant>
    </vt:vector>
  </HeadingPairs>
  <TitlesOfParts>
    <vt:vector size="214" baseType="lpstr">
      <vt:lpstr>LOI-1030(STERLITE) BB   (2)</vt:lpstr>
      <vt:lpstr>LOI-2019(Georgia) BB </vt:lpstr>
      <vt:lpstr>TRADING LOI-2020(MEXICO) BB</vt:lpstr>
      <vt:lpstr>LOI-2021(OMAN) BB  (2)</vt:lpstr>
      <vt:lpstr>TRAD.73~30625(OMAN) BB </vt:lpstr>
      <vt:lpstr>LOI-2022(SAUDI) BB </vt:lpstr>
      <vt:lpstr>TRAD.73~30628(SAUDI) BB</vt:lpstr>
      <vt:lpstr>TRAD.LOI-2028(GCCIA Saudi) BB</vt:lpstr>
      <vt:lpstr>LOI-7 BB (STOCK)</vt:lpstr>
      <vt:lpstr>TRAD 73~30632 BB (STOCK)</vt:lpstr>
      <vt:lpstr>LOI-12(OMAN) BB  </vt:lpstr>
      <vt:lpstr>LOI-13(SAUDI) BB</vt:lpstr>
      <vt:lpstr>LOI-41(OMAN) BB (2)</vt:lpstr>
      <vt:lpstr>LOI-42(SAUDI) BB</vt:lpstr>
      <vt:lpstr>LOI-122(BANGLADESH) BB</vt:lpstr>
      <vt:lpstr>LOI-138(MOLDOVA) BB</vt:lpstr>
      <vt:lpstr>LOI-180(ESSEL) BB</vt:lpstr>
      <vt:lpstr>LOI-214(SAUDI) BB </vt:lpstr>
      <vt:lpstr>LOI-215(STERLITE) BB </vt:lpstr>
      <vt:lpstr>LOI-216(BANGLADESH) BB</vt:lpstr>
      <vt:lpstr>LOI-217(MEXICO) BB</vt:lpstr>
      <vt:lpstr>LOI-218(STERLITE) BB  </vt:lpstr>
      <vt:lpstr>LOI-267(MOLDOVA) BB</vt:lpstr>
      <vt:lpstr>LOI-336(ESSEL) BB</vt:lpstr>
      <vt:lpstr>LOI-337 (MOLDOVA) BB </vt:lpstr>
      <vt:lpstr>LOI-338 (MOLDOVA) </vt:lpstr>
      <vt:lpstr>LOI-405 (FAB REJ EMIR )</vt:lpstr>
      <vt:lpstr>LOI-416(MEXICO) BB</vt:lpstr>
      <vt:lpstr>LOI-419(ESSEL) BB </vt:lpstr>
      <vt:lpstr>LOI-420(PG) BB </vt:lpstr>
      <vt:lpstr>LOI-421(PG) BB</vt:lpstr>
      <vt:lpstr>LOI-428(PG) BB </vt:lpstr>
      <vt:lpstr>LOI-429(PG) BB </vt:lpstr>
      <vt:lpstr>LOI-430(BANGLADESH) BB</vt:lpstr>
      <vt:lpstr>LOI-431(ESSEL) BB</vt:lpstr>
      <vt:lpstr>LOI-432(MOROCCO) BB</vt:lpstr>
      <vt:lpstr>LOI-433(SAUDI) BB</vt:lpstr>
      <vt:lpstr>LOI-436(BANGLADESH) BB </vt:lpstr>
      <vt:lpstr>LOI-437(ESSEL) BB </vt:lpstr>
      <vt:lpstr>LOI-438(SAUDI) BB (2)</vt:lpstr>
      <vt:lpstr>LOI-442(ESSEL) BB</vt:lpstr>
      <vt:lpstr>LOI-443(MOROCCO) BB </vt:lpstr>
      <vt:lpstr>LOI-444(GEORGIA) BB</vt:lpstr>
      <vt:lpstr>LOI-445(PG) BB</vt:lpstr>
      <vt:lpstr>LOI-493(BANGLADESH) BB</vt:lpstr>
      <vt:lpstr>LOI-494(BANGLADESH) BB</vt:lpstr>
      <vt:lpstr>LOI-495(BANGLADESH) BB</vt:lpstr>
      <vt:lpstr>LOI-496(ESSEL) BB </vt:lpstr>
      <vt:lpstr>LOI-497(GEORGIA) BB </vt:lpstr>
      <vt:lpstr>LOI-498(GEORGIA) BB</vt:lpstr>
      <vt:lpstr>LOI-499(MOLDOVE) BB</vt:lpstr>
      <vt:lpstr>LOI-500(MOROCCO) BB</vt:lpstr>
      <vt:lpstr>LOI-501(SAUDI) BB</vt:lpstr>
      <vt:lpstr>LOI-563(PG) BB </vt:lpstr>
      <vt:lpstr>LOI-564(INDIGRID) BB </vt:lpstr>
      <vt:lpstr>LOI-565(MOLDOVE) BB</vt:lpstr>
      <vt:lpstr>LOI-566(MOROCCO) BB</vt:lpstr>
      <vt:lpstr>LOI-567(SAUDI) BB</vt:lpstr>
      <vt:lpstr>LOI-568(PG) BB</vt:lpstr>
      <vt:lpstr>LOI-612(GR INFRA) BB</vt:lpstr>
      <vt:lpstr>LOI-613(PG ) BB</vt:lpstr>
      <vt:lpstr>LOI-614(PG hold) BB  (2)</vt:lpstr>
      <vt:lpstr>LOI-614(PG shift to jabalp) BB </vt:lpstr>
      <vt:lpstr>LOI-619 (Zellinskis) BB</vt:lpstr>
      <vt:lpstr>LOI-642 (Zellinskis) BB (2)</vt:lpstr>
      <vt:lpstr>LOI-643 (Zellinskis) BB </vt:lpstr>
      <vt:lpstr>LOI-645 (Zellinskis) BB  (2)</vt:lpstr>
      <vt:lpstr>LOI-612 (GR INFRA) BB  </vt:lpstr>
      <vt:lpstr>LOI-709 (MEXICO) BB</vt:lpstr>
      <vt:lpstr>LOI-710 (MEXICO) BB</vt:lpstr>
      <vt:lpstr>LOI-711 (GEORGIA) BB</vt:lpstr>
      <vt:lpstr>LOI-712 (MEXICO) BB</vt:lpstr>
      <vt:lpstr>LOI-713 (SAUDI) BB (2)</vt:lpstr>
      <vt:lpstr>LOI-714 (MEXICO) BB (2)</vt:lpstr>
      <vt:lpstr>LOI-715 (OMAN) BB</vt:lpstr>
      <vt:lpstr>LOI-716 (SAUDI) BB (2)</vt:lpstr>
      <vt:lpstr>LOI-749 (BANGLADESH) BB </vt:lpstr>
      <vt:lpstr>LOI-764 (GEORGIA) BB</vt:lpstr>
      <vt:lpstr>LOI-765 (MEXICO) BB</vt:lpstr>
      <vt:lpstr>LOI-832(PG ) BB </vt:lpstr>
      <vt:lpstr>LOI-833 (MALAYSIA &amp;PUERTO) BB</vt:lpstr>
      <vt:lpstr>LOI-896 (MALAYSIA &amp;BANGLADESH)</vt:lpstr>
      <vt:lpstr>LOI-897 (ZILLINKIS)</vt:lpstr>
      <vt:lpstr>LOI-972 (MOLDOVA)</vt:lpstr>
      <vt:lpstr>LOI-975(PG ) BB  </vt:lpstr>
      <vt:lpstr>LOI-1006 (MOLDOVA)</vt:lpstr>
      <vt:lpstr>LOI-1022(PG ) BB </vt:lpstr>
      <vt:lpstr>LOI-1044 (Malaysia)BB </vt:lpstr>
      <vt:lpstr>LOI-1045 (ZILLINSKIS) BB</vt:lpstr>
      <vt:lpstr>LOI-1046 (SAUDI) BB</vt:lpstr>
      <vt:lpstr>LOI-1047(KUDUS) BB</vt:lpstr>
      <vt:lpstr>LOI-1048 (SAUDI) BB </vt:lpstr>
      <vt:lpstr>LOI-1049 (SAUDI) BB</vt:lpstr>
      <vt:lpstr>LOI-1131 (GEORGIA) BB</vt:lpstr>
      <vt:lpstr>LOI-1132 (Oman) BB </vt:lpstr>
      <vt:lpstr>LOI-1133 (ZILLINSKIS) BB </vt:lpstr>
      <vt:lpstr>LOI-1190 (Georgia) BB</vt:lpstr>
      <vt:lpstr>LOI-1191 (ZILLINSKIS) BB </vt:lpstr>
      <vt:lpstr>LOI-1331(KPTCL) BB </vt:lpstr>
      <vt:lpstr>LOI-1332(PG) BB</vt:lpstr>
      <vt:lpstr>LOI-1333 (SAUDI) BB</vt:lpstr>
      <vt:lpstr>LOI-1334 (ZILLINSKIS) BB</vt:lpstr>
      <vt:lpstr>LOI-1356 (GEORGIA) BB  </vt:lpstr>
      <vt:lpstr>LOI-1357 (MALAYSIA) BB</vt:lpstr>
      <vt:lpstr>LOI-1358 (SAUDI) BB</vt:lpstr>
      <vt:lpstr>LOI-1395 (INDIGRID ADANI KU) BB</vt:lpstr>
      <vt:lpstr>LOI-1396 (AUSNET) BB</vt:lpstr>
      <vt:lpstr>LOI-1397 (MAMAYSIA) BB</vt:lpstr>
      <vt:lpstr>LOI-1439 Inch SECT (SUNZIA) BB </vt:lpstr>
      <vt:lpstr>LOI-1439  (PERU)BB</vt:lpstr>
      <vt:lpstr>Sheet1</vt:lpstr>
      <vt:lpstr>'LOI-1006 (MOLDOVA)'!Print_Area</vt:lpstr>
      <vt:lpstr>'LOI-1022(PG ) BB '!Print_Area</vt:lpstr>
      <vt:lpstr>'LOI-1030(STERLITE) BB   (2)'!Print_Area</vt:lpstr>
      <vt:lpstr>'LOI-1044 (Malaysia)BB '!Print_Area</vt:lpstr>
      <vt:lpstr>'LOI-1045 (ZILLINSKIS) BB'!Print_Area</vt:lpstr>
      <vt:lpstr>'LOI-1046 (SAUDI) BB'!Print_Area</vt:lpstr>
      <vt:lpstr>'LOI-1047(KUDUS) BB'!Print_Area</vt:lpstr>
      <vt:lpstr>'LOI-1048 (SAUDI) BB '!Print_Area</vt:lpstr>
      <vt:lpstr>'LOI-1049 (SAUDI) BB'!Print_Area</vt:lpstr>
      <vt:lpstr>'LOI-1131 (GEORGIA) BB'!Print_Area</vt:lpstr>
      <vt:lpstr>'LOI-1132 (Oman) BB '!Print_Area</vt:lpstr>
      <vt:lpstr>'LOI-1133 (ZILLINSKIS) BB '!Print_Area</vt:lpstr>
      <vt:lpstr>'LOI-1190 (Georgia) BB'!Print_Area</vt:lpstr>
      <vt:lpstr>'LOI-1191 (ZILLINSKIS) BB '!Print_Area</vt:lpstr>
      <vt:lpstr>'LOI-12(OMAN) BB  '!Print_Area</vt:lpstr>
      <vt:lpstr>'LOI-122(BANGLADESH) BB'!Print_Area</vt:lpstr>
      <vt:lpstr>'LOI-13(SAUDI) BB'!Print_Area</vt:lpstr>
      <vt:lpstr>'LOI-1331(KPTCL) BB '!Print_Area</vt:lpstr>
      <vt:lpstr>'LOI-1332(PG) BB'!Print_Area</vt:lpstr>
      <vt:lpstr>'LOI-1333 (SAUDI) BB'!Print_Area</vt:lpstr>
      <vt:lpstr>'LOI-1334 (ZILLINSKIS) BB'!Print_Area</vt:lpstr>
      <vt:lpstr>'LOI-1356 (GEORGIA) BB  '!Print_Area</vt:lpstr>
      <vt:lpstr>'LOI-1357 (MALAYSIA) BB'!Print_Area</vt:lpstr>
      <vt:lpstr>'LOI-1358 (SAUDI) BB'!Print_Area</vt:lpstr>
      <vt:lpstr>'LOI-138(MOLDOVA) BB'!Print_Area</vt:lpstr>
      <vt:lpstr>'LOI-1395 (INDIGRID ADANI KU) BB'!Print_Area</vt:lpstr>
      <vt:lpstr>'LOI-1396 (AUSNET) BB'!Print_Area</vt:lpstr>
      <vt:lpstr>'LOI-1397 (MAMAYSIA) BB'!Print_Area</vt:lpstr>
      <vt:lpstr>'LOI-1439  (PERU)BB'!Print_Area</vt:lpstr>
      <vt:lpstr>'LOI-1439 Inch SECT (SUNZIA) BB '!Print_Area</vt:lpstr>
      <vt:lpstr>'LOI-180(ESSEL) BB'!Print_Area</vt:lpstr>
      <vt:lpstr>'LOI-2021(OMAN) BB  (2)'!Print_Area</vt:lpstr>
      <vt:lpstr>'LOI-2022(SAUDI) BB '!Print_Area</vt:lpstr>
      <vt:lpstr>'LOI-214(SAUDI) BB '!Print_Area</vt:lpstr>
      <vt:lpstr>'LOI-215(STERLITE) BB '!Print_Area</vt:lpstr>
      <vt:lpstr>'LOI-216(BANGLADESH) BB'!Print_Area</vt:lpstr>
      <vt:lpstr>'LOI-217(MEXICO) BB'!Print_Area</vt:lpstr>
      <vt:lpstr>'LOI-218(STERLITE) BB  '!Print_Area</vt:lpstr>
      <vt:lpstr>'LOI-267(MOLDOVA) BB'!Print_Area</vt:lpstr>
      <vt:lpstr>'LOI-336(ESSEL) BB'!Print_Area</vt:lpstr>
      <vt:lpstr>'LOI-337 (MOLDOVA) BB '!Print_Area</vt:lpstr>
      <vt:lpstr>'LOI-338 (MOLDOVA) '!Print_Area</vt:lpstr>
      <vt:lpstr>'LOI-405 (FAB REJ EMIR )'!Print_Area</vt:lpstr>
      <vt:lpstr>'LOI-416(MEXICO) BB'!Print_Area</vt:lpstr>
      <vt:lpstr>'LOI-419(ESSEL) BB '!Print_Area</vt:lpstr>
      <vt:lpstr>'LOI-420(PG) BB '!Print_Area</vt:lpstr>
      <vt:lpstr>'LOI-421(PG) BB'!Print_Area</vt:lpstr>
      <vt:lpstr>'LOI-428(PG) BB '!Print_Area</vt:lpstr>
      <vt:lpstr>'LOI-429(PG) BB '!Print_Area</vt:lpstr>
      <vt:lpstr>'LOI-430(BANGLADESH) BB'!Print_Area</vt:lpstr>
      <vt:lpstr>'LOI-431(ESSEL) BB'!Print_Area</vt:lpstr>
      <vt:lpstr>'LOI-432(MOROCCO) BB'!Print_Area</vt:lpstr>
      <vt:lpstr>'LOI-433(SAUDI) BB'!Print_Area</vt:lpstr>
      <vt:lpstr>'LOI-436(BANGLADESH) BB '!Print_Area</vt:lpstr>
      <vt:lpstr>'LOI-437(ESSEL) BB '!Print_Area</vt:lpstr>
      <vt:lpstr>'LOI-438(SAUDI) BB (2)'!Print_Area</vt:lpstr>
      <vt:lpstr>'LOI-442(ESSEL) BB'!Print_Area</vt:lpstr>
      <vt:lpstr>'LOI-443(MOROCCO) BB '!Print_Area</vt:lpstr>
      <vt:lpstr>'LOI-444(GEORGIA) BB'!Print_Area</vt:lpstr>
      <vt:lpstr>'LOI-445(PG) BB'!Print_Area</vt:lpstr>
      <vt:lpstr>'LOI-493(BANGLADESH) BB'!Print_Area</vt:lpstr>
      <vt:lpstr>'LOI-494(BANGLADESH) BB'!Print_Area</vt:lpstr>
      <vt:lpstr>'LOI-495(BANGLADESH) BB'!Print_Area</vt:lpstr>
      <vt:lpstr>'LOI-496(ESSEL) BB '!Print_Area</vt:lpstr>
      <vt:lpstr>'LOI-497(GEORGIA) BB '!Print_Area</vt:lpstr>
      <vt:lpstr>'LOI-498(GEORGIA) BB'!Print_Area</vt:lpstr>
      <vt:lpstr>'LOI-499(MOLDOVE) BB'!Print_Area</vt:lpstr>
      <vt:lpstr>'LOI-500(MOROCCO) BB'!Print_Area</vt:lpstr>
      <vt:lpstr>'LOI-501(SAUDI) BB'!Print_Area</vt:lpstr>
      <vt:lpstr>'LOI-563(PG) BB '!Print_Area</vt:lpstr>
      <vt:lpstr>'LOI-564(INDIGRID) BB '!Print_Area</vt:lpstr>
      <vt:lpstr>'LOI-565(MOLDOVE) BB'!Print_Area</vt:lpstr>
      <vt:lpstr>'LOI-566(MOROCCO) BB'!Print_Area</vt:lpstr>
      <vt:lpstr>'LOI-567(SAUDI) BB'!Print_Area</vt:lpstr>
      <vt:lpstr>'LOI-568(PG) BB'!Print_Area</vt:lpstr>
      <vt:lpstr>'LOI-612 (GR INFRA) BB  '!Print_Area</vt:lpstr>
      <vt:lpstr>'LOI-612(GR INFRA) BB'!Print_Area</vt:lpstr>
      <vt:lpstr>'LOI-613(PG ) BB'!Print_Area</vt:lpstr>
      <vt:lpstr>'LOI-614(PG hold) BB  (2)'!Print_Area</vt:lpstr>
      <vt:lpstr>'LOI-614(PG shift to jabalp) BB '!Print_Area</vt:lpstr>
      <vt:lpstr>'LOI-619 (Zellinskis) BB'!Print_Area</vt:lpstr>
      <vt:lpstr>'LOI-642 (Zellinskis) BB (2)'!Print_Area</vt:lpstr>
      <vt:lpstr>'LOI-643 (Zellinskis) BB '!Print_Area</vt:lpstr>
      <vt:lpstr>'LOI-645 (Zellinskis) BB  (2)'!Print_Area</vt:lpstr>
      <vt:lpstr>'LOI-709 (MEXICO) BB'!Print_Area</vt:lpstr>
      <vt:lpstr>'LOI-710 (MEXICO) BB'!Print_Area</vt:lpstr>
      <vt:lpstr>'LOI-711 (GEORGIA) BB'!Print_Area</vt:lpstr>
      <vt:lpstr>'LOI-712 (MEXICO) BB'!Print_Area</vt:lpstr>
      <vt:lpstr>'LOI-713 (SAUDI) BB (2)'!Print_Area</vt:lpstr>
      <vt:lpstr>'LOI-714 (MEXICO) BB (2)'!Print_Area</vt:lpstr>
      <vt:lpstr>'LOI-715 (OMAN) BB'!Print_Area</vt:lpstr>
      <vt:lpstr>'LOI-716 (SAUDI) BB (2)'!Print_Area</vt:lpstr>
      <vt:lpstr>'LOI-749 (BANGLADESH) BB '!Print_Area</vt:lpstr>
      <vt:lpstr>'LOI-764 (GEORGIA) BB'!Print_Area</vt:lpstr>
      <vt:lpstr>'LOI-765 (MEXICO) BB'!Print_Area</vt:lpstr>
      <vt:lpstr>'LOI-832(PG ) BB '!Print_Area</vt:lpstr>
      <vt:lpstr>'LOI-833 (MALAYSIA &amp;PUERTO) BB'!Print_Area</vt:lpstr>
      <vt:lpstr>'LOI-896 (MALAYSIA &amp;BANGLADESH)'!Print_Area</vt:lpstr>
      <vt:lpstr>'LOI-897 (ZILLINKIS)'!Print_Area</vt:lpstr>
      <vt:lpstr>'LOI-972 (MOLDOVA)'!Print_Area</vt:lpstr>
      <vt:lpstr>'LOI-975(PG ) BB  '!Print_Area</vt:lpstr>
      <vt:lpstr>'TRAD.73~30625(OMAN) BB '!Print_Area</vt:lpstr>
      <vt:lpstr>'TRAD.73~30628(SAUDI) BB'!Print_Area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2024-01-10T10:29:53Z</dcterms:modified>
</cp:coreProperties>
</file>